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charts/chart26.xml" ContentType="application/vnd.openxmlformats-officedocument.drawingml.chart+xml"/>
  <Override PartName="/xl/charts/style19.xml" ContentType="application/vnd.ms-office.chartstyle+xml"/>
  <Override PartName="/xl/charts/colors19.xml" ContentType="application/vnd.ms-office.chartcolorstyle+xml"/>
  <Override PartName="/xl/charts/chart27.xml" ContentType="application/vnd.openxmlformats-officedocument.drawingml.chart+xml"/>
  <Override PartName="/xl/charts/style20.xml" ContentType="application/vnd.ms-office.chartstyle+xml"/>
  <Override PartName="/xl/charts/colors20.xml" ContentType="application/vnd.ms-office.chartcolorstyle+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charts/chart30.xml" ContentType="application/vnd.openxmlformats-officedocument.drawingml.chart+xml"/>
  <Override PartName="/xl/charts/style23.xml" ContentType="application/vnd.ms-office.chartstyle+xml"/>
  <Override PartName="/xl/charts/colors23.xml" ContentType="application/vnd.ms-office.chartcolorstyle+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charts/chart32.xml" ContentType="application/vnd.openxmlformats-officedocument.drawingml.chart+xml"/>
  <Override PartName="/xl/charts/style25.xml" ContentType="application/vnd.ms-office.chartstyle+xml"/>
  <Override PartName="/xl/charts/colors25.xml" ContentType="application/vnd.ms-office.chartcolorstyle+xml"/>
  <Override PartName="/xl/charts/chart33.xml" ContentType="application/vnd.openxmlformats-officedocument.drawingml.chart+xml"/>
  <Override PartName="/xl/charts/style26.xml" ContentType="application/vnd.ms-office.chartstyle+xml"/>
  <Override PartName="/xl/charts/colors26.xml" ContentType="application/vnd.ms-office.chartcolorstyle+xml"/>
  <Override PartName="/xl/charts/chart34.xml" ContentType="application/vnd.openxmlformats-officedocument.drawingml.chart+xml"/>
  <Override PartName="/xl/charts/style27.xml" ContentType="application/vnd.ms-office.chartstyle+xml"/>
  <Override PartName="/xl/charts/colors27.xml" ContentType="application/vnd.ms-office.chartcolorstyle+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charts/chart36.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omments2.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xml" ContentType="application/vnd.openxmlformats-officedocument.drawing+xml"/>
  <Override PartName="/xl/comments3.xml" ContentType="application/vnd.openxmlformats-officedocument.spreadsheetml.comments+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xml" ContentType="application/vnd.openxmlformats-officedocument.drawing+xml"/>
  <Override PartName="/xl/comments4.xml" ContentType="application/vnd.openxmlformats-officedocument.spreadsheetml.comments+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harts/chart5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1.xml" ContentType="application/vnd.openxmlformats-officedocument.drawing+xml"/>
  <Override PartName="/xl/charts/chart56.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2.xml" ContentType="application/vnd.openxmlformats-officedocument.drawing+xml"/>
  <Override PartName="/xl/charts/chart57.xml" ContentType="application/vnd.openxmlformats-officedocument.drawingml.chart+xml"/>
  <Override PartName="/xl/charts/style38.xml" ContentType="application/vnd.ms-office.chartstyle+xml"/>
  <Override PartName="/xl/charts/colors38.xml" ContentType="application/vnd.ms-office.chartcolorstyle+xml"/>
  <Override PartName="/xl/charts/chart58.xml" ContentType="application/vnd.openxmlformats-officedocument.drawingml.chart+xml"/>
  <Override PartName="/xl/charts/style39.xml" ContentType="application/vnd.ms-office.chartstyle+xml"/>
  <Override PartName="/xl/charts/colors39.xml" ContentType="application/vnd.ms-office.chartcolorstyle+xml"/>
  <Override PartName="/xl/charts/chart5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3.xml" ContentType="application/vnd.openxmlformats-officedocument.drawing+xml"/>
  <Override PartName="/xl/charts/chart60.xml" ContentType="application/vnd.openxmlformats-officedocument.drawingml.chart+xml"/>
  <Override PartName="/xl/charts/style41.xml" ContentType="application/vnd.ms-office.chartstyle+xml"/>
  <Override PartName="/xl/charts/colors41.xml" ContentType="application/vnd.ms-office.chartcolorstyle+xml"/>
  <Override PartName="/xl/charts/chart61.xml" ContentType="application/vnd.openxmlformats-officedocument.drawingml.chart+xml"/>
  <Override PartName="/xl/charts/chart62.xml" ContentType="application/vnd.openxmlformats-officedocument.drawingml.chart+xml"/>
  <Override PartName="/xl/charts/style42.xml" ContentType="application/vnd.ms-office.chartstyle+xml"/>
  <Override PartName="/xl/charts/colors42.xml" ContentType="application/vnd.ms-office.chartcolorstyle+xml"/>
  <Override PartName="/xl/charts/chart63.xml" ContentType="application/vnd.openxmlformats-officedocument.drawingml.chart+xml"/>
  <Override PartName="/xl/drawings/drawing14.xml" ContentType="application/vnd.openxmlformats-officedocument.drawing+xml"/>
  <Override PartName="/xl/charts/chart64.xml" ContentType="application/vnd.openxmlformats-officedocument.drawingml.chart+xml"/>
  <Override PartName="/xl/charts/style43.xml" ContentType="application/vnd.ms-office.chartstyle+xml"/>
  <Override PartName="/xl/charts/colors43.xml" ContentType="application/vnd.ms-office.chartcolorstyle+xml"/>
  <Override PartName="/xl/charts/chart65.xml" ContentType="application/vnd.openxmlformats-officedocument.drawingml.chart+xml"/>
  <Override PartName="/xl/charts/style44.xml" ContentType="application/vnd.ms-office.chartstyle+xml"/>
  <Override PartName="/xl/charts/colors44.xml" ContentType="application/vnd.ms-office.chartcolorstyle+xml"/>
  <Override PartName="/xl/charts/chart66.xml" ContentType="application/vnd.openxmlformats-officedocument.drawingml.chart+xml"/>
  <Override PartName="/xl/charts/style45.xml" ContentType="application/vnd.ms-office.chartstyle+xml"/>
  <Override PartName="/xl/charts/colors45.xml" ContentType="application/vnd.ms-office.chartcolorstyle+xml"/>
  <Override PartName="/xl/charts/chart67.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5.xml" ContentType="application/vnd.openxmlformats-officedocument.drawing+xml"/>
  <Override PartName="/xl/charts/chart68.xml" ContentType="application/vnd.openxmlformats-officedocument.drawingml.chart+xml"/>
  <Override PartName="/xl/charts/style47.xml" ContentType="application/vnd.ms-office.chartstyle+xml"/>
  <Override PartName="/xl/charts/colors47.xml" ContentType="application/vnd.ms-office.chartcolorstyle+xml"/>
  <Override PartName="/xl/charts/chart69.xml" ContentType="application/vnd.openxmlformats-officedocument.drawingml.chart+xml"/>
  <Override PartName="/xl/charts/style48.xml" ContentType="application/vnd.ms-office.chartstyle+xml"/>
  <Override PartName="/xl/charts/colors48.xml" ContentType="application/vnd.ms-office.chartcolorstyle+xml"/>
  <Override PartName="/xl/charts/chart70.xml" ContentType="application/vnd.openxmlformats-officedocument.drawingml.chart+xml"/>
  <Override PartName="/xl/charts/style49.xml" ContentType="application/vnd.ms-office.chartstyle+xml"/>
  <Override PartName="/xl/charts/colors49.xml" ContentType="application/vnd.ms-office.chartcolorstyle+xml"/>
  <Override PartName="/xl/charts/chart7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6.xml" ContentType="application/vnd.openxmlformats-officedocument.drawing+xml"/>
  <Override PartName="/xl/charts/chart72.xml" ContentType="application/vnd.openxmlformats-officedocument.drawingml.chart+xml"/>
  <Override PartName="/xl/charts/style51.xml" ContentType="application/vnd.ms-office.chartstyle+xml"/>
  <Override PartName="/xl/charts/colors51.xml" ContentType="application/vnd.ms-office.chartcolorstyle+xml"/>
  <Override PartName="/xl/charts/chart73.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jrestrepo\Documents\MEDIOS Y TIC\2025\TAREA PRUEBAS SABER\CARGADOS A  LA PAGINA\"/>
    </mc:Choice>
  </mc:AlternateContent>
  <xr:revisionPtr revIDLastSave="0" documentId="13_ncr:1_{E9EFC0BC-DE86-4D13-9DFF-9F160A262D30}" xr6:coauthVersionLast="36" xr6:coauthVersionMax="36" xr10:uidLastSave="{00000000-0000-0000-0000-000000000000}"/>
  <bookViews>
    <workbookView xWindow="0" yWindow="0" windowWidth="8055" windowHeight="2640" tabRatio="777" xr2:uid="{A0199E23-6812-4FF6-B113-9628143DDDB5}"/>
  </bookViews>
  <sheets>
    <sheet name="1 GUÍA DE USO" sheetId="65" r:id="rId1"/>
    <sheet name="PGLOBAL" sheetId="3" state="hidden" r:id="rId2"/>
    <sheet name="Ficha técnica" sheetId="2" state="hidden" r:id="rId3"/>
    <sheet name="Clasificación" sheetId="63" state="hidden" r:id="rId4"/>
    <sheet name="2 PuntajeGlobal" sheetId="54" r:id="rId5"/>
    <sheet name="3 Promediosyniveles" sheetId="64" r:id="rId6"/>
    <sheet name="LC" sheetId="16" state="hidden" r:id="rId7"/>
    <sheet name="MATE" sheetId="23" state="hidden" r:id="rId8"/>
    <sheet name="SyC" sheetId="30" state="hidden" r:id="rId9"/>
    <sheet name="CN" sheetId="37" state="hidden" r:id="rId10"/>
    <sheet name="INGLES" sheetId="44" state="hidden" r:id="rId11"/>
    <sheet name="4 AprenLectura" sheetId="46" r:id="rId12"/>
    <sheet name="5 AprenMate" sheetId="47" r:id="rId13"/>
    <sheet name="6 AprenSyC" sheetId="48" r:id="rId14"/>
    <sheet name="7 AprenCNProVivos" sheetId="66" r:id="rId15"/>
    <sheet name="8 AprenCNProQuímicos" sheetId="51" r:id="rId16"/>
    <sheet name="9 AprenCNProFísicos" sheetId="52" r:id="rId17"/>
    <sheet name="10 AprenCNCTS" sheetId="53" r:id="rId18"/>
  </sheets>
  <definedNames>
    <definedName name="_xlnm._FilterDatabase" localSheetId="3" hidden="1">Clasificación!$A$5:$DA$141</definedName>
    <definedName name="_xlnm._FilterDatabase" localSheetId="9" hidden="1">CN!$A$9:$KG$171</definedName>
    <definedName name="_xlnm._FilterDatabase" localSheetId="2" hidden="1">'Ficha técnica'!$A$34:$AO$34</definedName>
    <definedName name="_xlnm._FilterDatabase" localSheetId="10" hidden="1">INGLES!$A$35:$BV$35</definedName>
    <definedName name="_xlnm._FilterDatabase" localSheetId="6" hidden="1">LC!$A$9:$CN$172</definedName>
    <definedName name="_xlnm._FilterDatabase" localSheetId="7" hidden="1">MATE!$A$35:$CT$35</definedName>
    <definedName name="_xlnm._FilterDatabase" localSheetId="1" hidden="1">PGLOBAL!$A$9:$AQ$172</definedName>
    <definedName name="_xlnm._FilterDatabase" localSheetId="8" hidden="1">SyC!$A$35:$DO$35</definedName>
    <definedName name="_xlnm.Print_Area" localSheetId="17">'10 AprenCNCTS'!$B$10:$G$78</definedName>
    <definedName name="_xlnm.Print_Area" localSheetId="5">'3 Promediosyniveles'!$C$7:$O$327</definedName>
    <definedName name="_xlnm.Print_Area" localSheetId="13">'6 AprenSyC'!$A$1:$I$110</definedName>
    <definedName name="_xlnm.Print_Area" localSheetId="14">'7 AprenCNProVivos'!$A$9:$K$99</definedName>
    <definedName name="_xlnm.Print_Area" localSheetId="15">'8 AprenCNProQuímicos'!$A$8:$K$98</definedName>
    <definedName name="_xlnm.Print_Area" localSheetId="16">'9 AprenCNProFísicos'!$B$9:$K$91</definedName>
  </definedNames>
  <calcPr calcId="191029"/>
</workbook>
</file>

<file path=xl/calcChain.xml><?xml version="1.0" encoding="utf-8"?>
<calcChain xmlns="http://schemas.openxmlformats.org/spreadsheetml/2006/main">
  <c r="J19" i="64" l="1"/>
  <c r="L19" i="64"/>
  <c r="E22" i="54" l="1"/>
  <c r="E21" i="54"/>
  <c r="E20" i="54"/>
  <c r="E19" i="54"/>
  <c r="E18" i="54"/>
  <c r="E17" i="54"/>
  <c r="E16" i="54"/>
  <c r="E15" i="54"/>
  <c r="D15" i="54"/>
  <c r="D16" i="54"/>
  <c r="D17" i="54"/>
  <c r="D18" i="54"/>
  <c r="D19" i="54"/>
  <c r="D20" i="54"/>
  <c r="D21" i="54"/>
  <c r="D22" i="54"/>
  <c r="C15" i="54"/>
  <c r="C16" i="54"/>
  <c r="C17" i="54"/>
  <c r="C18" i="54"/>
  <c r="C19" i="54"/>
  <c r="C20" i="54"/>
  <c r="C21" i="54"/>
  <c r="C22" i="54"/>
  <c r="C23" i="54"/>
  <c r="E23" i="54"/>
  <c r="D23" i="54"/>
  <c r="M34" i="54"/>
  <c r="M33" i="54"/>
  <c r="M32" i="54"/>
  <c r="M31" i="54"/>
  <c r="M30" i="54"/>
  <c r="M29" i="54"/>
  <c r="M28" i="54"/>
  <c r="M27" i="54"/>
  <c r="L27" i="54"/>
  <c r="L29" i="54"/>
  <c r="L30" i="54"/>
  <c r="L31" i="54"/>
  <c r="L32" i="54"/>
  <c r="L33" i="54"/>
  <c r="L34" i="54"/>
  <c r="L28" i="54"/>
  <c r="M35" i="54"/>
  <c r="L35" i="54"/>
  <c r="CF295" i="23" l="1"/>
  <c r="CF294" i="23"/>
  <c r="CF293" i="23"/>
  <c r="CF292" i="23"/>
  <c r="BW295" i="23"/>
  <c r="BW294" i="23"/>
  <c r="BW293" i="23"/>
  <c r="BW292" i="23"/>
  <c r="BN295" i="23"/>
  <c r="BN294" i="23"/>
  <c r="BN293" i="23"/>
  <c r="BN292" i="23"/>
  <c r="CO247" i="23"/>
  <c r="CO246" i="23"/>
  <c r="CO245" i="23"/>
  <c r="CO244" i="23"/>
  <c r="CF247" i="23"/>
  <c r="CF246" i="23"/>
  <c r="CF245" i="23"/>
  <c r="CF244" i="23"/>
  <c r="BW247" i="23"/>
  <c r="BW246" i="23"/>
  <c r="BW245" i="23"/>
  <c r="BW244" i="23"/>
  <c r="BN247" i="23"/>
  <c r="BN246" i="23"/>
  <c r="BN245" i="23"/>
  <c r="BN244" i="23"/>
  <c r="CN27" i="23" l="1"/>
  <c r="AF18" i="3" l="1"/>
  <c r="AF19" i="3"/>
  <c r="AF20" i="3"/>
  <c r="AF21" i="3"/>
  <c r="AF22" i="3"/>
  <c r="AF23" i="3"/>
  <c r="AF24" i="3"/>
  <c r="AF25" i="3"/>
  <c r="AF26" i="3"/>
  <c r="AF27" i="3"/>
  <c r="AF28" i="3"/>
  <c r="AF29" i="3"/>
  <c r="AF30" i="3"/>
  <c r="AF31" i="3"/>
  <c r="AF32" i="3"/>
  <c r="AF33" i="3"/>
  <c r="AF34" i="3"/>
  <c r="AF35" i="3"/>
  <c r="AD35" i="3"/>
  <c r="AD34" i="3"/>
  <c r="AD33" i="3"/>
  <c r="AD32" i="3"/>
  <c r="AD31" i="3"/>
  <c r="AD30" i="3"/>
  <c r="AD29" i="3"/>
  <c r="AD28" i="3"/>
  <c r="AD27" i="3"/>
  <c r="AD26" i="3"/>
  <c r="AD25" i="3"/>
  <c r="AD24" i="3"/>
  <c r="AD23" i="3"/>
  <c r="AD22" i="3"/>
  <c r="AD21" i="3"/>
  <c r="AD20" i="3"/>
  <c r="AD19" i="3"/>
  <c r="AD18" i="3"/>
  <c r="E19" i="51"/>
  <c r="C15" i="51"/>
  <c r="M288" i="64" l="1"/>
  <c r="E25" i="53"/>
  <c r="D25" i="53"/>
  <c r="J24" i="52"/>
  <c r="I24" i="52"/>
  <c r="H24" i="52"/>
  <c r="G24" i="52"/>
  <c r="F24" i="52"/>
  <c r="E24" i="52"/>
  <c r="D24" i="52"/>
  <c r="C24" i="52"/>
  <c r="J23" i="51"/>
  <c r="I23" i="51"/>
  <c r="H23" i="51"/>
  <c r="G23" i="51"/>
  <c r="F23" i="51"/>
  <c r="E23" i="51"/>
  <c r="D23" i="51"/>
  <c r="C23" i="51"/>
  <c r="I17" i="66"/>
  <c r="G17" i="66"/>
  <c r="F17" i="66"/>
  <c r="E17" i="66"/>
  <c r="D17" i="66"/>
  <c r="C17" i="66"/>
  <c r="J17" i="66"/>
  <c r="J24" i="66"/>
  <c r="I24" i="66"/>
  <c r="H24" i="66"/>
  <c r="G24" i="66"/>
  <c r="F24" i="66"/>
  <c r="E24" i="66"/>
  <c r="D24" i="66"/>
  <c r="C24" i="66"/>
  <c r="E22" i="66"/>
  <c r="KF18" i="37"/>
  <c r="KF19" i="37"/>
  <c r="KF20" i="37"/>
  <c r="KF21" i="37"/>
  <c r="KF22" i="37"/>
  <c r="KF23" i="37"/>
  <c r="KF24" i="37"/>
  <c r="KF25" i="37"/>
  <c r="KF26" i="37"/>
  <c r="KF27" i="37"/>
  <c r="KF28" i="37"/>
  <c r="KF29" i="37"/>
  <c r="KF30" i="37"/>
  <c r="KF31" i="37"/>
  <c r="KF32" i="37"/>
  <c r="KF33" i="37"/>
  <c r="KF34" i="37"/>
  <c r="KF35" i="37"/>
  <c r="I23" i="48"/>
  <c r="E23" i="48"/>
  <c r="F23" i="48"/>
  <c r="G23" i="48"/>
  <c r="H23" i="48"/>
  <c r="D23" i="48"/>
  <c r="J23" i="47"/>
  <c r="K23" i="47"/>
  <c r="L23" i="47"/>
  <c r="L21" i="47"/>
  <c r="K21" i="47"/>
  <c r="J21" i="47"/>
  <c r="L22" i="47"/>
  <c r="K22" i="47"/>
  <c r="J22" i="47"/>
  <c r="K23" i="46"/>
  <c r="J23" i="46"/>
  <c r="I23" i="46"/>
  <c r="L288" i="64"/>
  <c r="J99" i="64"/>
  <c r="J227" i="64" l="1"/>
  <c r="N288" i="64"/>
  <c r="J288" i="64"/>
  <c r="O288" i="64"/>
  <c r="C271" i="64"/>
  <c r="K288" i="64"/>
  <c r="C210" i="64"/>
  <c r="M227" i="64"/>
  <c r="K227" i="64"/>
  <c r="L227" i="64"/>
  <c r="N227" i="64"/>
  <c r="M163" i="64"/>
  <c r="N163" i="64"/>
  <c r="J163" i="64"/>
  <c r="K163" i="64"/>
  <c r="L163" i="64"/>
  <c r="C145" i="64"/>
  <c r="M39" i="64"/>
  <c r="M96" i="64"/>
  <c r="L99" i="64"/>
  <c r="K96" i="64"/>
  <c r="M93" i="64"/>
  <c r="M99" i="64"/>
  <c r="L93" i="64"/>
  <c r="N39" i="64"/>
  <c r="K99" i="64"/>
  <c r="K93" i="64"/>
  <c r="L96" i="64"/>
  <c r="N93" i="64"/>
  <c r="N96" i="64"/>
  <c r="C80" i="64"/>
  <c r="K39" i="64"/>
  <c r="N99" i="64"/>
  <c r="L39" i="64"/>
  <c r="C81" i="64"/>
  <c r="C22" i="64"/>
  <c r="E292" i="44"/>
  <c r="F292" i="44"/>
  <c r="G292" i="44"/>
  <c r="H292" i="44"/>
  <c r="I292" i="44"/>
  <c r="J292" i="44"/>
  <c r="K292" i="44"/>
  <c r="L292" i="44"/>
  <c r="M292" i="44"/>
  <c r="N292" i="44"/>
  <c r="O292" i="44"/>
  <c r="P292" i="44"/>
  <c r="Q292" i="44"/>
  <c r="R292" i="44"/>
  <c r="S292" i="44"/>
  <c r="T292" i="44"/>
  <c r="U292" i="44"/>
  <c r="V292" i="44"/>
  <c r="W292" i="44"/>
  <c r="X292" i="44"/>
  <c r="Y292" i="44"/>
  <c r="Z292" i="44"/>
  <c r="AA292" i="44"/>
  <c r="AB292" i="44"/>
  <c r="AC292" i="44"/>
  <c r="AD292" i="44"/>
  <c r="AE292" i="44"/>
  <c r="AF292" i="44"/>
  <c r="AG292" i="44"/>
  <c r="AH292" i="44"/>
  <c r="E293" i="44"/>
  <c r="F293" i="44"/>
  <c r="G293" i="44"/>
  <c r="H293" i="44"/>
  <c r="I293" i="44"/>
  <c r="J293" i="44"/>
  <c r="K293" i="44"/>
  <c r="L293" i="44"/>
  <c r="M293" i="44"/>
  <c r="N293" i="44"/>
  <c r="O293" i="44"/>
  <c r="P293" i="44"/>
  <c r="Q293" i="44"/>
  <c r="R293" i="44"/>
  <c r="S293" i="44"/>
  <c r="T293" i="44"/>
  <c r="U293" i="44"/>
  <c r="V293" i="44"/>
  <c r="W293" i="44"/>
  <c r="X293" i="44"/>
  <c r="Y293" i="44"/>
  <c r="Z293" i="44"/>
  <c r="AA293" i="44"/>
  <c r="AB293" i="44"/>
  <c r="AC293" i="44"/>
  <c r="AD293" i="44"/>
  <c r="AE293" i="44"/>
  <c r="AF293" i="44"/>
  <c r="AG293" i="44"/>
  <c r="AH293" i="44"/>
  <c r="E294" i="44"/>
  <c r="F294" i="44"/>
  <c r="G294" i="44"/>
  <c r="H294" i="44"/>
  <c r="I294" i="44"/>
  <c r="J294" i="44"/>
  <c r="K294" i="44"/>
  <c r="L294" i="44"/>
  <c r="M294" i="44"/>
  <c r="N294" i="44"/>
  <c r="O294" i="44"/>
  <c r="P294" i="44"/>
  <c r="Q294" i="44"/>
  <c r="R294" i="44"/>
  <c r="S294" i="44"/>
  <c r="T294" i="44"/>
  <c r="U294" i="44"/>
  <c r="V294" i="44"/>
  <c r="W294" i="44"/>
  <c r="X294" i="44"/>
  <c r="Y294" i="44"/>
  <c r="Z294" i="44"/>
  <c r="AA294" i="44"/>
  <c r="AB294" i="44"/>
  <c r="AC294" i="44"/>
  <c r="AD294" i="44"/>
  <c r="AE294" i="44"/>
  <c r="AF294" i="44"/>
  <c r="AG294" i="44"/>
  <c r="AH294" i="44"/>
  <c r="E295" i="44"/>
  <c r="F295" i="44"/>
  <c r="G295" i="44"/>
  <c r="H295" i="44"/>
  <c r="I295" i="44"/>
  <c r="J295" i="44"/>
  <c r="K295" i="44"/>
  <c r="L295" i="44"/>
  <c r="M295" i="44"/>
  <c r="N295" i="44"/>
  <c r="O295" i="44"/>
  <c r="P295" i="44"/>
  <c r="Q295" i="44"/>
  <c r="R295" i="44"/>
  <c r="S295" i="44"/>
  <c r="T295" i="44"/>
  <c r="U295" i="44"/>
  <c r="V295" i="44"/>
  <c r="W295" i="44"/>
  <c r="X295" i="44"/>
  <c r="Y295" i="44"/>
  <c r="Z295" i="44"/>
  <c r="AA295" i="44"/>
  <c r="AB295" i="44"/>
  <c r="AC295" i="44"/>
  <c r="AD295" i="44"/>
  <c r="AE295" i="44"/>
  <c r="AF295" i="44"/>
  <c r="AG295" i="44"/>
  <c r="AH295" i="44"/>
  <c r="E296" i="44"/>
  <c r="F296" i="44"/>
  <c r="G296" i="44"/>
  <c r="H296" i="44"/>
  <c r="I296" i="44"/>
  <c r="J296" i="44"/>
  <c r="K296" i="44"/>
  <c r="L296" i="44"/>
  <c r="M296" i="44"/>
  <c r="N296" i="44"/>
  <c r="O296" i="44"/>
  <c r="P296" i="44"/>
  <c r="Q296" i="44"/>
  <c r="R296" i="44"/>
  <c r="S296" i="44"/>
  <c r="T296" i="44"/>
  <c r="U296" i="44"/>
  <c r="V296" i="44"/>
  <c r="W296" i="44"/>
  <c r="X296" i="44"/>
  <c r="Y296" i="44"/>
  <c r="Z296" i="44"/>
  <c r="AA296" i="44"/>
  <c r="AB296" i="44"/>
  <c r="AC296" i="44"/>
  <c r="AD296" i="44"/>
  <c r="AE296" i="44"/>
  <c r="AF296" i="44"/>
  <c r="AG296" i="44"/>
  <c r="AH296" i="44"/>
  <c r="E297" i="44"/>
  <c r="F297" i="44"/>
  <c r="G297" i="44"/>
  <c r="H297" i="44"/>
  <c r="I297" i="44"/>
  <c r="J297" i="44"/>
  <c r="K297" i="44"/>
  <c r="L297" i="44"/>
  <c r="M297" i="44"/>
  <c r="N297" i="44"/>
  <c r="O297" i="44"/>
  <c r="P297" i="44"/>
  <c r="Q297" i="44"/>
  <c r="R297" i="44"/>
  <c r="S297" i="44"/>
  <c r="T297" i="44"/>
  <c r="U297" i="44"/>
  <c r="V297" i="44"/>
  <c r="W297" i="44"/>
  <c r="X297" i="44"/>
  <c r="Y297" i="44"/>
  <c r="Z297" i="44"/>
  <c r="AA297" i="44"/>
  <c r="AB297" i="44"/>
  <c r="AC297" i="44"/>
  <c r="AD297" i="44"/>
  <c r="AE297" i="44"/>
  <c r="AF297" i="44"/>
  <c r="AG297" i="44"/>
  <c r="AH297" i="44"/>
  <c r="CO18" i="23"/>
  <c r="CP18" i="23"/>
  <c r="CQ18" i="23"/>
  <c r="CR18" i="23"/>
  <c r="CS18" i="23"/>
  <c r="CT18" i="23"/>
  <c r="CO19" i="23"/>
  <c r="CP19" i="23"/>
  <c r="CQ19" i="23"/>
  <c r="CR19" i="23"/>
  <c r="CS19" i="23"/>
  <c r="CT19" i="23"/>
  <c r="CO20" i="23"/>
  <c r="CP20" i="23"/>
  <c r="CQ20" i="23"/>
  <c r="CR20" i="23"/>
  <c r="CS20" i="23"/>
  <c r="CT20" i="23"/>
  <c r="CO21" i="23"/>
  <c r="CP21" i="23"/>
  <c r="CQ21" i="23"/>
  <c r="CR21" i="23"/>
  <c r="CS21" i="23"/>
  <c r="CT21" i="23"/>
  <c r="CO22" i="23"/>
  <c r="CP22" i="23"/>
  <c r="CQ22" i="23"/>
  <c r="CR22" i="23"/>
  <c r="CS22" i="23"/>
  <c r="CT22" i="23"/>
  <c r="CO23" i="23"/>
  <c r="CP23" i="23"/>
  <c r="CQ23" i="23"/>
  <c r="CR23" i="23"/>
  <c r="CS23" i="23"/>
  <c r="CT23" i="23"/>
  <c r="CO24" i="23"/>
  <c r="CP24" i="23"/>
  <c r="CQ24" i="23"/>
  <c r="CR24" i="23"/>
  <c r="CS24" i="23"/>
  <c r="CT24" i="23"/>
  <c r="CO25" i="23"/>
  <c r="CP25" i="23"/>
  <c r="CQ25" i="23"/>
  <c r="CR25" i="23"/>
  <c r="CS25" i="23"/>
  <c r="CT25" i="23"/>
  <c r="CO26" i="23"/>
  <c r="CP26" i="23"/>
  <c r="CQ26" i="23"/>
  <c r="CR26" i="23"/>
  <c r="CS26" i="23"/>
  <c r="CT26" i="23"/>
  <c r="CO27" i="23"/>
  <c r="CP27" i="23"/>
  <c r="CQ27" i="23"/>
  <c r="CR27" i="23"/>
  <c r="CS27" i="23"/>
  <c r="CT27" i="23"/>
  <c r="CO28" i="23"/>
  <c r="CP28" i="23"/>
  <c r="CQ28" i="23"/>
  <c r="CR28" i="23"/>
  <c r="CS28" i="23"/>
  <c r="CT28" i="23"/>
  <c r="CO29" i="23"/>
  <c r="CP29" i="23"/>
  <c r="CQ29" i="23"/>
  <c r="CR29" i="23"/>
  <c r="CS29" i="23"/>
  <c r="CT29" i="23"/>
  <c r="CO30" i="23"/>
  <c r="CP30" i="23"/>
  <c r="CQ30" i="23"/>
  <c r="CR30" i="23"/>
  <c r="CS30" i="23"/>
  <c r="CT30" i="23"/>
  <c r="CO31" i="23"/>
  <c r="CP31" i="23"/>
  <c r="CQ31" i="23"/>
  <c r="CR31" i="23"/>
  <c r="CS31" i="23"/>
  <c r="CT31" i="23"/>
  <c r="CO32" i="23"/>
  <c r="CP32" i="23"/>
  <c r="CQ32" i="23"/>
  <c r="CR32" i="23"/>
  <c r="CS32" i="23"/>
  <c r="CT32" i="23"/>
  <c r="CO33" i="23"/>
  <c r="CP33" i="23"/>
  <c r="CQ33" i="23"/>
  <c r="CR33" i="23"/>
  <c r="CS33" i="23"/>
  <c r="CT33" i="23"/>
  <c r="CO34" i="23"/>
  <c r="CP34" i="23"/>
  <c r="CQ34" i="23"/>
  <c r="CR34" i="23"/>
  <c r="CS34" i="23"/>
  <c r="CT34" i="23"/>
  <c r="CO35" i="23"/>
  <c r="CP35" i="23"/>
  <c r="CQ35" i="23"/>
  <c r="CR35" i="23"/>
  <c r="CS35" i="23"/>
  <c r="CT35" i="23"/>
  <c r="JI18" i="37"/>
  <c r="JJ18" i="37"/>
  <c r="JK18" i="37"/>
  <c r="KD18" i="37"/>
  <c r="KG18" i="37"/>
  <c r="JL18" i="37"/>
  <c r="JU18" i="37"/>
  <c r="JY18" i="37"/>
  <c r="JR18" i="37"/>
  <c r="JS18" i="37"/>
  <c r="JX18" i="37"/>
  <c r="JT18" i="37"/>
  <c r="KB18" i="37"/>
  <c r="JO18" i="37"/>
  <c r="JP18" i="37"/>
  <c r="JN18" i="37"/>
  <c r="JQ18" i="37"/>
  <c r="JV18" i="37"/>
  <c r="JM18" i="37"/>
  <c r="JW18" i="37"/>
  <c r="JZ18" i="37"/>
  <c r="KE18" i="37"/>
  <c r="KA18" i="37"/>
  <c r="KC18" i="37"/>
  <c r="JH18" i="37"/>
  <c r="JE18" i="37"/>
  <c r="JF18" i="37"/>
  <c r="JG18" i="37"/>
  <c r="JE19" i="37"/>
  <c r="JF19" i="37"/>
  <c r="JG19" i="37"/>
  <c r="JI19" i="37"/>
  <c r="JJ19" i="37"/>
  <c r="JK19" i="37"/>
  <c r="KD19" i="37"/>
  <c r="KG19" i="37"/>
  <c r="JL19" i="37"/>
  <c r="JU19" i="37"/>
  <c r="JY19" i="37"/>
  <c r="JR19" i="37"/>
  <c r="JS19" i="37"/>
  <c r="JX19" i="37"/>
  <c r="JT19" i="37"/>
  <c r="KB19" i="37"/>
  <c r="JO19" i="37"/>
  <c r="JP19" i="37"/>
  <c r="JN19" i="37"/>
  <c r="JQ19" i="37"/>
  <c r="JV19" i="37"/>
  <c r="JM19" i="37"/>
  <c r="JW19" i="37"/>
  <c r="JZ19" i="37"/>
  <c r="KE19" i="37"/>
  <c r="KA19" i="37"/>
  <c r="KC19" i="37"/>
  <c r="JH19" i="37"/>
  <c r="JE20" i="37"/>
  <c r="JF20" i="37"/>
  <c r="JG20" i="37"/>
  <c r="JI20" i="37"/>
  <c r="JJ20" i="37"/>
  <c r="JK20" i="37"/>
  <c r="KD20" i="37"/>
  <c r="KG20" i="37"/>
  <c r="JL20" i="37"/>
  <c r="JU20" i="37"/>
  <c r="JY20" i="37"/>
  <c r="JR20" i="37"/>
  <c r="JS20" i="37"/>
  <c r="JX20" i="37"/>
  <c r="JT20" i="37"/>
  <c r="KB20" i="37"/>
  <c r="JO20" i="37"/>
  <c r="JP20" i="37"/>
  <c r="JN20" i="37"/>
  <c r="JQ20" i="37"/>
  <c r="JV20" i="37"/>
  <c r="JM20" i="37"/>
  <c r="JW20" i="37"/>
  <c r="JZ20" i="37"/>
  <c r="KE20" i="37"/>
  <c r="KA20" i="37"/>
  <c r="KC20" i="37"/>
  <c r="JH20" i="37"/>
  <c r="JE21" i="37"/>
  <c r="JF21" i="37"/>
  <c r="JG21" i="37"/>
  <c r="JI21" i="37"/>
  <c r="JJ21" i="37"/>
  <c r="JK21" i="37"/>
  <c r="KD21" i="37"/>
  <c r="KG21" i="37"/>
  <c r="JL21" i="37"/>
  <c r="JU21" i="37"/>
  <c r="JY21" i="37"/>
  <c r="JR21" i="37"/>
  <c r="JS21" i="37"/>
  <c r="JX21" i="37"/>
  <c r="JT21" i="37"/>
  <c r="KB21" i="37"/>
  <c r="JO21" i="37"/>
  <c r="JP21" i="37"/>
  <c r="JN21" i="37"/>
  <c r="JQ21" i="37"/>
  <c r="JV21" i="37"/>
  <c r="JM21" i="37"/>
  <c r="JW21" i="37"/>
  <c r="JZ21" i="37"/>
  <c r="KE21" i="37"/>
  <c r="KA21" i="37"/>
  <c r="KC21" i="37"/>
  <c r="JH21" i="37"/>
  <c r="JE22" i="37"/>
  <c r="JF22" i="37"/>
  <c r="JG22" i="37"/>
  <c r="JI22" i="37"/>
  <c r="JJ22" i="37"/>
  <c r="JK22" i="37"/>
  <c r="KD22" i="37"/>
  <c r="KG22" i="37"/>
  <c r="JL22" i="37"/>
  <c r="JU22" i="37"/>
  <c r="JY22" i="37"/>
  <c r="JR22" i="37"/>
  <c r="JS22" i="37"/>
  <c r="JX22" i="37"/>
  <c r="JT22" i="37"/>
  <c r="KB22" i="37"/>
  <c r="JO22" i="37"/>
  <c r="JP22" i="37"/>
  <c r="JN22" i="37"/>
  <c r="JQ22" i="37"/>
  <c r="JV22" i="37"/>
  <c r="JM22" i="37"/>
  <c r="JW22" i="37"/>
  <c r="JZ22" i="37"/>
  <c r="KE22" i="37"/>
  <c r="KA22" i="37"/>
  <c r="KC22" i="37"/>
  <c r="JH22" i="37"/>
  <c r="JE23" i="37"/>
  <c r="JF23" i="37"/>
  <c r="JG23" i="37"/>
  <c r="JI23" i="37"/>
  <c r="JJ23" i="37"/>
  <c r="JK23" i="37"/>
  <c r="KD23" i="37"/>
  <c r="KG23" i="37"/>
  <c r="JL23" i="37"/>
  <c r="JU23" i="37"/>
  <c r="JY23" i="37"/>
  <c r="JR23" i="37"/>
  <c r="JS23" i="37"/>
  <c r="JX23" i="37"/>
  <c r="JT23" i="37"/>
  <c r="KB23" i="37"/>
  <c r="JO23" i="37"/>
  <c r="JP23" i="37"/>
  <c r="JN23" i="37"/>
  <c r="JQ23" i="37"/>
  <c r="JV23" i="37"/>
  <c r="JM23" i="37"/>
  <c r="JW23" i="37"/>
  <c r="JZ23" i="37"/>
  <c r="KE23" i="37"/>
  <c r="KA23" i="37"/>
  <c r="KC23" i="37"/>
  <c r="JH23" i="37"/>
  <c r="JE24" i="37"/>
  <c r="JF24" i="37"/>
  <c r="JG24" i="37"/>
  <c r="JI24" i="37"/>
  <c r="JJ24" i="37"/>
  <c r="JK24" i="37"/>
  <c r="KD24" i="37"/>
  <c r="KG24" i="37"/>
  <c r="JL24" i="37"/>
  <c r="JU24" i="37"/>
  <c r="JY24" i="37"/>
  <c r="JR24" i="37"/>
  <c r="JS24" i="37"/>
  <c r="JX24" i="37"/>
  <c r="JT24" i="37"/>
  <c r="KB24" i="37"/>
  <c r="JO24" i="37"/>
  <c r="JP24" i="37"/>
  <c r="JN24" i="37"/>
  <c r="JQ24" i="37"/>
  <c r="JV24" i="37"/>
  <c r="JM24" i="37"/>
  <c r="JW24" i="37"/>
  <c r="JZ24" i="37"/>
  <c r="KE24" i="37"/>
  <c r="KA24" i="37"/>
  <c r="KC24" i="37"/>
  <c r="JH24" i="37"/>
  <c r="JE25" i="37"/>
  <c r="JF25" i="37"/>
  <c r="JG25" i="37"/>
  <c r="JI25" i="37"/>
  <c r="JJ25" i="37"/>
  <c r="JK25" i="37"/>
  <c r="KD25" i="37"/>
  <c r="KG25" i="37"/>
  <c r="JL25" i="37"/>
  <c r="JU25" i="37"/>
  <c r="JY25" i="37"/>
  <c r="JR25" i="37"/>
  <c r="JS25" i="37"/>
  <c r="JX25" i="37"/>
  <c r="JT25" i="37"/>
  <c r="KB25" i="37"/>
  <c r="JO25" i="37"/>
  <c r="JP25" i="37"/>
  <c r="JN25" i="37"/>
  <c r="JQ25" i="37"/>
  <c r="JV25" i="37"/>
  <c r="JM25" i="37"/>
  <c r="JW25" i="37"/>
  <c r="JZ25" i="37"/>
  <c r="KE25" i="37"/>
  <c r="KA25" i="37"/>
  <c r="KC25" i="37"/>
  <c r="JH25" i="37"/>
  <c r="JE26" i="37"/>
  <c r="JF26" i="37"/>
  <c r="JG26" i="37"/>
  <c r="JI26" i="37"/>
  <c r="JJ26" i="37"/>
  <c r="JK26" i="37"/>
  <c r="KD26" i="37"/>
  <c r="KG26" i="37"/>
  <c r="JL26" i="37"/>
  <c r="JU26" i="37"/>
  <c r="JY26" i="37"/>
  <c r="JR26" i="37"/>
  <c r="JS26" i="37"/>
  <c r="JX26" i="37"/>
  <c r="JT26" i="37"/>
  <c r="KB26" i="37"/>
  <c r="JO26" i="37"/>
  <c r="JP26" i="37"/>
  <c r="JN26" i="37"/>
  <c r="JQ26" i="37"/>
  <c r="JV26" i="37"/>
  <c r="JM26" i="37"/>
  <c r="JW26" i="37"/>
  <c r="JZ26" i="37"/>
  <c r="KE26" i="37"/>
  <c r="KA26" i="37"/>
  <c r="KC26" i="37"/>
  <c r="JH26" i="37"/>
  <c r="JE27" i="37"/>
  <c r="JF27" i="37"/>
  <c r="JG27" i="37"/>
  <c r="JI27" i="37"/>
  <c r="JJ27" i="37"/>
  <c r="JK27" i="37"/>
  <c r="KD27" i="37"/>
  <c r="KG27" i="37"/>
  <c r="JL27" i="37"/>
  <c r="JU27" i="37"/>
  <c r="JY27" i="37"/>
  <c r="JR27" i="37"/>
  <c r="JS27" i="37"/>
  <c r="JX27" i="37"/>
  <c r="JT27" i="37"/>
  <c r="KB27" i="37"/>
  <c r="JO27" i="37"/>
  <c r="JP27" i="37"/>
  <c r="JN27" i="37"/>
  <c r="JQ27" i="37"/>
  <c r="JV27" i="37"/>
  <c r="JM27" i="37"/>
  <c r="JW27" i="37"/>
  <c r="JZ27" i="37"/>
  <c r="KE27" i="37"/>
  <c r="KA27" i="37"/>
  <c r="KC27" i="37"/>
  <c r="JH27" i="37"/>
  <c r="JE28" i="37"/>
  <c r="JF28" i="37"/>
  <c r="JG28" i="37"/>
  <c r="JI28" i="37"/>
  <c r="JJ28" i="37"/>
  <c r="JK28" i="37"/>
  <c r="KD28" i="37"/>
  <c r="KG28" i="37"/>
  <c r="JL28" i="37"/>
  <c r="JU28" i="37"/>
  <c r="JY28" i="37"/>
  <c r="JR28" i="37"/>
  <c r="JS28" i="37"/>
  <c r="JX28" i="37"/>
  <c r="JT28" i="37"/>
  <c r="KB28" i="37"/>
  <c r="JO28" i="37"/>
  <c r="JP28" i="37"/>
  <c r="JN28" i="37"/>
  <c r="JQ28" i="37"/>
  <c r="JV28" i="37"/>
  <c r="JM28" i="37"/>
  <c r="JW28" i="37"/>
  <c r="JZ28" i="37"/>
  <c r="KE28" i="37"/>
  <c r="KA28" i="37"/>
  <c r="KC28" i="37"/>
  <c r="JH28" i="37"/>
  <c r="JE29" i="37"/>
  <c r="JF29" i="37"/>
  <c r="JG29" i="37"/>
  <c r="JI29" i="37"/>
  <c r="JJ29" i="37"/>
  <c r="JK29" i="37"/>
  <c r="KD29" i="37"/>
  <c r="KG29" i="37"/>
  <c r="JL29" i="37"/>
  <c r="JU29" i="37"/>
  <c r="JY29" i="37"/>
  <c r="JR29" i="37"/>
  <c r="JS29" i="37"/>
  <c r="JX29" i="37"/>
  <c r="JT29" i="37"/>
  <c r="KB29" i="37"/>
  <c r="JO29" i="37"/>
  <c r="JP29" i="37"/>
  <c r="JN29" i="37"/>
  <c r="JQ29" i="37"/>
  <c r="JV29" i="37"/>
  <c r="JM29" i="37"/>
  <c r="JW29" i="37"/>
  <c r="JZ29" i="37"/>
  <c r="KE29" i="37"/>
  <c r="KA29" i="37"/>
  <c r="KC29" i="37"/>
  <c r="JH29" i="37"/>
  <c r="JE30" i="37"/>
  <c r="JF30" i="37"/>
  <c r="JG30" i="37"/>
  <c r="JI30" i="37"/>
  <c r="JJ30" i="37"/>
  <c r="JK30" i="37"/>
  <c r="KD30" i="37"/>
  <c r="KG30" i="37"/>
  <c r="JL30" i="37"/>
  <c r="JU30" i="37"/>
  <c r="JY30" i="37"/>
  <c r="JR30" i="37"/>
  <c r="JS30" i="37"/>
  <c r="JX30" i="37"/>
  <c r="JT30" i="37"/>
  <c r="KB30" i="37"/>
  <c r="JO30" i="37"/>
  <c r="JP30" i="37"/>
  <c r="JN30" i="37"/>
  <c r="JQ30" i="37"/>
  <c r="JV30" i="37"/>
  <c r="JM30" i="37"/>
  <c r="JW30" i="37"/>
  <c r="JZ30" i="37"/>
  <c r="KE30" i="37"/>
  <c r="KA30" i="37"/>
  <c r="KC30" i="37"/>
  <c r="JH30" i="37"/>
  <c r="JE31" i="37"/>
  <c r="JF31" i="37"/>
  <c r="JG31" i="37"/>
  <c r="JI31" i="37"/>
  <c r="JJ31" i="37"/>
  <c r="JK31" i="37"/>
  <c r="KD31" i="37"/>
  <c r="KG31" i="37"/>
  <c r="JL31" i="37"/>
  <c r="JU31" i="37"/>
  <c r="JY31" i="37"/>
  <c r="JR31" i="37"/>
  <c r="JS31" i="37"/>
  <c r="JX31" i="37"/>
  <c r="JT31" i="37"/>
  <c r="KB31" i="37"/>
  <c r="JO31" i="37"/>
  <c r="JP31" i="37"/>
  <c r="JN31" i="37"/>
  <c r="JQ31" i="37"/>
  <c r="JV31" i="37"/>
  <c r="JM31" i="37"/>
  <c r="JW31" i="37"/>
  <c r="JZ31" i="37"/>
  <c r="KE31" i="37"/>
  <c r="KA31" i="37"/>
  <c r="KC31" i="37"/>
  <c r="JH31" i="37"/>
  <c r="JE32" i="37"/>
  <c r="JF32" i="37"/>
  <c r="JG32" i="37"/>
  <c r="JI32" i="37"/>
  <c r="JJ32" i="37"/>
  <c r="JK32" i="37"/>
  <c r="KD32" i="37"/>
  <c r="KG32" i="37"/>
  <c r="JL32" i="37"/>
  <c r="JU32" i="37"/>
  <c r="JY32" i="37"/>
  <c r="JR32" i="37"/>
  <c r="JS32" i="37"/>
  <c r="JX32" i="37"/>
  <c r="JT32" i="37"/>
  <c r="KB32" i="37"/>
  <c r="JO32" i="37"/>
  <c r="JP32" i="37"/>
  <c r="JN32" i="37"/>
  <c r="JQ32" i="37"/>
  <c r="JV32" i="37"/>
  <c r="JM32" i="37"/>
  <c r="JW32" i="37"/>
  <c r="JZ32" i="37"/>
  <c r="KE32" i="37"/>
  <c r="KA32" i="37"/>
  <c r="KC32" i="37"/>
  <c r="JH32" i="37"/>
  <c r="JE33" i="37"/>
  <c r="JF33" i="37"/>
  <c r="JG33" i="37"/>
  <c r="JI33" i="37"/>
  <c r="JJ33" i="37"/>
  <c r="JK33" i="37"/>
  <c r="KD33" i="37"/>
  <c r="KG33" i="37"/>
  <c r="JL33" i="37"/>
  <c r="JU33" i="37"/>
  <c r="JY33" i="37"/>
  <c r="JR33" i="37"/>
  <c r="JS33" i="37"/>
  <c r="JX33" i="37"/>
  <c r="JT33" i="37"/>
  <c r="KB33" i="37"/>
  <c r="JO33" i="37"/>
  <c r="JP33" i="37"/>
  <c r="JN33" i="37"/>
  <c r="JQ33" i="37"/>
  <c r="JV33" i="37"/>
  <c r="JM33" i="37"/>
  <c r="JW33" i="37"/>
  <c r="JZ33" i="37"/>
  <c r="KE33" i="37"/>
  <c r="KA33" i="37"/>
  <c r="KC33" i="37"/>
  <c r="JH33" i="37"/>
  <c r="JE34" i="37"/>
  <c r="JF34" i="37"/>
  <c r="JG34" i="37"/>
  <c r="JI34" i="37"/>
  <c r="JJ34" i="37"/>
  <c r="JK34" i="37"/>
  <c r="KD34" i="37"/>
  <c r="KG34" i="37"/>
  <c r="JL34" i="37"/>
  <c r="JU34" i="37"/>
  <c r="JY34" i="37"/>
  <c r="JR34" i="37"/>
  <c r="JS34" i="37"/>
  <c r="JX34" i="37"/>
  <c r="JT34" i="37"/>
  <c r="KB34" i="37"/>
  <c r="JO34" i="37"/>
  <c r="JP34" i="37"/>
  <c r="JN34" i="37"/>
  <c r="JQ34" i="37"/>
  <c r="JV34" i="37"/>
  <c r="JM34" i="37"/>
  <c r="JW34" i="37"/>
  <c r="JZ34" i="37"/>
  <c r="KE34" i="37"/>
  <c r="KA34" i="37"/>
  <c r="KC34" i="37"/>
  <c r="JH34" i="37"/>
  <c r="JE35" i="37"/>
  <c r="JF35" i="37"/>
  <c r="JG35" i="37"/>
  <c r="JI35" i="37"/>
  <c r="JJ35" i="37"/>
  <c r="JK35" i="37"/>
  <c r="KD35" i="37"/>
  <c r="KG35" i="37"/>
  <c r="JL35" i="37"/>
  <c r="JU35" i="37"/>
  <c r="JY35" i="37"/>
  <c r="JR35" i="37"/>
  <c r="JS35" i="37"/>
  <c r="JX35" i="37"/>
  <c r="JT35" i="37"/>
  <c r="KB35" i="37"/>
  <c r="JO35" i="37"/>
  <c r="JP35" i="37"/>
  <c r="JN35" i="37"/>
  <c r="JQ35" i="37"/>
  <c r="JV35" i="37"/>
  <c r="JM35" i="37"/>
  <c r="JW35" i="37"/>
  <c r="JZ35" i="37"/>
  <c r="KE35" i="37"/>
  <c r="KA35" i="37"/>
  <c r="KC35" i="37"/>
  <c r="JH35" i="37"/>
  <c r="JD35" i="37"/>
  <c r="JD34" i="37"/>
  <c r="JD33" i="37"/>
  <c r="JD32" i="37"/>
  <c r="JD31" i="37"/>
  <c r="JD30" i="37"/>
  <c r="JD29" i="37"/>
  <c r="JD28" i="37"/>
  <c r="JD27" i="37"/>
  <c r="JD26" i="37"/>
  <c r="JD25" i="37"/>
  <c r="JD24" i="37"/>
  <c r="JD23" i="37"/>
  <c r="JD22" i="37"/>
  <c r="JD21" i="37"/>
  <c r="JD20" i="37"/>
  <c r="JD19" i="37"/>
  <c r="JD18" i="37"/>
  <c r="JB35" i="37"/>
  <c r="JB34" i="37"/>
  <c r="JB33" i="37"/>
  <c r="JB32" i="37"/>
  <c r="JB31" i="37"/>
  <c r="JB30" i="37"/>
  <c r="JB29" i="37"/>
  <c r="JB28" i="37"/>
  <c r="JB27" i="37"/>
  <c r="JB26" i="37"/>
  <c r="JB25" i="37"/>
  <c r="JB24" i="37"/>
  <c r="JB23" i="37"/>
  <c r="JB22" i="37"/>
  <c r="JB21" i="37"/>
  <c r="JB20" i="37"/>
  <c r="JB19" i="37"/>
  <c r="JB18" i="37"/>
  <c r="IZ35" i="37"/>
  <c r="IZ34" i="37"/>
  <c r="IZ33" i="37"/>
  <c r="IZ32" i="37"/>
  <c r="IZ31" i="37"/>
  <c r="IZ30" i="37"/>
  <c r="IZ29" i="37"/>
  <c r="IZ28" i="37"/>
  <c r="IZ27" i="37"/>
  <c r="IZ26" i="37"/>
  <c r="IZ25" i="37"/>
  <c r="IZ24" i="37"/>
  <c r="IZ23" i="37"/>
  <c r="IZ22" i="37"/>
  <c r="IZ21" i="37"/>
  <c r="IZ20" i="37"/>
  <c r="IZ19" i="37"/>
  <c r="IZ18" i="37"/>
  <c r="BS18" i="44"/>
  <c r="BT18" i="44"/>
  <c r="BU18" i="44"/>
  <c r="BV18" i="44"/>
  <c r="BS19" i="44"/>
  <c r="BT19" i="44"/>
  <c r="BU19" i="44"/>
  <c r="BV19" i="44"/>
  <c r="BS20" i="44"/>
  <c r="BT20" i="44"/>
  <c r="BU20" i="44"/>
  <c r="BV20" i="44"/>
  <c r="BS21" i="44"/>
  <c r="BT21" i="44"/>
  <c r="BU21" i="44"/>
  <c r="BV21" i="44"/>
  <c r="BS22" i="44"/>
  <c r="BT22" i="44"/>
  <c r="BU22" i="44"/>
  <c r="BV22" i="44"/>
  <c r="BS23" i="44"/>
  <c r="BT23" i="44"/>
  <c r="BU23" i="44"/>
  <c r="BV23" i="44"/>
  <c r="BS24" i="44"/>
  <c r="BT24" i="44"/>
  <c r="BU24" i="44"/>
  <c r="BV24" i="44"/>
  <c r="BS25" i="44"/>
  <c r="BT25" i="44"/>
  <c r="BU25" i="44"/>
  <c r="BV25" i="44"/>
  <c r="BS26" i="44"/>
  <c r="BT26" i="44"/>
  <c r="BU26" i="44"/>
  <c r="BV26" i="44"/>
  <c r="BS27" i="44"/>
  <c r="BT27" i="44"/>
  <c r="BU27" i="44"/>
  <c r="BV27" i="44"/>
  <c r="BS28" i="44"/>
  <c r="BT28" i="44"/>
  <c r="BU28" i="44"/>
  <c r="BV28" i="44"/>
  <c r="BS29" i="44"/>
  <c r="BT29" i="44"/>
  <c r="BU29" i="44"/>
  <c r="BV29" i="44"/>
  <c r="BS30" i="44"/>
  <c r="BT30" i="44"/>
  <c r="BU30" i="44"/>
  <c r="BV30" i="44"/>
  <c r="BS31" i="44"/>
  <c r="BT31" i="44"/>
  <c r="BU31" i="44"/>
  <c r="BV31" i="44"/>
  <c r="BS32" i="44"/>
  <c r="BT32" i="44"/>
  <c r="BU32" i="44"/>
  <c r="BV32" i="44"/>
  <c r="BS33" i="44"/>
  <c r="BT33" i="44"/>
  <c r="BU33" i="44"/>
  <c r="BV33" i="44"/>
  <c r="BS34" i="44"/>
  <c r="BT34" i="44"/>
  <c r="BU34" i="44"/>
  <c r="BV34" i="44"/>
  <c r="BS35" i="44"/>
  <c r="BT35" i="44"/>
  <c r="BU35" i="44"/>
  <c r="BV35" i="44"/>
  <c r="BR35" i="44"/>
  <c r="BR34" i="44"/>
  <c r="BR33" i="44"/>
  <c r="BR32" i="44"/>
  <c r="BR31" i="44"/>
  <c r="BR30" i="44"/>
  <c r="BR29" i="44"/>
  <c r="BR28" i="44"/>
  <c r="BR27" i="44"/>
  <c r="BR26" i="44"/>
  <c r="BR25" i="44"/>
  <c r="BR24" i="44"/>
  <c r="BR23" i="44"/>
  <c r="BR22" i="44"/>
  <c r="BR21" i="44"/>
  <c r="BR20" i="44"/>
  <c r="BR19" i="44"/>
  <c r="BR18" i="44"/>
  <c r="BP35" i="44"/>
  <c r="BP34" i="44"/>
  <c r="BP33" i="44"/>
  <c r="BP32" i="44"/>
  <c r="BP31" i="44"/>
  <c r="BP30" i="44"/>
  <c r="BP29" i="44"/>
  <c r="BP28" i="44"/>
  <c r="BP27" i="44"/>
  <c r="BP26" i="44"/>
  <c r="BP25" i="44"/>
  <c r="BP24" i="44"/>
  <c r="BP23" i="44"/>
  <c r="BP22" i="44"/>
  <c r="BP21" i="44"/>
  <c r="BP20" i="44"/>
  <c r="BP19" i="44"/>
  <c r="BP18" i="44"/>
  <c r="BN35" i="44"/>
  <c r="BN34" i="44"/>
  <c r="BN33" i="44"/>
  <c r="BN32" i="44"/>
  <c r="BN31" i="44"/>
  <c r="BN30" i="44"/>
  <c r="BN29" i="44"/>
  <c r="BN28" i="44"/>
  <c r="BN27" i="44"/>
  <c r="BN26" i="44"/>
  <c r="BN25" i="44"/>
  <c r="BN24" i="44"/>
  <c r="BN23" i="44"/>
  <c r="BN22" i="44"/>
  <c r="BN21" i="44"/>
  <c r="BN20" i="44"/>
  <c r="BN19" i="44"/>
  <c r="BN18" i="44"/>
  <c r="DG18" i="30"/>
  <c r="DH18" i="30"/>
  <c r="DI18" i="30"/>
  <c r="DO18" i="30"/>
  <c r="DJ18" i="30"/>
  <c r="DL18" i="30"/>
  <c r="DK18" i="30"/>
  <c r="DM18" i="30"/>
  <c r="DN18" i="30"/>
  <c r="DG19" i="30"/>
  <c r="DH19" i="30"/>
  <c r="DI19" i="30"/>
  <c r="DO19" i="30"/>
  <c r="DJ19" i="30"/>
  <c r="DL19" i="30"/>
  <c r="DK19" i="30"/>
  <c r="DM19" i="30"/>
  <c r="DN19" i="30"/>
  <c r="DG20" i="30"/>
  <c r="DH20" i="30"/>
  <c r="DI20" i="30"/>
  <c r="DO20" i="30"/>
  <c r="DJ20" i="30"/>
  <c r="DL20" i="30"/>
  <c r="DK20" i="30"/>
  <c r="DM20" i="30"/>
  <c r="DN20" i="30"/>
  <c r="DG21" i="30"/>
  <c r="DH21" i="30"/>
  <c r="DI21" i="30"/>
  <c r="DO21" i="30"/>
  <c r="DJ21" i="30"/>
  <c r="DL21" i="30"/>
  <c r="DK21" i="30"/>
  <c r="DM21" i="30"/>
  <c r="DN21" i="30"/>
  <c r="DG22" i="30"/>
  <c r="DH22" i="30"/>
  <c r="DI22" i="30"/>
  <c r="DO22" i="30"/>
  <c r="DJ22" i="30"/>
  <c r="DL22" i="30"/>
  <c r="DK22" i="30"/>
  <c r="DM22" i="30"/>
  <c r="DN22" i="30"/>
  <c r="DG23" i="30"/>
  <c r="DH23" i="30"/>
  <c r="DI23" i="30"/>
  <c r="DO23" i="30"/>
  <c r="DJ23" i="30"/>
  <c r="DL23" i="30"/>
  <c r="DK23" i="30"/>
  <c r="DM23" i="30"/>
  <c r="DN23" i="30"/>
  <c r="DG24" i="30"/>
  <c r="DH24" i="30"/>
  <c r="DI24" i="30"/>
  <c r="DO24" i="30"/>
  <c r="DJ24" i="30"/>
  <c r="DL24" i="30"/>
  <c r="DK24" i="30"/>
  <c r="DM24" i="30"/>
  <c r="DN24" i="30"/>
  <c r="DG25" i="30"/>
  <c r="DH25" i="30"/>
  <c r="DI25" i="30"/>
  <c r="DO25" i="30"/>
  <c r="DJ25" i="30"/>
  <c r="DL25" i="30"/>
  <c r="DK25" i="30"/>
  <c r="DM25" i="30"/>
  <c r="DN25" i="30"/>
  <c r="DG26" i="30"/>
  <c r="DH26" i="30"/>
  <c r="DI26" i="30"/>
  <c r="DO26" i="30"/>
  <c r="DJ26" i="30"/>
  <c r="DL26" i="30"/>
  <c r="DK26" i="30"/>
  <c r="DM26" i="30"/>
  <c r="DN26" i="30"/>
  <c r="DG27" i="30"/>
  <c r="DH27" i="30"/>
  <c r="DI27" i="30"/>
  <c r="DO27" i="30"/>
  <c r="DJ27" i="30"/>
  <c r="DL27" i="30"/>
  <c r="DK27" i="30"/>
  <c r="DM27" i="30"/>
  <c r="DN27" i="30"/>
  <c r="DG28" i="30"/>
  <c r="DH28" i="30"/>
  <c r="DI28" i="30"/>
  <c r="DO28" i="30"/>
  <c r="DJ28" i="30"/>
  <c r="DL28" i="30"/>
  <c r="DK28" i="30"/>
  <c r="DM28" i="30"/>
  <c r="DN28" i="30"/>
  <c r="DG29" i="30"/>
  <c r="DH29" i="30"/>
  <c r="DI29" i="30"/>
  <c r="DO29" i="30"/>
  <c r="DJ29" i="30"/>
  <c r="DL29" i="30"/>
  <c r="DK29" i="30"/>
  <c r="DM29" i="30"/>
  <c r="DN29" i="30"/>
  <c r="DG30" i="30"/>
  <c r="DH30" i="30"/>
  <c r="DI30" i="30"/>
  <c r="DO30" i="30"/>
  <c r="DJ30" i="30"/>
  <c r="DL30" i="30"/>
  <c r="DK30" i="30"/>
  <c r="DM30" i="30"/>
  <c r="DN30" i="30"/>
  <c r="DG31" i="30"/>
  <c r="DH31" i="30"/>
  <c r="DI31" i="30"/>
  <c r="DO31" i="30"/>
  <c r="DJ31" i="30"/>
  <c r="DL31" i="30"/>
  <c r="DK31" i="30"/>
  <c r="DM31" i="30"/>
  <c r="DN31" i="30"/>
  <c r="DG32" i="30"/>
  <c r="DH32" i="30"/>
  <c r="DI32" i="30"/>
  <c r="DO32" i="30"/>
  <c r="DJ32" i="30"/>
  <c r="DL32" i="30"/>
  <c r="DK32" i="30"/>
  <c r="DM32" i="30"/>
  <c r="DN32" i="30"/>
  <c r="DG33" i="30"/>
  <c r="DH33" i="30"/>
  <c r="DI33" i="30"/>
  <c r="DO33" i="30"/>
  <c r="DJ33" i="30"/>
  <c r="DL33" i="30"/>
  <c r="DK33" i="30"/>
  <c r="DM33" i="30"/>
  <c r="DN33" i="30"/>
  <c r="DG34" i="30"/>
  <c r="DH34" i="30"/>
  <c r="DI34" i="30"/>
  <c r="DO34" i="30"/>
  <c r="DJ34" i="30"/>
  <c r="DL34" i="30"/>
  <c r="DK34" i="30"/>
  <c r="DM34" i="30"/>
  <c r="DN34" i="30"/>
  <c r="DG35" i="30"/>
  <c r="DH35" i="30"/>
  <c r="DI35" i="30"/>
  <c r="DO35" i="30"/>
  <c r="DJ35" i="30"/>
  <c r="DL35" i="30"/>
  <c r="DK35" i="30"/>
  <c r="DM35" i="30"/>
  <c r="DN35" i="30"/>
  <c r="DF35" i="30"/>
  <c r="DF34" i="30"/>
  <c r="DF33" i="30"/>
  <c r="DF32" i="30"/>
  <c r="DF31" i="30"/>
  <c r="DF30" i="30"/>
  <c r="DF29" i="30"/>
  <c r="DF28" i="30"/>
  <c r="DF27" i="30"/>
  <c r="DF26" i="30"/>
  <c r="DF25" i="30"/>
  <c r="DF24" i="30"/>
  <c r="DF23" i="30"/>
  <c r="DF22" i="30"/>
  <c r="DF21" i="30"/>
  <c r="DF20" i="30"/>
  <c r="DF19" i="30"/>
  <c r="DF18" i="30"/>
  <c r="DD35" i="30"/>
  <c r="DD34" i="30"/>
  <c r="DD33" i="30"/>
  <c r="DD32" i="30"/>
  <c r="DD31" i="30"/>
  <c r="DD30" i="30"/>
  <c r="DD29" i="30"/>
  <c r="DD28" i="30"/>
  <c r="DD27" i="30"/>
  <c r="DD26" i="30"/>
  <c r="DD25" i="30"/>
  <c r="DD24" i="30"/>
  <c r="DD23" i="30"/>
  <c r="DD22" i="30"/>
  <c r="DD21" i="30"/>
  <c r="DD20" i="30"/>
  <c r="DD19" i="30"/>
  <c r="DD18" i="30"/>
  <c r="DB35" i="30"/>
  <c r="DB34" i="30"/>
  <c r="DB33" i="30"/>
  <c r="DB32" i="30"/>
  <c r="DB31" i="30"/>
  <c r="DB30" i="30"/>
  <c r="DB29" i="30"/>
  <c r="DB28" i="30"/>
  <c r="DB27" i="30"/>
  <c r="DB26" i="30"/>
  <c r="DB25" i="30"/>
  <c r="DB24" i="30"/>
  <c r="DB23" i="30"/>
  <c r="DB22" i="30"/>
  <c r="DB21" i="30"/>
  <c r="DB20" i="30"/>
  <c r="DB19" i="30"/>
  <c r="DB18" i="30"/>
  <c r="CN35" i="23"/>
  <c r="CN34" i="23"/>
  <c r="CN33" i="23"/>
  <c r="CN32" i="23"/>
  <c r="CN31" i="23"/>
  <c r="CN30" i="23"/>
  <c r="CN29" i="23"/>
  <c r="CN28" i="23"/>
  <c r="CN26" i="23"/>
  <c r="CN25" i="23"/>
  <c r="CN24" i="23"/>
  <c r="CN23" i="23"/>
  <c r="CN22" i="23"/>
  <c r="CN21" i="23"/>
  <c r="CN20" i="23"/>
  <c r="CN19" i="23"/>
  <c r="CN18" i="23"/>
  <c r="CL35" i="23"/>
  <c r="CL34" i="23"/>
  <c r="CL33" i="23"/>
  <c r="CL32" i="23"/>
  <c r="CL31" i="23"/>
  <c r="CL30" i="23"/>
  <c r="CL29" i="23"/>
  <c r="CL28" i="23"/>
  <c r="CL27" i="23"/>
  <c r="CL26" i="23"/>
  <c r="CL25" i="23"/>
  <c r="CL24" i="23"/>
  <c r="CL23" i="23"/>
  <c r="CL22" i="23"/>
  <c r="CL21" i="23"/>
  <c r="CL20" i="23"/>
  <c r="CL19" i="23"/>
  <c r="CL18" i="23"/>
  <c r="CJ35" i="23"/>
  <c r="CJ34" i="23"/>
  <c r="CJ33" i="23"/>
  <c r="CJ32" i="23"/>
  <c r="CJ31" i="23"/>
  <c r="CJ30" i="23"/>
  <c r="CJ29" i="23"/>
  <c r="CJ28" i="23"/>
  <c r="CJ27" i="23"/>
  <c r="CJ26" i="23"/>
  <c r="CJ25" i="23"/>
  <c r="CJ24" i="23"/>
  <c r="CJ23" i="23"/>
  <c r="CJ22" i="23"/>
  <c r="CJ21" i="23"/>
  <c r="CJ20" i="23"/>
  <c r="CJ19" i="23"/>
  <c r="CJ18" i="23"/>
  <c r="C43" i="53"/>
  <c r="C27" i="53"/>
  <c r="E22" i="53"/>
  <c r="B46" i="52"/>
  <c r="G26" i="52"/>
  <c r="B26" i="52"/>
  <c r="I23" i="52"/>
  <c r="B47" i="51"/>
  <c r="G25" i="51"/>
  <c r="B25" i="51"/>
  <c r="D21" i="51"/>
  <c r="B51" i="66"/>
  <c r="G26" i="66"/>
  <c r="B26" i="66"/>
  <c r="F22" i="66"/>
  <c r="B82" i="48"/>
  <c r="B54" i="48"/>
  <c r="B26" i="48"/>
  <c r="E21" i="48"/>
  <c r="L19" i="47"/>
  <c r="K22" i="46"/>
  <c r="J22" i="46"/>
  <c r="I22" i="46"/>
  <c r="K21" i="46"/>
  <c r="J21" i="46"/>
  <c r="I21" i="46"/>
  <c r="K20" i="46"/>
  <c r="J20" i="46"/>
  <c r="I20" i="46"/>
  <c r="K19" i="46"/>
  <c r="J19" i="46"/>
  <c r="I19" i="46"/>
  <c r="K18" i="46"/>
  <c r="J18" i="46"/>
  <c r="I18" i="46"/>
  <c r="K17" i="46"/>
  <c r="J17" i="46"/>
  <c r="I17" i="46"/>
  <c r="K16" i="46"/>
  <c r="J16" i="46"/>
  <c r="I16" i="46"/>
  <c r="K15" i="46"/>
  <c r="J15" i="46"/>
  <c r="I15" i="46"/>
  <c r="AD253" i="44"/>
  <c r="AC253" i="44"/>
  <c r="AB253" i="44"/>
  <c r="AA253" i="44"/>
  <c r="Z253" i="44"/>
  <c r="Y253" i="44"/>
  <c r="X253" i="44"/>
  <c r="W253" i="44"/>
  <c r="V253" i="44"/>
  <c r="U253" i="44"/>
  <c r="T253" i="44"/>
  <c r="S253" i="44"/>
  <c r="R253" i="44"/>
  <c r="Q253" i="44"/>
  <c r="P253" i="44"/>
  <c r="O253" i="44"/>
  <c r="N253" i="44"/>
  <c r="M253" i="44"/>
  <c r="L253" i="44"/>
  <c r="K253" i="44"/>
  <c r="J253" i="44"/>
  <c r="I253" i="44"/>
  <c r="H253" i="44"/>
  <c r="G253" i="44"/>
  <c r="AD252" i="44"/>
  <c r="AC252" i="44"/>
  <c r="AB252" i="44"/>
  <c r="AA252" i="44"/>
  <c r="Z252" i="44"/>
  <c r="Y252" i="44"/>
  <c r="X252" i="44"/>
  <c r="W252" i="44"/>
  <c r="V252" i="44"/>
  <c r="U252" i="44"/>
  <c r="T252" i="44"/>
  <c r="S252" i="44"/>
  <c r="R252" i="44"/>
  <c r="Q252" i="44"/>
  <c r="P252" i="44"/>
  <c r="O252" i="44"/>
  <c r="N252" i="44"/>
  <c r="M252" i="44"/>
  <c r="L252" i="44"/>
  <c r="K252" i="44"/>
  <c r="J252" i="44"/>
  <c r="I252" i="44"/>
  <c r="H252" i="44"/>
  <c r="G252" i="44"/>
  <c r="AD251" i="44"/>
  <c r="AC251" i="44"/>
  <c r="AB251" i="44"/>
  <c r="AA251" i="44"/>
  <c r="Z251" i="44"/>
  <c r="Y251" i="44"/>
  <c r="X251" i="44"/>
  <c r="W251" i="44"/>
  <c r="V251" i="44"/>
  <c r="U251" i="44"/>
  <c r="T251" i="44"/>
  <c r="S251" i="44"/>
  <c r="R251" i="44"/>
  <c r="Q251" i="44"/>
  <c r="P251" i="44"/>
  <c r="O251" i="44"/>
  <c r="N251" i="44"/>
  <c r="M251" i="44"/>
  <c r="L251" i="44"/>
  <c r="K251" i="44"/>
  <c r="J251" i="44"/>
  <c r="I251" i="44"/>
  <c r="H251" i="44"/>
  <c r="G251" i="44"/>
  <c r="AD250" i="44"/>
  <c r="AC250" i="44"/>
  <c r="AB250" i="44"/>
  <c r="AA250" i="44"/>
  <c r="Z250" i="44"/>
  <c r="Y250" i="44"/>
  <c r="X250" i="44"/>
  <c r="W250" i="44"/>
  <c r="V250" i="44"/>
  <c r="U250" i="44"/>
  <c r="T250" i="44"/>
  <c r="S250" i="44"/>
  <c r="R250" i="44"/>
  <c r="Q250" i="44"/>
  <c r="P250" i="44"/>
  <c r="O250" i="44"/>
  <c r="N250" i="44"/>
  <c r="M250" i="44"/>
  <c r="L250" i="44"/>
  <c r="K250" i="44"/>
  <c r="J250" i="44"/>
  <c r="I250" i="44"/>
  <c r="H250" i="44"/>
  <c r="G250" i="44"/>
  <c r="AD249" i="44"/>
  <c r="AC249" i="44"/>
  <c r="AB249" i="44"/>
  <c r="AA249" i="44"/>
  <c r="Z249" i="44"/>
  <c r="Y249" i="44"/>
  <c r="X249" i="44"/>
  <c r="W249" i="44"/>
  <c r="V249" i="44"/>
  <c r="U249" i="44"/>
  <c r="T249" i="44"/>
  <c r="S249" i="44"/>
  <c r="R249" i="44"/>
  <c r="Q249" i="44"/>
  <c r="P249" i="44"/>
  <c r="O249" i="44"/>
  <c r="N249" i="44"/>
  <c r="M249" i="44"/>
  <c r="L249" i="44"/>
  <c r="K249" i="44"/>
  <c r="J249" i="44"/>
  <c r="I249" i="44"/>
  <c r="H249" i="44"/>
  <c r="G249" i="44"/>
  <c r="AC205" i="44"/>
  <c r="AC204" i="44"/>
  <c r="AC203" i="44"/>
  <c r="AC202" i="44"/>
  <c r="AC201" i="44"/>
  <c r="AC200" i="44"/>
  <c r="AK196" i="44"/>
  <c r="AJ196" i="44"/>
  <c r="AI196" i="44"/>
  <c r="AH196" i="44"/>
  <c r="AG196" i="44"/>
  <c r="AF196" i="44"/>
  <c r="AE196" i="44"/>
  <c r="AD196" i="44"/>
  <c r="AC196" i="44"/>
  <c r="AB196" i="44"/>
  <c r="AA196" i="44"/>
  <c r="Z196" i="44"/>
  <c r="Y196" i="44"/>
  <c r="X196" i="44"/>
  <c r="W196" i="44"/>
  <c r="V196" i="44"/>
  <c r="U196" i="44"/>
  <c r="T196" i="44"/>
  <c r="S196" i="44"/>
  <c r="R196" i="44"/>
  <c r="Q196" i="44"/>
  <c r="P196" i="44"/>
  <c r="O196" i="44"/>
  <c r="N196" i="44"/>
  <c r="M196" i="44"/>
  <c r="L196" i="44"/>
  <c r="K196" i="44"/>
  <c r="J196" i="44"/>
  <c r="I196" i="44"/>
  <c r="H196" i="44"/>
  <c r="G196" i="44"/>
  <c r="F196" i="44"/>
  <c r="AK195" i="44"/>
  <c r="AJ195" i="44"/>
  <c r="AI195" i="44"/>
  <c r="AH195" i="44"/>
  <c r="AG195" i="44"/>
  <c r="AF195" i="44"/>
  <c r="AE195" i="44"/>
  <c r="AD195" i="44"/>
  <c r="AC195" i="44"/>
  <c r="AB195" i="44"/>
  <c r="AA195" i="44"/>
  <c r="Z195" i="44"/>
  <c r="Y195" i="44"/>
  <c r="X195" i="44"/>
  <c r="W195" i="44"/>
  <c r="V195" i="44"/>
  <c r="U195" i="44"/>
  <c r="T195" i="44"/>
  <c r="S195" i="44"/>
  <c r="R195" i="44"/>
  <c r="Q195" i="44"/>
  <c r="P195" i="44"/>
  <c r="O195" i="44"/>
  <c r="N195" i="44"/>
  <c r="M195" i="44"/>
  <c r="L195" i="44"/>
  <c r="K195" i="44"/>
  <c r="J195" i="44"/>
  <c r="I195" i="44"/>
  <c r="H195" i="44"/>
  <c r="G195" i="44"/>
  <c r="F195" i="44"/>
  <c r="AK194" i="44"/>
  <c r="AJ194" i="44"/>
  <c r="AI194" i="44"/>
  <c r="AH194" i="44"/>
  <c r="AG194" i="44"/>
  <c r="AF194" i="44"/>
  <c r="AE194" i="44"/>
  <c r="AD194" i="44"/>
  <c r="AC194" i="44"/>
  <c r="AB194" i="44"/>
  <c r="AA194" i="44"/>
  <c r="Z194" i="44"/>
  <c r="Y194" i="44"/>
  <c r="X194" i="44"/>
  <c r="W194" i="44"/>
  <c r="V194" i="44"/>
  <c r="U194" i="44"/>
  <c r="T194" i="44"/>
  <c r="S194" i="44"/>
  <c r="R194" i="44"/>
  <c r="Q194" i="44"/>
  <c r="P194" i="44"/>
  <c r="O194" i="44"/>
  <c r="N194" i="44"/>
  <c r="M194" i="44"/>
  <c r="L194" i="44"/>
  <c r="K194" i="44"/>
  <c r="J194" i="44"/>
  <c r="I194" i="44"/>
  <c r="H194" i="44"/>
  <c r="G194" i="44"/>
  <c r="F194" i="44"/>
  <c r="AK193" i="44"/>
  <c r="AJ193" i="44"/>
  <c r="AI193" i="44"/>
  <c r="AH193" i="44"/>
  <c r="AG193" i="44"/>
  <c r="AF193" i="44"/>
  <c r="AE193" i="44"/>
  <c r="AD193" i="44"/>
  <c r="AC193" i="44"/>
  <c r="AB193" i="44"/>
  <c r="AA193" i="44"/>
  <c r="Z193" i="44"/>
  <c r="Y193" i="44"/>
  <c r="X193" i="44"/>
  <c r="W193" i="44"/>
  <c r="V193" i="44"/>
  <c r="U193" i="44"/>
  <c r="T193" i="44"/>
  <c r="S193" i="44"/>
  <c r="R193" i="44"/>
  <c r="Q193" i="44"/>
  <c r="P193" i="44"/>
  <c r="O193" i="44"/>
  <c r="N193" i="44"/>
  <c r="M193" i="44"/>
  <c r="L193" i="44"/>
  <c r="K193" i="44"/>
  <c r="J193" i="44"/>
  <c r="I193" i="44"/>
  <c r="H193" i="44"/>
  <c r="G193" i="44"/>
  <c r="F193" i="44"/>
  <c r="AK192" i="44"/>
  <c r="AJ192" i="44"/>
  <c r="AI192" i="44"/>
  <c r="AH192" i="44"/>
  <c r="AG192" i="44"/>
  <c r="AF192" i="44"/>
  <c r="AE192" i="44"/>
  <c r="AD192" i="44"/>
  <c r="AC192" i="44"/>
  <c r="AB192" i="44"/>
  <c r="AA192" i="44"/>
  <c r="Z192" i="44"/>
  <c r="Y192" i="44"/>
  <c r="X192" i="44"/>
  <c r="W192" i="44"/>
  <c r="V192" i="44"/>
  <c r="U192" i="44"/>
  <c r="T192" i="44"/>
  <c r="S192" i="44"/>
  <c r="R192" i="44"/>
  <c r="Q192" i="44"/>
  <c r="P192" i="44"/>
  <c r="O192" i="44"/>
  <c r="N192" i="44"/>
  <c r="M192" i="44"/>
  <c r="L192" i="44"/>
  <c r="K192" i="44"/>
  <c r="J192" i="44"/>
  <c r="I192" i="44"/>
  <c r="H192" i="44"/>
  <c r="G192" i="44"/>
  <c r="F192" i="44"/>
  <c r="AK191" i="44"/>
  <c r="AJ191" i="44"/>
  <c r="AI191" i="44"/>
  <c r="AH191" i="44"/>
  <c r="AG191" i="44"/>
  <c r="AF191" i="44"/>
  <c r="AE191" i="44"/>
  <c r="AD191" i="44"/>
  <c r="AC191" i="44"/>
  <c r="AB191" i="44"/>
  <c r="AA191" i="44"/>
  <c r="Z191" i="44"/>
  <c r="Y191" i="44"/>
  <c r="X191" i="44"/>
  <c r="W191" i="44"/>
  <c r="V191" i="44"/>
  <c r="U191" i="44"/>
  <c r="T191" i="44"/>
  <c r="S191" i="44"/>
  <c r="R191" i="44"/>
  <c r="Q191" i="44"/>
  <c r="P191" i="44"/>
  <c r="O191" i="44"/>
  <c r="N191" i="44"/>
  <c r="M191" i="44"/>
  <c r="L191" i="44"/>
  <c r="K191" i="44"/>
  <c r="J191" i="44"/>
  <c r="I191" i="44"/>
  <c r="H191" i="44"/>
  <c r="G191" i="44"/>
  <c r="F191" i="44"/>
  <c r="U184" i="44"/>
  <c r="T184" i="44"/>
  <c r="S184" i="44"/>
  <c r="R184" i="44"/>
  <c r="Q184" i="44"/>
  <c r="P184" i="44"/>
  <c r="O184" i="44"/>
  <c r="N184" i="44"/>
  <c r="M184" i="44"/>
  <c r="L184" i="44"/>
  <c r="K184" i="44"/>
  <c r="J184" i="44"/>
  <c r="I184" i="44"/>
  <c r="H184" i="44"/>
  <c r="G184" i="44"/>
  <c r="F184" i="44"/>
  <c r="U183" i="44"/>
  <c r="T183" i="44"/>
  <c r="S183" i="44"/>
  <c r="R183" i="44"/>
  <c r="Q183" i="44"/>
  <c r="P183" i="44"/>
  <c r="O183" i="44"/>
  <c r="N183" i="44"/>
  <c r="M183" i="44"/>
  <c r="L183" i="44"/>
  <c r="K183" i="44"/>
  <c r="J183" i="44"/>
  <c r="I183" i="44"/>
  <c r="H183" i="44"/>
  <c r="G183" i="44"/>
  <c r="F183" i="44"/>
  <c r="U182" i="44"/>
  <c r="T182" i="44"/>
  <c r="S182" i="44"/>
  <c r="R182" i="44"/>
  <c r="Q182" i="44"/>
  <c r="P182" i="44"/>
  <c r="O182" i="44"/>
  <c r="N182" i="44"/>
  <c r="M182" i="44"/>
  <c r="L182" i="44"/>
  <c r="K182" i="44"/>
  <c r="J182" i="44"/>
  <c r="I182" i="44"/>
  <c r="H182" i="44"/>
  <c r="G182" i="44"/>
  <c r="F182" i="44"/>
  <c r="U181" i="44"/>
  <c r="T181" i="44"/>
  <c r="S181" i="44"/>
  <c r="R181" i="44"/>
  <c r="Q181" i="44"/>
  <c r="P181" i="44"/>
  <c r="O181" i="44"/>
  <c r="N181" i="44"/>
  <c r="M181" i="44"/>
  <c r="L181" i="44"/>
  <c r="K181" i="44"/>
  <c r="J181" i="44"/>
  <c r="I181" i="44"/>
  <c r="H181" i="44"/>
  <c r="G181" i="44"/>
  <c r="F181" i="44"/>
  <c r="U180" i="44"/>
  <c r="T180" i="44"/>
  <c r="S180" i="44"/>
  <c r="R180" i="44"/>
  <c r="Q180" i="44"/>
  <c r="P180" i="44"/>
  <c r="O180" i="44"/>
  <c r="N180" i="44"/>
  <c r="M180" i="44"/>
  <c r="L180" i="44"/>
  <c r="K180" i="44"/>
  <c r="J180" i="44"/>
  <c r="I180" i="44"/>
  <c r="H180" i="44"/>
  <c r="G180" i="44"/>
  <c r="F180" i="44"/>
  <c r="U179" i="44"/>
  <c r="T179" i="44"/>
  <c r="S179" i="44"/>
  <c r="R179" i="44"/>
  <c r="Q179" i="44"/>
  <c r="P179" i="44"/>
  <c r="O179" i="44"/>
  <c r="N179" i="44"/>
  <c r="M179" i="44"/>
  <c r="L179" i="44"/>
  <c r="K179" i="44"/>
  <c r="J179" i="44"/>
  <c r="I179" i="44"/>
  <c r="H179" i="44"/>
  <c r="G179" i="44"/>
  <c r="F179" i="44"/>
  <c r="BM35" i="44"/>
  <c r="BL35" i="44"/>
  <c r="BK35" i="44"/>
  <c r="BJ35" i="44"/>
  <c r="BI35" i="44"/>
  <c r="BG35" i="44"/>
  <c r="BE35" i="44"/>
  <c r="BD35" i="44"/>
  <c r="BC35" i="44"/>
  <c r="BB35" i="44"/>
  <c r="BA35" i="44"/>
  <c r="AZ35" i="44"/>
  <c r="AX35" i="44"/>
  <c r="AV35" i="44"/>
  <c r="AU35" i="44"/>
  <c r="AT35" i="44"/>
  <c r="AS35" i="44"/>
  <c r="AR35" i="44"/>
  <c r="AQ35" i="44"/>
  <c r="AO35" i="44"/>
  <c r="AM35" i="44"/>
  <c r="AL35" i="44"/>
  <c r="AK35" i="44"/>
  <c r="AJ35" i="44"/>
  <c r="AI35" i="44"/>
  <c r="AH35" i="44"/>
  <c r="AG35" i="44"/>
  <c r="AF35" i="44"/>
  <c r="AE35" i="44"/>
  <c r="AD35" i="44"/>
  <c r="AC35" i="44"/>
  <c r="AB35" i="44"/>
  <c r="AA35" i="44"/>
  <c r="Z35" i="44"/>
  <c r="Y35" i="44"/>
  <c r="X35" i="44"/>
  <c r="W35" i="44"/>
  <c r="V35" i="44"/>
  <c r="U35" i="44"/>
  <c r="T35" i="44"/>
  <c r="S35" i="44"/>
  <c r="R35" i="44"/>
  <c r="Q35" i="44"/>
  <c r="P35" i="44"/>
  <c r="O35" i="44"/>
  <c r="N35" i="44"/>
  <c r="M35" i="44"/>
  <c r="L35" i="44"/>
  <c r="K35" i="44"/>
  <c r="J35" i="44"/>
  <c r="I35" i="44"/>
  <c r="H35" i="44"/>
  <c r="G35" i="44"/>
  <c r="F35" i="44"/>
  <c r="E35" i="44"/>
  <c r="D35" i="44"/>
  <c r="BM34" i="44"/>
  <c r="BL34" i="44"/>
  <c r="BK34" i="44"/>
  <c r="BJ34" i="44"/>
  <c r="BI34" i="44"/>
  <c r="BG34" i="44"/>
  <c r="BE34" i="44"/>
  <c r="BD34" i="44"/>
  <c r="BC34" i="44"/>
  <c r="BB34" i="44"/>
  <c r="BA34" i="44"/>
  <c r="AZ34" i="44"/>
  <c r="AX34" i="44"/>
  <c r="AV34" i="44"/>
  <c r="AU34" i="44"/>
  <c r="AT34" i="44"/>
  <c r="AS34" i="44"/>
  <c r="AR34" i="44"/>
  <c r="AQ34" i="44"/>
  <c r="AO34" i="44"/>
  <c r="AM34" i="44"/>
  <c r="AL34" i="44"/>
  <c r="AK34" i="44"/>
  <c r="AJ34" i="44"/>
  <c r="AI34" i="44"/>
  <c r="AH34" i="44"/>
  <c r="AG34" i="44"/>
  <c r="AF34" i="44"/>
  <c r="AE34" i="44"/>
  <c r="AD34" i="44"/>
  <c r="AC34" i="44"/>
  <c r="AB34" i="44"/>
  <c r="AA34" i="44"/>
  <c r="Z34" i="44"/>
  <c r="Y34" i="44"/>
  <c r="X34" i="44"/>
  <c r="W34" i="44"/>
  <c r="V34" i="44"/>
  <c r="U34" i="44"/>
  <c r="T34" i="44"/>
  <c r="S34" i="44"/>
  <c r="R34" i="44"/>
  <c r="Q34" i="44"/>
  <c r="P34" i="44"/>
  <c r="O34" i="44"/>
  <c r="N34" i="44"/>
  <c r="M34" i="44"/>
  <c r="L34" i="44"/>
  <c r="K34" i="44"/>
  <c r="J34" i="44"/>
  <c r="I34" i="44"/>
  <c r="H34" i="44"/>
  <c r="G34" i="44"/>
  <c r="F34" i="44"/>
  <c r="E34" i="44"/>
  <c r="D34" i="44"/>
  <c r="BM33" i="44"/>
  <c r="BL33" i="44"/>
  <c r="BK33" i="44"/>
  <c r="BJ33" i="44"/>
  <c r="BI33" i="44"/>
  <c r="BG33" i="44"/>
  <c r="BE33" i="44"/>
  <c r="BD33" i="44"/>
  <c r="BC33" i="44"/>
  <c r="BB33" i="44"/>
  <c r="BA33" i="44"/>
  <c r="AZ33" i="44"/>
  <c r="AX33" i="44"/>
  <c r="AV33" i="44"/>
  <c r="AU33" i="44"/>
  <c r="AT33" i="44"/>
  <c r="AS33" i="44"/>
  <c r="AR33" i="44"/>
  <c r="AQ33" i="44"/>
  <c r="AO33" i="44"/>
  <c r="AM33" i="44"/>
  <c r="AL33" i="44"/>
  <c r="AK33" i="44"/>
  <c r="AJ33" i="44"/>
  <c r="AI33" i="44"/>
  <c r="AH33" i="44"/>
  <c r="AG33" i="44"/>
  <c r="AF33" i="44"/>
  <c r="AE33" i="44"/>
  <c r="AD33" i="44"/>
  <c r="AC33" i="44"/>
  <c r="AB33" i="44"/>
  <c r="AA33" i="44"/>
  <c r="Z33" i="44"/>
  <c r="Y33" i="44"/>
  <c r="X33" i="44"/>
  <c r="W33" i="44"/>
  <c r="V33" i="44"/>
  <c r="U33" i="44"/>
  <c r="T33" i="44"/>
  <c r="S33" i="44"/>
  <c r="R33" i="44"/>
  <c r="Q33" i="44"/>
  <c r="P33" i="44"/>
  <c r="O33" i="44"/>
  <c r="N33" i="44"/>
  <c r="M33" i="44"/>
  <c r="L33" i="44"/>
  <c r="K33" i="44"/>
  <c r="J33" i="44"/>
  <c r="I33" i="44"/>
  <c r="H33" i="44"/>
  <c r="G33" i="44"/>
  <c r="F33" i="44"/>
  <c r="E33" i="44"/>
  <c r="D33" i="44"/>
  <c r="BM32" i="44"/>
  <c r="BL32" i="44"/>
  <c r="BK32" i="44"/>
  <c r="BJ32" i="44"/>
  <c r="BI32" i="44"/>
  <c r="BG32" i="44"/>
  <c r="BE32" i="44"/>
  <c r="BD32" i="44"/>
  <c r="BC32" i="44"/>
  <c r="BB32" i="44"/>
  <c r="BA32" i="44"/>
  <c r="AZ32" i="44"/>
  <c r="AX32" i="44"/>
  <c r="AV32" i="44"/>
  <c r="AU32" i="44"/>
  <c r="AT32" i="44"/>
  <c r="AS32" i="44"/>
  <c r="AR32" i="44"/>
  <c r="AQ32" i="44"/>
  <c r="AO32" i="44"/>
  <c r="AM32" i="44"/>
  <c r="AL32" i="44"/>
  <c r="AK32" i="44"/>
  <c r="AJ32" i="44"/>
  <c r="AI32" i="44"/>
  <c r="AH32" i="44"/>
  <c r="AG32" i="44"/>
  <c r="AF32" i="44"/>
  <c r="AE32" i="44"/>
  <c r="AD32" i="44"/>
  <c r="AC32" i="44"/>
  <c r="AB32" i="44"/>
  <c r="AA32" i="44"/>
  <c r="Z32" i="44"/>
  <c r="Y32" i="44"/>
  <c r="X32" i="44"/>
  <c r="W32" i="44"/>
  <c r="V32" i="44"/>
  <c r="U32" i="44"/>
  <c r="T32" i="44"/>
  <c r="S32" i="44"/>
  <c r="R32" i="44"/>
  <c r="Q32" i="44"/>
  <c r="P32" i="44"/>
  <c r="O32" i="44"/>
  <c r="N32" i="44"/>
  <c r="M32" i="44"/>
  <c r="L32" i="44"/>
  <c r="K32" i="44"/>
  <c r="J32" i="44"/>
  <c r="I32" i="44"/>
  <c r="H32" i="44"/>
  <c r="G32" i="44"/>
  <c r="F32" i="44"/>
  <c r="E32" i="44"/>
  <c r="D32" i="44"/>
  <c r="BM31" i="44"/>
  <c r="BL31" i="44"/>
  <c r="BK31" i="44"/>
  <c r="BJ31" i="44"/>
  <c r="BI31" i="44"/>
  <c r="BG31" i="44"/>
  <c r="BE31" i="44"/>
  <c r="BD31" i="44"/>
  <c r="BC31" i="44"/>
  <c r="BB31" i="44"/>
  <c r="BA31" i="44"/>
  <c r="AZ31" i="44"/>
  <c r="AX31" i="44"/>
  <c r="AV31" i="44"/>
  <c r="AU31" i="44"/>
  <c r="AT31" i="44"/>
  <c r="AS31" i="44"/>
  <c r="AR31" i="44"/>
  <c r="AQ31" i="44"/>
  <c r="AO31" i="44"/>
  <c r="AM31" i="44"/>
  <c r="AL31" i="44"/>
  <c r="AK31" i="44"/>
  <c r="AJ31" i="44"/>
  <c r="AI31" i="44"/>
  <c r="AH31" i="44"/>
  <c r="AG31" i="44"/>
  <c r="AF31" i="44"/>
  <c r="AE31" i="44"/>
  <c r="AD31" i="44"/>
  <c r="AC31" i="44"/>
  <c r="AB31" i="44"/>
  <c r="AA31" i="44"/>
  <c r="Z31" i="44"/>
  <c r="Y31" i="44"/>
  <c r="X31" i="44"/>
  <c r="W31" i="44"/>
  <c r="V31" i="44"/>
  <c r="U31" i="44"/>
  <c r="T31" i="44"/>
  <c r="S31" i="44"/>
  <c r="R31" i="44"/>
  <c r="Q31" i="44"/>
  <c r="P31" i="44"/>
  <c r="O31" i="44"/>
  <c r="N31" i="44"/>
  <c r="M31" i="44"/>
  <c r="L31" i="44"/>
  <c r="K31" i="44"/>
  <c r="J31" i="44"/>
  <c r="I31" i="44"/>
  <c r="H31" i="44"/>
  <c r="G31" i="44"/>
  <c r="F31" i="44"/>
  <c r="E31" i="44"/>
  <c r="D31" i="44"/>
  <c r="BM30" i="44"/>
  <c r="BL30" i="44"/>
  <c r="BK30" i="44"/>
  <c r="BJ30" i="44"/>
  <c r="BI30" i="44"/>
  <c r="BG30" i="44"/>
  <c r="BE30" i="44"/>
  <c r="BD30" i="44"/>
  <c r="BC30" i="44"/>
  <c r="BB30" i="44"/>
  <c r="BA30" i="44"/>
  <c r="AZ30" i="44"/>
  <c r="AX30" i="44"/>
  <c r="AV30" i="44"/>
  <c r="AU30" i="44"/>
  <c r="AT30" i="44"/>
  <c r="AS30" i="44"/>
  <c r="AR30" i="44"/>
  <c r="AQ30" i="44"/>
  <c r="AO30" i="44"/>
  <c r="AM30" i="44"/>
  <c r="AL30" i="44"/>
  <c r="AK30" i="44"/>
  <c r="AJ30" i="44"/>
  <c r="AI30" i="44"/>
  <c r="AH30" i="44"/>
  <c r="AG30" i="44"/>
  <c r="AF30" i="44"/>
  <c r="AE30" i="44"/>
  <c r="AD30" i="44"/>
  <c r="AC30" i="44"/>
  <c r="AB30" i="44"/>
  <c r="AA30" i="44"/>
  <c r="Z30" i="44"/>
  <c r="Y30" i="44"/>
  <c r="X30" i="44"/>
  <c r="W30" i="44"/>
  <c r="V30" i="44"/>
  <c r="U30" i="44"/>
  <c r="T30" i="44"/>
  <c r="S30" i="44"/>
  <c r="R30" i="44"/>
  <c r="Q30" i="44"/>
  <c r="P30" i="44"/>
  <c r="O30" i="44"/>
  <c r="N30" i="44"/>
  <c r="M30" i="44"/>
  <c r="L30" i="44"/>
  <c r="K30" i="44"/>
  <c r="J30" i="44"/>
  <c r="I30" i="44"/>
  <c r="H30" i="44"/>
  <c r="G30" i="44"/>
  <c r="F30" i="44"/>
  <c r="E30" i="44"/>
  <c r="D30" i="44"/>
  <c r="BM29" i="44"/>
  <c r="BL29" i="44"/>
  <c r="BK29" i="44"/>
  <c r="BJ29" i="44"/>
  <c r="BI29" i="44"/>
  <c r="BG29" i="44"/>
  <c r="BE29" i="44"/>
  <c r="BD29" i="44"/>
  <c r="BC29" i="44"/>
  <c r="BB29" i="44"/>
  <c r="BA29" i="44"/>
  <c r="AZ29" i="44"/>
  <c r="AX29" i="44"/>
  <c r="AV29" i="44"/>
  <c r="AU29" i="44"/>
  <c r="AT29" i="44"/>
  <c r="AS29" i="44"/>
  <c r="AR29" i="44"/>
  <c r="AQ29" i="44"/>
  <c r="AO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9" i="44"/>
  <c r="BM28" i="44"/>
  <c r="BL28" i="44"/>
  <c r="BK28" i="44"/>
  <c r="BJ28" i="44"/>
  <c r="BI28" i="44"/>
  <c r="BG28" i="44"/>
  <c r="BE28" i="44"/>
  <c r="BD28" i="44"/>
  <c r="BC28" i="44"/>
  <c r="BB28" i="44"/>
  <c r="BA28" i="44"/>
  <c r="AZ28" i="44"/>
  <c r="AX28" i="44"/>
  <c r="AV28" i="44"/>
  <c r="AU28" i="44"/>
  <c r="AT28" i="44"/>
  <c r="AS28" i="44"/>
  <c r="AR28" i="44"/>
  <c r="AQ28" i="44"/>
  <c r="AO28" i="44"/>
  <c r="AM28" i="44"/>
  <c r="AL28" i="44"/>
  <c r="AK28" i="44"/>
  <c r="AJ28" i="44"/>
  <c r="AI28" i="44"/>
  <c r="AH28" i="44"/>
  <c r="AG28" i="44"/>
  <c r="AF28" i="44"/>
  <c r="AE28" i="44"/>
  <c r="AD28" i="44"/>
  <c r="AC28" i="44"/>
  <c r="AB28" i="44"/>
  <c r="AA28" i="44"/>
  <c r="Z28" i="44"/>
  <c r="Y28" i="44"/>
  <c r="X28" i="44"/>
  <c r="W28" i="44"/>
  <c r="V28" i="44"/>
  <c r="U28" i="44"/>
  <c r="T28" i="44"/>
  <c r="S28" i="44"/>
  <c r="R28" i="44"/>
  <c r="Q28" i="44"/>
  <c r="P28" i="44"/>
  <c r="O28" i="44"/>
  <c r="N28" i="44"/>
  <c r="M28" i="44"/>
  <c r="L28" i="44"/>
  <c r="K28" i="44"/>
  <c r="J28" i="44"/>
  <c r="I28" i="44"/>
  <c r="H28" i="44"/>
  <c r="G28" i="44"/>
  <c r="F28" i="44"/>
  <c r="E28" i="44"/>
  <c r="D28" i="44"/>
  <c r="BM27" i="44"/>
  <c r="BL27" i="44"/>
  <c r="BK27" i="44"/>
  <c r="BJ27" i="44"/>
  <c r="BI27" i="44"/>
  <c r="BG27" i="44"/>
  <c r="BE27" i="44"/>
  <c r="BD27" i="44"/>
  <c r="BC27" i="44"/>
  <c r="BB27" i="44"/>
  <c r="BA27" i="44"/>
  <c r="AZ27" i="44"/>
  <c r="AX27" i="44"/>
  <c r="AV27" i="44"/>
  <c r="AU27" i="44"/>
  <c r="AT27" i="44"/>
  <c r="AS27" i="44"/>
  <c r="AR27" i="44"/>
  <c r="AQ27" i="44"/>
  <c r="AO27" i="44"/>
  <c r="AM27" i="44"/>
  <c r="AL27" i="44"/>
  <c r="AK27" i="44"/>
  <c r="AJ27" i="44"/>
  <c r="AI27" i="44"/>
  <c r="AH27" i="44"/>
  <c r="AG27" i="44"/>
  <c r="AF27" i="44"/>
  <c r="AE27" i="44"/>
  <c r="AD27" i="44"/>
  <c r="AC27" i="44"/>
  <c r="AB27" i="44"/>
  <c r="AA27" i="44"/>
  <c r="Z27" i="44"/>
  <c r="Y27" i="44"/>
  <c r="X27" i="44"/>
  <c r="W27" i="44"/>
  <c r="V27" i="44"/>
  <c r="U27" i="44"/>
  <c r="T27" i="44"/>
  <c r="S27" i="44"/>
  <c r="R27" i="44"/>
  <c r="Q27" i="44"/>
  <c r="P27" i="44"/>
  <c r="O27" i="44"/>
  <c r="N27" i="44"/>
  <c r="M27" i="44"/>
  <c r="L27" i="44"/>
  <c r="K27" i="44"/>
  <c r="J27" i="44"/>
  <c r="I27" i="44"/>
  <c r="H27" i="44"/>
  <c r="G27" i="44"/>
  <c r="F27" i="44"/>
  <c r="E27" i="44"/>
  <c r="D27" i="44"/>
  <c r="BM26" i="44"/>
  <c r="BL26" i="44"/>
  <c r="BK26" i="44"/>
  <c r="BJ26" i="44"/>
  <c r="BI26" i="44"/>
  <c r="BG26" i="44"/>
  <c r="BE26" i="44"/>
  <c r="BD26" i="44"/>
  <c r="BC26" i="44"/>
  <c r="BB26" i="44"/>
  <c r="BA26" i="44"/>
  <c r="AZ26" i="44"/>
  <c r="AX26" i="44"/>
  <c r="AV26" i="44"/>
  <c r="AU26" i="44"/>
  <c r="AT26" i="44"/>
  <c r="AS26" i="44"/>
  <c r="AR26" i="44"/>
  <c r="AQ26" i="44"/>
  <c r="AO26" i="44"/>
  <c r="AM26" i="44"/>
  <c r="AL26" i="44"/>
  <c r="AK26" i="44"/>
  <c r="AJ26" i="44"/>
  <c r="AI26" i="44"/>
  <c r="AH26" i="44"/>
  <c r="AG26" i="44"/>
  <c r="AF26" i="44"/>
  <c r="AE26" i="44"/>
  <c r="AD26" i="44"/>
  <c r="AC26" i="44"/>
  <c r="AB26" i="44"/>
  <c r="AA26" i="44"/>
  <c r="Z26" i="44"/>
  <c r="Y26" i="44"/>
  <c r="X26" i="44"/>
  <c r="W26" i="44"/>
  <c r="V26" i="44"/>
  <c r="U26" i="44"/>
  <c r="T26" i="44"/>
  <c r="S26" i="44"/>
  <c r="R26" i="44"/>
  <c r="Q26" i="44"/>
  <c r="P26" i="44"/>
  <c r="O26" i="44"/>
  <c r="N26" i="44"/>
  <c r="M26" i="44"/>
  <c r="L26" i="44"/>
  <c r="K26" i="44"/>
  <c r="J26" i="44"/>
  <c r="I26" i="44"/>
  <c r="H26" i="44"/>
  <c r="G26" i="44"/>
  <c r="F26" i="44"/>
  <c r="E26" i="44"/>
  <c r="D26" i="44"/>
  <c r="BM25" i="44"/>
  <c r="BL25" i="44"/>
  <c r="BK25" i="44"/>
  <c r="BJ25" i="44"/>
  <c r="BI25" i="44"/>
  <c r="BG25" i="44"/>
  <c r="BE25" i="44"/>
  <c r="BD25" i="44"/>
  <c r="BC25" i="44"/>
  <c r="BB25" i="44"/>
  <c r="BA25" i="44"/>
  <c r="AZ25" i="44"/>
  <c r="AX25" i="44"/>
  <c r="AV25" i="44"/>
  <c r="AU25" i="44"/>
  <c r="AT25" i="44"/>
  <c r="AS25" i="44"/>
  <c r="AR25" i="44"/>
  <c r="AQ25" i="44"/>
  <c r="AO25" i="44"/>
  <c r="AM25" i="44"/>
  <c r="AL25" i="44"/>
  <c r="AK25" i="44"/>
  <c r="AJ25" i="44"/>
  <c r="AI25" i="44"/>
  <c r="AH25" i="44"/>
  <c r="AG25" i="44"/>
  <c r="AF25" i="44"/>
  <c r="AE25" i="44"/>
  <c r="AD25" i="44"/>
  <c r="AC25" i="44"/>
  <c r="AB25" i="44"/>
  <c r="AA25" i="44"/>
  <c r="Z25" i="44"/>
  <c r="Y25" i="44"/>
  <c r="X25" i="44"/>
  <c r="W25" i="44"/>
  <c r="V25" i="44"/>
  <c r="U25" i="44"/>
  <c r="T25" i="44"/>
  <c r="S25" i="44"/>
  <c r="R25" i="44"/>
  <c r="Q25" i="44"/>
  <c r="P25" i="44"/>
  <c r="O25" i="44"/>
  <c r="N25" i="44"/>
  <c r="M25" i="44"/>
  <c r="L25" i="44"/>
  <c r="K25" i="44"/>
  <c r="J25" i="44"/>
  <c r="I25" i="44"/>
  <c r="H25" i="44"/>
  <c r="G25" i="44"/>
  <c r="F25" i="44"/>
  <c r="E25" i="44"/>
  <c r="D25" i="44"/>
  <c r="BM24" i="44"/>
  <c r="BL24" i="44"/>
  <c r="BK24" i="44"/>
  <c r="BJ24" i="44"/>
  <c r="BI24" i="44"/>
  <c r="BG24" i="44"/>
  <c r="BE24" i="44"/>
  <c r="BD24" i="44"/>
  <c r="BC24" i="44"/>
  <c r="BB24" i="44"/>
  <c r="BA24" i="44"/>
  <c r="AZ24" i="44"/>
  <c r="AX24" i="44"/>
  <c r="AV24" i="44"/>
  <c r="AU24" i="44"/>
  <c r="AT24" i="44"/>
  <c r="AS24" i="44"/>
  <c r="AR24" i="44"/>
  <c r="AQ24" i="44"/>
  <c r="AO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O24" i="44"/>
  <c r="N24" i="44"/>
  <c r="M24" i="44"/>
  <c r="L24" i="44"/>
  <c r="K24" i="44"/>
  <c r="J24" i="44"/>
  <c r="I24" i="44"/>
  <c r="H24" i="44"/>
  <c r="G24" i="44"/>
  <c r="F24" i="44"/>
  <c r="E24" i="44"/>
  <c r="D24" i="44"/>
  <c r="BM23" i="44"/>
  <c r="BL23" i="44"/>
  <c r="BK23" i="44"/>
  <c r="BJ23" i="44"/>
  <c r="BI23" i="44"/>
  <c r="BG23" i="44"/>
  <c r="BE23" i="44"/>
  <c r="BD23" i="44"/>
  <c r="BC23" i="44"/>
  <c r="BB23" i="44"/>
  <c r="BA23" i="44"/>
  <c r="AZ23" i="44"/>
  <c r="AX23" i="44"/>
  <c r="AV23" i="44"/>
  <c r="AU23" i="44"/>
  <c r="AT23" i="44"/>
  <c r="AS23" i="44"/>
  <c r="AR23" i="44"/>
  <c r="AQ23" i="44"/>
  <c r="AO23"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BM22" i="44"/>
  <c r="BL22" i="44"/>
  <c r="BK22" i="44"/>
  <c r="BJ22" i="44"/>
  <c r="BI22" i="44"/>
  <c r="BG22" i="44"/>
  <c r="BE22" i="44"/>
  <c r="BD22" i="44"/>
  <c r="BC22" i="44"/>
  <c r="BB22" i="44"/>
  <c r="BA22" i="44"/>
  <c r="AZ22" i="44"/>
  <c r="AX22" i="44"/>
  <c r="AV22" i="44"/>
  <c r="AU22" i="44"/>
  <c r="AT22" i="44"/>
  <c r="AS22" i="44"/>
  <c r="AR22" i="44"/>
  <c r="AQ22" i="44"/>
  <c r="AO22" i="44"/>
  <c r="AM22" i="44"/>
  <c r="AL22" i="44"/>
  <c r="AK22" i="44"/>
  <c r="AJ22" i="44"/>
  <c r="AI22" i="44"/>
  <c r="AH22" i="44"/>
  <c r="AG22" i="44"/>
  <c r="AF22" i="44"/>
  <c r="AE22" i="44"/>
  <c r="AD22" i="44"/>
  <c r="AC22" i="44"/>
  <c r="AB22" i="44"/>
  <c r="AA22" i="44"/>
  <c r="Z22" i="44"/>
  <c r="Y22" i="44"/>
  <c r="X22" i="44"/>
  <c r="W22" i="44"/>
  <c r="V22" i="44"/>
  <c r="U22" i="44"/>
  <c r="T22" i="44"/>
  <c r="S22" i="44"/>
  <c r="R22" i="44"/>
  <c r="Q22" i="44"/>
  <c r="P22" i="44"/>
  <c r="O22" i="44"/>
  <c r="N22" i="44"/>
  <c r="M22" i="44"/>
  <c r="L22" i="44"/>
  <c r="K22" i="44"/>
  <c r="J22" i="44"/>
  <c r="I22" i="44"/>
  <c r="H22" i="44"/>
  <c r="G22" i="44"/>
  <c r="F22" i="44"/>
  <c r="E22" i="44"/>
  <c r="D22" i="44"/>
  <c r="BM21" i="44"/>
  <c r="BL21" i="44"/>
  <c r="BK21" i="44"/>
  <c r="BJ21" i="44"/>
  <c r="BI21" i="44"/>
  <c r="BG21" i="44"/>
  <c r="BE21" i="44"/>
  <c r="BD21" i="44"/>
  <c r="BC21" i="44"/>
  <c r="BB21" i="44"/>
  <c r="BA21" i="44"/>
  <c r="AZ21" i="44"/>
  <c r="AX21" i="44"/>
  <c r="AV21" i="44"/>
  <c r="AU21" i="44"/>
  <c r="AT21" i="44"/>
  <c r="AS21" i="44"/>
  <c r="AR21" i="44"/>
  <c r="AQ21" i="44"/>
  <c r="AO21" i="44"/>
  <c r="AM21" i="44"/>
  <c r="AL21" i="44"/>
  <c r="AK21" i="44"/>
  <c r="AJ21" i="44"/>
  <c r="AI21" i="44"/>
  <c r="AH21" i="44"/>
  <c r="AG21" i="44"/>
  <c r="AF21" i="44"/>
  <c r="AE21" i="44"/>
  <c r="AD21" i="44"/>
  <c r="AC21" i="44"/>
  <c r="AB21" i="44"/>
  <c r="AA21" i="44"/>
  <c r="Z21" i="44"/>
  <c r="Y21" i="44"/>
  <c r="X21" i="44"/>
  <c r="W21" i="44"/>
  <c r="V21" i="44"/>
  <c r="U21" i="44"/>
  <c r="T21" i="44"/>
  <c r="S21" i="44"/>
  <c r="R21" i="44"/>
  <c r="Q21" i="44"/>
  <c r="P21" i="44"/>
  <c r="O21" i="44"/>
  <c r="N21" i="44"/>
  <c r="M21" i="44"/>
  <c r="L21" i="44"/>
  <c r="K21" i="44"/>
  <c r="J21" i="44"/>
  <c r="I21" i="44"/>
  <c r="H21" i="44"/>
  <c r="G21" i="44"/>
  <c r="F21" i="44"/>
  <c r="E21" i="44"/>
  <c r="D21" i="44"/>
  <c r="BM20" i="44"/>
  <c r="BL20" i="44"/>
  <c r="BK20" i="44"/>
  <c r="BJ20" i="44"/>
  <c r="BI20" i="44"/>
  <c r="BG20" i="44"/>
  <c r="BE20" i="44"/>
  <c r="BD20" i="44"/>
  <c r="BC20" i="44"/>
  <c r="BB20" i="44"/>
  <c r="BA20" i="44"/>
  <c r="AZ20" i="44"/>
  <c r="AX20" i="44"/>
  <c r="AV20" i="44"/>
  <c r="AU20" i="44"/>
  <c r="AT20" i="44"/>
  <c r="AS20" i="44"/>
  <c r="AR20" i="44"/>
  <c r="AQ20" i="44"/>
  <c r="AO20" i="44"/>
  <c r="AM20" i="44"/>
  <c r="AL20" i="44"/>
  <c r="AK20" i="44"/>
  <c r="AJ20" i="44"/>
  <c r="AI20" i="44"/>
  <c r="AH20" i="44"/>
  <c r="AG20" i="44"/>
  <c r="AF20" i="44"/>
  <c r="AE20" i="44"/>
  <c r="AD20" i="44"/>
  <c r="AC20" i="44"/>
  <c r="AB20" i="44"/>
  <c r="AA20" i="44"/>
  <c r="Z20" i="44"/>
  <c r="Y20" i="44"/>
  <c r="X20" i="44"/>
  <c r="W20" i="44"/>
  <c r="V20" i="44"/>
  <c r="U20" i="44"/>
  <c r="T20" i="44"/>
  <c r="S20" i="44"/>
  <c r="R20" i="44"/>
  <c r="Q20" i="44"/>
  <c r="P20" i="44"/>
  <c r="O20" i="44"/>
  <c r="N20" i="44"/>
  <c r="M20" i="44"/>
  <c r="L20" i="44"/>
  <c r="K20" i="44"/>
  <c r="J20" i="44"/>
  <c r="I20" i="44"/>
  <c r="H20" i="44"/>
  <c r="G20" i="44"/>
  <c r="F20" i="44"/>
  <c r="E20" i="44"/>
  <c r="D20" i="44"/>
  <c r="BM19" i="44"/>
  <c r="BL19" i="44"/>
  <c r="BK19" i="44"/>
  <c r="BJ19" i="44"/>
  <c r="BI19" i="44"/>
  <c r="BG19" i="44"/>
  <c r="BE19" i="44"/>
  <c r="BD19" i="44"/>
  <c r="BC19" i="44"/>
  <c r="BB19" i="44"/>
  <c r="BA19" i="44"/>
  <c r="AZ19" i="44"/>
  <c r="AX19" i="44"/>
  <c r="AV19" i="44"/>
  <c r="AU19" i="44"/>
  <c r="AT19" i="44"/>
  <c r="AS19" i="44"/>
  <c r="AR19" i="44"/>
  <c r="AQ19" i="44"/>
  <c r="AO19" i="44"/>
  <c r="AM19" i="44"/>
  <c r="AL19" i="44"/>
  <c r="AK19" i="44"/>
  <c r="AJ19" i="44"/>
  <c r="AI19" i="44"/>
  <c r="AH19" i="44"/>
  <c r="AG19" i="44"/>
  <c r="AF19" i="44"/>
  <c r="AE19" i="44"/>
  <c r="AD19" i="44"/>
  <c r="AC19" i="44"/>
  <c r="AB19" i="44"/>
  <c r="AA19" i="44"/>
  <c r="Z19" i="44"/>
  <c r="Y19" i="44"/>
  <c r="X19" i="44"/>
  <c r="W19" i="44"/>
  <c r="V19" i="44"/>
  <c r="U19" i="44"/>
  <c r="T19" i="44"/>
  <c r="S19" i="44"/>
  <c r="R19" i="44"/>
  <c r="Q19" i="44"/>
  <c r="P19" i="44"/>
  <c r="O19" i="44"/>
  <c r="N19" i="44"/>
  <c r="M19" i="44"/>
  <c r="L19" i="44"/>
  <c r="K19" i="44"/>
  <c r="J19" i="44"/>
  <c r="I19" i="44"/>
  <c r="H19" i="44"/>
  <c r="G19" i="44"/>
  <c r="F19" i="44"/>
  <c r="E19" i="44"/>
  <c r="D19" i="44"/>
  <c r="BM18" i="44"/>
  <c r="BL18" i="44"/>
  <c r="BK18" i="44"/>
  <c r="BJ18" i="44"/>
  <c r="BI18" i="44"/>
  <c r="BG18" i="44"/>
  <c r="BE18" i="44"/>
  <c r="BD18" i="44"/>
  <c r="BC18" i="44"/>
  <c r="BB18" i="44"/>
  <c r="BA18" i="44"/>
  <c r="AZ18" i="44"/>
  <c r="AX18" i="44"/>
  <c r="AV18" i="44"/>
  <c r="AU18" i="44"/>
  <c r="AT18" i="44"/>
  <c r="AS18" i="44"/>
  <c r="AR18" i="44"/>
  <c r="AQ18" i="44"/>
  <c r="AO18" i="44"/>
  <c r="AM18" i="44"/>
  <c r="AL18" i="44"/>
  <c r="AK18" i="44"/>
  <c r="AJ18" i="44"/>
  <c r="AI18" i="44"/>
  <c r="AH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AC242" i="37"/>
  <c r="AB242" i="37"/>
  <c r="AA242" i="37"/>
  <c r="Z242" i="37"/>
  <c r="Y242" i="37"/>
  <c r="X242" i="37"/>
  <c r="W242" i="37"/>
  <c r="V242" i="37"/>
  <c r="U242" i="37"/>
  <c r="T242" i="37"/>
  <c r="S242" i="37"/>
  <c r="R242" i="37"/>
  <c r="Q242" i="37"/>
  <c r="P242" i="37"/>
  <c r="O242" i="37"/>
  <c r="N242" i="37"/>
  <c r="M242" i="37"/>
  <c r="L242" i="37"/>
  <c r="K242" i="37"/>
  <c r="J242" i="37"/>
  <c r="I242" i="37"/>
  <c r="H242" i="37"/>
  <c r="G242" i="37"/>
  <c r="F242" i="37"/>
  <c r="AC241" i="37"/>
  <c r="AB241" i="37"/>
  <c r="AA241" i="37"/>
  <c r="Z241" i="37"/>
  <c r="Y241" i="37"/>
  <c r="X241" i="37"/>
  <c r="W241" i="37"/>
  <c r="V241" i="37"/>
  <c r="U241" i="37"/>
  <c r="T241" i="37"/>
  <c r="S241" i="37"/>
  <c r="R241" i="37"/>
  <c r="Q241" i="37"/>
  <c r="P241" i="37"/>
  <c r="O241" i="37"/>
  <c r="N241" i="37"/>
  <c r="M241" i="37"/>
  <c r="L241" i="37"/>
  <c r="K241" i="37"/>
  <c r="J241" i="37"/>
  <c r="I241" i="37"/>
  <c r="H241" i="37"/>
  <c r="G241" i="37"/>
  <c r="F241" i="37"/>
  <c r="AC240" i="37"/>
  <c r="AB240" i="37"/>
  <c r="AA240" i="37"/>
  <c r="Z240" i="37"/>
  <c r="Y240" i="37"/>
  <c r="X240" i="37"/>
  <c r="W240" i="37"/>
  <c r="V240" i="37"/>
  <c r="U240" i="37"/>
  <c r="T240" i="37"/>
  <c r="S240" i="37"/>
  <c r="R240" i="37"/>
  <c r="Q240" i="37"/>
  <c r="P240" i="37"/>
  <c r="O240" i="37"/>
  <c r="N240" i="37"/>
  <c r="M240" i="37"/>
  <c r="L240" i="37"/>
  <c r="K240" i="37"/>
  <c r="J240" i="37"/>
  <c r="I240" i="37"/>
  <c r="H240" i="37"/>
  <c r="G240" i="37"/>
  <c r="F240" i="37"/>
  <c r="AC239" i="37"/>
  <c r="AB239" i="37"/>
  <c r="AA239" i="37"/>
  <c r="Z239" i="37"/>
  <c r="Y239" i="37"/>
  <c r="X239" i="37"/>
  <c r="W239" i="37"/>
  <c r="V239" i="37"/>
  <c r="U239" i="37"/>
  <c r="T239" i="37"/>
  <c r="S239" i="37"/>
  <c r="R239" i="37"/>
  <c r="Q239" i="37"/>
  <c r="P239" i="37"/>
  <c r="O239" i="37"/>
  <c r="N239" i="37"/>
  <c r="M239" i="37"/>
  <c r="L239" i="37"/>
  <c r="K239" i="37"/>
  <c r="J239" i="37"/>
  <c r="I239" i="37"/>
  <c r="H239" i="37"/>
  <c r="G239" i="37"/>
  <c r="F239" i="37"/>
  <c r="AK196" i="37"/>
  <c r="AJ196" i="37"/>
  <c r="AI196" i="37"/>
  <c r="AH196" i="37"/>
  <c r="AG196" i="37"/>
  <c r="AF196" i="37"/>
  <c r="AE196" i="37"/>
  <c r="AD196" i="37"/>
  <c r="AC196" i="37"/>
  <c r="AB196" i="37"/>
  <c r="AA196" i="37"/>
  <c r="Z196" i="37"/>
  <c r="Y196" i="37"/>
  <c r="X196" i="37"/>
  <c r="W196" i="37"/>
  <c r="V196" i="37"/>
  <c r="U196" i="37"/>
  <c r="T196" i="37"/>
  <c r="S196" i="37"/>
  <c r="R196" i="37"/>
  <c r="Q196" i="37"/>
  <c r="P196" i="37"/>
  <c r="O196" i="37"/>
  <c r="N196" i="37"/>
  <c r="M196" i="37"/>
  <c r="L196" i="37"/>
  <c r="K196" i="37"/>
  <c r="J196" i="37"/>
  <c r="I196" i="37"/>
  <c r="H196" i="37"/>
  <c r="G196" i="37"/>
  <c r="F196" i="37"/>
  <c r="AK195" i="37"/>
  <c r="AJ195" i="37"/>
  <c r="AI195" i="37"/>
  <c r="AH195" i="37"/>
  <c r="AG195" i="37"/>
  <c r="AF195" i="37"/>
  <c r="AE195" i="37"/>
  <c r="AD195" i="37"/>
  <c r="AC195" i="37"/>
  <c r="AB195" i="37"/>
  <c r="AA195" i="37"/>
  <c r="Z195" i="37"/>
  <c r="Y195" i="37"/>
  <c r="X195" i="37"/>
  <c r="W195" i="37"/>
  <c r="V195" i="37"/>
  <c r="U195" i="37"/>
  <c r="T195" i="37"/>
  <c r="S195" i="37"/>
  <c r="R195" i="37"/>
  <c r="Q195" i="37"/>
  <c r="P195" i="37"/>
  <c r="O195" i="37"/>
  <c r="N195" i="37"/>
  <c r="M195" i="37"/>
  <c r="L195" i="37"/>
  <c r="K195" i="37"/>
  <c r="J195" i="37"/>
  <c r="I195" i="37"/>
  <c r="H195" i="37"/>
  <c r="G195" i="37"/>
  <c r="F195" i="37"/>
  <c r="AK194" i="37"/>
  <c r="AJ194" i="37"/>
  <c r="AI194" i="37"/>
  <c r="AH194" i="37"/>
  <c r="AG194" i="37"/>
  <c r="AF194" i="37"/>
  <c r="AE194" i="37"/>
  <c r="AD194" i="37"/>
  <c r="AC194" i="37"/>
  <c r="AB194" i="37"/>
  <c r="AA194" i="37"/>
  <c r="Z194" i="37"/>
  <c r="Y194" i="37"/>
  <c r="X194" i="37"/>
  <c r="W194" i="37"/>
  <c r="V194" i="37"/>
  <c r="U194" i="37"/>
  <c r="T194" i="37"/>
  <c r="S194" i="37"/>
  <c r="R194" i="37"/>
  <c r="Q194" i="37"/>
  <c r="P194" i="37"/>
  <c r="O194" i="37"/>
  <c r="N194" i="37"/>
  <c r="M194" i="37"/>
  <c r="L194" i="37"/>
  <c r="K194" i="37"/>
  <c r="J194" i="37"/>
  <c r="I194" i="37"/>
  <c r="H194" i="37"/>
  <c r="G194" i="37"/>
  <c r="F194" i="37"/>
  <c r="AK193" i="37"/>
  <c r="AJ193" i="37"/>
  <c r="AI193" i="37"/>
  <c r="AH193" i="37"/>
  <c r="AG193" i="37"/>
  <c r="AF193" i="37"/>
  <c r="AE193" i="37"/>
  <c r="AD193" i="37"/>
  <c r="AC193" i="37"/>
  <c r="AB193" i="37"/>
  <c r="AA193" i="37"/>
  <c r="Z193" i="37"/>
  <c r="Y193" i="37"/>
  <c r="X193" i="37"/>
  <c r="W193" i="37"/>
  <c r="V193" i="37"/>
  <c r="U193" i="37"/>
  <c r="T193" i="37"/>
  <c r="S193" i="37"/>
  <c r="R193" i="37"/>
  <c r="Q193" i="37"/>
  <c r="P193" i="37"/>
  <c r="O193" i="37"/>
  <c r="N193" i="37"/>
  <c r="M193" i="37"/>
  <c r="L193" i="37"/>
  <c r="K193" i="37"/>
  <c r="J193" i="37"/>
  <c r="I193" i="37"/>
  <c r="H193" i="37"/>
  <c r="G193" i="37"/>
  <c r="F193" i="37"/>
  <c r="AK192" i="37"/>
  <c r="AJ192" i="37"/>
  <c r="AI192" i="37"/>
  <c r="AH192" i="37"/>
  <c r="AG192" i="37"/>
  <c r="AF192" i="37"/>
  <c r="AE192" i="37"/>
  <c r="AD192" i="37"/>
  <c r="AC192" i="37"/>
  <c r="AB192" i="37"/>
  <c r="AA192" i="37"/>
  <c r="Z192" i="37"/>
  <c r="Y192" i="37"/>
  <c r="X192" i="37"/>
  <c r="W192" i="37"/>
  <c r="V192" i="37"/>
  <c r="U192" i="37"/>
  <c r="T192" i="37"/>
  <c r="S192" i="37"/>
  <c r="R192" i="37"/>
  <c r="Q192" i="37"/>
  <c r="P192" i="37"/>
  <c r="O192" i="37"/>
  <c r="N192" i="37"/>
  <c r="M192" i="37"/>
  <c r="L192" i="37"/>
  <c r="K192" i="37"/>
  <c r="J192" i="37"/>
  <c r="I192" i="37"/>
  <c r="H192" i="37"/>
  <c r="G192" i="37"/>
  <c r="F192" i="37"/>
  <c r="AK191" i="37"/>
  <c r="AJ191" i="37"/>
  <c r="AI191" i="37"/>
  <c r="AH191" i="37"/>
  <c r="AG191" i="37"/>
  <c r="AF191" i="37"/>
  <c r="AE191" i="37"/>
  <c r="AD191" i="37"/>
  <c r="AC191" i="37"/>
  <c r="AB191" i="37"/>
  <c r="AA191" i="37"/>
  <c r="Z191" i="37"/>
  <c r="Y191" i="37"/>
  <c r="X191" i="37"/>
  <c r="W191" i="37"/>
  <c r="V191" i="37"/>
  <c r="U191" i="37"/>
  <c r="T191" i="37"/>
  <c r="S191" i="37"/>
  <c r="R191" i="37"/>
  <c r="Q191" i="37"/>
  <c r="P191" i="37"/>
  <c r="O191" i="37"/>
  <c r="N191" i="37"/>
  <c r="M191" i="37"/>
  <c r="L191" i="37"/>
  <c r="K191" i="37"/>
  <c r="J191" i="37"/>
  <c r="I191" i="37"/>
  <c r="H191" i="37"/>
  <c r="G191" i="37"/>
  <c r="F191" i="37"/>
  <c r="U184" i="37"/>
  <c r="T184" i="37"/>
  <c r="S184" i="37"/>
  <c r="R184" i="37"/>
  <c r="Q184" i="37"/>
  <c r="P184" i="37"/>
  <c r="O184" i="37"/>
  <c r="N184" i="37"/>
  <c r="M184" i="37"/>
  <c r="L184" i="37"/>
  <c r="K184" i="37"/>
  <c r="J184" i="37"/>
  <c r="I184" i="37"/>
  <c r="H184" i="37"/>
  <c r="G184" i="37"/>
  <c r="F184" i="37"/>
  <c r="U183" i="37"/>
  <c r="T183" i="37"/>
  <c r="S183" i="37"/>
  <c r="R183" i="37"/>
  <c r="Q183" i="37"/>
  <c r="P183" i="37"/>
  <c r="O183" i="37"/>
  <c r="N183" i="37"/>
  <c r="M183" i="37"/>
  <c r="L183" i="37"/>
  <c r="K183" i="37"/>
  <c r="J183" i="37"/>
  <c r="I183" i="37"/>
  <c r="H183" i="37"/>
  <c r="G183" i="37"/>
  <c r="F183" i="37"/>
  <c r="U182" i="37"/>
  <c r="T182" i="37"/>
  <c r="S182" i="37"/>
  <c r="R182" i="37"/>
  <c r="Q182" i="37"/>
  <c r="P182" i="37"/>
  <c r="O182" i="37"/>
  <c r="N182" i="37"/>
  <c r="M182" i="37"/>
  <c r="L182" i="37"/>
  <c r="K182" i="37"/>
  <c r="J182" i="37"/>
  <c r="I182" i="37"/>
  <c r="H182" i="37"/>
  <c r="G182" i="37"/>
  <c r="F182" i="37"/>
  <c r="U181" i="37"/>
  <c r="T181" i="37"/>
  <c r="S181" i="37"/>
  <c r="R181" i="37"/>
  <c r="Q181" i="37"/>
  <c r="P181" i="37"/>
  <c r="O181" i="37"/>
  <c r="N181" i="37"/>
  <c r="M181" i="37"/>
  <c r="L181" i="37"/>
  <c r="K181" i="37"/>
  <c r="J181" i="37"/>
  <c r="I181" i="37"/>
  <c r="H181" i="37"/>
  <c r="G181" i="37"/>
  <c r="F181" i="37"/>
  <c r="U180" i="37"/>
  <c r="T180" i="37"/>
  <c r="S180" i="37"/>
  <c r="R180" i="37"/>
  <c r="Q180" i="37"/>
  <c r="P180" i="37"/>
  <c r="O180" i="37"/>
  <c r="N180" i="37"/>
  <c r="M180" i="37"/>
  <c r="L180" i="37"/>
  <c r="K180" i="37"/>
  <c r="J180" i="37"/>
  <c r="I180" i="37"/>
  <c r="H180" i="37"/>
  <c r="G180" i="37"/>
  <c r="F180" i="37"/>
  <c r="U179" i="37"/>
  <c r="T179" i="37"/>
  <c r="S179" i="37"/>
  <c r="R179" i="37"/>
  <c r="Q179" i="37"/>
  <c r="P179" i="37"/>
  <c r="O179" i="37"/>
  <c r="N179" i="37"/>
  <c r="M179" i="37"/>
  <c r="L179" i="37"/>
  <c r="K179" i="37"/>
  <c r="J179" i="37"/>
  <c r="I179" i="37"/>
  <c r="H179" i="37"/>
  <c r="G179" i="37"/>
  <c r="F179" i="37"/>
  <c r="IY35" i="37"/>
  <c r="IX35" i="37"/>
  <c r="IW35" i="37"/>
  <c r="IV35" i="37"/>
  <c r="IT35" i="37"/>
  <c r="IS35" i="37"/>
  <c r="IR35" i="37"/>
  <c r="IQ35" i="37"/>
  <c r="IP35" i="37"/>
  <c r="IO35" i="37"/>
  <c r="IN35" i="37"/>
  <c r="IM35" i="37"/>
  <c r="IL35" i="37"/>
  <c r="IK35" i="37"/>
  <c r="IJ35" i="37"/>
  <c r="II35" i="37"/>
  <c r="IH35" i="37"/>
  <c r="IG35" i="37"/>
  <c r="IF35" i="37"/>
  <c r="IE35" i="37"/>
  <c r="ID35" i="37"/>
  <c r="IC35" i="37"/>
  <c r="IB35" i="37"/>
  <c r="IA35" i="37"/>
  <c r="HZ35" i="37"/>
  <c r="HY35" i="37"/>
  <c r="HX35" i="37"/>
  <c r="HW35" i="37"/>
  <c r="HV35" i="37"/>
  <c r="HT35" i="37"/>
  <c r="HR35" i="37"/>
  <c r="HQ35" i="37"/>
  <c r="HO35" i="37"/>
  <c r="HN35" i="37"/>
  <c r="HM35" i="37"/>
  <c r="HL35" i="37"/>
  <c r="HK35" i="37"/>
  <c r="HJ35" i="37"/>
  <c r="HI35" i="37"/>
  <c r="HH35" i="37"/>
  <c r="HG35" i="37"/>
  <c r="HF35" i="37"/>
  <c r="HE35" i="37"/>
  <c r="HD35" i="37"/>
  <c r="HC35" i="37"/>
  <c r="HB35" i="37"/>
  <c r="HA35" i="37"/>
  <c r="GZ35" i="37"/>
  <c r="GX35" i="37"/>
  <c r="GW35" i="37"/>
  <c r="GV35" i="37"/>
  <c r="GU35" i="37"/>
  <c r="GT35" i="37"/>
  <c r="GS35" i="37"/>
  <c r="GR35" i="37"/>
  <c r="GQ35" i="37"/>
  <c r="GP35" i="37"/>
  <c r="GO35" i="37"/>
  <c r="GN35" i="37"/>
  <c r="GL35" i="37"/>
  <c r="GJ35" i="37"/>
  <c r="GI35" i="37"/>
  <c r="GH35" i="37"/>
  <c r="GG35" i="37"/>
  <c r="GF35" i="37"/>
  <c r="GE35" i="37"/>
  <c r="GD35" i="37"/>
  <c r="GC35" i="37"/>
  <c r="GB35" i="37"/>
  <c r="GA35" i="37"/>
  <c r="FZ35" i="37"/>
  <c r="FY35" i="37"/>
  <c r="FX35" i="37"/>
  <c r="FW35" i="37"/>
  <c r="FV35" i="37"/>
  <c r="FU35" i="37"/>
  <c r="FT35" i="37"/>
  <c r="FS35" i="37"/>
  <c r="FR35" i="37"/>
  <c r="FQ35" i="37"/>
  <c r="FP35" i="37"/>
  <c r="FO35" i="37"/>
  <c r="FN35" i="37"/>
  <c r="FM35" i="37"/>
  <c r="FL35" i="37"/>
  <c r="FK35" i="37"/>
  <c r="FJ35" i="37"/>
  <c r="FI35" i="37"/>
  <c r="FH35" i="37"/>
  <c r="FG35" i="37"/>
  <c r="FF35" i="37"/>
  <c r="FD35" i="37"/>
  <c r="FB35" i="37"/>
  <c r="FA35" i="37"/>
  <c r="EZ35" i="37"/>
  <c r="EY35" i="37"/>
  <c r="EX35" i="37"/>
  <c r="EW35" i="37"/>
  <c r="EV35" i="37"/>
  <c r="EU35" i="37"/>
  <c r="ET35" i="37"/>
  <c r="ES35" i="37"/>
  <c r="ER35" i="37"/>
  <c r="EQ35" i="37"/>
  <c r="EP35" i="37"/>
  <c r="EO35" i="37"/>
  <c r="EN35" i="37"/>
  <c r="EM35" i="37"/>
  <c r="EL35" i="37"/>
  <c r="EK35" i="37"/>
  <c r="EJ35" i="37"/>
  <c r="EI35" i="37"/>
  <c r="EH35" i="37"/>
  <c r="EG35" i="37"/>
  <c r="EF35" i="37"/>
  <c r="EE35" i="37"/>
  <c r="ED35" i="37"/>
  <c r="EC35" i="37"/>
  <c r="EB35" i="37"/>
  <c r="EA35" i="37"/>
  <c r="DZ35" i="37"/>
  <c r="DY35" i="37"/>
  <c r="DX35" i="37"/>
  <c r="DW35" i="37"/>
  <c r="DV35" i="37"/>
  <c r="DU35" i="37"/>
  <c r="DT35" i="37"/>
  <c r="DS35" i="37"/>
  <c r="DR35" i="37"/>
  <c r="DQ35" i="37"/>
  <c r="DP35" i="37"/>
  <c r="DO35" i="37"/>
  <c r="DN35" i="37"/>
  <c r="DM35" i="37"/>
  <c r="DL35" i="37"/>
  <c r="DK35" i="37"/>
  <c r="DJ35" i="37"/>
  <c r="DI35" i="37"/>
  <c r="DH35" i="37"/>
  <c r="DG35" i="37"/>
  <c r="DF35" i="37"/>
  <c r="DE35" i="37"/>
  <c r="DD35" i="37"/>
  <c r="DC35" i="37"/>
  <c r="DB35" i="37"/>
  <c r="DA35" i="37"/>
  <c r="CZ35" i="37"/>
  <c r="CY35" i="37"/>
  <c r="CX35" i="37"/>
  <c r="CW35" i="37"/>
  <c r="CV35" i="37"/>
  <c r="CU35" i="37"/>
  <c r="CT35" i="37"/>
  <c r="CS35" i="37"/>
  <c r="CR35" i="37"/>
  <c r="CQ35" i="37"/>
  <c r="CP35" i="37"/>
  <c r="CO35" i="37"/>
  <c r="CN35" i="37"/>
  <c r="CM35" i="37"/>
  <c r="CL35" i="37"/>
  <c r="CK35" i="37"/>
  <c r="CJ35" i="37"/>
  <c r="CI35" i="37"/>
  <c r="CH35" i="37"/>
  <c r="CG35" i="37"/>
  <c r="CF35" i="37"/>
  <c r="CE35" i="37"/>
  <c r="CD35" i="37"/>
  <c r="CC35" i="37"/>
  <c r="CB35" i="37"/>
  <c r="CA35" i="37"/>
  <c r="BZ35" i="37"/>
  <c r="BY35" i="37"/>
  <c r="BX35" i="37"/>
  <c r="BW35" i="37"/>
  <c r="BV35" i="37"/>
  <c r="BU35" i="37"/>
  <c r="BT35" i="37"/>
  <c r="BS35" i="37"/>
  <c r="BR35" i="37"/>
  <c r="BQ35" i="37"/>
  <c r="BP35" i="37"/>
  <c r="BO35" i="37"/>
  <c r="BN35" i="37"/>
  <c r="BM35" i="37"/>
  <c r="BL35" i="37"/>
  <c r="BK35" i="37"/>
  <c r="BJ35" i="37"/>
  <c r="BI35" i="37"/>
  <c r="BH35" i="37"/>
  <c r="BG35" i="37"/>
  <c r="BF35" i="37"/>
  <c r="BE35" i="37"/>
  <c r="BD35" i="37"/>
  <c r="BC35" i="37"/>
  <c r="BB35" i="37"/>
  <c r="BA35" i="37"/>
  <c r="AZ35" i="37"/>
  <c r="AY35" i="37"/>
  <c r="AX35" i="37"/>
  <c r="AW35" i="37"/>
  <c r="AV35" i="37"/>
  <c r="AU35" i="37"/>
  <c r="AT35" i="37"/>
  <c r="AS35" i="37"/>
  <c r="AR35" i="37"/>
  <c r="AQ35" i="37"/>
  <c r="AP35" i="37"/>
  <c r="AO35" i="37"/>
  <c r="AN35" i="37"/>
  <c r="AM35" i="37"/>
  <c r="AL35" i="37"/>
  <c r="AK35" i="37"/>
  <c r="AJ35" i="37"/>
  <c r="AI35" i="37"/>
  <c r="AH35" i="37"/>
  <c r="AG35" i="37"/>
  <c r="AF35" i="37"/>
  <c r="AE35" i="37"/>
  <c r="AD35" i="37"/>
  <c r="AC35" i="37"/>
  <c r="AB35" i="37"/>
  <c r="AA35" i="37"/>
  <c r="Z35" i="37"/>
  <c r="Y35" i="37"/>
  <c r="X35" i="37"/>
  <c r="W35" i="37"/>
  <c r="V35" i="37"/>
  <c r="U35" i="37"/>
  <c r="T35" i="37"/>
  <c r="S35" i="37"/>
  <c r="R35" i="37"/>
  <c r="Q35" i="37"/>
  <c r="P35" i="37"/>
  <c r="O35" i="37"/>
  <c r="N35" i="37"/>
  <c r="M35" i="37"/>
  <c r="L35" i="37"/>
  <c r="K35" i="37"/>
  <c r="J35" i="37"/>
  <c r="I35" i="37"/>
  <c r="H35" i="37"/>
  <c r="G35" i="37"/>
  <c r="F35" i="37"/>
  <c r="E35" i="37"/>
  <c r="D35" i="37"/>
  <c r="IY34" i="37"/>
  <c r="IX34" i="37"/>
  <c r="IW34" i="37"/>
  <c r="IV34" i="37"/>
  <c r="IT34" i="37"/>
  <c r="IS34" i="37"/>
  <c r="IR34" i="37"/>
  <c r="IQ34" i="37"/>
  <c r="IP34" i="37"/>
  <c r="IO34" i="37"/>
  <c r="IN34" i="37"/>
  <c r="IM34" i="37"/>
  <c r="IL34" i="37"/>
  <c r="IK34" i="37"/>
  <c r="IJ34" i="37"/>
  <c r="II34" i="37"/>
  <c r="IH34" i="37"/>
  <c r="IG34" i="37"/>
  <c r="IF34" i="37"/>
  <c r="IE34" i="37"/>
  <c r="ID34" i="37"/>
  <c r="IC34" i="37"/>
  <c r="IB34" i="37"/>
  <c r="IA34" i="37"/>
  <c r="HZ34" i="37"/>
  <c r="HY34" i="37"/>
  <c r="HX34" i="37"/>
  <c r="HW34" i="37"/>
  <c r="HV34" i="37"/>
  <c r="HT34" i="37"/>
  <c r="HR34" i="37"/>
  <c r="HQ34" i="37"/>
  <c r="HO34" i="37"/>
  <c r="HN34" i="37"/>
  <c r="HM34" i="37"/>
  <c r="HL34" i="37"/>
  <c r="HK34" i="37"/>
  <c r="HJ34" i="37"/>
  <c r="HI34" i="37"/>
  <c r="HH34" i="37"/>
  <c r="HG34" i="37"/>
  <c r="HF34" i="37"/>
  <c r="HE34" i="37"/>
  <c r="HD34" i="37"/>
  <c r="HC34" i="37"/>
  <c r="HB34" i="37"/>
  <c r="HA34" i="37"/>
  <c r="GZ34" i="37"/>
  <c r="GX34" i="37"/>
  <c r="GW34" i="37"/>
  <c r="GV34" i="37"/>
  <c r="GU34" i="37"/>
  <c r="GT34" i="37"/>
  <c r="GS34" i="37"/>
  <c r="GR34" i="37"/>
  <c r="GQ34" i="37"/>
  <c r="GP34" i="37"/>
  <c r="GO34" i="37"/>
  <c r="GN34" i="37"/>
  <c r="GL34" i="37"/>
  <c r="GJ34" i="37"/>
  <c r="GI34" i="37"/>
  <c r="GH34" i="37"/>
  <c r="GG34" i="37"/>
  <c r="GF34" i="37"/>
  <c r="GE34" i="37"/>
  <c r="GD34" i="37"/>
  <c r="GC34" i="37"/>
  <c r="GB34" i="37"/>
  <c r="GA34" i="37"/>
  <c r="FZ34" i="37"/>
  <c r="FY34" i="37"/>
  <c r="FX34" i="37"/>
  <c r="FW34" i="37"/>
  <c r="FV34" i="37"/>
  <c r="FU34" i="37"/>
  <c r="FT34" i="37"/>
  <c r="FS34" i="37"/>
  <c r="FR34" i="37"/>
  <c r="FQ34" i="37"/>
  <c r="FP34" i="37"/>
  <c r="FO34" i="37"/>
  <c r="FN34" i="37"/>
  <c r="FM34" i="37"/>
  <c r="FL34" i="37"/>
  <c r="FK34" i="37"/>
  <c r="FJ34" i="37"/>
  <c r="FI34" i="37"/>
  <c r="FH34" i="37"/>
  <c r="FG34" i="37"/>
  <c r="FF34" i="37"/>
  <c r="FD34" i="37"/>
  <c r="FB34" i="37"/>
  <c r="FA34" i="37"/>
  <c r="EZ34" i="37"/>
  <c r="EY34" i="37"/>
  <c r="EX34" i="37"/>
  <c r="EW34" i="37"/>
  <c r="EV34" i="37"/>
  <c r="EU34" i="37"/>
  <c r="ET34" i="37"/>
  <c r="ES34" i="37"/>
  <c r="ER34" i="37"/>
  <c r="EQ34" i="37"/>
  <c r="EP34" i="37"/>
  <c r="EO34" i="37"/>
  <c r="EN34" i="37"/>
  <c r="EM34" i="37"/>
  <c r="EL34" i="37"/>
  <c r="EK34" i="37"/>
  <c r="EJ34" i="37"/>
  <c r="EI34" i="37"/>
  <c r="EH34" i="37"/>
  <c r="EG34" i="37"/>
  <c r="EF34" i="37"/>
  <c r="EE34" i="37"/>
  <c r="ED34" i="37"/>
  <c r="EC34" i="37"/>
  <c r="EB34" i="37"/>
  <c r="EA34" i="37"/>
  <c r="DZ34" i="37"/>
  <c r="DY34" i="37"/>
  <c r="DX34" i="37"/>
  <c r="DW34" i="37"/>
  <c r="DV34" i="37"/>
  <c r="DU34" i="37"/>
  <c r="DT34" i="37"/>
  <c r="DS34" i="37"/>
  <c r="DR34" i="37"/>
  <c r="DQ34" i="37"/>
  <c r="DP34" i="37"/>
  <c r="DO34" i="37"/>
  <c r="DN34" i="37"/>
  <c r="DM34" i="37"/>
  <c r="DL34" i="37"/>
  <c r="DK34" i="37"/>
  <c r="DJ34" i="37"/>
  <c r="DI34" i="37"/>
  <c r="DH34" i="37"/>
  <c r="DG34" i="37"/>
  <c r="DF34" i="37"/>
  <c r="DE34" i="37"/>
  <c r="DD34" i="37"/>
  <c r="DC34" i="37"/>
  <c r="DB34" i="37"/>
  <c r="DA34" i="37"/>
  <c r="CZ34" i="37"/>
  <c r="CY34" i="37"/>
  <c r="CX34" i="37"/>
  <c r="CW34" i="37"/>
  <c r="CV34" i="37"/>
  <c r="CU34" i="37"/>
  <c r="CT34" i="37"/>
  <c r="CS34" i="37"/>
  <c r="CR34" i="37"/>
  <c r="CQ34" i="37"/>
  <c r="CP34" i="37"/>
  <c r="CO34" i="37"/>
  <c r="CN34" i="37"/>
  <c r="CM34" i="37"/>
  <c r="CL34" i="37"/>
  <c r="CK34" i="37"/>
  <c r="CJ34" i="37"/>
  <c r="CI34" i="37"/>
  <c r="CH34" i="37"/>
  <c r="CG34" i="37"/>
  <c r="CF34" i="37"/>
  <c r="CE34" i="37"/>
  <c r="CD34" i="37"/>
  <c r="CC34" i="37"/>
  <c r="CB34" i="37"/>
  <c r="CA34" i="37"/>
  <c r="BZ34" i="37"/>
  <c r="BY34" i="37"/>
  <c r="BX34" i="37"/>
  <c r="BW34" i="37"/>
  <c r="BV34" i="37"/>
  <c r="BU34" i="37"/>
  <c r="BT34" i="37"/>
  <c r="BS34" i="37"/>
  <c r="BR34" i="37"/>
  <c r="BQ34" i="37"/>
  <c r="BP34" i="37"/>
  <c r="BO34" i="37"/>
  <c r="BN34" i="37"/>
  <c r="BM34" i="37"/>
  <c r="BL34" i="37"/>
  <c r="BK34" i="37"/>
  <c r="BJ34" i="37"/>
  <c r="BI34" i="37"/>
  <c r="BH34" i="37"/>
  <c r="BG34" i="37"/>
  <c r="BF34" i="37"/>
  <c r="BE34" i="37"/>
  <c r="BD34" i="37"/>
  <c r="BC34" i="37"/>
  <c r="BB34" i="37"/>
  <c r="BA34" i="37"/>
  <c r="AZ34" i="37"/>
  <c r="AY34" i="37"/>
  <c r="AX34" i="37"/>
  <c r="AW34" i="37"/>
  <c r="AV34" i="37"/>
  <c r="AU34" i="37"/>
  <c r="AT34" i="37"/>
  <c r="AS34" i="37"/>
  <c r="AR34" i="37"/>
  <c r="AQ34" i="37"/>
  <c r="AP34" i="37"/>
  <c r="AO34" i="37"/>
  <c r="AN34" i="37"/>
  <c r="AM34" i="37"/>
  <c r="AL34" i="37"/>
  <c r="AK34" i="37"/>
  <c r="AJ34" i="37"/>
  <c r="AI34" i="37"/>
  <c r="AH34" i="37"/>
  <c r="AG34" i="37"/>
  <c r="AF34" i="37"/>
  <c r="AE34" i="37"/>
  <c r="AD34" i="37"/>
  <c r="AC34" i="37"/>
  <c r="AB34" i="37"/>
  <c r="AA34" i="37"/>
  <c r="Z34" i="37"/>
  <c r="Y34" i="37"/>
  <c r="X34" i="37"/>
  <c r="W34" i="37"/>
  <c r="V34" i="37"/>
  <c r="U34" i="37"/>
  <c r="T34" i="37"/>
  <c r="S34" i="37"/>
  <c r="R34" i="37"/>
  <c r="Q34" i="37"/>
  <c r="P34" i="37"/>
  <c r="O34" i="37"/>
  <c r="N34" i="37"/>
  <c r="M34" i="37"/>
  <c r="L34" i="37"/>
  <c r="K34" i="37"/>
  <c r="J34" i="37"/>
  <c r="I34" i="37"/>
  <c r="H34" i="37"/>
  <c r="G34" i="37"/>
  <c r="F34" i="37"/>
  <c r="E34" i="37"/>
  <c r="D34" i="37"/>
  <c r="IY33" i="37"/>
  <c r="IX33" i="37"/>
  <c r="IW33" i="37"/>
  <c r="IV33" i="37"/>
  <c r="IT33" i="37"/>
  <c r="IS33" i="37"/>
  <c r="IR33" i="37"/>
  <c r="IQ33" i="37"/>
  <c r="IP33" i="37"/>
  <c r="IO33" i="37"/>
  <c r="IN33" i="37"/>
  <c r="IM33" i="37"/>
  <c r="IL33" i="37"/>
  <c r="IK33" i="37"/>
  <c r="IJ33" i="37"/>
  <c r="II33" i="37"/>
  <c r="IH33" i="37"/>
  <c r="IG33" i="37"/>
  <c r="IF33" i="37"/>
  <c r="IE33" i="37"/>
  <c r="ID33" i="37"/>
  <c r="IC33" i="37"/>
  <c r="IB33" i="37"/>
  <c r="IA33" i="37"/>
  <c r="HZ33" i="37"/>
  <c r="HY33" i="37"/>
  <c r="HX33" i="37"/>
  <c r="HW33" i="37"/>
  <c r="HV33" i="37"/>
  <c r="HT33" i="37"/>
  <c r="HR33" i="37"/>
  <c r="HQ33" i="37"/>
  <c r="HO33" i="37"/>
  <c r="HN33" i="37"/>
  <c r="HM33" i="37"/>
  <c r="HL33" i="37"/>
  <c r="HK33" i="37"/>
  <c r="HJ33" i="37"/>
  <c r="HI33" i="37"/>
  <c r="HH33" i="37"/>
  <c r="HG33" i="37"/>
  <c r="HF33" i="37"/>
  <c r="HE33" i="37"/>
  <c r="HD33" i="37"/>
  <c r="HC33" i="37"/>
  <c r="HB33" i="37"/>
  <c r="HA33" i="37"/>
  <c r="GZ33" i="37"/>
  <c r="GX33" i="37"/>
  <c r="GW33" i="37"/>
  <c r="GV33" i="37"/>
  <c r="GU33" i="37"/>
  <c r="GT33" i="37"/>
  <c r="GS33" i="37"/>
  <c r="GR33" i="37"/>
  <c r="GQ33" i="37"/>
  <c r="GP33" i="37"/>
  <c r="GO33" i="37"/>
  <c r="GN33" i="37"/>
  <c r="GL33" i="37"/>
  <c r="GJ33" i="37"/>
  <c r="GI33" i="37"/>
  <c r="GH33" i="37"/>
  <c r="GG33" i="37"/>
  <c r="GF33" i="37"/>
  <c r="GE33" i="37"/>
  <c r="GD33" i="37"/>
  <c r="GC33" i="37"/>
  <c r="GB33" i="37"/>
  <c r="GA33" i="37"/>
  <c r="FZ33" i="37"/>
  <c r="FY33" i="37"/>
  <c r="FX33" i="37"/>
  <c r="FW33" i="37"/>
  <c r="FV33" i="37"/>
  <c r="FU33" i="37"/>
  <c r="FT33" i="37"/>
  <c r="FS33" i="37"/>
  <c r="FR33" i="37"/>
  <c r="FQ33" i="37"/>
  <c r="FP33" i="37"/>
  <c r="FO33" i="37"/>
  <c r="FN33" i="37"/>
  <c r="FM33" i="37"/>
  <c r="FL33" i="37"/>
  <c r="FK33" i="37"/>
  <c r="FJ33" i="37"/>
  <c r="FI33" i="37"/>
  <c r="FH33" i="37"/>
  <c r="FG33" i="37"/>
  <c r="FF33" i="37"/>
  <c r="FD33" i="37"/>
  <c r="FB33" i="37"/>
  <c r="FA33" i="37"/>
  <c r="EZ33" i="37"/>
  <c r="EY33" i="37"/>
  <c r="EX33" i="37"/>
  <c r="EW33" i="37"/>
  <c r="EV33" i="37"/>
  <c r="EU33" i="37"/>
  <c r="ET33" i="37"/>
  <c r="ES33" i="37"/>
  <c r="ER33" i="37"/>
  <c r="EQ33" i="37"/>
  <c r="EP33" i="37"/>
  <c r="EO33" i="37"/>
  <c r="EN33" i="37"/>
  <c r="EM33" i="37"/>
  <c r="EL33" i="37"/>
  <c r="EK33" i="37"/>
  <c r="EJ33" i="37"/>
  <c r="EI33" i="37"/>
  <c r="EH33" i="37"/>
  <c r="EG33" i="37"/>
  <c r="EF33" i="37"/>
  <c r="EE33" i="37"/>
  <c r="ED33" i="37"/>
  <c r="EC33" i="37"/>
  <c r="EB33" i="37"/>
  <c r="EA33" i="37"/>
  <c r="DZ33" i="37"/>
  <c r="DY33" i="37"/>
  <c r="DX33" i="37"/>
  <c r="DW33" i="37"/>
  <c r="DV33" i="37"/>
  <c r="DU33" i="37"/>
  <c r="DT33" i="37"/>
  <c r="DS33" i="37"/>
  <c r="DR33" i="37"/>
  <c r="DQ33" i="37"/>
  <c r="DP33" i="37"/>
  <c r="DO33" i="37"/>
  <c r="DN33" i="37"/>
  <c r="DM33" i="37"/>
  <c r="DL33" i="37"/>
  <c r="DK33" i="37"/>
  <c r="DJ33" i="37"/>
  <c r="DI33" i="37"/>
  <c r="DH33" i="37"/>
  <c r="DG33" i="37"/>
  <c r="DF33" i="37"/>
  <c r="DE33" i="37"/>
  <c r="DD33" i="37"/>
  <c r="DC33" i="37"/>
  <c r="DB33" i="37"/>
  <c r="DA33" i="37"/>
  <c r="CZ33" i="37"/>
  <c r="CY33" i="37"/>
  <c r="CX33" i="37"/>
  <c r="CW33" i="37"/>
  <c r="CV33" i="37"/>
  <c r="CU33" i="37"/>
  <c r="CT33" i="37"/>
  <c r="CS33" i="37"/>
  <c r="CR33" i="37"/>
  <c r="CQ33" i="37"/>
  <c r="CP33" i="37"/>
  <c r="CO33" i="37"/>
  <c r="CN33" i="37"/>
  <c r="CM33" i="37"/>
  <c r="CL33" i="37"/>
  <c r="CK33" i="37"/>
  <c r="CJ33" i="37"/>
  <c r="CI33" i="37"/>
  <c r="CH33" i="37"/>
  <c r="CG33" i="37"/>
  <c r="CF33" i="37"/>
  <c r="CE33" i="37"/>
  <c r="CD33" i="37"/>
  <c r="CC33" i="37"/>
  <c r="CB33" i="37"/>
  <c r="CA33" i="37"/>
  <c r="BZ33" i="37"/>
  <c r="BY33" i="37"/>
  <c r="BX33" i="37"/>
  <c r="BW33" i="37"/>
  <c r="BV33" i="37"/>
  <c r="BU33" i="37"/>
  <c r="BT33" i="37"/>
  <c r="BS33" i="37"/>
  <c r="BR33" i="37"/>
  <c r="BQ33" i="37"/>
  <c r="BP33" i="37"/>
  <c r="BO33" i="37"/>
  <c r="BN33" i="37"/>
  <c r="BM33" i="37"/>
  <c r="BL33" i="37"/>
  <c r="BK33" i="37"/>
  <c r="BJ33" i="37"/>
  <c r="BI33" i="37"/>
  <c r="BH33" i="37"/>
  <c r="BG33" i="37"/>
  <c r="BF33" i="37"/>
  <c r="BE33" i="37"/>
  <c r="BD33" i="37"/>
  <c r="BC33" i="37"/>
  <c r="BB33" i="37"/>
  <c r="BA33" i="37"/>
  <c r="AZ33" i="37"/>
  <c r="AY33" i="37"/>
  <c r="AX33" i="37"/>
  <c r="AW33" i="37"/>
  <c r="AV33" i="37"/>
  <c r="AU33" i="37"/>
  <c r="AT33" i="37"/>
  <c r="AS33" i="37"/>
  <c r="AR33" i="37"/>
  <c r="AQ33" i="37"/>
  <c r="AP33" i="37"/>
  <c r="AO33" i="37"/>
  <c r="AN33" i="37"/>
  <c r="AM33" i="37"/>
  <c r="AL33" i="37"/>
  <c r="AK33" i="37"/>
  <c r="AJ33" i="37"/>
  <c r="AI33" i="37"/>
  <c r="AH33" i="37"/>
  <c r="AG33" i="37"/>
  <c r="AF33" i="37"/>
  <c r="AE33" i="37"/>
  <c r="AD33" i="37"/>
  <c r="AC33" i="37"/>
  <c r="AB33" i="37"/>
  <c r="AA33" i="37"/>
  <c r="Z33" i="37"/>
  <c r="Y33" i="37"/>
  <c r="X33" i="37"/>
  <c r="W33" i="37"/>
  <c r="V33" i="37"/>
  <c r="U33" i="37"/>
  <c r="T33" i="37"/>
  <c r="S33" i="37"/>
  <c r="R33" i="37"/>
  <c r="Q33" i="37"/>
  <c r="P33" i="37"/>
  <c r="O33" i="37"/>
  <c r="N33" i="37"/>
  <c r="M33" i="37"/>
  <c r="L33" i="37"/>
  <c r="K33" i="37"/>
  <c r="J33" i="37"/>
  <c r="I33" i="37"/>
  <c r="H33" i="37"/>
  <c r="G33" i="37"/>
  <c r="F33" i="37"/>
  <c r="E33" i="37"/>
  <c r="D33" i="37"/>
  <c r="IY32" i="37"/>
  <c r="IX32" i="37"/>
  <c r="IW32" i="37"/>
  <c r="IV32" i="37"/>
  <c r="IT32" i="37"/>
  <c r="IS32" i="37"/>
  <c r="IR32" i="37"/>
  <c r="IQ32" i="37"/>
  <c r="IP32" i="37"/>
  <c r="IO32" i="37"/>
  <c r="IN32" i="37"/>
  <c r="IM32" i="37"/>
  <c r="IL32" i="37"/>
  <c r="IK32" i="37"/>
  <c r="IJ32" i="37"/>
  <c r="II32" i="37"/>
  <c r="IH32" i="37"/>
  <c r="IG32" i="37"/>
  <c r="IF32" i="37"/>
  <c r="IE32" i="37"/>
  <c r="ID32" i="37"/>
  <c r="IC32" i="37"/>
  <c r="IB32" i="37"/>
  <c r="IA32" i="37"/>
  <c r="HZ32" i="37"/>
  <c r="HY32" i="37"/>
  <c r="HX32" i="37"/>
  <c r="HW32" i="37"/>
  <c r="HV32" i="37"/>
  <c r="HT32" i="37"/>
  <c r="HR32" i="37"/>
  <c r="HQ32" i="37"/>
  <c r="HO32" i="37"/>
  <c r="HN32" i="37"/>
  <c r="HM32" i="37"/>
  <c r="HL32" i="37"/>
  <c r="HK32" i="37"/>
  <c r="HJ32" i="37"/>
  <c r="HI32" i="37"/>
  <c r="HH32" i="37"/>
  <c r="HG32" i="37"/>
  <c r="HF32" i="37"/>
  <c r="HE32" i="37"/>
  <c r="HD32" i="37"/>
  <c r="HC32" i="37"/>
  <c r="HB32" i="37"/>
  <c r="HA32" i="37"/>
  <c r="GZ32" i="37"/>
  <c r="GX32" i="37"/>
  <c r="GW32" i="37"/>
  <c r="GV32" i="37"/>
  <c r="GU32" i="37"/>
  <c r="GT32" i="37"/>
  <c r="GS32" i="37"/>
  <c r="GR32" i="37"/>
  <c r="GQ32" i="37"/>
  <c r="GP32" i="37"/>
  <c r="GO32" i="37"/>
  <c r="GN32" i="37"/>
  <c r="GL32" i="37"/>
  <c r="GJ32" i="37"/>
  <c r="GI32" i="37"/>
  <c r="GH32" i="37"/>
  <c r="GG32" i="37"/>
  <c r="GF32" i="37"/>
  <c r="GE32" i="37"/>
  <c r="GD32" i="37"/>
  <c r="GC32" i="37"/>
  <c r="GB32" i="37"/>
  <c r="GA32" i="37"/>
  <c r="FZ32" i="37"/>
  <c r="FY32" i="37"/>
  <c r="FX32" i="37"/>
  <c r="FW32" i="37"/>
  <c r="FV32" i="37"/>
  <c r="FU32" i="37"/>
  <c r="FT32" i="37"/>
  <c r="FS32" i="37"/>
  <c r="FR32" i="37"/>
  <c r="FQ32" i="37"/>
  <c r="FP32" i="37"/>
  <c r="FO32" i="37"/>
  <c r="FN32" i="37"/>
  <c r="FM32" i="37"/>
  <c r="FL32" i="37"/>
  <c r="FK32" i="37"/>
  <c r="FJ32" i="37"/>
  <c r="FI32" i="37"/>
  <c r="FH32" i="37"/>
  <c r="FG32" i="37"/>
  <c r="FF32" i="37"/>
  <c r="FD32" i="37"/>
  <c r="FB32" i="37"/>
  <c r="FA32" i="37"/>
  <c r="EZ32" i="37"/>
  <c r="EY32" i="37"/>
  <c r="EX32" i="37"/>
  <c r="EW32" i="37"/>
  <c r="EV32" i="37"/>
  <c r="EU32" i="37"/>
  <c r="ET32" i="37"/>
  <c r="ES32" i="37"/>
  <c r="ER32" i="37"/>
  <c r="EQ32" i="37"/>
  <c r="EP32" i="37"/>
  <c r="EO32" i="37"/>
  <c r="EN32" i="37"/>
  <c r="EM32" i="37"/>
  <c r="EL32" i="37"/>
  <c r="EK32" i="37"/>
  <c r="EJ32" i="37"/>
  <c r="EI32" i="37"/>
  <c r="EH32" i="37"/>
  <c r="EG32" i="37"/>
  <c r="EF32" i="37"/>
  <c r="EE32" i="37"/>
  <c r="ED32" i="37"/>
  <c r="EC32" i="37"/>
  <c r="EB32" i="37"/>
  <c r="EA32" i="37"/>
  <c r="DZ32" i="37"/>
  <c r="DY32" i="37"/>
  <c r="DX32" i="37"/>
  <c r="DW32" i="37"/>
  <c r="DV32" i="37"/>
  <c r="DU32" i="37"/>
  <c r="DT32" i="37"/>
  <c r="DS32" i="37"/>
  <c r="DR32" i="37"/>
  <c r="DQ32" i="37"/>
  <c r="DP32" i="37"/>
  <c r="DO32" i="37"/>
  <c r="DN32" i="37"/>
  <c r="DM32" i="37"/>
  <c r="DL32" i="37"/>
  <c r="DK32" i="37"/>
  <c r="DJ32" i="37"/>
  <c r="DI32" i="37"/>
  <c r="DH32" i="37"/>
  <c r="DG32" i="37"/>
  <c r="DF32" i="37"/>
  <c r="DE32" i="37"/>
  <c r="DD32" i="37"/>
  <c r="DC32" i="37"/>
  <c r="DB32" i="37"/>
  <c r="DA32" i="37"/>
  <c r="CZ32" i="37"/>
  <c r="CY32" i="37"/>
  <c r="CX32" i="37"/>
  <c r="CW32" i="37"/>
  <c r="CV32" i="37"/>
  <c r="CU32" i="37"/>
  <c r="CT32" i="37"/>
  <c r="CS32" i="37"/>
  <c r="CR32" i="37"/>
  <c r="CQ32" i="37"/>
  <c r="CP32" i="37"/>
  <c r="CO32" i="37"/>
  <c r="CN32" i="37"/>
  <c r="CM32" i="37"/>
  <c r="CL32" i="37"/>
  <c r="CK32" i="37"/>
  <c r="CJ32" i="37"/>
  <c r="CI32" i="37"/>
  <c r="CH32" i="37"/>
  <c r="CG32" i="37"/>
  <c r="CF32" i="37"/>
  <c r="CE32" i="37"/>
  <c r="CD32" i="37"/>
  <c r="CC32" i="37"/>
  <c r="CB32" i="37"/>
  <c r="CA32" i="37"/>
  <c r="BZ32" i="37"/>
  <c r="BY32" i="37"/>
  <c r="BX32" i="37"/>
  <c r="BW32" i="37"/>
  <c r="BV32" i="37"/>
  <c r="BU32" i="37"/>
  <c r="BT32" i="37"/>
  <c r="BS32" i="37"/>
  <c r="BR32" i="37"/>
  <c r="BQ32" i="37"/>
  <c r="BP32" i="37"/>
  <c r="BO32" i="37"/>
  <c r="BN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J32" i="37"/>
  <c r="AI32" i="37"/>
  <c r="AH32" i="37"/>
  <c r="AG32" i="37"/>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D32" i="37"/>
  <c r="IY31" i="37"/>
  <c r="IX31" i="37"/>
  <c r="IW31" i="37"/>
  <c r="IV31" i="37"/>
  <c r="IT31" i="37"/>
  <c r="IS31" i="37"/>
  <c r="IR31" i="37"/>
  <c r="IQ31" i="37"/>
  <c r="IP31" i="37"/>
  <c r="IO31" i="37"/>
  <c r="IN31" i="37"/>
  <c r="IM31" i="37"/>
  <c r="IL31" i="37"/>
  <c r="IK31" i="37"/>
  <c r="IJ31" i="37"/>
  <c r="II31" i="37"/>
  <c r="IH31" i="37"/>
  <c r="IG31" i="37"/>
  <c r="IF31" i="37"/>
  <c r="IE31" i="37"/>
  <c r="ID31" i="37"/>
  <c r="IC31" i="37"/>
  <c r="IB31" i="37"/>
  <c r="IA31" i="37"/>
  <c r="HZ31" i="37"/>
  <c r="HY31" i="37"/>
  <c r="HX31" i="37"/>
  <c r="HW31" i="37"/>
  <c r="HV31" i="37"/>
  <c r="HT31" i="37"/>
  <c r="HR31" i="37"/>
  <c r="HQ31" i="37"/>
  <c r="HO31" i="37"/>
  <c r="HN31" i="37"/>
  <c r="HM31" i="37"/>
  <c r="HL31" i="37"/>
  <c r="HK31" i="37"/>
  <c r="HJ31" i="37"/>
  <c r="HI31" i="37"/>
  <c r="HH31" i="37"/>
  <c r="HG31" i="37"/>
  <c r="HF31" i="37"/>
  <c r="HE31" i="37"/>
  <c r="HD31" i="37"/>
  <c r="HC31" i="37"/>
  <c r="HB31" i="37"/>
  <c r="HA31" i="37"/>
  <c r="GZ31" i="37"/>
  <c r="GX31" i="37"/>
  <c r="GW31" i="37"/>
  <c r="GV31" i="37"/>
  <c r="GU31" i="37"/>
  <c r="GT31" i="37"/>
  <c r="GS31" i="37"/>
  <c r="GR31" i="37"/>
  <c r="GQ31" i="37"/>
  <c r="GP31" i="37"/>
  <c r="GO31" i="37"/>
  <c r="GN31" i="37"/>
  <c r="GL31" i="37"/>
  <c r="GJ31" i="37"/>
  <c r="GI31" i="37"/>
  <c r="GH31" i="37"/>
  <c r="GG31" i="37"/>
  <c r="GF31" i="37"/>
  <c r="GE31" i="37"/>
  <c r="GD31" i="37"/>
  <c r="GC31" i="37"/>
  <c r="GB31" i="37"/>
  <c r="GA31" i="37"/>
  <c r="FZ31" i="37"/>
  <c r="FY31" i="37"/>
  <c r="FX31" i="37"/>
  <c r="FW31" i="37"/>
  <c r="FV31" i="37"/>
  <c r="FU31" i="37"/>
  <c r="FT31" i="37"/>
  <c r="FS31" i="37"/>
  <c r="FR31" i="37"/>
  <c r="FQ31" i="37"/>
  <c r="FP31" i="37"/>
  <c r="FO31" i="37"/>
  <c r="FN31" i="37"/>
  <c r="FM31" i="37"/>
  <c r="FL31" i="37"/>
  <c r="FK31" i="37"/>
  <c r="FJ31" i="37"/>
  <c r="FI31" i="37"/>
  <c r="FH31" i="37"/>
  <c r="FG31" i="37"/>
  <c r="FF31" i="37"/>
  <c r="FD31" i="37"/>
  <c r="FB31" i="37"/>
  <c r="FA31" i="37"/>
  <c r="EZ31" i="37"/>
  <c r="EY31" i="37"/>
  <c r="EX31" i="37"/>
  <c r="EW31" i="37"/>
  <c r="EV31" i="37"/>
  <c r="EU31" i="37"/>
  <c r="ET31" i="37"/>
  <c r="ES31" i="37"/>
  <c r="ER31" i="37"/>
  <c r="EQ31" i="37"/>
  <c r="EP31" i="37"/>
  <c r="EO31" i="37"/>
  <c r="EN31" i="37"/>
  <c r="EM31" i="37"/>
  <c r="EL31" i="37"/>
  <c r="EK31" i="37"/>
  <c r="EJ31" i="37"/>
  <c r="EI31" i="37"/>
  <c r="EH31" i="37"/>
  <c r="EG31" i="37"/>
  <c r="EF31" i="37"/>
  <c r="EE31" i="37"/>
  <c r="ED31" i="37"/>
  <c r="EC31" i="37"/>
  <c r="EB31" i="37"/>
  <c r="EA31" i="37"/>
  <c r="DZ31" i="37"/>
  <c r="DY31" i="37"/>
  <c r="DX31" i="37"/>
  <c r="DW31" i="37"/>
  <c r="DV31" i="37"/>
  <c r="DU31" i="37"/>
  <c r="DT31" i="37"/>
  <c r="DS31" i="37"/>
  <c r="DR31" i="37"/>
  <c r="DQ31" i="37"/>
  <c r="DP31" i="37"/>
  <c r="DO31" i="37"/>
  <c r="DN31" i="37"/>
  <c r="DM31" i="37"/>
  <c r="DL31" i="37"/>
  <c r="DK31" i="37"/>
  <c r="DJ31" i="37"/>
  <c r="DI31" i="37"/>
  <c r="DH31" i="37"/>
  <c r="DG31" i="37"/>
  <c r="DF31" i="37"/>
  <c r="DE31" i="37"/>
  <c r="DD31" i="37"/>
  <c r="DC31" i="37"/>
  <c r="DB31" i="37"/>
  <c r="DA31" i="37"/>
  <c r="CZ31" i="37"/>
  <c r="CY31" i="37"/>
  <c r="CX31" i="37"/>
  <c r="CW31" i="37"/>
  <c r="CV31" i="37"/>
  <c r="CU31" i="37"/>
  <c r="CT31" i="37"/>
  <c r="CS31" i="37"/>
  <c r="CR31" i="37"/>
  <c r="CQ31" i="37"/>
  <c r="CP31" i="37"/>
  <c r="CO31" i="37"/>
  <c r="CN31" i="37"/>
  <c r="CM31" i="37"/>
  <c r="CL31" i="37"/>
  <c r="CK31" i="37"/>
  <c r="CJ31" i="37"/>
  <c r="CI31" i="37"/>
  <c r="CH31" i="37"/>
  <c r="CG31" i="37"/>
  <c r="CF31" i="37"/>
  <c r="CE31" i="37"/>
  <c r="CD31" i="37"/>
  <c r="CC31" i="37"/>
  <c r="CB31" i="37"/>
  <c r="CA31" i="37"/>
  <c r="BZ31" i="37"/>
  <c r="BY31" i="37"/>
  <c r="BX31" i="37"/>
  <c r="BW31" i="37"/>
  <c r="BV31" i="37"/>
  <c r="BU31" i="37"/>
  <c r="BT31" i="37"/>
  <c r="BS31" i="37"/>
  <c r="BR31" i="37"/>
  <c r="BQ31" i="37"/>
  <c r="BP31" i="37"/>
  <c r="BO31" i="37"/>
  <c r="BN31" i="37"/>
  <c r="BM31" i="37"/>
  <c r="BL31" i="37"/>
  <c r="BK31" i="37"/>
  <c r="BJ31" i="37"/>
  <c r="BI31" i="37"/>
  <c r="BH31" i="37"/>
  <c r="BG31" i="37"/>
  <c r="BF31" i="37"/>
  <c r="BE31" i="37"/>
  <c r="BD31" i="37"/>
  <c r="BC31" i="37"/>
  <c r="BB31" i="37"/>
  <c r="BA31" i="37"/>
  <c r="AZ31" i="37"/>
  <c r="AY31" i="37"/>
  <c r="AX31" i="37"/>
  <c r="AW31" i="37"/>
  <c r="AV31" i="37"/>
  <c r="AU31" i="37"/>
  <c r="AT31" i="37"/>
  <c r="AS31" i="37"/>
  <c r="AR31" i="37"/>
  <c r="AQ31" i="37"/>
  <c r="AP31" i="37"/>
  <c r="AO31" i="37"/>
  <c r="AN31" i="37"/>
  <c r="AM31" i="37"/>
  <c r="AL31" i="37"/>
  <c r="AK31" i="37"/>
  <c r="AJ31" i="37"/>
  <c r="AI31" i="37"/>
  <c r="AH31" i="37"/>
  <c r="AG31" i="37"/>
  <c r="AF31" i="37"/>
  <c r="AE31" i="37"/>
  <c r="AD31" i="37"/>
  <c r="AC31" i="37"/>
  <c r="AB31" i="37"/>
  <c r="AA31" i="37"/>
  <c r="Z31" i="37"/>
  <c r="Y31" i="37"/>
  <c r="X31" i="37"/>
  <c r="W31" i="37"/>
  <c r="V31" i="37"/>
  <c r="U31" i="37"/>
  <c r="T31" i="37"/>
  <c r="S31" i="37"/>
  <c r="R31" i="37"/>
  <c r="Q31" i="37"/>
  <c r="P31" i="37"/>
  <c r="O31" i="37"/>
  <c r="N31" i="37"/>
  <c r="M31" i="37"/>
  <c r="L31" i="37"/>
  <c r="K31" i="37"/>
  <c r="J31" i="37"/>
  <c r="I31" i="37"/>
  <c r="H31" i="37"/>
  <c r="G31" i="37"/>
  <c r="F31" i="37"/>
  <c r="E31" i="37"/>
  <c r="D31" i="37"/>
  <c r="IY30" i="37"/>
  <c r="IX30" i="37"/>
  <c r="IW30" i="37"/>
  <c r="IV30" i="37"/>
  <c r="IT30" i="37"/>
  <c r="IS30" i="37"/>
  <c r="IR30" i="37"/>
  <c r="IQ30" i="37"/>
  <c r="IP30" i="37"/>
  <c r="IO30" i="37"/>
  <c r="IN30" i="37"/>
  <c r="IM30" i="37"/>
  <c r="IL30" i="37"/>
  <c r="IK30" i="37"/>
  <c r="IJ30" i="37"/>
  <c r="II30" i="37"/>
  <c r="IH30" i="37"/>
  <c r="IG30" i="37"/>
  <c r="IF30" i="37"/>
  <c r="IE30" i="37"/>
  <c r="ID30" i="37"/>
  <c r="IC30" i="37"/>
  <c r="IB30" i="37"/>
  <c r="IA30" i="37"/>
  <c r="HZ30" i="37"/>
  <c r="HY30" i="37"/>
  <c r="HX30" i="37"/>
  <c r="HW30" i="37"/>
  <c r="HV30" i="37"/>
  <c r="HT30" i="37"/>
  <c r="HR30" i="37"/>
  <c r="HQ30" i="37"/>
  <c r="HO30" i="37"/>
  <c r="HN30" i="37"/>
  <c r="HM30" i="37"/>
  <c r="HL30" i="37"/>
  <c r="HK30" i="37"/>
  <c r="HJ30" i="37"/>
  <c r="HI30" i="37"/>
  <c r="HH30" i="37"/>
  <c r="HG30" i="37"/>
  <c r="HF30" i="37"/>
  <c r="HE30" i="37"/>
  <c r="HD30" i="37"/>
  <c r="HC30" i="37"/>
  <c r="HB30" i="37"/>
  <c r="HA30" i="37"/>
  <c r="GZ30" i="37"/>
  <c r="GX30" i="37"/>
  <c r="GW30" i="37"/>
  <c r="GV30" i="37"/>
  <c r="GU30" i="37"/>
  <c r="GT30" i="37"/>
  <c r="GS30" i="37"/>
  <c r="GR30" i="37"/>
  <c r="GQ30" i="37"/>
  <c r="GP30" i="37"/>
  <c r="GO30" i="37"/>
  <c r="GN30" i="37"/>
  <c r="GL30" i="37"/>
  <c r="GJ30" i="37"/>
  <c r="GI30" i="37"/>
  <c r="GH30" i="37"/>
  <c r="GG30" i="37"/>
  <c r="GF30" i="37"/>
  <c r="GE30" i="37"/>
  <c r="GD30" i="37"/>
  <c r="GC30" i="37"/>
  <c r="GB30" i="37"/>
  <c r="GA30" i="37"/>
  <c r="FZ30" i="37"/>
  <c r="FY30" i="37"/>
  <c r="FX30" i="37"/>
  <c r="FW30" i="37"/>
  <c r="FV30" i="37"/>
  <c r="FU30" i="37"/>
  <c r="FT30" i="37"/>
  <c r="FS30" i="37"/>
  <c r="FR30" i="37"/>
  <c r="FQ30" i="37"/>
  <c r="FP30" i="37"/>
  <c r="FO30" i="37"/>
  <c r="FN30" i="37"/>
  <c r="FM30" i="37"/>
  <c r="FL30" i="37"/>
  <c r="FK30" i="37"/>
  <c r="FJ30" i="37"/>
  <c r="FI30" i="37"/>
  <c r="FH30" i="37"/>
  <c r="FG30" i="37"/>
  <c r="FF30" i="37"/>
  <c r="FD30" i="37"/>
  <c r="FB30" i="37"/>
  <c r="FA30" i="37"/>
  <c r="EZ30" i="37"/>
  <c r="EY30" i="37"/>
  <c r="EX30" i="37"/>
  <c r="EW30" i="37"/>
  <c r="EV30" i="37"/>
  <c r="EU30" i="37"/>
  <c r="ET30" i="37"/>
  <c r="ES30" i="37"/>
  <c r="ER30" i="37"/>
  <c r="EQ30" i="37"/>
  <c r="EP30" i="37"/>
  <c r="EO30" i="37"/>
  <c r="EN30" i="37"/>
  <c r="EM30" i="37"/>
  <c r="EL30" i="37"/>
  <c r="EK30" i="37"/>
  <c r="EJ30" i="37"/>
  <c r="EI30" i="37"/>
  <c r="EH30" i="37"/>
  <c r="EG30" i="37"/>
  <c r="EF30" i="37"/>
  <c r="EE30" i="37"/>
  <c r="ED30" i="37"/>
  <c r="EC30" i="37"/>
  <c r="EB30" i="37"/>
  <c r="EA30" i="37"/>
  <c r="DZ30" i="37"/>
  <c r="DY30" i="37"/>
  <c r="DX30" i="37"/>
  <c r="DW30" i="37"/>
  <c r="DV30" i="37"/>
  <c r="DU30" i="37"/>
  <c r="DT30" i="37"/>
  <c r="DS30" i="37"/>
  <c r="DR30" i="37"/>
  <c r="DQ30" i="37"/>
  <c r="DP30" i="37"/>
  <c r="DO30" i="37"/>
  <c r="DN30" i="37"/>
  <c r="DM30" i="37"/>
  <c r="DL30" i="37"/>
  <c r="DK30" i="37"/>
  <c r="DJ30" i="37"/>
  <c r="DI30" i="37"/>
  <c r="DH30" i="37"/>
  <c r="DG30" i="37"/>
  <c r="DF30" i="37"/>
  <c r="DE30" i="37"/>
  <c r="DD30" i="37"/>
  <c r="DC30" i="37"/>
  <c r="DB30" i="37"/>
  <c r="DA30" i="37"/>
  <c r="CZ30" i="37"/>
  <c r="CY30" i="37"/>
  <c r="CX30" i="37"/>
  <c r="CW30" i="37"/>
  <c r="CV30" i="37"/>
  <c r="CU30" i="37"/>
  <c r="CT30" i="37"/>
  <c r="CS30" i="37"/>
  <c r="CR30" i="37"/>
  <c r="CQ30" i="37"/>
  <c r="CP30" i="37"/>
  <c r="CO30" i="37"/>
  <c r="CN30" i="37"/>
  <c r="CM30" i="37"/>
  <c r="CL30" i="37"/>
  <c r="CK30" i="37"/>
  <c r="CJ30" i="37"/>
  <c r="CI30" i="37"/>
  <c r="CH30" i="37"/>
  <c r="CG30" i="37"/>
  <c r="CF30" i="37"/>
  <c r="CE30" i="37"/>
  <c r="CD30" i="37"/>
  <c r="CC30" i="37"/>
  <c r="CB30" i="37"/>
  <c r="CA30" i="37"/>
  <c r="BZ30" i="37"/>
  <c r="BY30" i="37"/>
  <c r="BX30" i="37"/>
  <c r="BW30" i="37"/>
  <c r="BV30" i="37"/>
  <c r="BU30" i="37"/>
  <c r="BT30" i="37"/>
  <c r="BS30" i="37"/>
  <c r="BR30" i="37"/>
  <c r="BQ30" i="37"/>
  <c r="BP30" i="37"/>
  <c r="BO30" i="37"/>
  <c r="BN30" i="37"/>
  <c r="BM30" i="37"/>
  <c r="BL30" i="37"/>
  <c r="BK30" i="37"/>
  <c r="BJ30" i="37"/>
  <c r="BI30" i="37"/>
  <c r="BH30" i="37"/>
  <c r="BG30" i="37"/>
  <c r="BF30" i="37"/>
  <c r="BE30" i="37"/>
  <c r="BD30" i="37"/>
  <c r="BC30" i="37"/>
  <c r="BB30" i="37"/>
  <c r="BA30" i="37"/>
  <c r="AZ30" i="37"/>
  <c r="AY30" i="37"/>
  <c r="AX30" i="37"/>
  <c r="AW30" i="37"/>
  <c r="AV30" i="37"/>
  <c r="AU30" i="37"/>
  <c r="AT30" i="37"/>
  <c r="AS30" i="37"/>
  <c r="AR30" i="37"/>
  <c r="AQ30" i="37"/>
  <c r="AP30" i="37"/>
  <c r="AO30" i="37"/>
  <c r="AN30" i="37"/>
  <c r="AM30" i="37"/>
  <c r="AL30" i="37"/>
  <c r="AK30" i="37"/>
  <c r="AJ30" i="37"/>
  <c r="AI30" i="37"/>
  <c r="AH30" i="37"/>
  <c r="AG30" i="37"/>
  <c r="AF30" i="37"/>
  <c r="AE30" i="37"/>
  <c r="AD30" i="37"/>
  <c r="AC30" i="37"/>
  <c r="AB30" i="37"/>
  <c r="AA30" i="37"/>
  <c r="Z30" i="37"/>
  <c r="Y30" i="37"/>
  <c r="X30" i="37"/>
  <c r="W30" i="37"/>
  <c r="V30" i="37"/>
  <c r="U30" i="37"/>
  <c r="T30" i="37"/>
  <c r="S30" i="37"/>
  <c r="R30" i="37"/>
  <c r="Q30" i="37"/>
  <c r="P30" i="37"/>
  <c r="O30" i="37"/>
  <c r="N30" i="37"/>
  <c r="M30" i="37"/>
  <c r="L30" i="37"/>
  <c r="K30" i="37"/>
  <c r="J30" i="37"/>
  <c r="I30" i="37"/>
  <c r="H30" i="37"/>
  <c r="G30" i="37"/>
  <c r="F30" i="37"/>
  <c r="E30" i="37"/>
  <c r="D30" i="37"/>
  <c r="IY29" i="37"/>
  <c r="IX29" i="37"/>
  <c r="IW29" i="37"/>
  <c r="IV29" i="37"/>
  <c r="IT29" i="37"/>
  <c r="IS29" i="37"/>
  <c r="IR29" i="37"/>
  <c r="IQ29" i="37"/>
  <c r="IP29" i="37"/>
  <c r="IO29" i="37"/>
  <c r="IN29" i="37"/>
  <c r="IM29" i="37"/>
  <c r="IL29" i="37"/>
  <c r="IK29" i="37"/>
  <c r="IJ29" i="37"/>
  <c r="II29" i="37"/>
  <c r="IH29" i="37"/>
  <c r="IG29" i="37"/>
  <c r="IF29" i="37"/>
  <c r="IE29" i="37"/>
  <c r="ID29" i="37"/>
  <c r="IC29" i="37"/>
  <c r="IB29" i="37"/>
  <c r="IA29" i="37"/>
  <c r="HZ29" i="37"/>
  <c r="HY29" i="37"/>
  <c r="HX29" i="37"/>
  <c r="HW29" i="37"/>
  <c r="HV29" i="37"/>
  <c r="HT29" i="37"/>
  <c r="HR29" i="37"/>
  <c r="HQ29" i="37"/>
  <c r="HO29" i="37"/>
  <c r="HN29" i="37"/>
  <c r="HM29" i="37"/>
  <c r="HL29" i="37"/>
  <c r="HK29" i="37"/>
  <c r="HJ29" i="37"/>
  <c r="HI29" i="37"/>
  <c r="HH29" i="37"/>
  <c r="HG29" i="37"/>
  <c r="HF29" i="37"/>
  <c r="HE29" i="37"/>
  <c r="HD29" i="37"/>
  <c r="HC29" i="37"/>
  <c r="HB29" i="37"/>
  <c r="HA29" i="37"/>
  <c r="GZ29" i="37"/>
  <c r="GX29" i="37"/>
  <c r="GW29" i="37"/>
  <c r="GV29" i="37"/>
  <c r="GU29" i="37"/>
  <c r="GT29" i="37"/>
  <c r="GS29" i="37"/>
  <c r="GR29" i="37"/>
  <c r="GQ29" i="37"/>
  <c r="GP29" i="37"/>
  <c r="GO29" i="37"/>
  <c r="GN29" i="37"/>
  <c r="GL29" i="37"/>
  <c r="GJ29" i="37"/>
  <c r="GI29" i="37"/>
  <c r="GH29" i="37"/>
  <c r="GG29" i="37"/>
  <c r="GF29" i="37"/>
  <c r="GE29" i="37"/>
  <c r="GD29" i="37"/>
  <c r="GC29" i="37"/>
  <c r="GB29" i="37"/>
  <c r="GA29" i="37"/>
  <c r="FZ29" i="37"/>
  <c r="FY29" i="37"/>
  <c r="FX29" i="37"/>
  <c r="FW29" i="37"/>
  <c r="FV29" i="37"/>
  <c r="FU29" i="37"/>
  <c r="FT29" i="37"/>
  <c r="FS29" i="37"/>
  <c r="FR29" i="37"/>
  <c r="FQ29" i="37"/>
  <c r="FP29" i="37"/>
  <c r="FO29" i="37"/>
  <c r="FN29" i="37"/>
  <c r="FM29" i="37"/>
  <c r="FL29" i="37"/>
  <c r="FK29" i="37"/>
  <c r="FJ29" i="37"/>
  <c r="FI29" i="37"/>
  <c r="FH29" i="37"/>
  <c r="FG29" i="37"/>
  <c r="FF29" i="37"/>
  <c r="FD29" i="37"/>
  <c r="FB29" i="37"/>
  <c r="FA29" i="37"/>
  <c r="EZ29" i="37"/>
  <c r="EY29" i="37"/>
  <c r="EX29" i="37"/>
  <c r="EW29" i="37"/>
  <c r="EV29" i="37"/>
  <c r="EU29" i="37"/>
  <c r="ET29" i="37"/>
  <c r="ES29" i="37"/>
  <c r="ER29" i="37"/>
  <c r="EQ29" i="37"/>
  <c r="EP29" i="37"/>
  <c r="EO29" i="37"/>
  <c r="EN29" i="37"/>
  <c r="EM29" i="37"/>
  <c r="EL29" i="37"/>
  <c r="EK29" i="37"/>
  <c r="EJ29" i="37"/>
  <c r="EI29" i="37"/>
  <c r="EH29" i="37"/>
  <c r="EG29" i="37"/>
  <c r="EF29" i="37"/>
  <c r="EE29" i="37"/>
  <c r="ED29" i="37"/>
  <c r="EC29" i="37"/>
  <c r="EB29" i="37"/>
  <c r="EA29" i="37"/>
  <c r="DZ29" i="37"/>
  <c r="DY29" i="37"/>
  <c r="DX29" i="37"/>
  <c r="DW29" i="37"/>
  <c r="DV29" i="37"/>
  <c r="DU29" i="37"/>
  <c r="DT29" i="37"/>
  <c r="DS29" i="37"/>
  <c r="DR29" i="37"/>
  <c r="DQ29" i="37"/>
  <c r="DP29" i="37"/>
  <c r="DO29" i="37"/>
  <c r="DN29" i="37"/>
  <c r="DM29" i="37"/>
  <c r="DL29" i="37"/>
  <c r="DK29" i="37"/>
  <c r="DJ29" i="37"/>
  <c r="DI29" i="37"/>
  <c r="DH29" i="37"/>
  <c r="DG29" i="37"/>
  <c r="DF29" i="37"/>
  <c r="DE29" i="37"/>
  <c r="DD29" i="37"/>
  <c r="DC29" i="37"/>
  <c r="DB29" i="37"/>
  <c r="DA29" i="37"/>
  <c r="CZ29" i="37"/>
  <c r="CY29" i="37"/>
  <c r="CX29" i="37"/>
  <c r="CW29" i="37"/>
  <c r="CV29" i="37"/>
  <c r="CU29" i="37"/>
  <c r="CT29" i="37"/>
  <c r="CS29" i="37"/>
  <c r="CR29" i="37"/>
  <c r="CQ29" i="37"/>
  <c r="CP29" i="37"/>
  <c r="CO29" i="37"/>
  <c r="CN29" i="37"/>
  <c r="CM29" i="37"/>
  <c r="CL29" i="37"/>
  <c r="CK29" i="37"/>
  <c r="CJ29" i="37"/>
  <c r="CI29" i="37"/>
  <c r="CH29" i="37"/>
  <c r="CG29" i="37"/>
  <c r="CF29" i="37"/>
  <c r="CE29" i="37"/>
  <c r="CD29" i="37"/>
  <c r="CC29" i="37"/>
  <c r="CB29" i="37"/>
  <c r="CA29" i="37"/>
  <c r="BZ29" i="37"/>
  <c r="BY29" i="37"/>
  <c r="BX29" i="37"/>
  <c r="BW29" i="37"/>
  <c r="BV29" i="37"/>
  <c r="BU29" i="37"/>
  <c r="BT29" i="37"/>
  <c r="BS29" i="37"/>
  <c r="BR29" i="37"/>
  <c r="BQ29" i="37"/>
  <c r="BP29" i="37"/>
  <c r="BO29" i="37"/>
  <c r="BN29" i="37"/>
  <c r="BM29" i="37"/>
  <c r="BL29" i="37"/>
  <c r="BK29" i="37"/>
  <c r="BJ29" i="37"/>
  <c r="BI29" i="37"/>
  <c r="BH29" i="37"/>
  <c r="BG29" i="37"/>
  <c r="BF29" i="37"/>
  <c r="BE29" i="37"/>
  <c r="BD29" i="37"/>
  <c r="BC29" i="37"/>
  <c r="BB29" i="37"/>
  <c r="BA29" i="37"/>
  <c r="AZ29" i="37"/>
  <c r="AY29" i="37"/>
  <c r="AX29" i="37"/>
  <c r="AW29" i="37"/>
  <c r="AV29" i="37"/>
  <c r="AU29" i="37"/>
  <c r="AT29" i="37"/>
  <c r="AS29"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I29" i="37"/>
  <c r="H29" i="37"/>
  <c r="G29" i="37"/>
  <c r="F29" i="37"/>
  <c r="E29" i="37"/>
  <c r="D29" i="37"/>
  <c r="IY28" i="37"/>
  <c r="IX28" i="37"/>
  <c r="IW28" i="37"/>
  <c r="IV28" i="37"/>
  <c r="IT28" i="37"/>
  <c r="IS28" i="37"/>
  <c r="IR28" i="37"/>
  <c r="IQ28" i="37"/>
  <c r="IP28" i="37"/>
  <c r="IO28" i="37"/>
  <c r="IN28" i="37"/>
  <c r="IM28" i="37"/>
  <c r="IL28" i="37"/>
  <c r="IK28" i="37"/>
  <c r="IJ28" i="37"/>
  <c r="II28" i="37"/>
  <c r="IH28" i="37"/>
  <c r="IG28" i="37"/>
  <c r="IF28" i="37"/>
  <c r="IE28" i="37"/>
  <c r="ID28" i="37"/>
  <c r="IC28" i="37"/>
  <c r="IB28" i="37"/>
  <c r="IA28" i="37"/>
  <c r="HZ28" i="37"/>
  <c r="HY28" i="37"/>
  <c r="HX28" i="37"/>
  <c r="HW28" i="37"/>
  <c r="HV28" i="37"/>
  <c r="HT28" i="37"/>
  <c r="HR28" i="37"/>
  <c r="HQ28" i="37"/>
  <c r="HO28" i="37"/>
  <c r="HN28" i="37"/>
  <c r="HM28" i="37"/>
  <c r="HL28" i="37"/>
  <c r="HK28" i="37"/>
  <c r="HJ28" i="37"/>
  <c r="HI28" i="37"/>
  <c r="HH28" i="37"/>
  <c r="HG28" i="37"/>
  <c r="HF28" i="37"/>
  <c r="HE28" i="37"/>
  <c r="HD28" i="37"/>
  <c r="HC28" i="37"/>
  <c r="HB28" i="37"/>
  <c r="HA28" i="37"/>
  <c r="GZ28" i="37"/>
  <c r="GX28" i="37"/>
  <c r="GW28" i="37"/>
  <c r="GV28" i="37"/>
  <c r="GU28" i="37"/>
  <c r="GT28" i="37"/>
  <c r="GS28" i="37"/>
  <c r="GR28" i="37"/>
  <c r="GQ28" i="37"/>
  <c r="GP28" i="37"/>
  <c r="GO28" i="37"/>
  <c r="GN28" i="37"/>
  <c r="GL28" i="37"/>
  <c r="GJ28" i="37"/>
  <c r="GI28" i="37"/>
  <c r="GH28" i="37"/>
  <c r="GG28" i="37"/>
  <c r="GF28" i="37"/>
  <c r="GE28" i="37"/>
  <c r="GD28" i="37"/>
  <c r="GC28" i="37"/>
  <c r="GB28" i="37"/>
  <c r="GA28" i="37"/>
  <c r="FZ28" i="37"/>
  <c r="FY28" i="37"/>
  <c r="FX28" i="37"/>
  <c r="FW28" i="37"/>
  <c r="FV28" i="37"/>
  <c r="FU28" i="37"/>
  <c r="FT28" i="37"/>
  <c r="FS28" i="37"/>
  <c r="FR28" i="37"/>
  <c r="FQ28" i="37"/>
  <c r="FP28" i="37"/>
  <c r="FO28" i="37"/>
  <c r="FN28" i="37"/>
  <c r="FM28" i="37"/>
  <c r="FL28" i="37"/>
  <c r="FK28" i="37"/>
  <c r="FJ28" i="37"/>
  <c r="FI28" i="37"/>
  <c r="FH28" i="37"/>
  <c r="FG28" i="37"/>
  <c r="FF28" i="37"/>
  <c r="FD28" i="37"/>
  <c r="FB28" i="37"/>
  <c r="FA28" i="37"/>
  <c r="EZ28" i="37"/>
  <c r="EY28" i="37"/>
  <c r="EX28" i="37"/>
  <c r="EW28" i="37"/>
  <c r="EV28" i="37"/>
  <c r="EU28" i="37"/>
  <c r="ET28" i="37"/>
  <c r="ES28" i="37"/>
  <c r="ER28" i="37"/>
  <c r="EQ28" i="37"/>
  <c r="EP28" i="37"/>
  <c r="EO28" i="37"/>
  <c r="EN28" i="37"/>
  <c r="EM28" i="37"/>
  <c r="EL28" i="37"/>
  <c r="EK28" i="37"/>
  <c r="EJ28" i="37"/>
  <c r="EI28" i="37"/>
  <c r="EH28" i="37"/>
  <c r="EG28" i="37"/>
  <c r="EF28" i="37"/>
  <c r="EE28" i="37"/>
  <c r="ED28" i="37"/>
  <c r="EC28" i="37"/>
  <c r="EB28" i="37"/>
  <c r="EA28" i="37"/>
  <c r="DZ28" i="37"/>
  <c r="DY28" i="37"/>
  <c r="DX28" i="37"/>
  <c r="DW28" i="37"/>
  <c r="DV28" i="37"/>
  <c r="DU28" i="37"/>
  <c r="DT28" i="37"/>
  <c r="DS28" i="37"/>
  <c r="DR28" i="37"/>
  <c r="DQ28" i="37"/>
  <c r="DP28" i="37"/>
  <c r="DO28" i="37"/>
  <c r="DN28" i="37"/>
  <c r="DM28" i="37"/>
  <c r="DL28" i="37"/>
  <c r="DK28" i="37"/>
  <c r="DJ28" i="37"/>
  <c r="DI28" i="37"/>
  <c r="DH28" i="37"/>
  <c r="DG28" i="37"/>
  <c r="DF28" i="37"/>
  <c r="DE28" i="37"/>
  <c r="DD28" i="37"/>
  <c r="DC28" i="37"/>
  <c r="DB28" i="37"/>
  <c r="DA28" i="37"/>
  <c r="CZ28" i="37"/>
  <c r="CY28" i="37"/>
  <c r="CX28" i="37"/>
  <c r="CW28" i="37"/>
  <c r="CV28" i="37"/>
  <c r="CU28" i="37"/>
  <c r="CT28" i="37"/>
  <c r="CS28" i="37"/>
  <c r="CR28" i="37"/>
  <c r="CQ28" i="37"/>
  <c r="CP28" i="37"/>
  <c r="CO28" i="37"/>
  <c r="CN28" i="37"/>
  <c r="CM28" i="37"/>
  <c r="CL28" i="37"/>
  <c r="CK28" i="37"/>
  <c r="CJ28" i="37"/>
  <c r="CI28" i="37"/>
  <c r="CH28" i="37"/>
  <c r="CG28" i="37"/>
  <c r="CF28" i="37"/>
  <c r="CE28" i="37"/>
  <c r="CD28" i="37"/>
  <c r="CC28" i="37"/>
  <c r="CB28" i="37"/>
  <c r="CA28" i="37"/>
  <c r="BZ28" i="37"/>
  <c r="BY28" i="37"/>
  <c r="BX28" i="37"/>
  <c r="BW28" i="37"/>
  <c r="BV28" i="37"/>
  <c r="BU28" i="37"/>
  <c r="BT28" i="37"/>
  <c r="BS28" i="37"/>
  <c r="BR28" i="37"/>
  <c r="BQ28" i="37"/>
  <c r="BP28" i="37"/>
  <c r="BO28" i="37"/>
  <c r="BN28" i="37"/>
  <c r="BM28" i="37"/>
  <c r="BL28" i="37"/>
  <c r="BK28" i="37"/>
  <c r="BJ28" i="37"/>
  <c r="BI28" i="37"/>
  <c r="BH28" i="37"/>
  <c r="BG28" i="37"/>
  <c r="BF28" i="37"/>
  <c r="BE28" i="37"/>
  <c r="BD28" i="37"/>
  <c r="BC28" i="37"/>
  <c r="BB28" i="37"/>
  <c r="BA28" i="37"/>
  <c r="AZ28" i="37"/>
  <c r="AY28" i="37"/>
  <c r="AX28" i="37"/>
  <c r="AW28" i="37"/>
  <c r="AV28" i="37"/>
  <c r="AU28" i="37"/>
  <c r="AT28" i="37"/>
  <c r="AS28" i="37"/>
  <c r="AR28" i="37"/>
  <c r="AQ28" i="37"/>
  <c r="AP28" i="37"/>
  <c r="AO28" i="37"/>
  <c r="AN28" i="37"/>
  <c r="AM28" i="37"/>
  <c r="AL28" i="37"/>
  <c r="AK28" i="37"/>
  <c r="AJ28" i="37"/>
  <c r="AI28" i="37"/>
  <c r="AH28" i="37"/>
  <c r="AG28" i="37"/>
  <c r="AF28" i="37"/>
  <c r="AE28" i="37"/>
  <c r="AD28" i="37"/>
  <c r="AC28" i="37"/>
  <c r="AB28" i="37"/>
  <c r="AA28" i="37"/>
  <c r="Z28" i="37"/>
  <c r="Y28" i="37"/>
  <c r="X28" i="37"/>
  <c r="W28" i="37"/>
  <c r="V28" i="37"/>
  <c r="U28" i="37"/>
  <c r="T28" i="37"/>
  <c r="S28" i="37"/>
  <c r="R28" i="37"/>
  <c r="Q28" i="37"/>
  <c r="P28" i="37"/>
  <c r="O28" i="37"/>
  <c r="N28" i="37"/>
  <c r="M28" i="37"/>
  <c r="L28" i="37"/>
  <c r="K28" i="37"/>
  <c r="J28" i="37"/>
  <c r="I28" i="37"/>
  <c r="H28" i="37"/>
  <c r="G28" i="37"/>
  <c r="F28" i="37"/>
  <c r="E28" i="37"/>
  <c r="D28" i="37"/>
  <c r="IY27" i="37"/>
  <c r="IX27" i="37"/>
  <c r="IW27" i="37"/>
  <c r="IV27" i="37"/>
  <c r="IT27" i="37"/>
  <c r="IS27" i="37"/>
  <c r="IR27" i="37"/>
  <c r="IQ27" i="37"/>
  <c r="IP27" i="37"/>
  <c r="IO27" i="37"/>
  <c r="IN27" i="37"/>
  <c r="IM27" i="37"/>
  <c r="IL27" i="37"/>
  <c r="IK27" i="37"/>
  <c r="IJ27" i="37"/>
  <c r="II27" i="37"/>
  <c r="IH27" i="37"/>
  <c r="IG27" i="37"/>
  <c r="IF27" i="37"/>
  <c r="IE27" i="37"/>
  <c r="ID27" i="37"/>
  <c r="IC27" i="37"/>
  <c r="IB27" i="37"/>
  <c r="IA27" i="37"/>
  <c r="HZ27" i="37"/>
  <c r="HY27" i="37"/>
  <c r="HX27" i="37"/>
  <c r="HW27" i="37"/>
  <c r="HV27" i="37"/>
  <c r="HT27" i="37"/>
  <c r="HR27" i="37"/>
  <c r="HQ27" i="37"/>
  <c r="HO27" i="37"/>
  <c r="HN27" i="37"/>
  <c r="HM27" i="37"/>
  <c r="HL27" i="37"/>
  <c r="HK27" i="37"/>
  <c r="HJ27" i="37"/>
  <c r="HI27" i="37"/>
  <c r="HH27" i="37"/>
  <c r="HG27" i="37"/>
  <c r="HF27" i="37"/>
  <c r="HE27" i="37"/>
  <c r="HD27" i="37"/>
  <c r="HC27" i="37"/>
  <c r="HB27" i="37"/>
  <c r="HA27" i="37"/>
  <c r="GZ27" i="37"/>
  <c r="GX27" i="37"/>
  <c r="GW27" i="37"/>
  <c r="GV27" i="37"/>
  <c r="GU27" i="37"/>
  <c r="GT27" i="37"/>
  <c r="GS27" i="37"/>
  <c r="GR27" i="37"/>
  <c r="GQ27" i="37"/>
  <c r="GP27" i="37"/>
  <c r="GO27" i="37"/>
  <c r="GN27" i="37"/>
  <c r="GL27" i="37"/>
  <c r="GJ27" i="37"/>
  <c r="GI27" i="37"/>
  <c r="GH27" i="37"/>
  <c r="GG27" i="37"/>
  <c r="GF27" i="37"/>
  <c r="GE27" i="37"/>
  <c r="GD27" i="37"/>
  <c r="GC27" i="37"/>
  <c r="GB27" i="37"/>
  <c r="GA27" i="37"/>
  <c r="FZ27" i="37"/>
  <c r="FY27" i="37"/>
  <c r="FX27" i="37"/>
  <c r="FW27" i="37"/>
  <c r="FV27" i="37"/>
  <c r="FU27" i="37"/>
  <c r="FT27" i="37"/>
  <c r="FS27" i="37"/>
  <c r="FR27" i="37"/>
  <c r="FQ27" i="37"/>
  <c r="FP27" i="37"/>
  <c r="FO27" i="37"/>
  <c r="FN27" i="37"/>
  <c r="FM27" i="37"/>
  <c r="FL27" i="37"/>
  <c r="FK27" i="37"/>
  <c r="FJ27" i="37"/>
  <c r="FI27" i="37"/>
  <c r="FH27" i="37"/>
  <c r="FG27" i="37"/>
  <c r="FF27" i="37"/>
  <c r="FD27" i="37"/>
  <c r="FB27" i="37"/>
  <c r="FA27" i="37"/>
  <c r="EZ27" i="37"/>
  <c r="EY27" i="37"/>
  <c r="EX27" i="37"/>
  <c r="EW27" i="37"/>
  <c r="EV27" i="37"/>
  <c r="EU27" i="37"/>
  <c r="ET27" i="37"/>
  <c r="ES27" i="37"/>
  <c r="ER27" i="37"/>
  <c r="EQ27" i="37"/>
  <c r="EP27" i="37"/>
  <c r="EO27" i="37"/>
  <c r="EN27" i="37"/>
  <c r="EM27" i="37"/>
  <c r="EL27" i="37"/>
  <c r="EK27" i="37"/>
  <c r="EJ27" i="37"/>
  <c r="EI27" i="37"/>
  <c r="EH27" i="37"/>
  <c r="EG27" i="37"/>
  <c r="EF27" i="37"/>
  <c r="EE27" i="37"/>
  <c r="ED27" i="37"/>
  <c r="EC27" i="37"/>
  <c r="EB27" i="37"/>
  <c r="EA27" i="37"/>
  <c r="DZ27" i="37"/>
  <c r="DY27" i="37"/>
  <c r="DX27" i="37"/>
  <c r="DW27" i="37"/>
  <c r="DV27" i="37"/>
  <c r="DU27" i="37"/>
  <c r="DT27" i="37"/>
  <c r="DS27" i="37"/>
  <c r="DR27" i="37"/>
  <c r="DQ27" i="37"/>
  <c r="DP27" i="37"/>
  <c r="DO27" i="37"/>
  <c r="DN27" i="37"/>
  <c r="DM27" i="37"/>
  <c r="DL27" i="37"/>
  <c r="DK27" i="37"/>
  <c r="DJ27" i="37"/>
  <c r="DI27" i="37"/>
  <c r="DH27" i="37"/>
  <c r="DG27" i="37"/>
  <c r="DF27" i="37"/>
  <c r="DE27" i="37"/>
  <c r="DD27" i="37"/>
  <c r="DC27" i="37"/>
  <c r="DB27" i="37"/>
  <c r="DA27" i="37"/>
  <c r="CZ27" i="37"/>
  <c r="CY27" i="37"/>
  <c r="CX27" i="37"/>
  <c r="CW27" i="37"/>
  <c r="CV27" i="37"/>
  <c r="CU27" i="37"/>
  <c r="CT27" i="37"/>
  <c r="CS27" i="37"/>
  <c r="CR27" i="37"/>
  <c r="CQ27" i="37"/>
  <c r="CP27" i="37"/>
  <c r="CO27" i="37"/>
  <c r="CN27" i="37"/>
  <c r="CM27" i="37"/>
  <c r="CL27" i="37"/>
  <c r="CK27" i="37"/>
  <c r="CJ27" i="37"/>
  <c r="CI27" i="37"/>
  <c r="CH27" i="37"/>
  <c r="CG27" i="37"/>
  <c r="CF27" i="37"/>
  <c r="CE27" i="37"/>
  <c r="CD27" i="37"/>
  <c r="CC27" i="37"/>
  <c r="CB27" i="37"/>
  <c r="CA27" i="37"/>
  <c r="BZ27" i="37"/>
  <c r="BY27" i="37"/>
  <c r="BX27" i="37"/>
  <c r="BW27" i="37"/>
  <c r="BV27" i="37"/>
  <c r="BU27" i="37"/>
  <c r="BT27" i="37"/>
  <c r="BS27" i="37"/>
  <c r="BR27" i="37"/>
  <c r="BQ27" i="37"/>
  <c r="BP27" i="37"/>
  <c r="BO27" i="37"/>
  <c r="BN27" i="37"/>
  <c r="BM27" i="37"/>
  <c r="BL27" i="37"/>
  <c r="BK27" i="37"/>
  <c r="BJ27" i="37"/>
  <c r="BI27" i="37"/>
  <c r="BH27" i="37"/>
  <c r="BG27" i="37"/>
  <c r="BF27" i="37"/>
  <c r="BE27" i="37"/>
  <c r="BD27" i="37"/>
  <c r="BC27" i="37"/>
  <c r="BB27" i="37"/>
  <c r="BA27" i="37"/>
  <c r="AZ27" i="37"/>
  <c r="AY27" i="37"/>
  <c r="AX27" i="37"/>
  <c r="AW27" i="37"/>
  <c r="AV27" i="37"/>
  <c r="AU27" i="37"/>
  <c r="AT27" i="37"/>
  <c r="AS27" i="37"/>
  <c r="AR27" i="37"/>
  <c r="AQ27" i="37"/>
  <c r="AP27" i="37"/>
  <c r="AO27" i="37"/>
  <c r="AN27" i="37"/>
  <c r="AM27" i="37"/>
  <c r="AL27" i="37"/>
  <c r="AK27" i="37"/>
  <c r="AJ27" i="37"/>
  <c r="AI27" i="37"/>
  <c r="AH27" i="37"/>
  <c r="AG27" i="37"/>
  <c r="AF27" i="37"/>
  <c r="AE27" i="37"/>
  <c r="AD27" i="37"/>
  <c r="AC27" i="37"/>
  <c r="AB27" i="37"/>
  <c r="AA27" i="37"/>
  <c r="Z27" i="37"/>
  <c r="Y27" i="37"/>
  <c r="X27" i="37"/>
  <c r="W27" i="37"/>
  <c r="V27" i="37"/>
  <c r="U27" i="37"/>
  <c r="T27" i="37"/>
  <c r="S27" i="37"/>
  <c r="R27" i="37"/>
  <c r="Q27" i="37"/>
  <c r="P27" i="37"/>
  <c r="O27" i="37"/>
  <c r="N27" i="37"/>
  <c r="M27" i="37"/>
  <c r="L27" i="37"/>
  <c r="K27" i="37"/>
  <c r="J27" i="37"/>
  <c r="I27" i="37"/>
  <c r="H27" i="37"/>
  <c r="G27" i="37"/>
  <c r="F27" i="37"/>
  <c r="E27" i="37"/>
  <c r="D27" i="37"/>
  <c r="IY26" i="37"/>
  <c r="IX26" i="37"/>
  <c r="IW26" i="37"/>
  <c r="IV26" i="37"/>
  <c r="IT26" i="37"/>
  <c r="IS26" i="37"/>
  <c r="IR26" i="37"/>
  <c r="IQ26" i="37"/>
  <c r="IP26" i="37"/>
  <c r="IO26" i="37"/>
  <c r="IN26" i="37"/>
  <c r="IM26" i="37"/>
  <c r="IL26" i="37"/>
  <c r="IK26" i="37"/>
  <c r="IJ26" i="37"/>
  <c r="II26" i="37"/>
  <c r="IH26" i="37"/>
  <c r="IG26" i="37"/>
  <c r="IF26" i="37"/>
  <c r="IE26" i="37"/>
  <c r="ID26" i="37"/>
  <c r="IC26" i="37"/>
  <c r="IB26" i="37"/>
  <c r="IA26" i="37"/>
  <c r="HZ26" i="37"/>
  <c r="HY26" i="37"/>
  <c r="HX26" i="37"/>
  <c r="HW26" i="37"/>
  <c r="HV26" i="37"/>
  <c r="HT26" i="37"/>
  <c r="HR26" i="37"/>
  <c r="HQ26" i="37"/>
  <c r="HO26" i="37"/>
  <c r="HN26" i="37"/>
  <c r="HM26" i="37"/>
  <c r="HL26" i="37"/>
  <c r="HK26" i="37"/>
  <c r="HJ26" i="37"/>
  <c r="HI26" i="37"/>
  <c r="HH26" i="37"/>
  <c r="HG26" i="37"/>
  <c r="HF26" i="37"/>
  <c r="HE26" i="37"/>
  <c r="HD26" i="37"/>
  <c r="HC26" i="37"/>
  <c r="HB26" i="37"/>
  <c r="HA26" i="37"/>
  <c r="GZ26" i="37"/>
  <c r="GX26" i="37"/>
  <c r="GW26" i="37"/>
  <c r="GV26" i="37"/>
  <c r="GU26" i="37"/>
  <c r="GT26" i="37"/>
  <c r="GS26" i="37"/>
  <c r="GR26" i="37"/>
  <c r="GQ26" i="37"/>
  <c r="GP26" i="37"/>
  <c r="GO26" i="37"/>
  <c r="GN26" i="37"/>
  <c r="GL26" i="37"/>
  <c r="GJ26" i="37"/>
  <c r="GI26" i="37"/>
  <c r="GH26" i="37"/>
  <c r="GG26" i="37"/>
  <c r="GF26" i="37"/>
  <c r="GE26" i="37"/>
  <c r="GD26" i="37"/>
  <c r="GC26" i="37"/>
  <c r="GB26" i="37"/>
  <c r="GA26" i="37"/>
  <c r="FZ26" i="37"/>
  <c r="FY26" i="37"/>
  <c r="FX26" i="37"/>
  <c r="FW26" i="37"/>
  <c r="FV26" i="37"/>
  <c r="FU26" i="37"/>
  <c r="FT26" i="37"/>
  <c r="FS26" i="37"/>
  <c r="FR26" i="37"/>
  <c r="FQ26" i="37"/>
  <c r="FP26" i="37"/>
  <c r="FO26" i="37"/>
  <c r="FN26" i="37"/>
  <c r="FM26" i="37"/>
  <c r="FL26" i="37"/>
  <c r="FK26" i="37"/>
  <c r="FJ26" i="37"/>
  <c r="FI26" i="37"/>
  <c r="FH26" i="37"/>
  <c r="FG26" i="37"/>
  <c r="FF26" i="37"/>
  <c r="FD26" i="37"/>
  <c r="FB26" i="37"/>
  <c r="FA26" i="37"/>
  <c r="EZ26" i="37"/>
  <c r="EY26" i="37"/>
  <c r="EX26" i="37"/>
  <c r="EW26" i="37"/>
  <c r="EV26" i="37"/>
  <c r="EU26" i="37"/>
  <c r="ET26" i="37"/>
  <c r="ES26" i="37"/>
  <c r="ER26" i="37"/>
  <c r="EQ26" i="37"/>
  <c r="EP26" i="37"/>
  <c r="EO26" i="37"/>
  <c r="EN26" i="37"/>
  <c r="EM26" i="37"/>
  <c r="EL26" i="37"/>
  <c r="EK26" i="37"/>
  <c r="EJ26" i="37"/>
  <c r="EI26" i="37"/>
  <c r="EH26" i="37"/>
  <c r="EG26" i="37"/>
  <c r="EF26" i="37"/>
  <c r="EE26" i="37"/>
  <c r="ED26" i="37"/>
  <c r="EC26" i="37"/>
  <c r="EB26" i="37"/>
  <c r="EA26" i="37"/>
  <c r="DZ26" i="37"/>
  <c r="DY26" i="37"/>
  <c r="DX26" i="37"/>
  <c r="DW26" i="37"/>
  <c r="DV26" i="37"/>
  <c r="DU26" i="37"/>
  <c r="DT26" i="37"/>
  <c r="DS26" i="37"/>
  <c r="DR26" i="37"/>
  <c r="DQ26" i="37"/>
  <c r="DP26" i="37"/>
  <c r="DO26" i="37"/>
  <c r="DN26" i="37"/>
  <c r="DM26" i="37"/>
  <c r="DL26" i="37"/>
  <c r="DK26" i="37"/>
  <c r="DJ26" i="37"/>
  <c r="DI26" i="37"/>
  <c r="DH26" i="37"/>
  <c r="DG26" i="37"/>
  <c r="DF26" i="37"/>
  <c r="DE26" i="37"/>
  <c r="DD26" i="37"/>
  <c r="DC26" i="37"/>
  <c r="DB26" i="37"/>
  <c r="DA26" i="37"/>
  <c r="CZ26" i="37"/>
  <c r="CY26" i="37"/>
  <c r="CX26" i="37"/>
  <c r="CW26" i="37"/>
  <c r="CV26" i="37"/>
  <c r="CU26" i="37"/>
  <c r="CT26" i="37"/>
  <c r="CS26" i="37"/>
  <c r="CR26" i="37"/>
  <c r="CQ26" i="37"/>
  <c r="CP26" i="37"/>
  <c r="CO26" i="37"/>
  <c r="CN26" i="37"/>
  <c r="CM26" i="37"/>
  <c r="CL26" i="37"/>
  <c r="CK26" i="37"/>
  <c r="CJ26" i="37"/>
  <c r="CI26" i="37"/>
  <c r="CH26" i="37"/>
  <c r="CG26" i="37"/>
  <c r="CF26" i="37"/>
  <c r="CE26" i="37"/>
  <c r="CD26" i="37"/>
  <c r="CC26" i="37"/>
  <c r="CB26" i="37"/>
  <c r="CA26" i="37"/>
  <c r="BZ26" i="37"/>
  <c r="BY26" i="37"/>
  <c r="BX26" i="37"/>
  <c r="BW26" i="37"/>
  <c r="BV26" i="37"/>
  <c r="BU26" i="37"/>
  <c r="BT26" i="37"/>
  <c r="BS26" i="37"/>
  <c r="BR26" i="37"/>
  <c r="BQ26" i="37"/>
  <c r="BP26" i="37"/>
  <c r="BO26" i="37"/>
  <c r="BN26" i="37"/>
  <c r="BM26" i="37"/>
  <c r="BL26" i="37"/>
  <c r="BK26" i="37"/>
  <c r="BJ26" i="37"/>
  <c r="BI26" i="37"/>
  <c r="BH26" i="37"/>
  <c r="BG26" i="37"/>
  <c r="BF26" i="37"/>
  <c r="BE26" i="37"/>
  <c r="BD26" i="37"/>
  <c r="BC26" i="37"/>
  <c r="BB26" i="37"/>
  <c r="BA26" i="37"/>
  <c r="AZ26" i="37"/>
  <c r="AY26" i="37"/>
  <c r="AX26" i="37"/>
  <c r="AW26" i="37"/>
  <c r="AV26" i="37"/>
  <c r="AU26" i="37"/>
  <c r="AT26" i="37"/>
  <c r="AS26" i="37"/>
  <c r="AR26" i="37"/>
  <c r="AQ26" i="37"/>
  <c r="AP26" i="37"/>
  <c r="AO26" i="37"/>
  <c r="AN26" i="37"/>
  <c r="AM26" i="37"/>
  <c r="AL26" i="37"/>
  <c r="AK26" i="37"/>
  <c r="AJ26" i="37"/>
  <c r="AI26" i="37"/>
  <c r="AH26" i="37"/>
  <c r="AG26" i="37"/>
  <c r="AF26" i="37"/>
  <c r="AE26" i="37"/>
  <c r="AD26" i="37"/>
  <c r="AC26" i="37"/>
  <c r="AB26" i="37"/>
  <c r="AA26" i="37"/>
  <c r="Z26" i="37"/>
  <c r="Y26" i="37"/>
  <c r="X26" i="37"/>
  <c r="W26" i="37"/>
  <c r="V26" i="37"/>
  <c r="U26" i="37"/>
  <c r="T26" i="37"/>
  <c r="S26" i="37"/>
  <c r="R26" i="37"/>
  <c r="Q26" i="37"/>
  <c r="P26" i="37"/>
  <c r="O26" i="37"/>
  <c r="N26" i="37"/>
  <c r="M26" i="37"/>
  <c r="L26" i="37"/>
  <c r="K26" i="37"/>
  <c r="J26" i="37"/>
  <c r="I26" i="37"/>
  <c r="H26" i="37"/>
  <c r="G26" i="37"/>
  <c r="F26" i="37"/>
  <c r="E26" i="37"/>
  <c r="D26" i="37"/>
  <c r="IY25" i="37"/>
  <c r="IX25" i="37"/>
  <c r="IW25" i="37"/>
  <c r="IV25" i="37"/>
  <c r="IT25" i="37"/>
  <c r="IS25" i="37"/>
  <c r="IR25" i="37"/>
  <c r="IQ25" i="37"/>
  <c r="IP25" i="37"/>
  <c r="IO25" i="37"/>
  <c r="IN25" i="37"/>
  <c r="IM25" i="37"/>
  <c r="IL25" i="37"/>
  <c r="IK25" i="37"/>
  <c r="IJ25" i="37"/>
  <c r="II25" i="37"/>
  <c r="IH25" i="37"/>
  <c r="IG25" i="37"/>
  <c r="IF25" i="37"/>
  <c r="IE25" i="37"/>
  <c r="ID25" i="37"/>
  <c r="IC25" i="37"/>
  <c r="IB25" i="37"/>
  <c r="IA25" i="37"/>
  <c r="HZ25" i="37"/>
  <c r="HY25" i="37"/>
  <c r="HX25" i="37"/>
  <c r="HW25" i="37"/>
  <c r="HV25" i="37"/>
  <c r="HT25" i="37"/>
  <c r="HR25" i="37"/>
  <c r="HQ25" i="37"/>
  <c r="HO25" i="37"/>
  <c r="HN25" i="37"/>
  <c r="HM25" i="37"/>
  <c r="HL25" i="37"/>
  <c r="HK25" i="37"/>
  <c r="HJ25" i="37"/>
  <c r="HI25" i="37"/>
  <c r="HH25" i="37"/>
  <c r="HG25" i="37"/>
  <c r="HF25" i="37"/>
  <c r="HE25" i="37"/>
  <c r="HD25" i="37"/>
  <c r="HC25" i="37"/>
  <c r="HB25" i="37"/>
  <c r="HA25" i="37"/>
  <c r="GZ25" i="37"/>
  <c r="GX25" i="37"/>
  <c r="GW25" i="37"/>
  <c r="GV25" i="37"/>
  <c r="GU25" i="37"/>
  <c r="GT25" i="37"/>
  <c r="GS25" i="37"/>
  <c r="GR25" i="37"/>
  <c r="GQ25" i="37"/>
  <c r="GP25" i="37"/>
  <c r="GO25" i="37"/>
  <c r="GN25" i="37"/>
  <c r="GL25" i="37"/>
  <c r="GJ25" i="37"/>
  <c r="GI25" i="37"/>
  <c r="GH25" i="37"/>
  <c r="GG25" i="37"/>
  <c r="GF25" i="37"/>
  <c r="GE25" i="37"/>
  <c r="GD25" i="37"/>
  <c r="GC25" i="37"/>
  <c r="GB25" i="37"/>
  <c r="GA25" i="37"/>
  <c r="FZ25" i="37"/>
  <c r="FY25" i="37"/>
  <c r="FX25" i="37"/>
  <c r="FW25" i="37"/>
  <c r="FV25" i="37"/>
  <c r="FU25" i="37"/>
  <c r="FT25" i="37"/>
  <c r="FS25" i="37"/>
  <c r="FR25" i="37"/>
  <c r="FQ25" i="37"/>
  <c r="FP25" i="37"/>
  <c r="FO25" i="37"/>
  <c r="FN25" i="37"/>
  <c r="FM25" i="37"/>
  <c r="FL25" i="37"/>
  <c r="FK25" i="37"/>
  <c r="FJ25" i="37"/>
  <c r="FI25" i="37"/>
  <c r="FH25" i="37"/>
  <c r="FG25" i="37"/>
  <c r="FF25" i="37"/>
  <c r="FD25" i="37"/>
  <c r="FB25" i="37"/>
  <c r="FA25" i="37"/>
  <c r="EZ25" i="37"/>
  <c r="EY25" i="37"/>
  <c r="EX25" i="37"/>
  <c r="EW25" i="37"/>
  <c r="EV25" i="37"/>
  <c r="EU25" i="37"/>
  <c r="ET25" i="37"/>
  <c r="ES25" i="37"/>
  <c r="ER25" i="37"/>
  <c r="EQ25" i="37"/>
  <c r="EP25" i="37"/>
  <c r="EO25" i="37"/>
  <c r="EN25" i="37"/>
  <c r="EM25" i="37"/>
  <c r="EL25" i="37"/>
  <c r="EK25" i="37"/>
  <c r="EJ25" i="37"/>
  <c r="EI25" i="37"/>
  <c r="EH25" i="37"/>
  <c r="EG25" i="37"/>
  <c r="EF25" i="37"/>
  <c r="EE25" i="37"/>
  <c r="ED25" i="37"/>
  <c r="EC25" i="37"/>
  <c r="EB25" i="37"/>
  <c r="EA25" i="37"/>
  <c r="DZ25" i="37"/>
  <c r="DY25" i="37"/>
  <c r="DX25" i="37"/>
  <c r="DW25" i="37"/>
  <c r="DV25" i="37"/>
  <c r="DU25" i="37"/>
  <c r="DT25" i="37"/>
  <c r="DS25" i="37"/>
  <c r="DR25" i="37"/>
  <c r="DQ25" i="37"/>
  <c r="DP25" i="37"/>
  <c r="DO25" i="37"/>
  <c r="DN25" i="37"/>
  <c r="DM25" i="37"/>
  <c r="DL25" i="37"/>
  <c r="DK25" i="37"/>
  <c r="DJ25" i="37"/>
  <c r="DI25" i="37"/>
  <c r="DH25" i="37"/>
  <c r="DG25" i="37"/>
  <c r="DF25" i="37"/>
  <c r="DE25" i="37"/>
  <c r="DD25" i="37"/>
  <c r="DC25" i="37"/>
  <c r="DB25" i="37"/>
  <c r="DA25" i="37"/>
  <c r="CZ25" i="37"/>
  <c r="CY25" i="37"/>
  <c r="CX25" i="37"/>
  <c r="CW25" i="37"/>
  <c r="CV25" i="37"/>
  <c r="CU25" i="37"/>
  <c r="CT25" i="37"/>
  <c r="CS25" i="37"/>
  <c r="CR25" i="37"/>
  <c r="CQ25" i="37"/>
  <c r="CP25" i="37"/>
  <c r="CO25" i="37"/>
  <c r="CN25" i="37"/>
  <c r="CM25" i="37"/>
  <c r="CL25" i="37"/>
  <c r="CK25" i="37"/>
  <c r="CJ25" i="37"/>
  <c r="CI25" i="37"/>
  <c r="CH25" i="37"/>
  <c r="CG25" i="37"/>
  <c r="CF25" i="37"/>
  <c r="CE25" i="37"/>
  <c r="CD25" i="37"/>
  <c r="CC25" i="37"/>
  <c r="CB25" i="37"/>
  <c r="CA25" i="37"/>
  <c r="BZ25" i="37"/>
  <c r="BY25" i="37"/>
  <c r="BX25" i="37"/>
  <c r="BW25" i="37"/>
  <c r="BV25" i="37"/>
  <c r="BU25" i="37"/>
  <c r="BT25" i="37"/>
  <c r="BS25" i="37"/>
  <c r="BR25" i="37"/>
  <c r="BQ25" i="37"/>
  <c r="BP25" i="37"/>
  <c r="BO25" i="37"/>
  <c r="BN25" i="37"/>
  <c r="BM25" i="37"/>
  <c r="BL25" i="37"/>
  <c r="BK25" i="37"/>
  <c r="BJ25" i="37"/>
  <c r="BI25" i="37"/>
  <c r="BH25" i="37"/>
  <c r="BG25" i="37"/>
  <c r="BF25" i="37"/>
  <c r="BE25" i="37"/>
  <c r="BD25" i="37"/>
  <c r="BC25" i="37"/>
  <c r="BB25" i="37"/>
  <c r="BA25" i="37"/>
  <c r="AZ25" i="37"/>
  <c r="AY25" i="37"/>
  <c r="AX25" i="37"/>
  <c r="AW25" i="37"/>
  <c r="AV25" i="37"/>
  <c r="AU25" i="37"/>
  <c r="AT25" i="37"/>
  <c r="AS25" i="37"/>
  <c r="AR25" i="37"/>
  <c r="AQ25" i="37"/>
  <c r="AP25" i="37"/>
  <c r="AO25" i="37"/>
  <c r="AN25" i="37"/>
  <c r="AM25" i="37"/>
  <c r="AL25" i="37"/>
  <c r="AK25" i="37"/>
  <c r="AJ25" i="37"/>
  <c r="AI25" i="37"/>
  <c r="AH25" i="37"/>
  <c r="AG25" i="37"/>
  <c r="AF25" i="37"/>
  <c r="AE25" i="37"/>
  <c r="AD25" i="37"/>
  <c r="AC25" i="37"/>
  <c r="AB25" i="37"/>
  <c r="AA25" i="37"/>
  <c r="Z25" i="37"/>
  <c r="Y25" i="37"/>
  <c r="X25" i="37"/>
  <c r="W25" i="37"/>
  <c r="V25" i="37"/>
  <c r="U25" i="37"/>
  <c r="T25" i="37"/>
  <c r="S25" i="37"/>
  <c r="R25" i="37"/>
  <c r="Q25" i="37"/>
  <c r="P25" i="37"/>
  <c r="O25" i="37"/>
  <c r="N25" i="37"/>
  <c r="M25" i="37"/>
  <c r="L25" i="37"/>
  <c r="K25" i="37"/>
  <c r="J25" i="37"/>
  <c r="I25" i="37"/>
  <c r="H25" i="37"/>
  <c r="G25" i="37"/>
  <c r="F25" i="37"/>
  <c r="E25" i="37"/>
  <c r="D25" i="37"/>
  <c r="IY24" i="37"/>
  <c r="IX24" i="37"/>
  <c r="IW24" i="37"/>
  <c r="IV24" i="37"/>
  <c r="IT24" i="37"/>
  <c r="IS24" i="37"/>
  <c r="IR24" i="37"/>
  <c r="IQ24" i="37"/>
  <c r="IP24" i="37"/>
  <c r="IO24" i="37"/>
  <c r="IN24" i="37"/>
  <c r="IM24" i="37"/>
  <c r="IL24" i="37"/>
  <c r="IK24" i="37"/>
  <c r="IJ24" i="37"/>
  <c r="II24" i="37"/>
  <c r="IH24" i="37"/>
  <c r="IG24" i="37"/>
  <c r="IF24" i="37"/>
  <c r="IE24" i="37"/>
  <c r="ID24" i="37"/>
  <c r="IC24" i="37"/>
  <c r="IB24" i="37"/>
  <c r="IA24" i="37"/>
  <c r="HZ24" i="37"/>
  <c r="HY24" i="37"/>
  <c r="HX24" i="37"/>
  <c r="HW24" i="37"/>
  <c r="HV24" i="37"/>
  <c r="HT24" i="37"/>
  <c r="HR24" i="37"/>
  <c r="HQ24" i="37"/>
  <c r="HO24" i="37"/>
  <c r="HN24" i="37"/>
  <c r="HM24" i="37"/>
  <c r="HL24" i="37"/>
  <c r="HK24" i="37"/>
  <c r="HJ24" i="37"/>
  <c r="HI24" i="37"/>
  <c r="HH24" i="37"/>
  <c r="HG24" i="37"/>
  <c r="HF24" i="37"/>
  <c r="HE24" i="37"/>
  <c r="HD24" i="37"/>
  <c r="HC24" i="37"/>
  <c r="HB24" i="37"/>
  <c r="HA24" i="37"/>
  <c r="GZ24" i="37"/>
  <c r="GX24" i="37"/>
  <c r="GW24" i="37"/>
  <c r="GV24" i="37"/>
  <c r="GU24" i="37"/>
  <c r="GT24" i="37"/>
  <c r="GS24" i="37"/>
  <c r="GR24" i="37"/>
  <c r="GQ24" i="37"/>
  <c r="GP24" i="37"/>
  <c r="GO24" i="37"/>
  <c r="GN24" i="37"/>
  <c r="GL24" i="37"/>
  <c r="GJ24" i="37"/>
  <c r="GI24" i="37"/>
  <c r="GH24" i="37"/>
  <c r="GG24" i="37"/>
  <c r="GF24" i="37"/>
  <c r="GE24" i="37"/>
  <c r="GD24" i="37"/>
  <c r="GC24" i="37"/>
  <c r="GB24" i="37"/>
  <c r="GA24" i="37"/>
  <c r="FZ24" i="37"/>
  <c r="FY24" i="37"/>
  <c r="FX24" i="37"/>
  <c r="FW24" i="37"/>
  <c r="FV24" i="37"/>
  <c r="FU24" i="37"/>
  <c r="FT24" i="37"/>
  <c r="FS24" i="37"/>
  <c r="FR24" i="37"/>
  <c r="FQ24" i="37"/>
  <c r="FP24" i="37"/>
  <c r="FO24" i="37"/>
  <c r="FN24" i="37"/>
  <c r="FM24" i="37"/>
  <c r="FL24" i="37"/>
  <c r="FK24" i="37"/>
  <c r="FJ24" i="37"/>
  <c r="FI24" i="37"/>
  <c r="FH24" i="37"/>
  <c r="FG24" i="37"/>
  <c r="FF24" i="37"/>
  <c r="FD24" i="37"/>
  <c r="FB24" i="37"/>
  <c r="FA24" i="37"/>
  <c r="EZ24" i="37"/>
  <c r="EY24" i="37"/>
  <c r="EX24" i="37"/>
  <c r="EW24" i="37"/>
  <c r="EV24" i="37"/>
  <c r="EU24" i="37"/>
  <c r="ET24" i="37"/>
  <c r="ES24" i="37"/>
  <c r="ER24" i="37"/>
  <c r="EQ24" i="37"/>
  <c r="EP24" i="37"/>
  <c r="EO24" i="37"/>
  <c r="EN24" i="37"/>
  <c r="EM24" i="37"/>
  <c r="EL24" i="37"/>
  <c r="EK24" i="37"/>
  <c r="EJ24" i="37"/>
  <c r="EI24" i="37"/>
  <c r="EH24" i="37"/>
  <c r="EG24" i="37"/>
  <c r="EF24" i="37"/>
  <c r="EE24" i="37"/>
  <c r="ED24" i="37"/>
  <c r="EC24" i="37"/>
  <c r="EB24" i="37"/>
  <c r="EA24" i="37"/>
  <c r="DZ24" i="37"/>
  <c r="DY24" i="37"/>
  <c r="DX24" i="37"/>
  <c r="DW24" i="37"/>
  <c r="DV24" i="37"/>
  <c r="DU24" i="37"/>
  <c r="DT24" i="37"/>
  <c r="DS24" i="37"/>
  <c r="DR24" i="37"/>
  <c r="DQ24" i="37"/>
  <c r="DP24" i="37"/>
  <c r="DO24" i="37"/>
  <c r="DN24" i="37"/>
  <c r="DM24" i="37"/>
  <c r="DL24" i="37"/>
  <c r="DK24" i="37"/>
  <c r="DJ24" i="37"/>
  <c r="DI24" i="37"/>
  <c r="DH24" i="37"/>
  <c r="DG24" i="37"/>
  <c r="DF24" i="37"/>
  <c r="DE24" i="37"/>
  <c r="DD24" i="37"/>
  <c r="DC24" i="37"/>
  <c r="DB24" i="37"/>
  <c r="DA24" i="37"/>
  <c r="CZ24" i="37"/>
  <c r="CY24" i="37"/>
  <c r="CX24" i="37"/>
  <c r="CW24" i="37"/>
  <c r="CV24" i="37"/>
  <c r="CU24" i="37"/>
  <c r="CT24" i="37"/>
  <c r="CS24" i="37"/>
  <c r="CR24" i="37"/>
  <c r="CQ24" i="37"/>
  <c r="CP24" i="37"/>
  <c r="CO24" i="37"/>
  <c r="CN24" i="37"/>
  <c r="CM24" i="37"/>
  <c r="CL24" i="37"/>
  <c r="CK24" i="37"/>
  <c r="CJ24" i="37"/>
  <c r="CI24" i="37"/>
  <c r="CH24" i="37"/>
  <c r="CG24" i="37"/>
  <c r="CF24" i="37"/>
  <c r="CE24" i="37"/>
  <c r="CD24" i="37"/>
  <c r="CC24" i="37"/>
  <c r="CB24" i="37"/>
  <c r="CA24" i="37"/>
  <c r="BZ24" i="37"/>
  <c r="BY24" i="37"/>
  <c r="BX24" i="37"/>
  <c r="BW24" i="37"/>
  <c r="BV24" i="37"/>
  <c r="BU24" i="37"/>
  <c r="BT24" i="37"/>
  <c r="BS24" i="37"/>
  <c r="BR24" i="37"/>
  <c r="BQ24" i="37"/>
  <c r="BP24" i="37"/>
  <c r="BO24" i="37"/>
  <c r="BN24" i="37"/>
  <c r="BM24" i="37"/>
  <c r="BL24" i="37"/>
  <c r="BK24" i="37"/>
  <c r="BJ24" i="37"/>
  <c r="BI24" i="37"/>
  <c r="BH24" i="37"/>
  <c r="BG24" i="37"/>
  <c r="BF24" i="37"/>
  <c r="BE24" i="37"/>
  <c r="BD24" i="37"/>
  <c r="BC24" i="37"/>
  <c r="BB24" i="37"/>
  <c r="BA24" i="37"/>
  <c r="AZ24" i="37"/>
  <c r="AY24" i="37"/>
  <c r="AX24" i="37"/>
  <c r="AW24" i="37"/>
  <c r="AV24" i="37"/>
  <c r="AU24" i="37"/>
  <c r="AT24" i="37"/>
  <c r="AS24" i="37"/>
  <c r="AR24" i="37"/>
  <c r="AQ24" i="37"/>
  <c r="AP24" i="37"/>
  <c r="AO24" i="37"/>
  <c r="AN24" i="37"/>
  <c r="AM24" i="37"/>
  <c r="AL24" i="37"/>
  <c r="AK24" i="37"/>
  <c r="AJ24" i="37"/>
  <c r="AI24" i="37"/>
  <c r="AH24" i="37"/>
  <c r="AG24" i="37"/>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D24" i="37"/>
  <c r="IY23" i="37"/>
  <c r="IX23" i="37"/>
  <c r="IW23" i="37"/>
  <c r="IV23" i="37"/>
  <c r="IT23" i="37"/>
  <c r="IS23" i="37"/>
  <c r="IR23" i="37"/>
  <c r="IQ23" i="37"/>
  <c r="IP23" i="37"/>
  <c r="IO23" i="37"/>
  <c r="IN23" i="37"/>
  <c r="IM23" i="37"/>
  <c r="IL23" i="37"/>
  <c r="IK23" i="37"/>
  <c r="IJ23" i="37"/>
  <c r="II23" i="37"/>
  <c r="IH23" i="37"/>
  <c r="IG23" i="37"/>
  <c r="IF23" i="37"/>
  <c r="IE23" i="37"/>
  <c r="ID23" i="37"/>
  <c r="IC23" i="37"/>
  <c r="IB23" i="37"/>
  <c r="IA23" i="37"/>
  <c r="HZ23" i="37"/>
  <c r="HY23" i="37"/>
  <c r="HX23" i="37"/>
  <c r="HW23" i="37"/>
  <c r="HV23" i="37"/>
  <c r="HT23" i="37"/>
  <c r="HR23" i="37"/>
  <c r="HQ23" i="37"/>
  <c r="HO23" i="37"/>
  <c r="HN23" i="37"/>
  <c r="HM23" i="37"/>
  <c r="HL23" i="37"/>
  <c r="HK23" i="37"/>
  <c r="HJ23" i="37"/>
  <c r="HI23" i="37"/>
  <c r="HH23" i="37"/>
  <c r="HG23" i="37"/>
  <c r="HF23" i="37"/>
  <c r="HE23" i="37"/>
  <c r="HD23" i="37"/>
  <c r="HC23" i="37"/>
  <c r="HB23" i="37"/>
  <c r="HA23" i="37"/>
  <c r="GZ23" i="37"/>
  <c r="GX23" i="37"/>
  <c r="GW23" i="37"/>
  <c r="GV23" i="37"/>
  <c r="GU23" i="37"/>
  <c r="GT23" i="37"/>
  <c r="GS23" i="37"/>
  <c r="GR23" i="37"/>
  <c r="GQ23" i="37"/>
  <c r="GP23" i="37"/>
  <c r="GO23" i="37"/>
  <c r="GN23" i="37"/>
  <c r="GL23" i="37"/>
  <c r="GJ23" i="37"/>
  <c r="GI23" i="37"/>
  <c r="GH23" i="37"/>
  <c r="GG23" i="37"/>
  <c r="GF23" i="37"/>
  <c r="GE23" i="37"/>
  <c r="GD23" i="37"/>
  <c r="GC23" i="37"/>
  <c r="GB23" i="37"/>
  <c r="GA23" i="37"/>
  <c r="FZ23" i="37"/>
  <c r="FY23" i="37"/>
  <c r="FX23" i="37"/>
  <c r="FW23" i="37"/>
  <c r="FV23" i="37"/>
  <c r="FU23" i="37"/>
  <c r="FT23" i="37"/>
  <c r="FS23" i="37"/>
  <c r="FR23" i="37"/>
  <c r="FQ23" i="37"/>
  <c r="FP23" i="37"/>
  <c r="FO23" i="37"/>
  <c r="FN23" i="37"/>
  <c r="FM23" i="37"/>
  <c r="FL23" i="37"/>
  <c r="FK23" i="37"/>
  <c r="FJ23" i="37"/>
  <c r="FI23" i="37"/>
  <c r="FH23" i="37"/>
  <c r="FG23" i="37"/>
  <c r="FF23" i="37"/>
  <c r="FD23" i="37"/>
  <c r="FB23" i="37"/>
  <c r="FA23" i="37"/>
  <c r="EZ23" i="37"/>
  <c r="EY23" i="37"/>
  <c r="EX23" i="37"/>
  <c r="EW23" i="37"/>
  <c r="EV23" i="37"/>
  <c r="EU23" i="37"/>
  <c r="ET23" i="37"/>
  <c r="ES23" i="37"/>
  <c r="ER23" i="37"/>
  <c r="EQ23" i="37"/>
  <c r="EP23" i="37"/>
  <c r="EO23" i="37"/>
  <c r="EN23" i="37"/>
  <c r="EM23" i="37"/>
  <c r="EL23" i="37"/>
  <c r="EK23" i="37"/>
  <c r="EJ23" i="37"/>
  <c r="EI23" i="37"/>
  <c r="EH23" i="37"/>
  <c r="EG23" i="37"/>
  <c r="EF23" i="37"/>
  <c r="EE23" i="37"/>
  <c r="ED23" i="37"/>
  <c r="EC23" i="37"/>
  <c r="EB23" i="37"/>
  <c r="EA23" i="37"/>
  <c r="DZ23" i="37"/>
  <c r="DY23" i="37"/>
  <c r="DX23" i="37"/>
  <c r="DW23" i="37"/>
  <c r="DV23" i="37"/>
  <c r="DU23" i="37"/>
  <c r="DT23" i="37"/>
  <c r="DS23" i="37"/>
  <c r="DR23" i="37"/>
  <c r="DQ23" i="37"/>
  <c r="DP23" i="37"/>
  <c r="DO23" i="37"/>
  <c r="DN23" i="37"/>
  <c r="DM23" i="37"/>
  <c r="DL23" i="37"/>
  <c r="DK23" i="37"/>
  <c r="DJ23" i="37"/>
  <c r="DI23" i="37"/>
  <c r="DH23" i="37"/>
  <c r="DG23" i="37"/>
  <c r="DF23" i="37"/>
  <c r="DE23" i="37"/>
  <c r="DD23" i="37"/>
  <c r="DC23" i="37"/>
  <c r="DB23" i="37"/>
  <c r="DA23" i="37"/>
  <c r="CZ23" i="37"/>
  <c r="CY23" i="37"/>
  <c r="CX23" i="37"/>
  <c r="CW23" i="37"/>
  <c r="CV23" i="37"/>
  <c r="CU23" i="37"/>
  <c r="CT23" i="37"/>
  <c r="CS23" i="37"/>
  <c r="CR23" i="37"/>
  <c r="CQ23" i="37"/>
  <c r="CP23" i="37"/>
  <c r="CO23" i="37"/>
  <c r="CN23" i="37"/>
  <c r="CM23" i="37"/>
  <c r="CL23" i="37"/>
  <c r="CK23" i="37"/>
  <c r="CJ23" i="37"/>
  <c r="CI23" i="37"/>
  <c r="CH23" i="37"/>
  <c r="CG23" i="37"/>
  <c r="CF23" i="37"/>
  <c r="CE23" i="37"/>
  <c r="CD23" i="37"/>
  <c r="CC23" i="37"/>
  <c r="CB23" i="37"/>
  <c r="CA23" i="37"/>
  <c r="BZ23" i="37"/>
  <c r="BY23" i="37"/>
  <c r="BX23" i="37"/>
  <c r="BW23" i="37"/>
  <c r="BV23" i="37"/>
  <c r="BU23" i="37"/>
  <c r="BT23" i="37"/>
  <c r="BS23" i="37"/>
  <c r="BR23" i="37"/>
  <c r="BQ23" i="37"/>
  <c r="BP23" i="37"/>
  <c r="BO23" i="37"/>
  <c r="BN23" i="37"/>
  <c r="BM23" i="37"/>
  <c r="BL23" i="37"/>
  <c r="BK23" i="37"/>
  <c r="BJ23" i="37"/>
  <c r="BI23" i="37"/>
  <c r="BH23" i="37"/>
  <c r="BG23" i="37"/>
  <c r="BF23" i="37"/>
  <c r="BE23" i="37"/>
  <c r="BD23" i="37"/>
  <c r="BC23" i="37"/>
  <c r="BB23" i="37"/>
  <c r="BA23" i="37"/>
  <c r="AZ23" i="37"/>
  <c r="AY23" i="37"/>
  <c r="AX23" i="37"/>
  <c r="AW23" i="37"/>
  <c r="AV23" i="37"/>
  <c r="AU23" i="37"/>
  <c r="AT23" i="37"/>
  <c r="AS23" i="37"/>
  <c r="AR23" i="37"/>
  <c r="AQ23" i="37"/>
  <c r="AP23" i="37"/>
  <c r="AO23" i="37"/>
  <c r="AN23" i="37"/>
  <c r="AM23" i="37"/>
  <c r="AL23" i="37"/>
  <c r="AK23" i="37"/>
  <c r="AJ23" i="37"/>
  <c r="AI23" i="37"/>
  <c r="AH23" i="37"/>
  <c r="AG23" i="37"/>
  <c r="AF23" i="37"/>
  <c r="AE23" i="37"/>
  <c r="AD23" i="37"/>
  <c r="AC23" i="37"/>
  <c r="AB23" i="37"/>
  <c r="AA23" i="37"/>
  <c r="Z23" i="37"/>
  <c r="Y23" i="37"/>
  <c r="X23" i="37"/>
  <c r="W23" i="37"/>
  <c r="V23" i="37"/>
  <c r="U23" i="37"/>
  <c r="T23" i="37"/>
  <c r="S23" i="37"/>
  <c r="R23" i="37"/>
  <c r="Q23" i="37"/>
  <c r="P23" i="37"/>
  <c r="O23" i="37"/>
  <c r="N23" i="37"/>
  <c r="M23" i="37"/>
  <c r="L23" i="37"/>
  <c r="K23" i="37"/>
  <c r="J23" i="37"/>
  <c r="I23" i="37"/>
  <c r="H23" i="37"/>
  <c r="G23" i="37"/>
  <c r="F23" i="37"/>
  <c r="E23" i="37"/>
  <c r="D23" i="37"/>
  <c r="IY22" i="37"/>
  <c r="IX22" i="37"/>
  <c r="IW22" i="37"/>
  <c r="IV22" i="37"/>
  <c r="IT22" i="37"/>
  <c r="IS22" i="37"/>
  <c r="IR22" i="37"/>
  <c r="IQ22" i="37"/>
  <c r="IP22" i="37"/>
  <c r="IO22" i="37"/>
  <c r="IN22" i="37"/>
  <c r="IM22" i="37"/>
  <c r="IL22" i="37"/>
  <c r="IK22" i="37"/>
  <c r="IJ22" i="37"/>
  <c r="II22" i="37"/>
  <c r="IH22" i="37"/>
  <c r="IG22" i="37"/>
  <c r="IF22" i="37"/>
  <c r="IE22" i="37"/>
  <c r="ID22" i="37"/>
  <c r="IC22" i="37"/>
  <c r="IB22" i="37"/>
  <c r="IA22" i="37"/>
  <c r="HZ22" i="37"/>
  <c r="HY22" i="37"/>
  <c r="HX22" i="37"/>
  <c r="HW22" i="37"/>
  <c r="HV22" i="37"/>
  <c r="HT22" i="37"/>
  <c r="HR22" i="37"/>
  <c r="HQ22" i="37"/>
  <c r="HO22" i="37"/>
  <c r="HN22" i="37"/>
  <c r="HM22" i="37"/>
  <c r="HL22" i="37"/>
  <c r="HK22" i="37"/>
  <c r="HJ22" i="37"/>
  <c r="HI22" i="37"/>
  <c r="HH22" i="37"/>
  <c r="HG22" i="37"/>
  <c r="HF22" i="37"/>
  <c r="HE22" i="37"/>
  <c r="HD22" i="37"/>
  <c r="HC22" i="37"/>
  <c r="HB22" i="37"/>
  <c r="HA22" i="37"/>
  <c r="GZ22" i="37"/>
  <c r="GX22" i="37"/>
  <c r="GW22" i="37"/>
  <c r="GV22" i="37"/>
  <c r="GU22" i="37"/>
  <c r="GT22" i="37"/>
  <c r="GS22" i="37"/>
  <c r="GR22" i="37"/>
  <c r="GQ22" i="37"/>
  <c r="GP22" i="37"/>
  <c r="GO22" i="37"/>
  <c r="GN22" i="37"/>
  <c r="GL22" i="37"/>
  <c r="GJ22" i="37"/>
  <c r="GI22" i="37"/>
  <c r="GH22" i="37"/>
  <c r="GG22" i="37"/>
  <c r="GF22" i="37"/>
  <c r="GE22" i="37"/>
  <c r="GD22" i="37"/>
  <c r="GC22" i="37"/>
  <c r="GB22" i="37"/>
  <c r="GA22" i="37"/>
  <c r="FZ22" i="37"/>
  <c r="FY22" i="37"/>
  <c r="FX22" i="37"/>
  <c r="FW22" i="37"/>
  <c r="FV22" i="37"/>
  <c r="FU22" i="37"/>
  <c r="FT22" i="37"/>
  <c r="FS22" i="37"/>
  <c r="FR22" i="37"/>
  <c r="FQ22" i="37"/>
  <c r="FP22" i="37"/>
  <c r="FO22" i="37"/>
  <c r="FN22" i="37"/>
  <c r="FM22" i="37"/>
  <c r="FL22" i="37"/>
  <c r="FK22" i="37"/>
  <c r="FJ22" i="37"/>
  <c r="FI22" i="37"/>
  <c r="FH22" i="37"/>
  <c r="FG22" i="37"/>
  <c r="FF22" i="37"/>
  <c r="FD22" i="37"/>
  <c r="FB22" i="37"/>
  <c r="FA22" i="37"/>
  <c r="EZ22" i="37"/>
  <c r="EY22" i="37"/>
  <c r="EX22" i="37"/>
  <c r="EW22" i="37"/>
  <c r="EV22" i="37"/>
  <c r="EU22" i="37"/>
  <c r="ET22" i="37"/>
  <c r="ES22" i="37"/>
  <c r="ER22" i="37"/>
  <c r="EQ22" i="37"/>
  <c r="EP22" i="37"/>
  <c r="EO22" i="37"/>
  <c r="EN22" i="37"/>
  <c r="EM22" i="37"/>
  <c r="EL22" i="37"/>
  <c r="EK22" i="37"/>
  <c r="EJ22" i="37"/>
  <c r="EI22" i="37"/>
  <c r="EH22" i="37"/>
  <c r="EG22" i="37"/>
  <c r="EF22" i="37"/>
  <c r="EE22" i="37"/>
  <c r="ED22" i="37"/>
  <c r="EC22" i="37"/>
  <c r="EB22" i="37"/>
  <c r="EA22" i="37"/>
  <c r="DZ22" i="37"/>
  <c r="DY22" i="37"/>
  <c r="DX22" i="37"/>
  <c r="DW22" i="37"/>
  <c r="DV22" i="37"/>
  <c r="DU22" i="37"/>
  <c r="DT22" i="37"/>
  <c r="DS22" i="37"/>
  <c r="DR22" i="37"/>
  <c r="DQ22" i="37"/>
  <c r="DP22" i="37"/>
  <c r="DO22" i="37"/>
  <c r="DN22" i="37"/>
  <c r="DM22" i="37"/>
  <c r="DL22" i="37"/>
  <c r="DK22" i="37"/>
  <c r="DJ22" i="37"/>
  <c r="DI22" i="37"/>
  <c r="DH22" i="37"/>
  <c r="DG22" i="37"/>
  <c r="DF22" i="37"/>
  <c r="DE22" i="37"/>
  <c r="DD22" i="37"/>
  <c r="DC22" i="37"/>
  <c r="DB22" i="37"/>
  <c r="DA22" i="37"/>
  <c r="CZ22" i="37"/>
  <c r="CY22" i="37"/>
  <c r="CX22" i="37"/>
  <c r="CW22" i="37"/>
  <c r="CV22" i="37"/>
  <c r="CU22" i="37"/>
  <c r="CT22" i="37"/>
  <c r="CS22" i="37"/>
  <c r="CR22" i="37"/>
  <c r="CQ22" i="37"/>
  <c r="CP22" i="37"/>
  <c r="CO22" i="37"/>
  <c r="CN22" i="37"/>
  <c r="CM22" i="37"/>
  <c r="CL22" i="37"/>
  <c r="CK22" i="37"/>
  <c r="CJ22" i="37"/>
  <c r="CI22" i="37"/>
  <c r="CH22" i="37"/>
  <c r="CG22" i="37"/>
  <c r="CF22" i="37"/>
  <c r="CE22" i="37"/>
  <c r="CD22" i="37"/>
  <c r="CC22" i="37"/>
  <c r="CB22" i="37"/>
  <c r="CA22" i="37"/>
  <c r="BZ22" i="37"/>
  <c r="BY22" i="37"/>
  <c r="BX22" i="37"/>
  <c r="BW22" i="37"/>
  <c r="BV22" i="37"/>
  <c r="BU22" i="37"/>
  <c r="BT22" i="37"/>
  <c r="BS22" i="37"/>
  <c r="BR22" i="37"/>
  <c r="BQ22" i="37"/>
  <c r="BP22" i="37"/>
  <c r="BO22" i="37"/>
  <c r="BN22" i="37"/>
  <c r="BM22" i="37"/>
  <c r="BL22" i="37"/>
  <c r="BK22" i="37"/>
  <c r="BJ22" i="37"/>
  <c r="BI22" i="37"/>
  <c r="BH22" i="37"/>
  <c r="BG22" i="37"/>
  <c r="BF22" i="37"/>
  <c r="BE22" i="37"/>
  <c r="BD22" i="37"/>
  <c r="BC22" i="37"/>
  <c r="BB22" i="37"/>
  <c r="BA22" i="37"/>
  <c r="AZ22" i="37"/>
  <c r="AY22" i="37"/>
  <c r="AX22" i="37"/>
  <c r="AW22" i="37"/>
  <c r="AV22" i="37"/>
  <c r="AU22" i="37"/>
  <c r="AT22" i="37"/>
  <c r="AS22" i="37"/>
  <c r="AR22" i="37"/>
  <c r="AQ22" i="37"/>
  <c r="AP22" i="37"/>
  <c r="AO22" i="37"/>
  <c r="AN22" i="37"/>
  <c r="AM22" i="37"/>
  <c r="AL22" i="37"/>
  <c r="AK22" i="37"/>
  <c r="AJ22" i="37"/>
  <c r="AI22" i="37"/>
  <c r="AH22" i="37"/>
  <c r="AG22" i="37"/>
  <c r="AF22" i="37"/>
  <c r="AE22" i="37"/>
  <c r="AD22" i="37"/>
  <c r="AC22" i="37"/>
  <c r="AB22" i="37"/>
  <c r="AA22" i="37"/>
  <c r="Z22" i="37"/>
  <c r="Y22" i="37"/>
  <c r="X22" i="37"/>
  <c r="W22" i="37"/>
  <c r="V22" i="37"/>
  <c r="U22" i="37"/>
  <c r="T22" i="37"/>
  <c r="S22" i="37"/>
  <c r="R22" i="37"/>
  <c r="Q22" i="37"/>
  <c r="P22" i="37"/>
  <c r="O22" i="37"/>
  <c r="N22" i="37"/>
  <c r="M22" i="37"/>
  <c r="L22" i="37"/>
  <c r="K22" i="37"/>
  <c r="J22" i="37"/>
  <c r="I22" i="37"/>
  <c r="H22" i="37"/>
  <c r="G22" i="37"/>
  <c r="F22" i="37"/>
  <c r="E22" i="37"/>
  <c r="D22" i="37"/>
  <c r="IY21" i="37"/>
  <c r="IX21" i="37"/>
  <c r="IW21" i="37"/>
  <c r="IV21" i="37"/>
  <c r="IT21" i="37"/>
  <c r="IS21" i="37"/>
  <c r="IR21" i="37"/>
  <c r="IQ21" i="37"/>
  <c r="IP21" i="37"/>
  <c r="IO21" i="37"/>
  <c r="IN21" i="37"/>
  <c r="IM21" i="37"/>
  <c r="IL21" i="37"/>
  <c r="IK21" i="37"/>
  <c r="IJ21" i="37"/>
  <c r="II21" i="37"/>
  <c r="IH21" i="37"/>
  <c r="IG21" i="37"/>
  <c r="IF21" i="37"/>
  <c r="IE21" i="37"/>
  <c r="ID21" i="37"/>
  <c r="IC21" i="37"/>
  <c r="IB21" i="37"/>
  <c r="IA21" i="37"/>
  <c r="HZ21" i="37"/>
  <c r="HY21" i="37"/>
  <c r="HX21" i="37"/>
  <c r="HW21" i="37"/>
  <c r="HV21" i="37"/>
  <c r="HT21" i="37"/>
  <c r="HR21" i="37"/>
  <c r="HQ21" i="37"/>
  <c r="HO21" i="37"/>
  <c r="HN21" i="37"/>
  <c r="HM21" i="37"/>
  <c r="HL21" i="37"/>
  <c r="HK21" i="37"/>
  <c r="HJ21" i="37"/>
  <c r="HI21" i="37"/>
  <c r="HH21" i="37"/>
  <c r="HG21" i="37"/>
  <c r="HF21" i="37"/>
  <c r="HE21" i="37"/>
  <c r="HD21" i="37"/>
  <c r="HC21" i="37"/>
  <c r="HB21" i="37"/>
  <c r="HA21" i="37"/>
  <c r="GZ21" i="37"/>
  <c r="GX21" i="37"/>
  <c r="GW21" i="37"/>
  <c r="GV21" i="37"/>
  <c r="GU21" i="37"/>
  <c r="GT21" i="37"/>
  <c r="GS21" i="37"/>
  <c r="GR21" i="37"/>
  <c r="GQ21" i="37"/>
  <c r="GP21" i="37"/>
  <c r="GO21" i="37"/>
  <c r="GN21" i="37"/>
  <c r="GL21" i="37"/>
  <c r="GJ21" i="37"/>
  <c r="GI21" i="37"/>
  <c r="GH21" i="37"/>
  <c r="GG21" i="37"/>
  <c r="GF21" i="37"/>
  <c r="GE21" i="37"/>
  <c r="GD21" i="37"/>
  <c r="GC21" i="37"/>
  <c r="GB21" i="37"/>
  <c r="GA21" i="37"/>
  <c r="FZ21" i="37"/>
  <c r="FY21" i="37"/>
  <c r="FX21" i="37"/>
  <c r="FW21" i="37"/>
  <c r="FV21" i="37"/>
  <c r="FU21" i="37"/>
  <c r="FT21" i="37"/>
  <c r="FS21" i="37"/>
  <c r="FR21" i="37"/>
  <c r="FQ21" i="37"/>
  <c r="FP21" i="37"/>
  <c r="FO21" i="37"/>
  <c r="FN21" i="37"/>
  <c r="FM21" i="37"/>
  <c r="FL21" i="37"/>
  <c r="FK21" i="37"/>
  <c r="FJ21" i="37"/>
  <c r="FI21" i="37"/>
  <c r="FH21" i="37"/>
  <c r="FG21" i="37"/>
  <c r="FF21" i="37"/>
  <c r="FD21" i="37"/>
  <c r="FB21" i="37"/>
  <c r="FA21" i="37"/>
  <c r="EZ21" i="37"/>
  <c r="EY21" i="37"/>
  <c r="EX21" i="37"/>
  <c r="EW21" i="37"/>
  <c r="EV21" i="37"/>
  <c r="EU21" i="37"/>
  <c r="ET21" i="37"/>
  <c r="ES21" i="37"/>
  <c r="ER21" i="37"/>
  <c r="EQ21" i="37"/>
  <c r="EP21" i="37"/>
  <c r="EO21" i="37"/>
  <c r="EN21" i="37"/>
  <c r="EM21" i="37"/>
  <c r="EL21" i="37"/>
  <c r="EK21" i="37"/>
  <c r="EJ21" i="37"/>
  <c r="EI21" i="37"/>
  <c r="EH21" i="37"/>
  <c r="EG21" i="37"/>
  <c r="EF21" i="37"/>
  <c r="EE21" i="37"/>
  <c r="ED21" i="37"/>
  <c r="EC21" i="37"/>
  <c r="EB21" i="37"/>
  <c r="EA21" i="37"/>
  <c r="DZ21" i="37"/>
  <c r="DY21" i="37"/>
  <c r="DX21" i="37"/>
  <c r="DW21" i="37"/>
  <c r="DV21" i="37"/>
  <c r="DU21" i="37"/>
  <c r="DT21" i="37"/>
  <c r="DS21" i="37"/>
  <c r="DR21" i="37"/>
  <c r="DQ21" i="37"/>
  <c r="DP21" i="37"/>
  <c r="DO21" i="37"/>
  <c r="DN21" i="37"/>
  <c r="DM21" i="37"/>
  <c r="DL21" i="37"/>
  <c r="DK21" i="37"/>
  <c r="DJ21" i="37"/>
  <c r="DI21" i="37"/>
  <c r="DH21" i="37"/>
  <c r="DG21" i="37"/>
  <c r="DF21" i="37"/>
  <c r="DE21" i="37"/>
  <c r="DD21" i="37"/>
  <c r="DC21" i="37"/>
  <c r="DB21" i="37"/>
  <c r="DA21" i="37"/>
  <c r="CZ21" i="37"/>
  <c r="CY21" i="37"/>
  <c r="CX21" i="37"/>
  <c r="CW21" i="37"/>
  <c r="CV21" i="37"/>
  <c r="CU21" i="37"/>
  <c r="CT21" i="37"/>
  <c r="CS21" i="37"/>
  <c r="CR21" i="37"/>
  <c r="CQ21" i="37"/>
  <c r="CP21" i="37"/>
  <c r="CO21" i="37"/>
  <c r="CN21" i="37"/>
  <c r="CM21" i="37"/>
  <c r="CL21" i="37"/>
  <c r="CK21" i="37"/>
  <c r="CJ21" i="37"/>
  <c r="CI21" i="37"/>
  <c r="CH21" i="37"/>
  <c r="CG21" i="37"/>
  <c r="CF21" i="37"/>
  <c r="CE21" i="37"/>
  <c r="CD21" i="37"/>
  <c r="CC21" i="37"/>
  <c r="CB21" i="37"/>
  <c r="CA21" i="37"/>
  <c r="BZ21" i="37"/>
  <c r="BY21" i="37"/>
  <c r="BX21" i="37"/>
  <c r="BW21" i="37"/>
  <c r="BV21" i="37"/>
  <c r="BU21" i="37"/>
  <c r="BT21" i="37"/>
  <c r="BS21" i="37"/>
  <c r="BR21" i="37"/>
  <c r="BQ21" i="37"/>
  <c r="BP21" i="37"/>
  <c r="BO21" i="37"/>
  <c r="BN21" i="37"/>
  <c r="BM21" i="37"/>
  <c r="BL21" i="37"/>
  <c r="BK21" i="37"/>
  <c r="BJ21" i="37"/>
  <c r="BI21" i="37"/>
  <c r="BH21" i="37"/>
  <c r="BG21" i="37"/>
  <c r="BF21" i="37"/>
  <c r="BE21" i="37"/>
  <c r="BD21" i="37"/>
  <c r="BC21" i="37"/>
  <c r="BB21" i="37"/>
  <c r="BA21" i="37"/>
  <c r="AZ21" i="37"/>
  <c r="AY21" i="37"/>
  <c r="AX21" i="37"/>
  <c r="AW21" i="37"/>
  <c r="AV21" i="37"/>
  <c r="AU21" i="37"/>
  <c r="AT21" i="37"/>
  <c r="AS21" i="37"/>
  <c r="AR21" i="37"/>
  <c r="AQ21" i="37"/>
  <c r="AP21" i="37"/>
  <c r="AO21" i="37"/>
  <c r="AN21" i="37"/>
  <c r="AM21" i="37"/>
  <c r="AL21" i="37"/>
  <c r="AK21" i="37"/>
  <c r="AJ21" i="37"/>
  <c r="AI21" i="37"/>
  <c r="AH21" i="37"/>
  <c r="AG21" i="37"/>
  <c r="AF21" i="37"/>
  <c r="AE21" i="37"/>
  <c r="AD21" i="37"/>
  <c r="AC21" i="37"/>
  <c r="AB21" i="37"/>
  <c r="AA21" i="37"/>
  <c r="Z21" i="37"/>
  <c r="Y21" i="37"/>
  <c r="X21" i="37"/>
  <c r="W21" i="37"/>
  <c r="V21" i="37"/>
  <c r="U21" i="37"/>
  <c r="T21" i="37"/>
  <c r="S21" i="37"/>
  <c r="R21" i="37"/>
  <c r="Q21" i="37"/>
  <c r="P21" i="37"/>
  <c r="O21" i="37"/>
  <c r="N21" i="37"/>
  <c r="M21" i="37"/>
  <c r="L21" i="37"/>
  <c r="K21" i="37"/>
  <c r="J21" i="37"/>
  <c r="I21" i="37"/>
  <c r="H21" i="37"/>
  <c r="G21" i="37"/>
  <c r="F21" i="37"/>
  <c r="E21" i="37"/>
  <c r="D21" i="37"/>
  <c r="IY20" i="37"/>
  <c r="IX20" i="37"/>
  <c r="IW20" i="37"/>
  <c r="IV20" i="37"/>
  <c r="IT20" i="37"/>
  <c r="IS20" i="37"/>
  <c r="IR20" i="37"/>
  <c r="IQ20" i="37"/>
  <c r="IP20" i="37"/>
  <c r="IO20" i="37"/>
  <c r="IN20" i="37"/>
  <c r="IM20" i="37"/>
  <c r="IL20" i="37"/>
  <c r="IK20" i="37"/>
  <c r="IJ20" i="37"/>
  <c r="II20" i="37"/>
  <c r="IH20" i="37"/>
  <c r="IG20" i="37"/>
  <c r="IF20" i="37"/>
  <c r="IE20" i="37"/>
  <c r="ID20" i="37"/>
  <c r="IC20" i="37"/>
  <c r="IB20" i="37"/>
  <c r="IA20" i="37"/>
  <c r="HZ20" i="37"/>
  <c r="HY20" i="37"/>
  <c r="HX20" i="37"/>
  <c r="HW20" i="37"/>
  <c r="HV20" i="37"/>
  <c r="HT20" i="37"/>
  <c r="HR20" i="37"/>
  <c r="HQ20" i="37"/>
  <c r="HO20" i="37"/>
  <c r="HN20" i="37"/>
  <c r="HM20" i="37"/>
  <c r="HL20" i="37"/>
  <c r="HK20" i="37"/>
  <c r="HJ20" i="37"/>
  <c r="HI20" i="37"/>
  <c r="HH20" i="37"/>
  <c r="HG20" i="37"/>
  <c r="HF20" i="37"/>
  <c r="HE20" i="37"/>
  <c r="HD20" i="37"/>
  <c r="HC20" i="37"/>
  <c r="HB20" i="37"/>
  <c r="HA20" i="37"/>
  <c r="GZ20" i="37"/>
  <c r="GX20" i="37"/>
  <c r="GW20" i="37"/>
  <c r="GV20" i="37"/>
  <c r="GU20" i="37"/>
  <c r="GT20" i="37"/>
  <c r="GS20" i="37"/>
  <c r="GR20" i="37"/>
  <c r="GQ20" i="37"/>
  <c r="GP20" i="37"/>
  <c r="GO20" i="37"/>
  <c r="GN20" i="37"/>
  <c r="GL20" i="37"/>
  <c r="GJ20" i="37"/>
  <c r="GI20" i="37"/>
  <c r="GH20" i="37"/>
  <c r="GG20" i="37"/>
  <c r="GF20" i="37"/>
  <c r="GE20" i="37"/>
  <c r="GD20" i="37"/>
  <c r="GC20" i="37"/>
  <c r="GB20" i="37"/>
  <c r="GA20" i="37"/>
  <c r="FZ20" i="37"/>
  <c r="FY20" i="37"/>
  <c r="FX20" i="37"/>
  <c r="FW20" i="37"/>
  <c r="FV20" i="37"/>
  <c r="FU20" i="37"/>
  <c r="FT20" i="37"/>
  <c r="FS20" i="37"/>
  <c r="FR20" i="37"/>
  <c r="FQ20" i="37"/>
  <c r="FP20" i="37"/>
  <c r="FO20" i="37"/>
  <c r="FN20" i="37"/>
  <c r="FM20" i="37"/>
  <c r="FL20" i="37"/>
  <c r="FK20" i="37"/>
  <c r="FJ20" i="37"/>
  <c r="FI20" i="37"/>
  <c r="FH20" i="37"/>
  <c r="FG20" i="37"/>
  <c r="FF20" i="37"/>
  <c r="FD20" i="37"/>
  <c r="FB20" i="37"/>
  <c r="FA20" i="37"/>
  <c r="EZ20" i="37"/>
  <c r="EY20" i="37"/>
  <c r="EX20" i="37"/>
  <c r="EW20" i="37"/>
  <c r="EV20" i="37"/>
  <c r="EU20" i="37"/>
  <c r="ET20" i="37"/>
  <c r="ES20" i="37"/>
  <c r="ER20" i="37"/>
  <c r="EQ20" i="37"/>
  <c r="EP20" i="37"/>
  <c r="EO20" i="37"/>
  <c r="EN20" i="37"/>
  <c r="EM20" i="37"/>
  <c r="EL20" i="37"/>
  <c r="EK20" i="37"/>
  <c r="EJ20" i="37"/>
  <c r="EI20" i="37"/>
  <c r="EH20" i="37"/>
  <c r="EG20" i="37"/>
  <c r="EF20" i="37"/>
  <c r="EE20" i="37"/>
  <c r="ED20" i="37"/>
  <c r="EC20" i="37"/>
  <c r="EB20" i="37"/>
  <c r="EA20" i="37"/>
  <c r="DZ20" i="37"/>
  <c r="DY20" i="37"/>
  <c r="DX20" i="37"/>
  <c r="DW20" i="37"/>
  <c r="DV20" i="37"/>
  <c r="DU20" i="37"/>
  <c r="DT20" i="37"/>
  <c r="DS20" i="37"/>
  <c r="DR20" i="37"/>
  <c r="DQ20" i="37"/>
  <c r="DP20" i="37"/>
  <c r="DO20" i="37"/>
  <c r="DN20" i="37"/>
  <c r="DM20" i="37"/>
  <c r="DL20" i="37"/>
  <c r="DK20" i="37"/>
  <c r="DJ20" i="37"/>
  <c r="DI20" i="37"/>
  <c r="DH20" i="37"/>
  <c r="DG20" i="37"/>
  <c r="DF20" i="37"/>
  <c r="DE20" i="37"/>
  <c r="DD20" i="37"/>
  <c r="DC20" i="37"/>
  <c r="DB20" i="37"/>
  <c r="DA20" i="37"/>
  <c r="CZ20" i="37"/>
  <c r="CY20" i="37"/>
  <c r="CX20" i="37"/>
  <c r="CW20" i="37"/>
  <c r="CV20" i="37"/>
  <c r="CU20" i="37"/>
  <c r="CT20" i="37"/>
  <c r="CS20" i="37"/>
  <c r="CR20" i="37"/>
  <c r="CQ20" i="37"/>
  <c r="CP20" i="37"/>
  <c r="CO20" i="37"/>
  <c r="CN20" i="37"/>
  <c r="CM20" i="37"/>
  <c r="CL20" i="37"/>
  <c r="CK20" i="37"/>
  <c r="CJ20" i="37"/>
  <c r="CI20" i="37"/>
  <c r="CH20" i="37"/>
  <c r="CG20" i="37"/>
  <c r="CF20" i="37"/>
  <c r="CE20" i="37"/>
  <c r="CD20" i="37"/>
  <c r="CC20" i="37"/>
  <c r="CB20" i="37"/>
  <c r="CA20" i="37"/>
  <c r="BZ20" i="37"/>
  <c r="BY20" i="37"/>
  <c r="BX20" i="37"/>
  <c r="BW20" i="37"/>
  <c r="BV20" i="37"/>
  <c r="BU20" i="37"/>
  <c r="BT20" i="37"/>
  <c r="BS20" i="37"/>
  <c r="BR20" i="37"/>
  <c r="BQ20" i="37"/>
  <c r="BP20" i="37"/>
  <c r="BO20" i="37"/>
  <c r="BN20" i="37"/>
  <c r="BM20" i="37"/>
  <c r="BL20" i="37"/>
  <c r="BK20" i="37"/>
  <c r="BJ20" i="37"/>
  <c r="BI20" i="37"/>
  <c r="BH20" i="37"/>
  <c r="BG20" i="37"/>
  <c r="BF20" i="37"/>
  <c r="BE20" i="37"/>
  <c r="BD20" i="37"/>
  <c r="BC20" i="37"/>
  <c r="BB20" i="37"/>
  <c r="BA20" i="37"/>
  <c r="AZ20" i="37"/>
  <c r="AY20" i="37"/>
  <c r="AX20" i="37"/>
  <c r="AW20" i="37"/>
  <c r="AV20" i="37"/>
  <c r="AU20" i="37"/>
  <c r="AT20" i="37"/>
  <c r="AS20" i="37"/>
  <c r="AR20" i="37"/>
  <c r="AQ20" i="37"/>
  <c r="AP20" i="37"/>
  <c r="AO20" i="37"/>
  <c r="AN20" i="37"/>
  <c r="AM20" i="37"/>
  <c r="AL20" i="37"/>
  <c r="AK20" i="37"/>
  <c r="AJ20" i="37"/>
  <c r="AI20" i="37"/>
  <c r="AH20" i="37"/>
  <c r="AG20" i="37"/>
  <c r="AF20" i="37"/>
  <c r="AE20" i="37"/>
  <c r="AD20" i="37"/>
  <c r="AC20" i="37"/>
  <c r="AB20" i="37"/>
  <c r="AA20" i="37"/>
  <c r="Z20" i="37"/>
  <c r="Y20" i="37"/>
  <c r="X20" i="37"/>
  <c r="W20" i="37"/>
  <c r="V20" i="37"/>
  <c r="U20" i="37"/>
  <c r="T20" i="37"/>
  <c r="S20" i="37"/>
  <c r="R20" i="37"/>
  <c r="Q20" i="37"/>
  <c r="P20" i="37"/>
  <c r="O20" i="37"/>
  <c r="N20" i="37"/>
  <c r="M20" i="37"/>
  <c r="L20" i="37"/>
  <c r="K20" i="37"/>
  <c r="J20" i="37"/>
  <c r="I20" i="37"/>
  <c r="H20" i="37"/>
  <c r="G20" i="37"/>
  <c r="F20" i="37"/>
  <c r="E20" i="37"/>
  <c r="D20" i="37"/>
  <c r="IY19" i="37"/>
  <c r="IX19" i="37"/>
  <c r="IW19" i="37"/>
  <c r="IV19" i="37"/>
  <c r="IT19" i="37"/>
  <c r="IS19" i="37"/>
  <c r="IR19" i="37"/>
  <c r="IQ19" i="37"/>
  <c r="IP19" i="37"/>
  <c r="IO19" i="37"/>
  <c r="IN19" i="37"/>
  <c r="IM19" i="37"/>
  <c r="IL19" i="37"/>
  <c r="IK19" i="37"/>
  <c r="IJ19" i="37"/>
  <c r="II19" i="37"/>
  <c r="IH19" i="37"/>
  <c r="IG19" i="37"/>
  <c r="IF19" i="37"/>
  <c r="IE19" i="37"/>
  <c r="ID19" i="37"/>
  <c r="IC19" i="37"/>
  <c r="IB19" i="37"/>
  <c r="IA19" i="37"/>
  <c r="HZ19" i="37"/>
  <c r="HY19" i="37"/>
  <c r="HX19" i="37"/>
  <c r="HW19" i="37"/>
  <c r="HV19" i="37"/>
  <c r="HT19" i="37"/>
  <c r="HR19" i="37"/>
  <c r="HQ19" i="37"/>
  <c r="HO19" i="37"/>
  <c r="HN19" i="37"/>
  <c r="HM19" i="37"/>
  <c r="HL19" i="37"/>
  <c r="HK19" i="37"/>
  <c r="HJ19" i="37"/>
  <c r="HI19" i="37"/>
  <c r="HH19" i="37"/>
  <c r="HG19" i="37"/>
  <c r="HF19" i="37"/>
  <c r="HE19" i="37"/>
  <c r="HD19" i="37"/>
  <c r="HC19" i="37"/>
  <c r="HB19" i="37"/>
  <c r="HA19" i="37"/>
  <c r="GZ19" i="37"/>
  <c r="GX19" i="37"/>
  <c r="GW19" i="37"/>
  <c r="GV19" i="37"/>
  <c r="GU19" i="37"/>
  <c r="GT19" i="37"/>
  <c r="GS19" i="37"/>
  <c r="GR19" i="37"/>
  <c r="GQ19" i="37"/>
  <c r="GP19" i="37"/>
  <c r="GO19" i="37"/>
  <c r="GN19" i="37"/>
  <c r="GL19" i="37"/>
  <c r="GJ19" i="37"/>
  <c r="GI19" i="37"/>
  <c r="GH19" i="37"/>
  <c r="GG19" i="37"/>
  <c r="GF19" i="37"/>
  <c r="GE19" i="37"/>
  <c r="GD19" i="37"/>
  <c r="GC19" i="37"/>
  <c r="GB19" i="37"/>
  <c r="GA19" i="37"/>
  <c r="FZ19" i="37"/>
  <c r="FY19" i="37"/>
  <c r="FX19" i="37"/>
  <c r="FW19" i="37"/>
  <c r="FV19" i="37"/>
  <c r="FU19" i="37"/>
  <c r="FT19" i="37"/>
  <c r="FS19" i="37"/>
  <c r="FR19" i="37"/>
  <c r="FQ19" i="37"/>
  <c r="FP19" i="37"/>
  <c r="FO19" i="37"/>
  <c r="FN19" i="37"/>
  <c r="FM19" i="37"/>
  <c r="FL19" i="37"/>
  <c r="FK19" i="37"/>
  <c r="FJ19" i="37"/>
  <c r="FI19" i="37"/>
  <c r="FH19" i="37"/>
  <c r="FG19" i="37"/>
  <c r="FF19" i="37"/>
  <c r="FD19" i="37"/>
  <c r="FB19" i="37"/>
  <c r="FA19" i="37"/>
  <c r="EZ19" i="37"/>
  <c r="EY19" i="37"/>
  <c r="EX19" i="37"/>
  <c r="EW19" i="37"/>
  <c r="EV19" i="37"/>
  <c r="EU19" i="37"/>
  <c r="ET19" i="37"/>
  <c r="ES19" i="37"/>
  <c r="ER19" i="37"/>
  <c r="EQ19" i="37"/>
  <c r="EP19" i="37"/>
  <c r="EO19" i="37"/>
  <c r="EN19" i="37"/>
  <c r="EM19" i="37"/>
  <c r="EL19" i="37"/>
  <c r="EK19" i="37"/>
  <c r="EJ19" i="37"/>
  <c r="EI19" i="37"/>
  <c r="EH19" i="37"/>
  <c r="EG19" i="37"/>
  <c r="EF19" i="37"/>
  <c r="EE19" i="37"/>
  <c r="ED19" i="37"/>
  <c r="EC19" i="37"/>
  <c r="EB19" i="37"/>
  <c r="EA19" i="37"/>
  <c r="DZ19" i="37"/>
  <c r="DY19" i="37"/>
  <c r="DX19" i="37"/>
  <c r="DW19" i="37"/>
  <c r="DV19" i="37"/>
  <c r="DU19" i="37"/>
  <c r="DT19" i="37"/>
  <c r="DS19" i="37"/>
  <c r="DR19" i="37"/>
  <c r="DQ19" i="37"/>
  <c r="DP19" i="37"/>
  <c r="DO19" i="37"/>
  <c r="DN19" i="37"/>
  <c r="DM19" i="37"/>
  <c r="DL19" i="37"/>
  <c r="DK19" i="37"/>
  <c r="DJ19" i="37"/>
  <c r="DI19" i="37"/>
  <c r="DH19" i="37"/>
  <c r="DG19" i="37"/>
  <c r="DF19" i="37"/>
  <c r="DE19" i="37"/>
  <c r="DD19" i="37"/>
  <c r="DC19" i="37"/>
  <c r="DB19" i="37"/>
  <c r="DA19" i="37"/>
  <c r="CZ19" i="37"/>
  <c r="CY19" i="37"/>
  <c r="CX19" i="37"/>
  <c r="CW19" i="37"/>
  <c r="CV19" i="37"/>
  <c r="CU19" i="37"/>
  <c r="CT19" i="37"/>
  <c r="CS19" i="37"/>
  <c r="CR19" i="37"/>
  <c r="CQ19" i="37"/>
  <c r="CP19" i="37"/>
  <c r="CO19" i="37"/>
  <c r="CN19" i="37"/>
  <c r="CM19" i="37"/>
  <c r="CL19" i="37"/>
  <c r="CK19" i="37"/>
  <c r="CJ19" i="37"/>
  <c r="CI19" i="37"/>
  <c r="CH19" i="37"/>
  <c r="CG19" i="37"/>
  <c r="CF19" i="37"/>
  <c r="CE19" i="37"/>
  <c r="CD19" i="37"/>
  <c r="CC19" i="37"/>
  <c r="CB19" i="37"/>
  <c r="CA19" i="37"/>
  <c r="BZ19" i="37"/>
  <c r="BY19" i="37"/>
  <c r="BX19" i="37"/>
  <c r="BW19" i="37"/>
  <c r="BV19" i="37"/>
  <c r="BU19" i="37"/>
  <c r="BT19" i="37"/>
  <c r="BS19" i="37"/>
  <c r="BR19" i="37"/>
  <c r="BQ19" i="37"/>
  <c r="BP19" i="37"/>
  <c r="BO19" i="37"/>
  <c r="BN19" i="37"/>
  <c r="BM19" i="37"/>
  <c r="BL19" i="37"/>
  <c r="BK19" i="37"/>
  <c r="BJ19" i="37"/>
  <c r="BI19" i="37"/>
  <c r="BH19" i="37"/>
  <c r="BG19" i="37"/>
  <c r="BF19" i="37"/>
  <c r="BE19" i="37"/>
  <c r="BD19" i="37"/>
  <c r="BC19" i="37"/>
  <c r="BB19" i="37"/>
  <c r="BA19" i="37"/>
  <c r="AZ19" i="37"/>
  <c r="AY19" i="37"/>
  <c r="AX19" i="37"/>
  <c r="AW19" i="37"/>
  <c r="AV19" i="37"/>
  <c r="AU19" i="37"/>
  <c r="AT19" i="37"/>
  <c r="AS19" i="37"/>
  <c r="AR19" i="37"/>
  <c r="AQ19" i="37"/>
  <c r="AP19" i="37"/>
  <c r="AO19" i="37"/>
  <c r="AN19" i="37"/>
  <c r="AM19" i="37"/>
  <c r="AL19" i="37"/>
  <c r="AK19" i="37"/>
  <c r="AJ19" i="37"/>
  <c r="AI19" i="37"/>
  <c r="AH19" i="37"/>
  <c r="AG19" i="37"/>
  <c r="AF19" i="37"/>
  <c r="AE19" i="37"/>
  <c r="AD19" i="37"/>
  <c r="AC19" i="37"/>
  <c r="AB19" i="37"/>
  <c r="AA19" i="37"/>
  <c r="Z19" i="37"/>
  <c r="Y19" i="37"/>
  <c r="X19" i="37"/>
  <c r="W19" i="37"/>
  <c r="V19" i="37"/>
  <c r="U19" i="37"/>
  <c r="T19" i="37"/>
  <c r="S19" i="37"/>
  <c r="R19" i="37"/>
  <c r="Q19" i="37"/>
  <c r="P19" i="37"/>
  <c r="O19" i="37"/>
  <c r="N19" i="37"/>
  <c r="M19" i="37"/>
  <c r="L19" i="37"/>
  <c r="K19" i="37"/>
  <c r="J19" i="37"/>
  <c r="I19" i="37"/>
  <c r="H19" i="37"/>
  <c r="G19" i="37"/>
  <c r="F19" i="37"/>
  <c r="E19" i="37"/>
  <c r="D19" i="37"/>
  <c r="IY18" i="37"/>
  <c r="IX18" i="37"/>
  <c r="IW18" i="37"/>
  <c r="IV18" i="37"/>
  <c r="IT18" i="37"/>
  <c r="IS18" i="37"/>
  <c r="IR18" i="37"/>
  <c r="IQ18" i="37"/>
  <c r="IP18" i="37"/>
  <c r="IO18" i="37"/>
  <c r="IN18" i="37"/>
  <c r="IM18" i="37"/>
  <c r="IL18" i="37"/>
  <c r="IK18" i="37"/>
  <c r="IJ18" i="37"/>
  <c r="II18" i="37"/>
  <c r="IH18" i="37"/>
  <c r="IG18" i="37"/>
  <c r="IF18" i="37"/>
  <c r="IE18" i="37"/>
  <c r="ID18" i="37"/>
  <c r="IC18" i="37"/>
  <c r="IB18" i="37"/>
  <c r="IA18" i="37"/>
  <c r="HZ18" i="37"/>
  <c r="HY18" i="37"/>
  <c r="HX18" i="37"/>
  <c r="HW18" i="37"/>
  <c r="HV18" i="37"/>
  <c r="HT18" i="37"/>
  <c r="HR18" i="37"/>
  <c r="HQ18" i="37"/>
  <c r="HO18" i="37"/>
  <c r="HN18" i="37"/>
  <c r="HM18" i="37"/>
  <c r="HL18" i="37"/>
  <c r="HK18" i="37"/>
  <c r="HJ18" i="37"/>
  <c r="HI18" i="37"/>
  <c r="HH18" i="37"/>
  <c r="HG18" i="37"/>
  <c r="HF18" i="37"/>
  <c r="HE18" i="37"/>
  <c r="HD18" i="37"/>
  <c r="HC18" i="37"/>
  <c r="HB18" i="37"/>
  <c r="HA18" i="37"/>
  <c r="GZ18" i="37"/>
  <c r="GX18" i="37"/>
  <c r="GW18" i="37"/>
  <c r="GV18" i="37"/>
  <c r="GU18" i="37"/>
  <c r="GT18" i="37"/>
  <c r="GS18" i="37"/>
  <c r="GR18" i="37"/>
  <c r="GQ18" i="37"/>
  <c r="GP18" i="37"/>
  <c r="GO18" i="37"/>
  <c r="GN18" i="37"/>
  <c r="GL18" i="37"/>
  <c r="GJ18" i="37"/>
  <c r="GI18" i="37"/>
  <c r="GH18" i="37"/>
  <c r="GG18" i="37"/>
  <c r="GF18" i="37"/>
  <c r="GE18" i="37"/>
  <c r="GD18" i="37"/>
  <c r="GC18" i="37"/>
  <c r="GB18" i="37"/>
  <c r="GA18" i="37"/>
  <c r="FZ18" i="37"/>
  <c r="FY18" i="37"/>
  <c r="FX18" i="37"/>
  <c r="FW18" i="37"/>
  <c r="FV18" i="37"/>
  <c r="FU18" i="37"/>
  <c r="FT18" i="37"/>
  <c r="FS18" i="37"/>
  <c r="FR18" i="37"/>
  <c r="FQ18" i="37"/>
  <c r="FP18" i="37"/>
  <c r="FO18" i="37"/>
  <c r="FN18" i="37"/>
  <c r="FM18" i="37"/>
  <c r="FL18" i="37"/>
  <c r="FK18" i="37"/>
  <c r="FJ18" i="37"/>
  <c r="FI18" i="37"/>
  <c r="FH18" i="37"/>
  <c r="FG18" i="37"/>
  <c r="FF18" i="37"/>
  <c r="FD18" i="37"/>
  <c r="FB18" i="37"/>
  <c r="FA18" i="37"/>
  <c r="EZ18" i="37"/>
  <c r="EY18" i="37"/>
  <c r="EX18" i="37"/>
  <c r="EW18" i="37"/>
  <c r="EV18" i="37"/>
  <c r="EU18" i="37"/>
  <c r="ET18" i="37"/>
  <c r="ES18" i="37"/>
  <c r="ER18" i="37"/>
  <c r="EQ18" i="37"/>
  <c r="EP18" i="37"/>
  <c r="EO18" i="37"/>
  <c r="EN18" i="37"/>
  <c r="EM18" i="37"/>
  <c r="EL18" i="37"/>
  <c r="EK18" i="37"/>
  <c r="EJ18" i="37"/>
  <c r="EI18" i="37"/>
  <c r="EH18" i="37"/>
  <c r="EG18" i="37"/>
  <c r="EF18" i="37"/>
  <c r="EE18" i="37"/>
  <c r="ED18" i="37"/>
  <c r="EC18" i="37"/>
  <c r="EB18" i="37"/>
  <c r="EA18" i="37"/>
  <c r="DZ18" i="37"/>
  <c r="DY18" i="37"/>
  <c r="DX18" i="37"/>
  <c r="DW18" i="37"/>
  <c r="DV18" i="37"/>
  <c r="DU18" i="37"/>
  <c r="DT18" i="37"/>
  <c r="DS18" i="37"/>
  <c r="DR18" i="37"/>
  <c r="DQ18" i="37"/>
  <c r="DP18" i="37"/>
  <c r="DO18" i="37"/>
  <c r="DN18" i="37"/>
  <c r="DM18" i="37"/>
  <c r="DL18" i="37"/>
  <c r="DK18" i="37"/>
  <c r="DJ18" i="37"/>
  <c r="DI18" i="37"/>
  <c r="DH18" i="37"/>
  <c r="DG18" i="37"/>
  <c r="DF18" i="37"/>
  <c r="DE18" i="37"/>
  <c r="DD18" i="37"/>
  <c r="DC18" i="37"/>
  <c r="DB18" i="37"/>
  <c r="DA18" i="37"/>
  <c r="CZ18" i="37"/>
  <c r="CY18" i="37"/>
  <c r="CX18" i="37"/>
  <c r="CW18" i="37"/>
  <c r="CV18" i="37"/>
  <c r="CU18" i="37"/>
  <c r="CT18" i="37"/>
  <c r="CS18" i="37"/>
  <c r="CR18" i="37"/>
  <c r="CQ18" i="37"/>
  <c r="CP18" i="37"/>
  <c r="CO18" i="37"/>
  <c r="CN18" i="37"/>
  <c r="CM18" i="37"/>
  <c r="CL18" i="37"/>
  <c r="CK18" i="37"/>
  <c r="CJ18" i="37"/>
  <c r="CI18" i="37"/>
  <c r="CH18" i="37"/>
  <c r="CG18" i="37"/>
  <c r="CF18" i="37"/>
  <c r="CE18" i="37"/>
  <c r="CD18" i="37"/>
  <c r="CC18" i="37"/>
  <c r="CB18" i="37"/>
  <c r="CA18" i="37"/>
  <c r="BZ18" i="37"/>
  <c r="BY18" i="37"/>
  <c r="BX18" i="37"/>
  <c r="BW18" i="37"/>
  <c r="BV18" i="37"/>
  <c r="BU18" i="37"/>
  <c r="BT18" i="37"/>
  <c r="BS18" i="37"/>
  <c r="BR18" i="37"/>
  <c r="BQ18" i="37"/>
  <c r="BP18" i="37"/>
  <c r="BO18" i="37"/>
  <c r="BN18" i="37"/>
  <c r="BM18" i="37"/>
  <c r="BL18" i="37"/>
  <c r="BK18" i="37"/>
  <c r="BJ18" i="37"/>
  <c r="BI18" i="37"/>
  <c r="BH18" i="37"/>
  <c r="BG18" i="37"/>
  <c r="BF18" i="37"/>
  <c r="BE18" i="37"/>
  <c r="BD18" i="37"/>
  <c r="BC18" i="37"/>
  <c r="BB18" i="37"/>
  <c r="BA18" i="37"/>
  <c r="AZ18" i="37"/>
  <c r="AY18" i="37"/>
  <c r="AX18" i="37"/>
  <c r="AW18" i="37"/>
  <c r="AV18" i="37"/>
  <c r="AU18" i="37"/>
  <c r="AT18" i="37"/>
  <c r="AS18" i="37"/>
  <c r="AR18" i="37"/>
  <c r="AQ18" i="37"/>
  <c r="AP18" i="37"/>
  <c r="AO18" i="37"/>
  <c r="AN18" i="37"/>
  <c r="AM18" i="37"/>
  <c r="AL18" i="37"/>
  <c r="AK18" i="37"/>
  <c r="AJ18" i="37"/>
  <c r="AI18" i="37"/>
  <c r="AH18" i="37"/>
  <c r="AG18" i="37"/>
  <c r="AF18" i="37"/>
  <c r="AE18" i="37"/>
  <c r="AD18" i="37"/>
  <c r="AC18" i="37"/>
  <c r="AB18" i="37"/>
  <c r="AA18" i="37"/>
  <c r="Z18" i="37"/>
  <c r="Y18" i="37"/>
  <c r="X18" i="37"/>
  <c r="W18" i="37"/>
  <c r="V18" i="37"/>
  <c r="U18" i="37"/>
  <c r="T18" i="37"/>
  <c r="S18" i="37"/>
  <c r="R18" i="37"/>
  <c r="Q18" i="37"/>
  <c r="P18" i="37"/>
  <c r="O18" i="37"/>
  <c r="N18" i="37"/>
  <c r="M18" i="37"/>
  <c r="L18" i="37"/>
  <c r="K18" i="37"/>
  <c r="J18" i="37"/>
  <c r="I18" i="37"/>
  <c r="H18" i="37"/>
  <c r="G18" i="37"/>
  <c r="F18" i="37"/>
  <c r="E18" i="37"/>
  <c r="D18" i="37"/>
  <c r="HQ14" i="37"/>
  <c r="HP14" i="37"/>
  <c r="HO14" i="37"/>
  <c r="HN14" i="37"/>
  <c r="HM14" i="37"/>
  <c r="HL14" i="37"/>
  <c r="HK14" i="37"/>
  <c r="HJ14" i="37"/>
  <c r="HI14" i="37"/>
  <c r="HH14" i="37"/>
  <c r="HG14" i="37"/>
  <c r="HF14" i="37"/>
  <c r="HE14" i="37"/>
  <c r="HD14" i="37"/>
  <c r="HC14" i="37"/>
  <c r="HB14" i="37"/>
  <c r="HA14" i="37"/>
  <c r="GZ14" i="37"/>
  <c r="GY14" i="37"/>
  <c r="GX14" i="37"/>
  <c r="GW14" i="37"/>
  <c r="GV14" i="37"/>
  <c r="GU14" i="37"/>
  <c r="GT14" i="37"/>
  <c r="GS14" i="37"/>
  <c r="GR14" i="37"/>
  <c r="GI14" i="37"/>
  <c r="GH14" i="37"/>
  <c r="GG14" i="37"/>
  <c r="GF14" i="37"/>
  <c r="GE14" i="37"/>
  <c r="GD14" i="37"/>
  <c r="GC14" i="37"/>
  <c r="GB14" i="37"/>
  <c r="GA14" i="37"/>
  <c r="FZ14" i="37"/>
  <c r="FY14" i="37"/>
  <c r="FX14" i="37"/>
  <c r="FW14" i="37"/>
  <c r="FV14" i="37"/>
  <c r="FU14" i="37"/>
  <c r="FT14" i="37"/>
  <c r="FS14" i="37"/>
  <c r="FR14" i="37"/>
  <c r="FQ14" i="37"/>
  <c r="FP14" i="37"/>
  <c r="FO14" i="37"/>
  <c r="FN14" i="37"/>
  <c r="FM14" i="37"/>
  <c r="FL14" i="37"/>
  <c r="FK14" i="37"/>
  <c r="FJ14" i="37"/>
  <c r="FA14" i="37"/>
  <c r="EZ14" i="37"/>
  <c r="EY14" i="37"/>
  <c r="EX14" i="37"/>
  <c r="EW14" i="37"/>
  <c r="EV14" i="37"/>
  <c r="EU14" i="37"/>
  <c r="ET14" i="37"/>
  <c r="ES14" i="37"/>
  <c r="ER14" i="37"/>
  <c r="EQ14" i="37"/>
  <c r="EP14" i="37"/>
  <c r="EO14" i="37"/>
  <c r="EN14" i="37"/>
  <c r="EM14" i="37"/>
  <c r="EL14" i="37"/>
  <c r="EK14" i="37"/>
  <c r="EJ14" i="37"/>
  <c r="EI14" i="37"/>
  <c r="EH14" i="37"/>
  <c r="EG14" i="37"/>
  <c r="EF14" i="37"/>
  <c r="EE14" i="37"/>
  <c r="ED14" i="37"/>
  <c r="DW14" i="37"/>
  <c r="DV14" i="37"/>
  <c r="DU14" i="37"/>
  <c r="DT14" i="37"/>
  <c r="DS14" i="37"/>
  <c r="DR14" i="37"/>
  <c r="DQ14" i="37"/>
  <c r="DP14" i="37"/>
  <c r="DO14" i="37"/>
  <c r="DN14" i="37"/>
  <c r="DM14" i="37"/>
  <c r="DL14" i="37"/>
  <c r="DK14" i="37"/>
  <c r="DJ14" i="37"/>
  <c r="DI14" i="37"/>
  <c r="DH14" i="37"/>
  <c r="DG14" i="37"/>
  <c r="DF14" i="37"/>
  <c r="DE14" i="37"/>
  <c r="DD14" i="37"/>
  <c r="DC14" i="37"/>
  <c r="DB14" i="37"/>
  <c r="DA14" i="37"/>
  <c r="CZ14" i="37"/>
  <c r="CY14" i="37"/>
  <c r="CR14" i="37"/>
  <c r="CQ14" i="37"/>
  <c r="CP14" i="37"/>
  <c r="CO14" i="37"/>
  <c r="CN14" i="37"/>
  <c r="CM14" i="37"/>
  <c r="CL14" i="37"/>
  <c r="CK14" i="37"/>
  <c r="CJ14" i="37"/>
  <c r="CI14" i="37"/>
  <c r="CH14" i="37"/>
  <c r="CG14" i="37"/>
  <c r="CF14" i="37"/>
  <c r="CE14" i="37"/>
  <c r="CD14" i="37"/>
  <c r="CC14" i="37"/>
  <c r="CB14" i="37"/>
  <c r="CA14" i="37"/>
  <c r="BZ14" i="37"/>
  <c r="BY14" i="37"/>
  <c r="BX14" i="37"/>
  <c r="BW14" i="37"/>
  <c r="BV14" i="37"/>
  <c r="BU14" i="37"/>
  <c r="BT14" i="37"/>
  <c r="BS14" i="37"/>
  <c r="BL14" i="37"/>
  <c r="BK14" i="37"/>
  <c r="BJ14" i="37"/>
  <c r="BI14" i="37"/>
  <c r="BH14" i="37"/>
  <c r="BG14" i="37"/>
  <c r="BF14" i="37"/>
  <c r="BE14" i="37"/>
  <c r="BD14" i="37"/>
  <c r="BC14" i="37"/>
  <c r="BB14" i="37"/>
  <c r="BA14" i="37"/>
  <c r="AZ14" i="37"/>
  <c r="AY14" i="37"/>
  <c r="AX14" i="37"/>
  <c r="AW14" i="37"/>
  <c r="AV14" i="37"/>
  <c r="AU14" i="37"/>
  <c r="AT14" i="37"/>
  <c r="AS14" i="37"/>
  <c r="AR14" i="37"/>
  <c r="AQ14" i="37"/>
  <c r="AP14" i="37"/>
  <c r="AO14" i="37"/>
  <c r="AN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HQ13" i="37"/>
  <c r="HP13" i="37"/>
  <c r="HO13" i="37"/>
  <c r="HN13" i="37"/>
  <c r="HM13" i="37"/>
  <c r="HL13" i="37"/>
  <c r="HK13" i="37"/>
  <c r="HJ13" i="37"/>
  <c r="HI13" i="37"/>
  <c r="HH13" i="37"/>
  <c r="HG13" i="37"/>
  <c r="HF13" i="37"/>
  <c r="HE13" i="37"/>
  <c r="HD13" i="37"/>
  <c r="HC13" i="37"/>
  <c r="HB13" i="37"/>
  <c r="HA13" i="37"/>
  <c r="GZ13" i="37"/>
  <c r="GY13" i="37"/>
  <c r="GX13" i="37"/>
  <c r="GW13" i="37"/>
  <c r="GV13" i="37"/>
  <c r="GU13" i="37"/>
  <c r="GT13" i="37"/>
  <c r="GS13" i="37"/>
  <c r="GR13" i="37"/>
  <c r="GI13" i="37"/>
  <c r="GH13" i="37"/>
  <c r="GG13" i="37"/>
  <c r="GF13" i="37"/>
  <c r="GE13" i="37"/>
  <c r="GD13" i="37"/>
  <c r="GC13" i="37"/>
  <c r="GB13" i="37"/>
  <c r="GA13" i="37"/>
  <c r="FZ13" i="37"/>
  <c r="FY13" i="37"/>
  <c r="FX13" i="37"/>
  <c r="FW13" i="37"/>
  <c r="FV13" i="37"/>
  <c r="FU13" i="37"/>
  <c r="FT13" i="37"/>
  <c r="FS13" i="37"/>
  <c r="FR13" i="37"/>
  <c r="FQ13" i="37"/>
  <c r="FP13" i="37"/>
  <c r="FO13" i="37"/>
  <c r="FN13" i="37"/>
  <c r="FM13" i="37"/>
  <c r="FL13" i="37"/>
  <c r="FK13" i="37"/>
  <c r="FJ13" i="37"/>
  <c r="FA13" i="37"/>
  <c r="EZ13" i="37"/>
  <c r="EY13" i="37"/>
  <c r="EX13" i="37"/>
  <c r="EW13" i="37"/>
  <c r="EV13" i="37"/>
  <c r="EU13" i="37"/>
  <c r="ET13" i="37"/>
  <c r="ES13" i="37"/>
  <c r="ER13" i="37"/>
  <c r="EQ13" i="37"/>
  <c r="EP13" i="37"/>
  <c r="EO13" i="37"/>
  <c r="EN13" i="37"/>
  <c r="EM13" i="37"/>
  <c r="EL13" i="37"/>
  <c r="EK13" i="37"/>
  <c r="EJ13" i="37"/>
  <c r="EI13" i="37"/>
  <c r="EH13" i="37"/>
  <c r="EG13" i="37"/>
  <c r="EF13" i="37"/>
  <c r="EE13" i="37"/>
  <c r="ED13" i="37"/>
  <c r="DW13" i="37"/>
  <c r="DV13" i="37"/>
  <c r="DU13" i="37"/>
  <c r="DT13" i="37"/>
  <c r="DS13" i="37"/>
  <c r="DR13" i="37"/>
  <c r="DQ13" i="37"/>
  <c r="DP13" i="37"/>
  <c r="DO13" i="37"/>
  <c r="DN13" i="37"/>
  <c r="DM13" i="37"/>
  <c r="DL13" i="37"/>
  <c r="DK13" i="37"/>
  <c r="DJ13" i="37"/>
  <c r="DI13" i="37"/>
  <c r="DH13" i="37"/>
  <c r="DG13" i="37"/>
  <c r="DF13" i="37"/>
  <c r="DE13" i="37"/>
  <c r="DD13" i="37"/>
  <c r="DC13" i="37"/>
  <c r="DB13" i="37"/>
  <c r="DA13" i="37"/>
  <c r="CZ13" i="37"/>
  <c r="CY13" i="37"/>
  <c r="CR13" i="37"/>
  <c r="CQ13" i="37"/>
  <c r="CP13" i="37"/>
  <c r="CO13" i="37"/>
  <c r="CN13" i="37"/>
  <c r="CM13" i="37"/>
  <c r="CL13" i="37"/>
  <c r="CK13" i="37"/>
  <c r="CJ13" i="37"/>
  <c r="CI13" i="37"/>
  <c r="CH13" i="37"/>
  <c r="CG13" i="37"/>
  <c r="CF13" i="37"/>
  <c r="CE13" i="37"/>
  <c r="CD13" i="37"/>
  <c r="CC13" i="37"/>
  <c r="CB13" i="37"/>
  <c r="CA13" i="37"/>
  <c r="BZ13" i="37"/>
  <c r="BY13" i="37"/>
  <c r="BX13" i="37"/>
  <c r="BW13" i="37"/>
  <c r="BV13" i="37"/>
  <c r="BU13" i="37"/>
  <c r="BT13" i="37"/>
  <c r="BS13" i="37"/>
  <c r="BL13" i="37"/>
  <c r="BK13" i="37"/>
  <c r="BJ13" i="37"/>
  <c r="BI13" i="37"/>
  <c r="BH13" i="37"/>
  <c r="BG13" i="37"/>
  <c r="BF13" i="37"/>
  <c r="BE13" i="37"/>
  <c r="BD13" i="37"/>
  <c r="BC13" i="37"/>
  <c r="BB13" i="37"/>
  <c r="BA13" i="37"/>
  <c r="AZ13" i="37"/>
  <c r="AY13" i="37"/>
  <c r="AX13" i="37"/>
  <c r="AW13" i="37"/>
  <c r="AV13" i="37"/>
  <c r="AU13" i="37"/>
  <c r="AT13" i="37"/>
  <c r="AS13" i="37"/>
  <c r="AR13" i="37"/>
  <c r="AQ13" i="37"/>
  <c r="AP13" i="37"/>
  <c r="AO13" i="37"/>
  <c r="AN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HQ12" i="37"/>
  <c r="HP12" i="37"/>
  <c r="HO12" i="37"/>
  <c r="HN12" i="37"/>
  <c r="HM12" i="37"/>
  <c r="HL12" i="37"/>
  <c r="HK12" i="37"/>
  <c r="HJ12" i="37"/>
  <c r="HI12" i="37"/>
  <c r="HH12" i="37"/>
  <c r="HG12" i="37"/>
  <c r="HF12" i="37"/>
  <c r="HE12" i="37"/>
  <c r="HD12" i="37"/>
  <c r="HC12" i="37"/>
  <c r="HB12" i="37"/>
  <c r="HA12" i="37"/>
  <c r="GZ12" i="37"/>
  <c r="GY12" i="37"/>
  <c r="GX12" i="37"/>
  <c r="GW12" i="37"/>
  <c r="GV12" i="37"/>
  <c r="GU12" i="37"/>
  <c r="GT12" i="37"/>
  <c r="GS12" i="37"/>
  <c r="GR12" i="37"/>
  <c r="GI12" i="37"/>
  <c r="GH12" i="37"/>
  <c r="GG12" i="37"/>
  <c r="GF12" i="37"/>
  <c r="GE12" i="37"/>
  <c r="GD12" i="37"/>
  <c r="GC12" i="37"/>
  <c r="GB12" i="37"/>
  <c r="GA12" i="37"/>
  <c r="FZ12" i="37"/>
  <c r="FY12" i="37"/>
  <c r="FX12" i="37"/>
  <c r="FW12" i="37"/>
  <c r="FV12" i="37"/>
  <c r="FU12" i="37"/>
  <c r="FT12" i="37"/>
  <c r="FS12" i="37"/>
  <c r="FR12" i="37"/>
  <c r="FQ12" i="37"/>
  <c r="FP12" i="37"/>
  <c r="FO12" i="37"/>
  <c r="FN12" i="37"/>
  <c r="FM12" i="37"/>
  <c r="FL12" i="37"/>
  <c r="FK12" i="37"/>
  <c r="FJ12" i="37"/>
  <c r="FA12" i="37"/>
  <c r="EZ12" i="37"/>
  <c r="EY12" i="37"/>
  <c r="EX12" i="37"/>
  <c r="EW12" i="37"/>
  <c r="EV12" i="37"/>
  <c r="EU12" i="37"/>
  <c r="ET12" i="37"/>
  <c r="ES12" i="37"/>
  <c r="ER12" i="37"/>
  <c r="EQ12" i="37"/>
  <c r="EP12" i="37"/>
  <c r="EO12" i="37"/>
  <c r="EN12" i="37"/>
  <c r="EM12" i="37"/>
  <c r="EL12" i="37"/>
  <c r="EK12" i="37"/>
  <c r="EJ12" i="37"/>
  <c r="EI12" i="37"/>
  <c r="EH12" i="37"/>
  <c r="EG12" i="37"/>
  <c r="EF12" i="37"/>
  <c r="EE12" i="37"/>
  <c r="ED12" i="37"/>
  <c r="DW12" i="37"/>
  <c r="DV12" i="37"/>
  <c r="DU12" i="37"/>
  <c r="DT12" i="37"/>
  <c r="DS12" i="37"/>
  <c r="DR12" i="37"/>
  <c r="DQ12" i="37"/>
  <c r="DP12" i="37"/>
  <c r="DO12" i="37"/>
  <c r="DN12" i="37"/>
  <c r="DM12" i="37"/>
  <c r="DL12" i="37"/>
  <c r="DK12" i="37"/>
  <c r="DJ12" i="37"/>
  <c r="DI12" i="37"/>
  <c r="DH12" i="37"/>
  <c r="DG12" i="37"/>
  <c r="DF12" i="37"/>
  <c r="DE12" i="37"/>
  <c r="DD12" i="37"/>
  <c r="DC12" i="37"/>
  <c r="DB12" i="37"/>
  <c r="DA12" i="37"/>
  <c r="CZ12" i="37"/>
  <c r="CY12" i="37"/>
  <c r="CR12" i="37"/>
  <c r="CQ12" i="37"/>
  <c r="CP12" i="37"/>
  <c r="CO12" i="37"/>
  <c r="CN12" i="37"/>
  <c r="CM12" i="37"/>
  <c r="CL12" i="37"/>
  <c r="CK12" i="37"/>
  <c r="CJ12" i="37"/>
  <c r="CI12" i="37"/>
  <c r="CH12" i="37"/>
  <c r="CG12" i="37"/>
  <c r="CF12" i="37"/>
  <c r="CE12" i="37"/>
  <c r="CD12" i="37"/>
  <c r="CC12" i="37"/>
  <c r="CB12" i="37"/>
  <c r="CA12" i="37"/>
  <c r="BZ12" i="37"/>
  <c r="BY12" i="37"/>
  <c r="BX12" i="37"/>
  <c r="BW12" i="37"/>
  <c r="BV12" i="37"/>
  <c r="BU12" i="37"/>
  <c r="BT12" i="37"/>
  <c r="BS12" i="37"/>
  <c r="BL12" i="37"/>
  <c r="BK12" i="37"/>
  <c r="BJ12" i="37"/>
  <c r="BI12" i="37"/>
  <c r="BH12" i="37"/>
  <c r="BG12" i="37"/>
  <c r="BF12" i="37"/>
  <c r="BE12" i="37"/>
  <c r="BD12" i="37"/>
  <c r="BC12" i="37"/>
  <c r="BB12" i="37"/>
  <c r="BA12" i="37"/>
  <c r="AZ12" i="37"/>
  <c r="AY12" i="37"/>
  <c r="AX12" i="37"/>
  <c r="AW12" i="37"/>
  <c r="AV12" i="37"/>
  <c r="AU12" i="37"/>
  <c r="AT12" i="37"/>
  <c r="AS12" i="37"/>
  <c r="AR12" i="37"/>
  <c r="AQ12" i="37"/>
  <c r="AP12" i="37"/>
  <c r="AO12" i="37"/>
  <c r="AN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AG239" i="30"/>
  <c r="AF239" i="30"/>
  <c r="AE239" i="30"/>
  <c r="AD239" i="30"/>
  <c r="AC239" i="30"/>
  <c r="AB239" i="30"/>
  <c r="AA239" i="30"/>
  <c r="Z239" i="30"/>
  <c r="Y239" i="30"/>
  <c r="X239" i="30"/>
  <c r="W239" i="30"/>
  <c r="V239" i="30"/>
  <c r="U239" i="30"/>
  <c r="T239" i="30"/>
  <c r="S239" i="30"/>
  <c r="R239" i="30"/>
  <c r="Q239" i="30"/>
  <c r="P239" i="30"/>
  <c r="O239" i="30"/>
  <c r="N239" i="30"/>
  <c r="M239" i="30"/>
  <c r="L239" i="30"/>
  <c r="K239" i="30"/>
  <c r="J239" i="30"/>
  <c r="I239" i="30"/>
  <c r="H239" i="30"/>
  <c r="G239" i="30"/>
  <c r="F239" i="30"/>
  <c r="AG238" i="30"/>
  <c r="AF238" i="30"/>
  <c r="AE238" i="30"/>
  <c r="AD238" i="30"/>
  <c r="AC238" i="30"/>
  <c r="AB238" i="30"/>
  <c r="AA238" i="30"/>
  <c r="Z238" i="30"/>
  <c r="Y238" i="30"/>
  <c r="X238" i="30"/>
  <c r="W238" i="30"/>
  <c r="V238" i="30"/>
  <c r="U238" i="30"/>
  <c r="T238" i="30"/>
  <c r="S238" i="30"/>
  <c r="R238" i="30"/>
  <c r="Q238" i="30"/>
  <c r="P238" i="30"/>
  <c r="O238" i="30"/>
  <c r="N238" i="30"/>
  <c r="M238" i="30"/>
  <c r="L238" i="30"/>
  <c r="K238" i="30"/>
  <c r="J238" i="30"/>
  <c r="I238" i="30"/>
  <c r="H238" i="30"/>
  <c r="G238" i="30"/>
  <c r="F238" i="30"/>
  <c r="AG237" i="30"/>
  <c r="AF237" i="30"/>
  <c r="AE237" i="30"/>
  <c r="AD237" i="30"/>
  <c r="AC237" i="30"/>
  <c r="AB237" i="30"/>
  <c r="AA237" i="30"/>
  <c r="Z237" i="30"/>
  <c r="Y237" i="30"/>
  <c r="X237" i="30"/>
  <c r="W237" i="30"/>
  <c r="V237" i="30"/>
  <c r="U237" i="30"/>
  <c r="T237" i="30"/>
  <c r="S237" i="30"/>
  <c r="R237" i="30"/>
  <c r="Q237" i="30"/>
  <c r="P237" i="30"/>
  <c r="O237" i="30"/>
  <c r="N237" i="30"/>
  <c r="M237" i="30"/>
  <c r="L237" i="30"/>
  <c r="K237" i="30"/>
  <c r="J237" i="30"/>
  <c r="I237" i="30"/>
  <c r="H237" i="30"/>
  <c r="G237" i="30"/>
  <c r="F237" i="30"/>
  <c r="AG236" i="30"/>
  <c r="AF236" i="30"/>
  <c r="AE236" i="30"/>
  <c r="AD236" i="30"/>
  <c r="AC236" i="30"/>
  <c r="AB236" i="30"/>
  <c r="AA236" i="30"/>
  <c r="Z236" i="30"/>
  <c r="Y236" i="30"/>
  <c r="X236" i="30"/>
  <c r="W236" i="30"/>
  <c r="V236" i="30"/>
  <c r="U236" i="30"/>
  <c r="T236" i="30"/>
  <c r="S236" i="30"/>
  <c r="R236" i="30"/>
  <c r="Q236" i="30"/>
  <c r="P236" i="30"/>
  <c r="O236" i="30"/>
  <c r="N236" i="30"/>
  <c r="M236" i="30"/>
  <c r="L236" i="30"/>
  <c r="K236" i="30"/>
  <c r="J236" i="30"/>
  <c r="I236" i="30"/>
  <c r="H236" i="30"/>
  <c r="G236" i="30"/>
  <c r="F236" i="30"/>
  <c r="AK197" i="30"/>
  <c r="AJ197" i="30"/>
  <c r="AI197" i="30"/>
  <c r="AH197" i="30"/>
  <c r="AG197" i="30"/>
  <c r="AF197" i="30"/>
  <c r="AE197" i="30"/>
  <c r="AD197" i="30"/>
  <c r="AC197" i="30"/>
  <c r="AB197" i="30"/>
  <c r="AA197" i="30"/>
  <c r="Z197" i="30"/>
  <c r="Y197" i="30"/>
  <c r="X197" i="30"/>
  <c r="W197" i="30"/>
  <c r="V197" i="30"/>
  <c r="U197" i="30"/>
  <c r="T197" i="30"/>
  <c r="S197" i="30"/>
  <c r="R197" i="30"/>
  <c r="Q197" i="30"/>
  <c r="P197" i="30"/>
  <c r="O197" i="30"/>
  <c r="N197" i="30"/>
  <c r="M197" i="30"/>
  <c r="L197" i="30"/>
  <c r="K197" i="30"/>
  <c r="J197" i="30"/>
  <c r="I197" i="30"/>
  <c r="H197" i="30"/>
  <c r="G197" i="30"/>
  <c r="F197" i="30"/>
  <c r="AK196" i="30"/>
  <c r="AJ196" i="30"/>
  <c r="AI196" i="30"/>
  <c r="AH196" i="30"/>
  <c r="AG196" i="30"/>
  <c r="AF196" i="30"/>
  <c r="AE196" i="30"/>
  <c r="AD196" i="30"/>
  <c r="AC196" i="30"/>
  <c r="AB196" i="30"/>
  <c r="AA196" i="30"/>
  <c r="Z196" i="30"/>
  <c r="Y196" i="30"/>
  <c r="X196" i="30"/>
  <c r="W196" i="30"/>
  <c r="V196" i="30"/>
  <c r="U196" i="30"/>
  <c r="T196" i="30"/>
  <c r="S196" i="30"/>
  <c r="R196" i="30"/>
  <c r="Q196" i="30"/>
  <c r="P196" i="30"/>
  <c r="O196" i="30"/>
  <c r="N196" i="30"/>
  <c r="M196" i="30"/>
  <c r="L196" i="30"/>
  <c r="K196" i="30"/>
  <c r="J196" i="30"/>
  <c r="I196" i="30"/>
  <c r="H196" i="30"/>
  <c r="G196" i="30"/>
  <c r="F196" i="30"/>
  <c r="AK195" i="30"/>
  <c r="AJ195" i="30"/>
  <c r="AI195" i="30"/>
  <c r="AH195" i="30"/>
  <c r="AG195" i="30"/>
  <c r="AF195" i="30"/>
  <c r="AE195" i="30"/>
  <c r="AD195" i="30"/>
  <c r="AC195" i="30"/>
  <c r="AB195" i="30"/>
  <c r="AA195" i="30"/>
  <c r="Z195" i="30"/>
  <c r="Y195" i="30"/>
  <c r="X195" i="30"/>
  <c r="W195" i="30"/>
  <c r="V195" i="30"/>
  <c r="U195" i="30"/>
  <c r="T195" i="30"/>
  <c r="S195" i="30"/>
  <c r="R195" i="30"/>
  <c r="Q195" i="30"/>
  <c r="P195" i="30"/>
  <c r="O195" i="30"/>
  <c r="N195" i="30"/>
  <c r="M195" i="30"/>
  <c r="L195" i="30"/>
  <c r="K195" i="30"/>
  <c r="J195" i="30"/>
  <c r="I195" i="30"/>
  <c r="H195" i="30"/>
  <c r="G195" i="30"/>
  <c r="F195" i="30"/>
  <c r="AK194" i="30"/>
  <c r="AJ194" i="30"/>
  <c r="AI194" i="30"/>
  <c r="AH194" i="30"/>
  <c r="AG194" i="30"/>
  <c r="AF194" i="30"/>
  <c r="AE194" i="30"/>
  <c r="AD194" i="30"/>
  <c r="AC194" i="30"/>
  <c r="AB194" i="30"/>
  <c r="AA194" i="30"/>
  <c r="Z194" i="30"/>
  <c r="Y194" i="30"/>
  <c r="X194" i="30"/>
  <c r="W194" i="30"/>
  <c r="V194" i="30"/>
  <c r="U194" i="30"/>
  <c r="T194" i="30"/>
  <c r="S194" i="30"/>
  <c r="R194" i="30"/>
  <c r="Q194" i="30"/>
  <c r="P194" i="30"/>
  <c r="O194" i="30"/>
  <c r="N194" i="30"/>
  <c r="M194" i="30"/>
  <c r="L194" i="30"/>
  <c r="K194" i="30"/>
  <c r="J194" i="30"/>
  <c r="I194" i="30"/>
  <c r="H194" i="30"/>
  <c r="G194" i="30"/>
  <c r="F194" i="30"/>
  <c r="AK193" i="30"/>
  <c r="AJ193" i="30"/>
  <c r="AI193" i="30"/>
  <c r="AH193" i="30"/>
  <c r="AG193" i="30"/>
  <c r="AF193" i="30"/>
  <c r="AE193" i="30"/>
  <c r="AD193" i="30"/>
  <c r="AC193" i="30"/>
  <c r="AB193" i="30"/>
  <c r="AA193" i="30"/>
  <c r="Z193" i="30"/>
  <c r="Y193" i="30"/>
  <c r="X193" i="30"/>
  <c r="W193" i="30"/>
  <c r="V193" i="30"/>
  <c r="U193" i="30"/>
  <c r="T193" i="30"/>
  <c r="S193" i="30"/>
  <c r="R193" i="30"/>
  <c r="Q193" i="30"/>
  <c r="P193" i="30"/>
  <c r="O193" i="30"/>
  <c r="N193" i="30"/>
  <c r="M193" i="30"/>
  <c r="L193" i="30"/>
  <c r="K193" i="30"/>
  <c r="J193" i="30"/>
  <c r="I193" i="30"/>
  <c r="H193" i="30"/>
  <c r="G193" i="30"/>
  <c r="F193" i="30"/>
  <c r="AK192" i="30"/>
  <c r="AJ192" i="30"/>
  <c r="AI192" i="30"/>
  <c r="AH192" i="30"/>
  <c r="AG192" i="30"/>
  <c r="AF192" i="30"/>
  <c r="AE192" i="30"/>
  <c r="AD192" i="30"/>
  <c r="AC192" i="30"/>
  <c r="AB192" i="30"/>
  <c r="AA192" i="30"/>
  <c r="Z192" i="30"/>
  <c r="Y192" i="30"/>
  <c r="X192" i="30"/>
  <c r="W192" i="30"/>
  <c r="V192" i="30"/>
  <c r="U192" i="30"/>
  <c r="T192" i="30"/>
  <c r="S192" i="30"/>
  <c r="R192" i="30"/>
  <c r="Q192" i="30"/>
  <c r="P192" i="30"/>
  <c r="O192" i="30"/>
  <c r="N192" i="30"/>
  <c r="M192" i="30"/>
  <c r="L192" i="30"/>
  <c r="K192" i="30"/>
  <c r="J192" i="30"/>
  <c r="I192" i="30"/>
  <c r="H192" i="30"/>
  <c r="G192" i="30"/>
  <c r="F192" i="30"/>
  <c r="U185" i="30"/>
  <c r="T185" i="30"/>
  <c r="S185" i="30"/>
  <c r="R185" i="30"/>
  <c r="Q185" i="30"/>
  <c r="P185" i="30"/>
  <c r="O185" i="30"/>
  <c r="N185" i="30"/>
  <c r="M185" i="30"/>
  <c r="L185" i="30"/>
  <c r="K185" i="30"/>
  <c r="J185" i="30"/>
  <c r="I185" i="30"/>
  <c r="H185" i="30"/>
  <c r="G185" i="30"/>
  <c r="F185" i="30"/>
  <c r="U184" i="30"/>
  <c r="T184" i="30"/>
  <c r="S184" i="30"/>
  <c r="R184" i="30"/>
  <c r="Q184" i="30"/>
  <c r="P184" i="30"/>
  <c r="O184" i="30"/>
  <c r="N184" i="30"/>
  <c r="M184" i="30"/>
  <c r="L184" i="30"/>
  <c r="K184" i="30"/>
  <c r="J184" i="30"/>
  <c r="I184" i="30"/>
  <c r="H184" i="30"/>
  <c r="G184" i="30"/>
  <c r="F184" i="30"/>
  <c r="U183" i="30"/>
  <c r="T183" i="30"/>
  <c r="S183" i="30"/>
  <c r="R183" i="30"/>
  <c r="Q183" i="30"/>
  <c r="P183" i="30"/>
  <c r="O183" i="30"/>
  <c r="N183" i="30"/>
  <c r="M183" i="30"/>
  <c r="L183" i="30"/>
  <c r="K183" i="30"/>
  <c r="J183" i="30"/>
  <c r="I183" i="30"/>
  <c r="H183" i="30"/>
  <c r="G183" i="30"/>
  <c r="F183" i="30"/>
  <c r="U182" i="30"/>
  <c r="T182" i="30"/>
  <c r="S182" i="30"/>
  <c r="R182" i="30"/>
  <c r="Q182" i="30"/>
  <c r="P182" i="30"/>
  <c r="O182" i="30"/>
  <c r="N182" i="30"/>
  <c r="M182" i="30"/>
  <c r="L182" i="30"/>
  <c r="K182" i="30"/>
  <c r="J182" i="30"/>
  <c r="I182" i="30"/>
  <c r="H182" i="30"/>
  <c r="G182" i="30"/>
  <c r="F182" i="30"/>
  <c r="U181" i="30"/>
  <c r="T181" i="30"/>
  <c r="S181" i="30"/>
  <c r="R181" i="30"/>
  <c r="Q181" i="30"/>
  <c r="P181" i="30"/>
  <c r="O181" i="30"/>
  <c r="N181" i="30"/>
  <c r="M181" i="30"/>
  <c r="L181" i="30"/>
  <c r="K181" i="30"/>
  <c r="J181" i="30"/>
  <c r="I181" i="30"/>
  <c r="H181" i="30"/>
  <c r="G181" i="30"/>
  <c r="F181" i="30"/>
  <c r="U180" i="30"/>
  <c r="T180" i="30"/>
  <c r="S180" i="30"/>
  <c r="R180" i="30"/>
  <c r="Q180" i="30"/>
  <c r="P180" i="30"/>
  <c r="O180" i="30"/>
  <c r="N180" i="30"/>
  <c r="M180" i="30"/>
  <c r="L180" i="30"/>
  <c r="K180" i="30"/>
  <c r="J180" i="30"/>
  <c r="I180" i="30"/>
  <c r="H180" i="30"/>
  <c r="G180" i="30"/>
  <c r="F180" i="30"/>
  <c r="DA35" i="30"/>
  <c r="CZ35" i="30"/>
  <c r="CY35" i="30"/>
  <c r="CX35" i="30"/>
  <c r="CW35" i="30"/>
  <c r="CV35" i="30"/>
  <c r="CU35" i="30"/>
  <c r="CT35" i="30"/>
  <c r="CS35" i="30"/>
  <c r="CR35" i="30"/>
  <c r="CP35" i="30"/>
  <c r="CN35" i="30"/>
  <c r="CM35" i="30"/>
  <c r="CL35" i="30"/>
  <c r="CK35" i="30"/>
  <c r="CJ35" i="30"/>
  <c r="CI35" i="30"/>
  <c r="CH35" i="30"/>
  <c r="CG35" i="30"/>
  <c r="CF35" i="30"/>
  <c r="CE35" i="30"/>
  <c r="CD35" i="30"/>
  <c r="CB35" i="30"/>
  <c r="BZ35" i="30"/>
  <c r="BY35" i="30"/>
  <c r="BX35" i="30"/>
  <c r="BW35" i="30"/>
  <c r="BV35" i="30"/>
  <c r="BU35" i="30"/>
  <c r="BT35" i="30"/>
  <c r="BS35" i="30"/>
  <c r="BR35" i="30"/>
  <c r="BQ35" i="30"/>
  <c r="BP35" i="30"/>
  <c r="BN35" i="30"/>
  <c r="BL35" i="30"/>
  <c r="BK35" i="30"/>
  <c r="BJ35" i="30"/>
  <c r="BI35" i="30"/>
  <c r="BH35" i="30"/>
  <c r="BG35" i="30"/>
  <c r="BF35" i="30"/>
  <c r="BE35" i="30"/>
  <c r="BD35" i="30"/>
  <c r="BC35" i="30"/>
  <c r="BB35" i="30"/>
  <c r="BA35" i="30"/>
  <c r="AZ35"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DA34" i="30"/>
  <c r="CZ34" i="30"/>
  <c r="CY34" i="30"/>
  <c r="CX34" i="30"/>
  <c r="CW34" i="30"/>
  <c r="CV34" i="30"/>
  <c r="CU34" i="30"/>
  <c r="CT34" i="30"/>
  <c r="CS34" i="30"/>
  <c r="CR34" i="30"/>
  <c r="CP34" i="30"/>
  <c r="CN34" i="30"/>
  <c r="CM34" i="30"/>
  <c r="CL34" i="30"/>
  <c r="CK34" i="30"/>
  <c r="CJ34" i="30"/>
  <c r="CI34" i="30"/>
  <c r="CH34" i="30"/>
  <c r="CG34" i="30"/>
  <c r="CF34" i="30"/>
  <c r="CE34" i="30"/>
  <c r="CD34" i="30"/>
  <c r="CB34" i="30"/>
  <c r="BZ34" i="30"/>
  <c r="BY34" i="30"/>
  <c r="BX34" i="30"/>
  <c r="BW34" i="30"/>
  <c r="BV34" i="30"/>
  <c r="BU34" i="30"/>
  <c r="BT34" i="30"/>
  <c r="BS34" i="30"/>
  <c r="BR34" i="30"/>
  <c r="BQ34" i="30"/>
  <c r="BP34" i="30"/>
  <c r="BN34" i="30"/>
  <c r="BL34" i="30"/>
  <c r="BK34" i="30"/>
  <c r="BJ34" i="30"/>
  <c r="BI34" i="30"/>
  <c r="BH34" i="30"/>
  <c r="BG34" i="30"/>
  <c r="BF34" i="30"/>
  <c r="BE34" i="30"/>
  <c r="BD34" i="30"/>
  <c r="BC34" i="30"/>
  <c r="BB34" i="30"/>
  <c r="BA34" i="30"/>
  <c r="AZ34"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DA33" i="30"/>
  <c r="CZ33" i="30"/>
  <c r="CY33" i="30"/>
  <c r="CX33" i="30"/>
  <c r="CW33" i="30"/>
  <c r="CV33" i="30"/>
  <c r="CU33" i="30"/>
  <c r="CT33" i="30"/>
  <c r="CS33" i="30"/>
  <c r="CR33" i="30"/>
  <c r="CP33" i="30"/>
  <c r="CN33" i="30"/>
  <c r="CM33" i="30"/>
  <c r="CL33" i="30"/>
  <c r="CK33" i="30"/>
  <c r="CJ33" i="30"/>
  <c r="CI33" i="30"/>
  <c r="CH33" i="30"/>
  <c r="CG33" i="30"/>
  <c r="CF33" i="30"/>
  <c r="CE33" i="30"/>
  <c r="CD33" i="30"/>
  <c r="CB33" i="30"/>
  <c r="BZ33" i="30"/>
  <c r="BY33" i="30"/>
  <c r="BX33" i="30"/>
  <c r="BW33" i="30"/>
  <c r="BV33" i="30"/>
  <c r="BU33" i="30"/>
  <c r="BT33" i="30"/>
  <c r="BS33" i="30"/>
  <c r="BR33" i="30"/>
  <c r="BQ33" i="30"/>
  <c r="BP33" i="30"/>
  <c r="BN33" i="30"/>
  <c r="BL33" i="30"/>
  <c r="BK33" i="30"/>
  <c r="BJ33" i="30"/>
  <c r="BI33" i="30"/>
  <c r="BH33" i="30"/>
  <c r="BG33" i="30"/>
  <c r="BF33" i="30"/>
  <c r="BE33" i="30"/>
  <c r="BD33" i="30"/>
  <c r="BC33" i="30"/>
  <c r="BB33" i="30"/>
  <c r="BA33" i="30"/>
  <c r="AZ33" i="30"/>
  <c r="AY33" i="30"/>
  <c r="AX33"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DA32" i="30"/>
  <c r="CZ32" i="30"/>
  <c r="CY32" i="30"/>
  <c r="CX32" i="30"/>
  <c r="CW32" i="30"/>
  <c r="CV32" i="30"/>
  <c r="CU32" i="30"/>
  <c r="CT32" i="30"/>
  <c r="CS32" i="30"/>
  <c r="CR32" i="30"/>
  <c r="CP32" i="30"/>
  <c r="CN32" i="30"/>
  <c r="CM32" i="30"/>
  <c r="CL32" i="30"/>
  <c r="CK32" i="30"/>
  <c r="CJ32" i="30"/>
  <c r="CI32" i="30"/>
  <c r="CH32" i="30"/>
  <c r="CG32" i="30"/>
  <c r="CF32" i="30"/>
  <c r="CE32" i="30"/>
  <c r="CD32" i="30"/>
  <c r="CB32" i="30"/>
  <c r="BZ32" i="30"/>
  <c r="BY32" i="30"/>
  <c r="BX32" i="30"/>
  <c r="BW32" i="30"/>
  <c r="BV32" i="30"/>
  <c r="BU32" i="30"/>
  <c r="BT32" i="30"/>
  <c r="BS32" i="30"/>
  <c r="BR32" i="30"/>
  <c r="BQ32" i="30"/>
  <c r="BP32" i="30"/>
  <c r="BN32" i="30"/>
  <c r="BL32" i="30"/>
  <c r="BK32" i="30"/>
  <c r="BJ32" i="30"/>
  <c r="BI32" i="30"/>
  <c r="BH32" i="30"/>
  <c r="BG32" i="30"/>
  <c r="BF32" i="30"/>
  <c r="BE32" i="30"/>
  <c r="BD32" i="30"/>
  <c r="BC32" i="30"/>
  <c r="BB32" i="30"/>
  <c r="BA32" i="30"/>
  <c r="AZ32"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DA31" i="30"/>
  <c r="CZ31" i="30"/>
  <c r="CY31" i="30"/>
  <c r="CX31" i="30"/>
  <c r="CW31" i="30"/>
  <c r="CV31" i="30"/>
  <c r="CU31" i="30"/>
  <c r="CT31" i="30"/>
  <c r="CS31" i="30"/>
  <c r="CR31" i="30"/>
  <c r="CP31" i="30"/>
  <c r="CN31" i="30"/>
  <c r="CM31" i="30"/>
  <c r="CL31" i="30"/>
  <c r="CK31" i="30"/>
  <c r="CJ31" i="30"/>
  <c r="CI31" i="30"/>
  <c r="CH31" i="30"/>
  <c r="CG31" i="30"/>
  <c r="CF31" i="30"/>
  <c r="CE31" i="30"/>
  <c r="CD31" i="30"/>
  <c r="CB31" i="30"/>
  <c r="BZ31" i="30"/>
  <c r="BY31" i="30"/>
  <c r="BX31" i="30"/>
  <c r="BW31" i="30"/>
  <c r="BV31" i="30"/>
  <c r="BU31" i="30"/>
  <c r="BT31" i="30"/>
  <c r="BS31" i="30"/>
  <c r="BR31" i="30"/>
  <c r="BQ31" i="30"/>
  <c r="BP31" i="30"/>
  <c r="BN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DA30" i="30"/>
  <c r="CZ30" i="30"/>
  <c r="CY30" i="30"/>
  <c r="CX30" i="30"/>
  <c r="CW30" i="30"/>
  <c r="CV30" i="30"/>
  <c r="CU30" i="30"/>
  <c r="CT30" i="30"/>
  <c r="CS30" i="30"/>
  <c r="CR30" i="30"/>
  <c r="CP30" i="30"/>
  <c r="CN30" i="30"/>
  <c r="CM30" i="30"/>
  <c r="CL30" i="30"/>
  <c r="CK30" i="30"/>
  <c r="CJ30" i="30"/>
  <c r="CI30" i="30"/>
  <c r="CH30" i="30"/>
  <c r="CG30" i="30"/>
  <c r="CF30" i="30"/>
  <c r="CE30" i="30"/>
  <c r="CD30" i="30"/>
  <c r="CB30" i="30"/>
  <c r="BZ30" i="30"/>
  <c r="BY30" i="30"/>
  <c r="BX30" i="30"/>
  <c r="BW30" i="30"/>
  <c r="BV30" i="30"/>
  <c r="BU30" i="30"/>
  <c r="BT30" i="30"/>
  <c r="BS30" i="30"/>
  <c r="BR30" i="30"/>
  <c r="BQ30" i="30"/>
  <c r="BP30" i="30"/>
  <c r="BN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DA29" i="30"/>
  <c r="CZ29" i="30"/>
  <c r="CY29" i="30"/>
  <c r="CX29" i="30"/>
  <c r="CW29" i="30"/>
  <c r="CV29" i="30"/>
  <c r="CU29" i="30"/>
  <c r="CT29" i="30"/>
  <c r="CS29" i="30"/>
  <c r="CR29" i="30"/>
  <c r="CP29" i="30"/>
  <c r="CN29" i="30"/>
  <c r="CM29" i="30"/>
  <c r="CL29" i="30"/>
  <c r="CK29" i="30"/>
  <c r="CJ29" i="30"/>
  <c r="CI29" i="30"/>
  <c r="CH29" i="30"/>
  <c r="CG29" i="30"/>
  <c r="CF29" i="30"/>
  <c r="CE29" i="30"/>
  <c r="CD29" i="30"/>
  <c r="CB29" i="30"/>
  <c r="BZ29" i="30"/>
  <c r="BY29" i="30"/>
  <c r="BX29" i="30"/>
  <c r="BW29" i="30"/>
  <c r="BV29" i="30"/>
  <c r="BU29" i="30"/>
  <c r="BT29" i="30"/>
  <c r="BS29" i="30"/>
  <c r="BR29" i="30"/>
  <c r="BQ29" i="30"/>
  <c r="BP29" i="30"/>
  <c r="BN29" i="30"/>
  <c r="BL29" i="30"/>
  <c r="BK29" i="30"/>
  <c r="BJ29" i="30"/>
  <c r="BI29" i="30"/>
  <c r="BH29" i="30"/>
  <c r="BG29" i="30"/>
  <c r="BF29" i="30"/>
  <c r="BE29" i="30"/>
  <c r="BD29" i="30"/>
  <c r="BC29" i="30"/>
  <c r="BB29" i="30"/>
  <c r="BA29" i="30"/>
  <c r="AZ29" i="30"/>
  <c r="AY29" i="30"/>
  <c r="AX29" i="30"/>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DA28" i="30"/>
  <c r="CZ28" i="30"/>
  <c r="CY28" i="30"/>
  <c r="CX28" i="30"/>
  <c r="CW28" i="30"/>
  <c r="CV28" i="30"/>
  <c r="CU28" i="30"/>
  <c r="CT28" i="30"/>
  <c r="CS28" i="30"/>
  <c r="CR28" i="30"/>
  <c r="CP28" i="30"/>
  <c r="CN28" i="30"/>
  <c r="CM28" i="30"/>
  <c r="CL28" i="30"/>
  <c r="CK28" i="30"/>
  <c r="CJ28" i="30"/>
  <c r="CI28" i="30"/>
  <c r="CH28" i="30"/>
  <c r="CG28" i="30"/>
  <c r="CF28" i="30"/>
  <c r="CE28" i="30"/>
  <c r="CD28" i="30"/>
  <c r="CB28" i="30"/>
  <c r="BZ28" i="30"/>
  <c r="BY28" i="30"/>
  <c r="BX28" i="30"/>
  <c r="BW28" i="30"/>
  <c r="BV28" i="30"/>
  <c r="BU28" i="30"/>
  <c r="BT28" i="30"/>
  <c r="BS28" i="30"/>
  <c r="BR28" i="30"/>
  <c r="BQ28" i="30"/>
  <c r="BP28" i="30"/>
  <c r="BN28" i="30"/>
  <c r="BL28" i="30"/>
  <c r="BK28" i="30"/>
  <c r="BJ28" i="30"/>
  <c r="BI28" i="30"/>
  <c r="BH28" i="30"/>
  <c r="BG28" i="30"/>
  <c r="BF28" i="30"/>
  <c r="BE28" i="30"/>
  <c r="BD28" i="30"/>
  <c r="BC28" i="30"/>
  <c r="BB28" i="30"/>
  <c r="BA28" i="30"/>
  <c r="AZ28"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DA27" i="30"/>
  <c r="CZ27" i="30"/>
  <c r="CY27" i="30"/>
  <c r="CX27" i="30"/>
  <c r="CW27" i="30"/>
  <c r="CV27" i="30"/>
  <c r="CU27" i="30"/>
  <c r="CT27" i="30"/>
  <c r="CS27" i="30"/>
  <c r="CR27" i="30"/>
  <c r="CP27" i="30"/>
  <c r="CN27" i="30"/>
  <c r="CM27" i="30"/>
  <c r="CL27" i="30"/>
  <c r="CK27" i="30"/>
  <c r="CJ27" i="30"/>
  <c r="CI27" i="30"/>
  <c r="CH27" i="30"/>
  <c r="CG27" i="30"/>
  <c r="CF27" i="30"/>
  <c r="CE27" i="30"/>
  <c r="CD27" i="30"/>
  <c r="CB27" i="30"/>
  <c r="BZ27" i="30"/>
  <c r="BY27" i="30"/>
  <c r="BX27" i="30"/>
  <c r="BW27" i="30"/>
  <c r="BV27" i="30"/>
  <c r="BU27" i="30"/>
  <c r="BT27" i="30"/>
  <c r="BS27" i="30"/>
  <c r="BR27" i="30"/>
  <c r="BQ27" i="30"/>
  <c r="BP27" i="30"/>
  <c r="BN27" i="30"/>
  <c r="BL27" i="30"/>
  <c r="BK27" i="30"/>
  <c r="BJ27" i="30"/>
  <c r="BI27" i="30"/>
  <c r="BH27" i="30"/>
  <c r="BG27" i="30"/>
  <c r="BF27" i="30"/>
  <c r="BE27" i="30"/>
  <c r="BD27" i="30"/>
  <c r="BC27" i="30"/>
  <c r="BB27" i="30"/>
  <c r="BA27" i="30"/>
  <c r="AZ27" i="30"/>
  <c r="AY27" i="30"/>
  <c r="AX27"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D27" i="30"/>
  <c r="DA26" i="30"/>
  <c r="CZ26" i="30"/>
  <c r="CY26" i="30"/>
  <c r="CX26" i="30"/>
  <c r="CW26" i="30"/>
  <c r="CV26" i="30"/>
  <c r="CU26" i="30"/>
  <c r="CT26" i="30"/>
  <c r="CS26" i="30"/>
  <c r="CR26" i="30"/>
  <c r="CP26" i="30"/>
  <c r="CN26" i="30"/>
  <c r="CM26" i="30"/>
  <c r="CL26" i="30"/>
  <c r="CK26" i="30"/>
  <c r="CJ26" i="30"/>
  <c r="CI26" i="30"/>
  <c r="CH26" i="30"/>
  <c r="CG26" i="30"/>
  <c r="CF26" i="30"/>
  <c r="CE26" i="30"/>
  <c r="CD26" i="30"/>
  <c r="CB26" i="30"/>
  <c r="BZ26" i="30"/>
  <c r="BY26" i="30"/>
  <c r="BX26" i="30"/>
  <c r="BW26" i="30"/>
  <c r="BV26" i="30"/>
  <c r="BU26" i="30"/>
  <c r="BT26" i="30"/>
  <c r="BS26" i="30"/>
  <c r="BR26" i="30"/>
  <c r="BQ26" i="30"/>
  <c r="BP26" i="30"/>
  <c r="BN26" i="30"/>
  <c r="BL26" i="30"/>
  <c r="BK26" i="30"/>
  <c r="BJ26" i="30"/>
  <c r="BI26" i="30"/>
  <c r="BH26" i="30"/>
  <c r="BG26" i="30"/>
  <c r="BF26" i="30"/>
  <c r="BE26" i="30"/>
  <c r="BD26" i="30"/>
  <c r="BC26" i="30"/>
  <c r="BB26" i="30"/>
  <c r="BA26" i="30"/>
  <c r="AZ26" i="30"/>
  <c r="AY26" i="30"/>
  <c r="AX26"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D26" i="30"/>
  <c r="DA25" i="30"/>
  <c r="CZ25" i="30"/>
  <c r="CY25" i="30"/>
  <c r="CX25" i="30"/>
  <c r="CW25" i="30"/>
  <c r="CV25" i="30"/>
  <c r="CU25" i="30"/>
  <c r="CT25" i="30"/>
  <c r="CS25" i="30"/>
  <c r="CR25" i="30"/>
  <c r="CP25" i="30"/>
  <c r="CN25" i="30"/>
  <c r="CM25" i="30"/>
  <c r="CL25" i="30"/>
  <c r="CK25" i="30"/>
  <c r="CJ25" i="30"/>
  <c r="CI25" i="30"/>
  <c r="CH25" i="30"/>
  <c r="CG25" i="30"/>
  <c r="CF25" i="30"/>
  <c r="CE25" i="30"/>
  <c r="CD25" i="30"/>
  <c r="CB25" i="30"/>
  <c r="BZ25" i="30"/>
  <c r="BY25" i="30"/>
  <c r="BX25" i="30"/>
  <c r="BW25" i="30"/>
  <c r="BV25" i="30"/>
  <c r="BU25" i="30"/>
  <c r="BT25" i="30"/>
  <c r="BS25" i="30"/>
  <c r="BR25" i="30"/>
  <c r="BQ25" i="30"/>
  <c r="BP25" i="30"/>
  <c r="BN25" i="30"/>
  <c r="BL25" i="30"/>
  <c r="BK25" i="30"/>
  <c r="BJ25" i="30"/>
  <c r="BI25" i="30"/>
  <c r="BH25" i="30"/>
  <c r="BG25" i="30"/>
  <c r="BF25" i="30"/>
  <c r="BE25" i="30"/>
  <c r="BD25" i="30"/>
  <c r="BC25" i="30"/>
  <c r="BB25" i="30"/>
  <c r="BA25" i="30"/>
  <c r="AZ25" i="30"/>
  <c r="AY25" i="30"/>
  <c r="AX25" i="30"/>
  <c r="AW25" i="30"/>
  <c r="AV25" i="30"/>
  <c r="AU25" i="30"/>
  <c r="AT25" i="30"/>
  <c r="AS25" i="30"/>
  <c r="AR25" i="30"/>
  <c r="AQ25" i="30"/>
  <c r="AP25" i="30"/>
  <c r="AO25" i="30"/>
  <c r="AN25" i="30"/>
  <c r="AM25" i="30"/>
  <c r="AL25" i="30"/>
  <c r="AK25"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DA24" i="30"/>
  <c r="CZ24" i="30"/>
  <c r="CY24" i="30"/>
  <c r="CX24" i="30"/>
  <c r="CW24" i="30"/>
  <c r="CV24" i="30"/>
  <c r="CU24" i="30"/>
  <c r="CT24" i="30"/>
  <c r="CS24" i="30"/>
  <c r="CR24" i="30"/>
  <c r="CP24" i="30"/>
  <c r="CN24" i="30"/>
  <c r="CM24" i="30"/>
  <c r="CL24" i="30"/>
  <c r="CK24" i="30"/>
  <c r="CJ24" i="30"/>
  <c r="CI24" i="30"/>
  <c r="CH24" i="30"/>
  <c r="CG24" i="30"/>
  <c r="CF24" i="30"/>
  <c r="CE24" i="30"/>
  <c r="CD24" i="30"/>
  <c r="CB24" i="30"/>
  <c r="BZ24" i="30"/>
  <c r="BY24" i="30"/>
  <c r="BX24" i="30"/>
  <c r="BW24" i="30"/>
  <c r="BV24" i="30"/>
  <c r="BU24" i="30"/>
  <c r="BT24" i="30"/>
  <c r="BS24" i="30"/>
  <c r="BR24" i="30"/>
  <c r="BQ24" i="30"/>
  <c r="BP24" i="30"/>
  <c r="BN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DA23" i="30"/>
  <c r="CZ23" i="30"/>
  <c r="CY23" i="30"/>
  <c r="CX23" i="30"/>
  <c r="CW23" i="30"/>
  <c r="CV23" i="30"/>
  <c r="CU23" i="30"/>
  <c r="CT23" i="30"/>
  <c r="CS23" i="30"/>
  <c r="CR23" i="30"/>
  <c r="CP23" i="30"/>
  <c r="CN23" i="30"/>
  <c r="CM23" i="30"/>
  <c r="CL23" i="30"/>
  <c r="CK23" i="30"/>
  <c r="CJ23" i="30"/>
  <c r="CI23" i="30"/>
  <c r="CH23" i="30"/>
  <c r="CG23" i="30"/>
  <c r="CF23" i="30"/>
  <c r="CE23" i="30"/>
  <c r="CD23" i="30"/>
  <c r="CB23" i="30"/>
  <c r="BZ23" i="30"/>
  <c r="BY23" i="30"/>
  <c r="BX23" i="30"/>
  <c r="BW23" i="30"/>
  <c r="BV23" i="30"/>
  <c r="BU23" i="30"/>
  <c r="BT23" i="30"/>
  <c r="BS23" i="30"/>
  <c r="BR23" i="30"/>
  <c r="BQ23" i="30"/>
  <c r="BP23" i="30"/>
  <c r="BN23" i="30"/>
  <c r="BL23" i="30"/>
  <c r="BK23" i="30"/>
  <c r="BJ23" i="30"/>
  <c r="BI23" i="30"/>
  <c r="BH23" i="30"/>
  <c r="BG23" i="30"/>
  <c r="BF23" i="30"/>
  <c r="BE23" i="30"/>
  <c r="BD23" i="30"/>
  <c r="BC23" i="30"/>
  <c r="BB23" i="30"/>
  <c r="BA23" i="30"/>
  <c r="AZ23" i="30"/>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DA22" i="30"/>
  <c r="CZ22" i="30"/>
  <c r="CY22" i="30"/>
  <c r="CX22" i="30"/>
  <c r="CW22" i="30"/>
  <c r="CV22" i="30"/>
  <c r="CU22" i="30"/>
  <c r="CT22" i="30"/>
  <c r="CS22" i="30"/>
  <c r="CR22" i="30"/>
  <c r="CP22" i="30"/>
  <c r="CN22" i="30"/>
  <c r="CM22" i="30"/>
  <c r="CL22" i="30"/>
  <c r="CK22" i="30"/>
  <c r="CJ22" i="30"/>
  <c r="CI22" i="30"/>
  <c r="CH22" i="30"/>
  <c r="CG22" i="30"/>
  <c r="CF22" i="30"/>
  <c r="CE22" i="30"/>
  <c r="CD22" i="30"/>
  <c r="CB22" i="30"/>
  <c r="BZ22" i="30"/>
  <c r="BY22" i="30"/>
  <c r="BX22" i="30"/>
  <c r="BW22" i="30"/>
  <c r="BV22" i="30"/>
  <c r="BU22" i="30"/>
  <c r="BT22" i="30"/>
  <c r="BS22" i="30"/>
  <c r="BR22" i="30"/>
  <c r="BQ22" i="30"/>
  <c r="BP22" i="30"/>
  <c r="BN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DA21" i="30"/>
  <c r="CZ21" i="30"/>
  <c r="CY21" i="30"/>
  <c r="CX21" i="30"/>
  <c r="CW21" i="30"/>
  <c r="CV21" i="30"/>
  <c r="CU21" i="30"/>
  <c r="CT21" i="30"/>
  <c r="CS21" i="30"/>
  <c r="CR21" i="30"/>
  <c r="CP21" i="30"/>
  <c r="CN21" i="30"/>
  <c r="CM21" i="30"/>
  <c r="CL21" i="30"/>
  <c r="CK21" i="30"/>
  <c r="CJ21" i="30"/>
  <c r="CI21" i="30"/>
  <c r="CH21" i="30"/>
  <c r="CG21" i="30"/>
  <c r="CF21" i="30"/>
  <c r="CE21" i="30"/>
  <c r="CD21" i="30"/>
  <c r="CB21" i="30"/>
  <c r="BZ21" i="30"/>
  <c r="BY21" i="30"/>
  <c r="BX21" i="30"/>
  <c r="BW21" i="30"/>
  <c r="BV21" i="30"/>
  <c r="BU21" i="30"/>
  <c r="BT21" i="30"/>
  <c r="BS21" i="30"/>
  <c r="BR21" i="30"/>
  <c r="BQ21" i="30"/>
  <c r="BP21" i="30"/>
  <c r="BN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AM21" i="30"/>
  <c r="AL21" i="30"/>
  <c r="AK21" i="30"/>
  <c r="AJ21" i="30"/>
  <c r="AI21" i="30"/>
  <c r="AH21" i="30"/>
  <c r="AG21"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D21" i="30"/>
  <c r="DA20" i="30"/>
  <c r="CZ20" i="30"/>
  <c r="CY20" i="30"/>
  <c r="CX20" i="30"/>
  <c r="CW20" i="30"/>
  <c r="CV20" i="30"/>
  <c r="CU20" i="30"/>
  <c r="CT20" i="30"/>
  <c r="CS20" i="30"/>
  <c r="CR20" i="30"/>
  <c r="CP20" i="30"/>
  <c r="CN20" i="30"/>
  <c r="CM20" i="30"/>
  <c r="CL20" i="30"/>
  <c r="CK20" i="30"/>
  <c r="CJ20" i="30"/>
  <c r="CI20" i="30"/>
  <c r="CH20" i="30"/>
  <c r="CG20" i="30"/>
  <c r="CF20" i="30"/>
  <c r="CE20" i="30"/>
  <c r="CD20" i="30"/>
  <c r="CB20" i="30"/>
  <c r="BZ20" i="30"/>
  <c r="BY20" i="30"/>
  <c r="BX20" i="30"/>
  <c r="BW20" i="30"/>
  <c r="BV20" i="30"/>
  <c r="BU20" i="30"/>
  <c r="BT20" i="30"/>
  <c r="BS20" i="30"/>
  <c r="BR20" i="30"/>
  <c r="BQ20" i="30"/>
  <c r="BP20" i="30"/>
  <c r="BN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AM20" i="30"/>
  <c r="AL20" i="30"/>
  <c r="AK20" i="30"/>
  <c r="AJ20" i="30"/>
  <c r="AI20" i="30"/>
  <c r="AH20" i="30"/>
  <c r="AG20" i="30"/>
  <c r="AF20" i="30"/>
  <c r="AE20"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D20" i="30"/>
  <c r="DA19" i="30"/>
  <c r="CZ19" i="30"/>
  <c r="CY19" i="30"/>
  <c r="CX19" i="30"/>
  <c r="CW19" i="30"/>
  <c r="CV19" i="30"/>
  <c r="CU19" i="30"/>
  <c r="CT19" i="30"/>
  <c r="CS19" i="30"/>
  <c r="CR19" i="30"/>
  <c r="CP19" i="30"/>
  <c r="CN19" i="30"/>
  <c r="CM19" i="30"/>
  <c r="CL19" i="30"/>
  <c r="CK19" i="30"/>
  <c r="CJ19" i="30"/>
  <c r="CI19" i="30"/>
  <c r="CH19" i="30"/>
  <c r="CG19" i="30"/>
  <c r="CF19" i="30"/>
  <c r="CE19" i="30"/>
  <c r="CD19" i="30"/>
  <c r="CB19" i="30"/>
  <c r="BZ19" i="30"/>
  <c r="BY19" i="30"/>
  <c r="BX19" i="30"/>
  <c r="BW19" i="30"/>
  <c r="BV19" i="30"/>
  <c r="BU19" i="30"/>
  <c r="BT19" i="30"/>
  <c r="BS19" i="30"/>
  <c r="BR19" i="30"/>
  <c r="BQ19" i="30"/>
  <c r="BP19" i="30"/>
  <c r="BN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D19" i="30"/>
  <c r="DA18" i="30"/>
  <c r="CZ18" i="30"/>
  <c r="CY18" i="30"/>
  <c r="CX18" i="30"/>
  <c r="CW18" i="30"/>
  <c r="CV18" i="30"/>
  <c r="CU18" i="30"/>
  <c r="CT18" i="30"/>
  <c r="CS18" i="30"/>
  <c r="CR18" i="30"/>
  <c r="CP18" i="30"/>
  <c r="CN18" i="30"/>
  <c r="CM18" i="30"/>
  <c r="CL18" i="30"/>
  <c r="CK18" i="30"/>
  <c r="CJ18" i="30"/>
  <c r="CI18" i="30"/>
  <c r="CH18" i="30"/>
  <c r="CG18" i="30"/>
  <c r="CF18" i="30"/>
  <c r="CE18" i="30"/>
  <c r="CD18" i="30"/>
  <c r="CB18" i="30"/>
  <c r="BZ18" i="30"/>
  <c r="BY18" i="30"/>
  <c r="BX18" i="30"/>
  <c r="BW18" i="30"/>
  <c r="BV18" i="30"/>
  <c r="BU18" i="30"/>
  <c r="BT18" i="30"/>
  <c r="BS18" i="30"/>
  <c r="BR18" i="30"/>
  <c r="BQ18" i="30"/>
  <c r="BP18" i="30"/>
  <c r="BN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AM18" i="30"/>
  <c r="AL18" i="30"/>
  <c r="AK18" i="30"/>
  <c r="AJ18" i="30"/>
  <c r="AI18" i="30"/>
  <c r="AH18" i="30"/>
  <c r="AG18"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E18" i="30"/>
  <c r="D18" i="30"/>
  <c r="CM14" i="30"/>
  <c r="CL14" i="30"/>
  <c r="CK14" i="30"/>
  <c r="CJ14" i="30"/>
  <c r="CI14" i="30"/>
  <c r="CH14" i="30"/>
  <c r="BY14" i="30"/>
  <c r="BX14" i="30"/>
  <c r="BW14" i="30"/>
  <c r="BV14" i="30"/>
  <c r="BU14" i="30"/>
  <c r="BT14" i="30"/>
  <c r="BK14" i="30"/>
  <c r="BJ14" i="30"/>
  <c r="BI14" i="30"/>
  <c r="BH14" i="30"/>
  <c r="BG14" i="30"/>
  <c r="BF14" i="30"/>
  <c r="AY14" i="30"/>
  <c r="AX14" i="30"/>
  <c r="AW14" i="30"/>
  <c r="AV14" i="30"/>
  <c r="AU14" i="30"/>
  <c r="AT14" i="30"/>
  <c r="AM14" i="30"/>
  <c r="AL14" i="30"/>
  <c r="AK14" i="30"/>
  <c r="AJ14" i="30"/>
  <c r="AI14" i="30"/>
  <c r="AH14" i="30"/>
  <c r="AA14" i="30"/>
  <c r="Z14" i="30"/>
  <c r="Y14" i="30"/>
  <c r="X14" i="30"/>
  <c r="W14" i="30"/>
  <c r="V14" i="30"/>
  <c r="O14" i="30"/>
  <c r="N14" i="30"/>
  <c r="M14" i="30"/>
  <c r="L14" i="30"/>
  <c r="K14" i="30"/>
  <c r="J14" i="30"/>
  <c r="CM13" i="30"/>
  <c r="CL13" i="30"/>
  <c r="CK13" i="30"/>
  <c r="CJ13" i="30"/>
  <c r="CI13" i="30"/>
  <c r="CH13" i="30"/>
  <c r="BY13" i="30"/>
  <c r="BX13" i="30"/>
  <c r="BW13" i="30"/>
  <c r="BV13" i="30"/>
  <c r="BU13" i="30"/>
  <c r="BT13" i="30"/>
  <c r="BK13" i="30"/>
  <c r="BJ13" i="30"/>
  <c r="BI13" i="30"/>
  <c r="BH13" i="30"/>
  <c r="BG13" i="30"/>
  <c r="BF13" i="30"/>
  <c r="AY13" i="30"/>
  <c r="AX13" i="30"/>
  <c r="AW13" i="30"/>
  <c r="AV13" i="30"/>
  <c r="AU13" i="30"/>
  <c r="AT13" i="30"/>
  <c r="AM13" i="30"/>
  <c r="AL13" i="30"/>
  <c r="AK13" i="30"/>
  <c r="AJ13" i="30"/>
  <c r="AI13" i="30"/>
  <c r="AH13" i="30"/>
  <c r="AA13" i="30"/>
  <c r="Z13" i="30"/>
  <c r="Y13" i="30"/>
  <c r="X13" i="30"/>
  <c r="W13" i="30"/>
  <c r="V13" i="30"/>
  <c r="O13" i="30"/>
  <c r="N13" i="30"/>
  <c r="M13" i="30"/>
  <c r="L13" i="30"/>
  <c r="K13" i="30"/>
  <c r="J13" i="30"/>
  <c r="CM12" i="30"/>
  <c r="CL12" i="30"/>
  <c r="CK12" i="30"/>
  <c r="CJ12" i="30"/>
  <c r="CI12" i="30"/>
  <c r="CH12" i="30"/>
  <c r="BY12" i="30"/>
  <c r="BX12" i="30"/>
  <c r="BW12" i="30"/>
  <c r="BV12" i="30"/>
  <c r="BU12" i="30"/>
  <c r="BT12" i="30"/>
  <c r="BK12" i="30"/>
  <c r="BJ12" i="30"/>
  <c r="BI12" i="30"/>
  <c r="BH12" i="30"/>
  <c r="BG12" i="30"/>
  <c r="BF12" i="30"/>
  <c r="AY12" i="30"/>
  <c r="AX12" i="30"/>
  <c r="AW12" i="30"/>
  <c r="AV12" i="30"/>
  <c r="AU12" i="30"/>
  <c r="AT12" i="30"/>
  <c r="AM12" i="30"/>
  <c r="AL12" i="30"/>
  <c r="AK12" i="30"/>
  <c r="AJ12" i="30"/>
  <c r="AI12" i="30"/>
  <c r="AH12" i="30"/>
  <c r="AA12" i="30"/>
  <c r="Z12" i="30"/>
  <c r="Y12" i="30"/>
  <c r="X12" i="30"/>
  <c r="W12" i="30"/>
  <c r="V12" i="30"/>
  <c r="O12" i="30"/>
  <c r="N12" i="30"/>
  <c r="M12" i="30"/>
  <c r="L12" i="30"/>
  <c r="K12" i="30"/>
  <c r="J12" i="30"/>
  <c r="AL258" i="23"/>
  <c r="AK258" i="23"/>
  <c r="AJ258" i="23"/>
  <c r="AI258" i="23"/>
  <c r="AH258" i="23"/>
  <c r="AG258" i="23"/>
  <c r="AF258" i="23"/>
  <c r="AE258" i="23"/>
  <c r="AD258" i="23"/>
  <c r="AC258" i="23"/>
  <c r="AB258" i="23"/>
  <c r="AA258" i="23"/>
  <c r="Z258" i="23"/>
  <c r="Y258" i="23"/>
  <c r="X258" i="23"/>
  <c r="W258" i="23"/>
  <c r="V258" i="23"/>
  <c r="U258" i="23"/>
  <c r="T258" i="23"/>
  <c r="S258" i="23"/>
  <c r="R258" i="23"/>
  <c r="Q258" i="23"/>
  <c r="P258" i="23"/>
  <c r="O258" i="23"/>
  <c r="N258" i="23"/>
  <c r="M258" i="23"/>
  <c r="L258" i="23"/>
  <c r="K258" i="23"/>
  <c r="J258" i="23"/>
  <c r="I258" i="23"/>
  <c r="H258" i="23"/>
  <c r="G258" i="23"/>
  <c r="F258" i="23"/>
  <c r="E258" i="23"/>
  <c r="D258" i="23"/>
  <c r="C258" i="23"/>
  <c r="AL257" i="23"/>
  <c r="AK257" i="23"/>
  <c r="AJ257" i="23"/>
  <c r="AI257" i="23"/>
  <c r="AH257" i="23"/>
  <c r="AG257" i="23"/>
  <c r="AF257" i="23"/>
  <c r="AE257" i="23"/>
  <c r="AD257" i="23"/>
  <c r="AC257" i="23"/>
  <c r="AB257" i="23"/>
  <c r="AA257" i="23"/>
  <c r="Z257" i="23"/>
  <c r="Y257" i="23"/>
  <c r="X257" i="23"/>
  <c r="W257" i="23"/>
  <c r="V257" i="23"/>
  <c r="U257" i="23"/>
  <c r="T257" i="23"/>
  <c r="S257" i="23"/>
  <c r="R257" i="23"/>
  <c r="Q257" i="23"/>
  <c r="P257" i="23"/>
  <c r="O257" i="23"/>
  <c r="N257" i="23"/>
  <c r="M257" i="23"/>
  <c r="L257" i="23"/>
  <c r="K257" i="23"/>
  <c r="J257" i="23"/>
  <c r="I257" i="23"/>
  <c r="H257" i="23"/>
  <c r="G257" i="23"/>
  <c r="F257" i="23"/>
  <c r="E257" i="23"/>
  <c r="D257" i="23"/>
  <c r="C257" i="23"/>
  <c r="AL256" i="23"/>
  <c r="AK256" i="23"/>
  <c r="AJ256" i="23"/>
  <c r="AI256" i="23"/>
  <c r="AH256" i="23"/>
  <c r="AG256" i="23"/>
  <c r="AF256" i="23"/>
  <c r="AE256" i="23"/>
  <c r="AD256" i="23"/>
  <c r="AC256" i="23"/>
  <c r="AB256" i="23"/>
  <c r="AA256" i="23"/>
  <c r="Z256" i="23"/>
  <c r="Y256" i="23"/>
  <c r="X256" i="23"/>
  <c r="W256" i="23"/>
  <c r="V256" i="23"/>
  <c r="U256" i="23"/>
  <c r="T256" i="23"/>
  <c r="S256" i="23"/>
  <c r="R256" i="23"/>
  <c r="Q256" i="23"/>
  <c r="P256" i="23"/>
  <c r="O256" i="23"/>
  <c r="N256" i="23"/>
  <c r="M256" i="23"/>
  <c r="L256" i="23"/>
  <c r="K256" i="23"/>
  <c r="J256" i="23"/>
  <c r="I256" i="23"/>
  <c r="H256" i="23"/>
  <c r="G256" i="23"/>
  <c r="F256" i="23"/>
  <c r="E256" i="23"/>
  <c r="D256" i="23"/>
  <c r="C256" i="23"/>
  <c r="AL255" i="23"/>
  <c r="AK255" i="23"/>
  <c r="AJ255" i="23"/>
  <c r="AI255" i="23"/>
  <c r="AH255" i="23"/>
  <c r="AG255" i="23"/>
  <c r="AF255" i="23"/>
  <c r="AE255" i="23"/>
  <c r="AD255" i="23"/>
  <c r="AC255" i="23"/>
  <c r="AB255" i="23"/>
  <c r="AA255" i="23"/>
  <c r="Z255" i="23"/>
  <c r="Y255" i="23"/>
  <c r="X255" i="23"/>
  <c r="W255" i="23"/>
  <c r="V255" i="23"/>
  <c r="U255" i="23"/>
  <c r="T255" i="23"/>
  <c r="S255" i="23"/>
  <c r="R255" i="23"/>
  <c r="Q255" i="23"/>
  <c r="P255" i="23"/>
  <c r="O255" i="23"/>
  <c r="N255" i="23"/>
  <c r="M255" i="23"/>
  <c r="L255" i="23"/>
  <c r="K255" i="23"/>
  <c r="J255" i="23"/>
  <c r="I255" i="23"/>
  <c r="H255" i="23"/>
  <c r="G255" i="23"/>
  <c r="F255" i="23"/>
  <c r="E255" i="23"/>
  <c r="D255" i="23"/>
  <c r="C255" i="23"/>
  <c r="AL254" i="23"/>
  <c r="AK254" i="23"/>
  <c r="AJ254" i="23"/>
  <c r="AI254" i="23"/>
  <c r="AH254" i="23"/>
  <c r="AG254" i="23"/>
  <c r="AF254" i="23"/>
  <c r="AE254" i="23"/>
  <c r="AD254" i="23"/>
  <c r="AC254" i="23"/>
  <c r="AB254" i="23"/>
  <c r="AA254" i="23"/>
  <c r="Z254" i="23"/>
  <c r="Y254" i="23"/>
  <c r="X254" i="23"/>
  <c r="W254" i="23"/>
  <c r="V254" i="23"/>
  <c r="U254" i="23"/>
  <c r="T254" i="23"/>
  <c r="S254" i="23"/>
  <c r="R254" i="23"/>
  <c r="Q254" i="23"/>
  <c r="P254" i="23"/>
  <c r="O254" i="23"/>
  <c r="N254" i="23"/>
  <c r="M254" i="23"/>
  <c r="L254" i="23"/>
  <c r="K254" i="23"/>
  <c r="J254" i="23"/>
  <c r="I254" i="23"/>
  <c r="H254" i="23"/>
  <c r="G254" i="23"/>
  <c r="F254" i="23"/>
  <c r="E254" i="23"/>
  <c r="D254" i="23"/>
  <c r="C254" i="23"/>
  <c r="AL253" i="23"/>
  <c r="AK253" i="23"/>
  <c r="AJ253" i="23"/>
  <c r="AI253" i="23"/>
  <c r="AH253" i="23"/>
  <c r="AG253" i="23"/>
  <c r="AF253" i="23"/>
  <c r="AE253" i="23"/>
  <c r="AD253" i="23"/>
  <c r="AC253" i="23"/>
  <c r="AB253" i="23"/>
  <c r="AA253" i="23"/>
  <c r="Z253" i="23"/>
  <c r="Y253" i="23"/>
  <c r="X253" i="23"/>
  <c r="W253" i="23"/>
  <c r="V253" i="23"/>
  <c r="U253" i="23"/>
  <c r="T253" i="23"/>
  <c r="S253" i="23"/>
  <c r="R253" i="23"/>
  <c r="Q253" i="23"/>
  <c r="P253" i="23"/>
  <c r="O253" i="23"/>
  <c r="N253" i="23"/>
  <c r="M253" i="23"/>
  <c r="L253" i="23"/>
  <c r="K253" i="23"/>
  <c r="J253" i="23"/>
  <c r="I253" i="23"/>
  <c r="H253" i="23"/>
  <c r="G253" i="23"/>
  <c r="F253" i="23"/>
  <c r="E253" i="23"/>
  <c r="D253" i="23"/>
  <c r="C253" i="23"/>
  <c r="T248" i="23"/>
  <c r="S248" i="23"/>
  <c r="R248" i="23"/>
  <c r="Q248" i="23"/>
  <c r="P248" i="23"/>
  <c r="O248" i="23"/>
  <c r="N248" i="23"/>
  <c r="M248" i="23"/>
  <c r="L248" i="23"/>
  <c r="K248" i="23"/>
  <c r="J248" i="23"/>
  <c r="I248" i="23"/>
  <c r="H248" i="23"/>
  <c r="G248" i="23"/>
  <c r="F248" i="23"/>
  <c r="E248" i="23"/>
  <c r="D248" i="23"/>
  <c r="C248" i="23"/>
  <c r="T247" i="23"/>
  <c r="S247" i="23"/>
  <c r="R247" i="23"/>
  <c r="Q247" i="23"/>
  <c r="P247" i="23"/>
  <c r="O247" i="23"/>
  <c r="N247" i="23"/>
  <c r="M247" i="23"/>
  <c r="L247" i="23"/>
  <c r="K247" i="23"/>
  <c r="J247" i="23"/>
  <c r="I247" i="23"/>
  <c r="H247" i="23"/>
  <c r="G247" i="23"/>
  <c r="F247" i="23"/>
  <c r="E247" i="23"/>
  <c r="D247" i="23"/>
  <c r="C247" i="23"/>
  <c r="T246" i="23"/>
  <c r="S246" i="23"/>
  <c r="R246" i="23"/>
  <c r="Q246" i="23"/>
  <c r="P246" i="23"/>
  <c r="O246" i="23"/>
  <c r="N246" i="23"/>
  <c r="M246" i="23"/>
  <c r="L246" i="23"/>
  <c r="K246" i="23"/>
  <c r="J246" i="23"/>
  <c r="I246" i="23"/>
  <c r="H246" i="23"/>
  <c r="G246" i="23"/>
  <c r="F246" i="23"/>
  <c r="E246" i="23"/>
  <c r="D246" i="23"/>
  <c r="C246" i="23"/>
  <c r="T245" i="23"/>
  <c r="S245" i="23"/>
  <c r="R245" i="23"/>
  <c r="Q245" i="23"/>
  <c r="P245" i="23"/>
  <c r="O245" i="23"/>
  <c r="N245" i="23"/>
  <c r="M245" i="23"/>
  <c r="L245" i="23"/>
  <c r="K245" i="23"/>
  <c r="J245" i="23"/>
  <c r="I245" i="23"/>
  <c r="H245" i="23"/>
  <c r="G245" i="23"/>
  <c r="F245" i="23"/>
  <c r="E245" i="23"/>
  <c r="D245" i="23"/>
  <c r="C245" i="23"/>
  <c r="T244" i="23"/>
  <c r="S244" i="23"/>
  <c r="R244" i="23"/>
  <c r="Q244" i="23"/>
  <c r="P244" i="23"/>
  <c r="O244" i="23"/>
  <c r="N244" i="23"/>
  <c r="M244" i="23"/>
  <c r="L244" i="23"/>
  <c r="K244" i="23"/>
  <c r="J244" i="23"/>
  <c r="I244" i="23"/>
  <c r="H244" i="23"/>
  <c r="G244" i="23"/>
  <c r="F244" i="23"/>
  <c r="E244" i="23"/>
  <c r="D244" i="23"/>
  <c r="C244" i="23"/>
  <c r="T243" i="23"/>
  <c r="S243" i="23"/>
  <c r="R243" i="23"/>
  <c r="Q243" i="23"/>
  <c r="P243" i="23"/>
  <c r="O243" i="23"/>
  <c r="N243" i="23"/>
  <c r="M243" i="23"/>
  <c r="L243" i="23"/>
  <c r="K243" i="23"/>
  <c r="J243" i="23"/>
  <c r="I243" i="23"/>
  <c r="H243" i="23"/>
  <c r="G243" i="23"/>
  <c r="F243" i="23"/>
  <c r="E243" i="23"/>
  <c r="D243" i="23"/>
  <c r="C243" i="23"/>
  <c r="AJ197" i="23"/>
  <c r="AH197" i="23"/>
  <c r="AG197" i="23"/>
  <c r="AF197" i="23"/>
  <c r="AE197" i="23"/>
  <c r="AD197" i="23"/>
  <c r="AC197" i="23"/>
  <c r="AB197" i="23"/>
  <c r="AA197" i="23"/>
  <c r="Z197" i="23"/>
  <c r="Y197" i="23"/>
  <c r="X197" i="23"/>
  <c r="W197" i="23"/>
  <c r="V197" i="23"/>
  <c r="U197" i="23"/>
  <c r="T197" i="23"/>
  <c r="S197" i="23"/>
  <c r="R197" i="23"/>
  <c r="Q197" i="23"/>
  <c r="P197" i="23"/>
  <c r="O197" i="23"/>
  <c r="N197" i="23"/>
  <c r="M197" i="23"/>
  <c r="L197" i="23"/>
  <c r="K197" i="23"/>
  <c r="J197" i="23"/>
  <c r="I197" i="23"/>
  <c r="H197" i="23"/>
  <c r="G197" i="23"/>
  <c r="F197" i="23"/>
  <c r="E197" i="23"/>
  <c r="AJ196" i="23"/>
  <c r="AH196" i="23"/>
  <c r="AG196" i="23"/>
  <c r="AF196" i="23"/>
  <c r="AE196" i="23"/>
  <c r="AD196" i="23"/>
  <c r="AC196" i="23"/>
  <c r="AB196" i="23"/>
  <c r="AA196" i="23"/>
  <c r="Z196" i="23"/>
  <c r="Y196" i="23"/>
  <c r="X196" i="23"/>
  <c r="W196" i="23"/>
  <c r="V196" i="23"/>
  <c r="U196" i="23"/>
  <c r="T196" i="23"/>
  <c r="S196" i="23"/>
  <c r="R196" i="23"/>
  <c r="Q196" i="23"/>
  <c r="P196" i="23"/>
  <c r="O196" i="23"/>
  <c r="N196" i="23"/>
  <c r="M196" i="23"/>
  <c r="L196" i="23"/>
  <c r="K196" i="23"/>
  <c r="J196" i="23"/>
  <c r="I196" i="23"/>
  <c r="H196" i="23"/>
  <c r="G196" i="23"/>
  <c r="F196" i="23"/>
  <c r="E196" i="23"/>
  <c r="AJ195" i="23"/>
  <c r="AH195" i="23"/>
  <c r="AG195" i="23"/>
  <c r="AF195" i="23"/>
  <c r="AE195" i="23"/>
  <c r="AD195" i="23"/>
  <c r="AC195" i="23"/>
  <c r="AB195" i="23"/>
  <c r="AA195" i="23"/>
  <c r="Z195" i="23"/>
  <c r="Y195" i="23"/>
  <c r="X195" i="23"/>
  <c r="W195" i="23"/>
  <c r="V195" i="23"/>
  <c r="U195" i="23"/>
  <c r="T195" i="23"/>
  <c r="S195" i="23"/>
  <c r="R195" i="23"/>
  <c r="Q195" i="23"/>
  <c r="P195" i="23"/>
  <c r="O195" i="23"/>
  <c r="N195" i="23"/>
  <c r="M195" i="23"/>
  <c r="L195" i="23"/>
  <c r="K195" i="23"/>
  <c r="J195" i="23"/>
  <c r="I195" i="23"/>
  <c r="H195" i="23"/>
  <c r="G195" i="23"/>
  <c r="F195" i="23"/>
  <c r="E195" i="23"/>
  <c r="AJ194" i="23"/>
  <c r="AH194" i="23"/>
  <c r="AG194" i="23"/>
  <c r="AF194" i="23"/>
  <c r="AE194" i="23"/>
  <c r="AD194" i="23"/>
  <c r="AC194" i="23"/>
  <c r="AB194" i="23"/>
  <c r="AA194" i="23"/>
  <c r="Z194" i="23"/>
  <c r="Y194" i="23"/>
  <c r="X194" i="23"/>
  <c r="W194" i="23"/>
  <c r="V194" i="23"/>
  <c r="U194" i="23"/>
  <c r="T194" i="23"/>
  <c r="S194" i="23"/>
  <c r="R194" i="23"/>
  <c r="Q194" i="23"/>
  <c r="P194" i="23"/>
  <c r="O194" i="23"/>
  <c r="N194" i="23"/>
  <c r="M194" i="23"/>
  <c r="L194" i="23"/>
  <c r="K194" i="23"/>
  <c r="J194" i="23"/>
  <c r="I194" i="23"/>
  <c r="H194" i="23"/>
  <c r="G194" i="23"/>
  <c r="F194" i="23"/>
  <c r="E194" i="23"/>
  <c r="AJ193" i="23"/>
  <c r="AH193" i="23"/>
  <c r="AG193" i="23"/>
  <c r="AF193" i="23"/>
  <c r="AE193" i="23"/>
  <c r="AD193" i="23"/>
  <c r="AC193" i="23"/>
  <c r="AB193" i="23"/>
  <c r="AA193" i="23"/>
  <c r="Z193" i="23"/>
  <c r="Y193" i="23"/>
  <c r="X193" i="23"/>
  <c r="W193" i="23"/>
  <c r="V193" i="23"/>
  <c r="U193" i="23"/>
  <c r="T193" i="23"/>
  <c r="S193" i="23"/>
  <c r="R193" i="23"/>
  <c r="Q193" i="23"/>
  <c r="P193" i="23"/>
  <c r="O193" i="23"/>
  <c r="N193" i="23"/>
  <c r="M193" i="23"/>
  <c r="L193" i="23"/>
  <c r="K193" i="23"/>
  <c r="J193" i="23"/>
  <c r="I193" i="23"/>
  <c r="H193" i="23"/>
  <c r="G193" i="23"/>
  <c r="F193" i="23"/>
  <c r="E193" i="23"/>
  <c r="AJ192" i="23"/>
  <c r="AH192" i="23"/>
  <c r="AG192" i="23"/>
  <c r="AF192" i="23"/>
  <c r="AE192" i="23"/>
  <c r="AD192" i="23"/>
  <c r="AC192" i="23"/>
  <c r="AB192" i="23"/>
  <c r="AA192" i="23"/>
  <c r="Z192" i="23"/>
  <c r="Y192" i="23"/>
  <c r="X192" i="23"/>
  <c r="W192" i="23"/>
  <c r="V192" i="23"/>
  <c r="U192" i="23"/>
  <c r="T192" i="23"/>
  <c r="S192" i="23"/>
  <c r="R192" i="23"/>
  <c r="Q192" i="23"/>
  <c r="P192" i="23"/>
  <c r="O192" i="23"/>
  <c r="N192" i="23"/>
  <c r="M192" i="23"/>
  <c r="L192" i="23"/>
  <c r="K192" i="23"/>
  <c r="J192" i="23"/>
  <c r="I192" i="23"/>
  <c r="H192" i="23"/>
  <c r="G192" i="23"/>
  <c r="F192" i="23"/>
  <c r="E192" i="23"/>
  <c r="T185" i="23"/>
  <c r="S185" i="23"/>
  <c r="R185" i="23"/>
  <c r="Q185" i="23"/>
  <c r="P185" i="23"/>
  <c r="O185" i="23"/>
  <c r="N185" i="23"/>
  <c r="M185" i="23"/>
  <c r="L185" i="23"/>
  <c r="K185" i="23"/>
  <c r="J185" i="23"/>
  <c r="I185" i="23"/>
  <c r="H185" i="23"/>
  <c r="G185" i="23"/>
  <c r="F185" i="23"/>
  <c r="E185" i="23"/>
  <c r="T184" i="23"/>
  <c r="S184" i="23"/>
  <c r="R184" i="23"/>
  <c r="Q184" i="23"/>
  <c r="P184" i="23"/>
  <c r="O184" i="23"/>
  <c r="N184" i="23"/>
  <c r="M184" i="23"/>
  <c r="L184" i="23"/>
  <c r="K184" i="23"/>
  <c r="J184" i="23"/>
  <c r="I184" i="23"/>
  <c r="H184" i="23"/>
  <c r="G184" i="23"/>
  <c r="F184" i="23"/>
  <c r="E184" i="23"/>
  <c r="T183" i="23"/>
  <c r="S183" i="23"/>
  <c r="R183" i="23"/>
  <c r="Q183" i="23"/>
  <c r="P183" i="23"/>
  <c r="O183" i="23"/>
  <c r="N183" i="23"/>
  <c r="M183" i="23"/>
  <c r="L183" i="23"/>
  <c r="K183" i="23"/>
  <c r="J183" i="23"/>
  <c r="I183" i="23"/>
  <c r="H183" i="23"/>
  <c r="G183" i="23"/>
  <c r="F183" i="23"/>
  <c r="E183" i="23"/>
  <c r="T182" i="23"/>
  <c r="S182" i="23"/>
  <c r="R182" i="23"/>
  <c r="Q182" i="23"/>
  <c r="P182" i="23"/>
  <c r="O182" i="23"/>
  <c r="N182" i="23"/>
  <c r="M182" i="23"/>
  <c r="L182" i="23"/>
  <c r="K182" i="23"/>
  <c r="J182" i="23"/>
  <c r="I182" i="23"/>
  <c r="H182" i="23"/>
  <c r="G182" i="23"/>
  <c r="F182" i="23"/>
  <c r="E182" i="23"/>
  <c r="T181" i="23"/>
  <c r="S181" i="23"/>
  <c r="R181" i="23"/>
  <c r="Q181" i="23"/>
  <c r="P181" i="23"/>
  <c r="O181" i="23"/>
  <c r="N181" i="23"/>
  <c r="M181" i="23"/>
  <c r="L181" i="23"/>
  <c r="K181" i="23"/>
  <c r="J181" i="23"/>
  <c r="I181" i="23"/>
  <c r="H181" i="23"/>
  <c r="G181" i="23"/>
  <c r="F181" i="23"/>
  <c r="E181" i="23"/>
  <c r="T180" i="23"/>
  <c r="S180" i="23"/>
  <c r="R180" i="23"/>
  <c r="Q180" i="23"/>
  <c r="P180" i="23"/>
  <c r="O180" i="23"/>
  <c r="N180" i="23"/>
  <c r="M180" i="23"/>
  <c r="L180" i="23"/>
  <c r="K180" i="23"/>
  <c r="J180" i="23"/>
  <c r="I180" i="23"/>
  <c r="H180" i="23"/>
  <c r="G180" i="23"/>
  <c r="F180" i="23"/>
  <c r="E180" i="23"/>
  <c r="CI35" i="23"/>
  <c r="CH35" i="23"/>
  <c r="CG35" i="23"/>
  <c r="CF35" i="23"/>
  <c r="CE35" i="23"/>
  <c r="CD35" i="23"/>
  <c r="CC35" i="23"/>
  <c r="CA35" i="23"/>
  <c r="BY35" i="23"/>
  <c r="BX35" i="23"/>
  <c r="BT35" i="23"/>
  <c r="BS35" i="23"/>
  <c r="BR35" i="23"/>
  <c r="BQ35" i="23"/>
  <c r="BP35" i="23"/>
  <c r="BO35" i="23"/>
  <c r="BJ35" i="23"/>
  <c r="BH35" i="23"/>
  <c r="BG35" i="23"/>
  <c r="BF35" i="23"/>
  <c r="BE35" i="23"/>
  <c r="BD35" i="23"/>
  <c r="BC35" i="23"/>
  <c r="BB35" i="23"/>
  <c r="BA35" i="23"/>
  <c r="AY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I34" i="23"/>
  <c r="CH34" i="23"/>
  <c r="CG34" i="23"/>
  <c r="CF34" i="23"/>
  <c r="CE34" i="23"/>
  <c r="CD34" i="23"/>
  <c r="CC34" i="23"/>
  <c r="CA34" i="23"/>
  <c r="BY34" i="23"/>
  <c r="BX34" i="23"/>
  <c r="BT34" i="23"/>
  <c r="BS34" i="23"/>
  <c r="BR34" i="23"/>
  <c r="BQ34" i="23"/>
  <c r="BP34" i="23"/>
  <c r="BO34" i="23"/>
  <c r="BJ34" i="23"/>
  <c r="BH34" i="23"/>
  <c r="BG34" i="23"/>
  <c r="BF34" i="23"/>
  <c r="BE34" i="23"/>
  <c r="BD34" i="23"/>
  <c r="BC34" i="23"/>
  <c r="BB34" i="23"/>
  <c r="BA34" i="23"/>
  <c r="AY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I33" i="23"/>
  <c r="CH33" i="23"/>
  <c r="CG33" i="23"/>
  <c r="CF33" i="23"/>
  <c r="CE33" i="23"/>
  <c r="CD33" i="23"/>
  <c r="CC33" i="23"/>
  <c r="CA33" i="23"/>
  <c r="BY33" i="23"/>
  <c r="BX33" i="23"/>
  <c r="BT33" i="23"/>
  <c r="BS33" i="23"/>
  <c r="BR33" i="23"/>
  <c r="BQ33" i="23"/>
  <c r="BP33" i="23"/>
  <c r="BO33" i="23"/>
  <c r="BJ33" i="23"/>
  <c r="BH33" i="23"/>
  <c r="BG33" i="23"/>
  <c r="BF33" i="23"/>
  <c r="BE33" i="23"/>
  <c r="BD33" i="23"/>
  <c r="BC33" i="23"/>
  <c r="BB33" i="23"/>
  <c r="BA33" i="23"/>
  <c r="AY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I32" i="23"/>
  <c r="CH32" i="23"/>
  <c r="CG32" i="23"/>
  <c r="CF32" i="23"/>
  <c r="CE32" i="23"/>
  <c r="CD32" i="23"/>
  <c r="CC32" i="23"/>
  <c r="CA32" i="23"/>
  <c r="BY32" i="23"/>
  <c r="BX32" i="23"/>
  <c r="BT32" i="23"/>
  <c r="BS32" i="23"/>
  <c r="BR32" i="23"/>
  <c r="BQ32" i="23"/>
  <c r="BP32" i="23"/>
  <c r="BO32" i="23"/>
  <c r="BJ32" i="23"/>
  <c r="BH32" i="23"/>
  <c r="BG32" i="23"/>
  <c r="BF32" i="23"/>
  <c r="BE32" i="23"/>
  <c r="BD32" i="23"/>
  <c r="BC32" i="23"/>
  <c r="BB32" i="23"/>
  <c r="BA32" i="23"/>
  <c r="AY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I31" i="23"/>
  <c r="CH31" i="23"/>
  <c r="CG31" i="23"/>
  <c r="CF31" i="23"/>
  <c r="CE31" i="23"/>
  <c r="CD31" i="23"/>
  <c r="CC31" i="23"/>
  <c r="CA31" i="23"/>
  <c r="BY31" i="23"/>
  <c r="BX31" i="23"/>
  <c r="BT31" i="23"/>
  <c r="BS31" i="23"/>
  <c r="BR31" i="23"/>
  <c r="BQ31" i="23"/>
  <c r="BP31" i="23"/>
  <c r="BO31" i="23"/>
  <c r="BJ31" i="23"/>
  <c r="BH31" i="23"/>
  <c r="BG31" i="23"/>
  <c r="BF31" i="23"/>
  <c r="BE31" i="23"/>
  <c r="BD31" i="23"/>
  <c r="BC31" i="23"/>
  <c r="BB31" i="23"/>
  <c r="BA31" i="23"/>
  <c r="AY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I30" i="23"/>
  <c r="CH30" i="23"/>
  <c r="CG30" i="23"/>
  <c r="CF30" i="23"/>
  <c r="CE30" i="23"/>
  <c r="CD30" i="23"/>
  <c r="CC30" i="23"/>
  <c r="CA30" i="23"/>
  <c r="BY30" i="23"/>
  <c r="BX30" i="23"/>
  <c r="BT30" i="23"/>
  <c r="BS30" i="23"/>
  <c r="BR30" i="23"/>
  <c r="BQ30" i="23"/>
  <c r="BP30" i="23"/>
  <c r="BO30" i="23"/>
  <c r="BJ30" i="23"/>
  <c r="BH30" i="23"/>
  <c r="BG30" i="23"/>
  <c r="BF30" i="23"/>
  <c r="BE30" i="23"/>
  <c r="BD30" i="23"/>
  <c r="BC30" i="23"/>
  <c r="BB30" i="23"/>
  <c r="BA30" i="23"/>
  <c r="AY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I29" i="23"/>
  <c r="CH29" i="23"/>
  <c r="CG29" i="23"/>
  <c r="CF29" i="23"/>
  <c r="CE29" i="23"/>
  <c r="CD29" i="23"/>
  <c r="CC29" i="23"/>
  <c r="CA29" i="23"/>
  <c r="BY29" i="23"/>
  <c r="BX29" i="23"/>
  <c r="BT29" i="23"/>
  <c r="BS29" i="23"/>
  <c r="BR29" i="23"/>
  <c r="BQ29" i="23"/>
  <c r="BP29" i="23"/>
  <c r="BO29" i="23"/>
  <c r="BJ29" i="23"/>
  <c r="BH29" i="23"/>
  <c r="BG29" i="23"/>
  <c r="BF29" i="23"/>
  <c r="BE29" i="23"/>
  <c r="BD29" i="23"/>
  <c r="BC29" i="23"/>
  <c r="BB29" i="23"/>
  <c r="BA29" i="23"/>
  <c r="AY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I28" i="23"/>
  <c r="CH28" i="23"/>
  <c r="CG28" i="23"/>
  <c r="CF28" i="23"/>
  <c r="CE28" i="23"/>
  <c r="CD28" i="23"/>
  <c r="CC28" i="23"/>
  <c r="CA28" i="23"/>
  <c r="BY28" i="23"/>
  <c r="BX28" i="23"/>
  <c r="BT28" i="23"/>
  <c r="BS28" i="23"/>
  <c r="BR28" i="23"/>
  <c r="BQ28" i="23"/>
  <c r="BP28" i="23"/>
  <c r="BO28" i="23"/>
  <c r="BJ28" i="23"/>
  <c r="BH28" i="23"/>
  <c r="BG28" i="23"/>
  <c r="BF28" i="23"/>
  <c r="BE28" i="23"/>
  <c r="BD28" i="23"/>
  <c r="BC28" i="23"/>
  <c r="BB28" i="23"/>
  <c r="BA28" i="23"/>
  <c r="AY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I27" i="23"/>
  <c r="CH27" i="23"/>
  <c r="CG27" i="23"/>
  <c r="CF27" i="23"/>
  <c r="CE27" i="23"/>
  <c r="CD27" i="23"/>
  <c r="CC27" i="23"/>
  <c r="CA27" i="23"/>
  <c r="BY27" i="23"/>
  <c r="BX27" i="23"/>
  <c r="BT27" i="23"/>
  <c r="BS27" i="23"/>
  <c r="BR27" i="23"/>
  <c r="BQ27" i="23"/>
  <c r="BP27" i="23"/>
  <c r="BO27" i="23"/>
  <c r="BJ27" i="23"/>
  <c r="BH27" i="23"/>
  <c r="BG27" i="23"/>
  <c r="BF27" i="23"/>
  <c r="BE27" i="23"/>
  <c r="BD27" i="23"/>
  <c r="BC27" i="23"/>
  <c r="BB27" i="23"/>
  <c r="BA27" i="23"/>
  <c r="AY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I26" i="23"/>
  <c r="CH26" i="23"/>
  <c r="CG26" i="23"/>
  <c r="CF26" i="23"/>
  <c r="CE26" i="23"/>
  <c r="CD26" i="23"/>
  <c r="CC26" i="23"/>
  <c r="CA26" i="23"/>
  <c r="BY26" i="23"/>
  <c r="BX26" i="23"/>
  <c r="BT26" i="23"/>
  <c r="BS26" i="23"/>
  <c r="BR26" i="23"/>
  <c r="BQ26" i="23"/>
  <c r="BP26" i="23"/>
  <c r="BO26" i="23"/>
  <c r="BJ26" i="23"/>
  <c r="BH26" i="23"/>
  <c r="BG26" i="23"/>
  <c r="BF26" i="23"/>
  <c r="BE26" i="23"/>
  <c r="BD26" i="23"/>
  <c r="BC26" i="23"/>
  <c r="BB26" i="23"/>
  <c r="BA26" i="23"/>
  <c r="AY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I25" i="23"/>
  <c r="CH25" i="23"/>
  <c r="CG25" i="23"/>
  <c r="CF25" i="23"/>
  <c r="CE25" i="23"/>
  <c r="CD25" i="23"/>
  <c r="CC25" i="23"/>
  <c r="CA25" i="23"/>
  <c r="BY25" i="23"/>
  <c r="BX25" i="23"/>
  <c r="BT25" i="23"/>
  <c r="BS25" i="23"/>
  <c r="BR25" i="23"/>
  <c r="BQ25" i="23"/>
  <c r="BP25" i="23"/>
  <c r="BO25" i="23"/>
  <c r="BJ25" i="23"/>
  <c r="BH25" i="23"/>
  <c r="BG25" i="23"/>
  <c r="BF25" i="23"/>
  <c r="BE25" i="23"/>
  <c r="BD25" i="23"/>
  <c r="BC25" i="23"/>
  <c r="BB25" i="23"/>
  <c r="BA25" i="23"/>
  <c r="AY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I24" i="23"/>
  <c r="CH24" i="23"/>
  <c r="CG24" i="23"/>
  <c r="CF24" i="23"/>
  <c r="CE24" i="23"/>
  <c r="CD24" i="23"/>
  <c r="CC24" i="23"/>
  <c r="CA24" i="23"/>
  <c r="BY24" i="23"/>
  <c r="BX24" i="23"/>
  <c r="BT24" i="23"/>
  <c r="BS24" i="23"/>
  <c r="BR24" i="23"/>
  <c r="BQ24" i="23"/>
  <c r="BP24" i="23"/>
  <c r="BO24" i="23"/>
  <c r="BJ24" i="23"/>
  <c r="BH24" i="23"/>
  <c r="BG24" i="23"/>
  <c r="BF24" i="23"/>
  <c r="BE24" i="23"/>
  <c r="BD24" i="23"/>
  <c r="BC24" i="23"/>
  <c r="BB24" i="23"/>
  <c r="BA24" i="23"/>
  <c r="AY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I23" i="23"/>
  <c r="CH23" i="23"/>
  <c r="CG23" i="23"/>
  <c r="CF23" i="23"/>
  <c r="CE23" i="23"/>
  <c r="CD23" i="23"/>
  <c r="CC23" i="23"/>
  <c r="CA23" i="23"/>
  <c r="BY23" i="23"/>
  <c r="BX23" i="23"/>
  <c r="BT23" i="23"/>
  <c r="BS23" i="23"/>
  <c r="BR23" i="23"/>
  <c r="BQ23" i="23"/>
  <c r="BP23" i="23"/>
  <c r="BO23" i="23"/>
  <c r="BJ23" i="23"/>
  <c r="BH23" i="23"/>
  <c r="BG23" i="23"/>
  <c r="BF23" i="23"/>
  <c r="BE23" i="23"/>
  <c r="BD23" i="23"/>
  <c r="BC23" i="23"/>
  <c r="BB23" i="23"/>
  <c r="BA23" i="23"/>
  <c r="AY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I22" i="23"/>
  <c r="CH22" i="23"/>
  <c r="CG22" i="23"/>
  <c r="CF22" i="23"/>
  <c r="CE22" i="23"/>
  <c r="CD22" i="23"/>
  <c r="CC22" i="23"/>
  <c r="CA22" i="23"/>
  <c r="BY22" i="23"/>
  <c r="BX22" i="23"/>
  <c r="BT22" i="23"/>
  <c r="BS22" i="23"/>
  <c r="BR22" i="23"/>
  <c r="BQ22" i="23"/>
  <c r="BP22" i="23"/>
  <c r="BO22" i="23"/>
  <c r="BJ22" i="23"/>
  <c r="BH22" i="23"/>
  <c r="BG22" i="23"/>
  <c r="BF22" i="23"/>
  <c r="BE22" i="23"/>
  <c r="BD22" i="23"/>
  <c r="BC22" i="23"/>
  <c r="BB22" i="23"/>
  <c r="BA22" i="23"/>
  <c r="AY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I21" i="23"/>
  <c r="CH21" i="23"/>
  <c r="CG21" i="23"/>
  <c r="CF21" i="23"/>
  <c r="CE21" i="23"/>
  <c r="CD21" i="23"/>
  <c r="CC21" i="23"/>
  <c r="CA21" i="23"/>
  <c r="BY21" i="23"/>
  <c r="BX21" i="23"/>
  <c r="BT21" i="23"/>
  <c r="BS21" i="23"/>
  <c r="BR21" i="23"/>
  <c r="BQ21" i="23"/>
  <c r="BP21" i="23"/>
  <c r="BO21" i="23"/>
  <c r="BJ21" i="23"/>
  <c r="BH21" i="23"/>
  <c r="BG21" i="23"/>
  <c r="BF21" i="23"/>
  <c r="BE21" i="23"/>
  <c r="BD21" i="23"/>
  <c r="BC21" i="23"/>
  <c r="BB21" i="23"/>
  <c r="BA21" i="23"/>
  <c r="AY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I20" i="23"/>
  <c r="CH20" i="23"/>
  <c r="CG20" i="23"/>
  <c r="CF20" i="23"/>
  <c r="CE20" i="23"/>
  <c r="CD20" i="23"/>
  <c r="CC20" i="23"/>
  <c r="CA20" i="23"/>
  <c r="BY20" i="23"/>
  <c r="BX20" i="23"/>
  <c r="BT20" i="23"/>
  <c r="BS20" i="23"/>
  <c r="BR20" i="23"/>
  <c r="BQ20" i="23"/>
  <c r="BP20" i="23"/>
  <c r="BO20" i="23"/>
  <c r="BJ20" i="23"/>
  <c r="BH20" i="23"/>
  <c r="BG20" i="23"/>
  <c r="BF20" i="23"/>
  <c r="BE20" i="23"/>
  <c r="BD20" i="23"/>
  <c r="BC20" i="23"/>
  <c r="BB20" i="23"/>
  <c r="BA20" i="23"/>
  <c r="AY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I19" i="23"/>
  <c r="CH19" i="23"/>
  <c r="CG19" i="23"/>
  <c r="CF19" i="23"/>
  <c r="CE19" i="23"/>
  <c r="CD19" i="23"/>
  <c r="CC19" i="23"/>
  <c r="CA19" i="23"/>
  <c r="BY19" i="23"/>
  <c r="BX19" i="23"/>
  <c r="BT19" i="23"/>
  <c r="BS19" i="23"/>
  <c r="BR19" i="23"/>
  <c r="BQ19" i="23"/>
  <c r="BP19" i="23"/>
  <c r="BO19" i="23"/>
  <c r="BJ19" i="23"/>
  <c r="BH19" i="23"/>
  <c r="BG19" i="23"/>
  <c r="BF19" i="23"/>
  <c r="BE19" i="23"/>
  <c r="BD19" i="23"/>
  <c r="BC19" i="23"/>
  <c r="BB19" i="23"/>
  <c r="BA19" i="23"/>
  <c r="AY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I18" i="23"/>
  <c r="CH18" i="23"/>
  <c r="CG18" i="23"/>
  <c r="CF18" i="23"/>
  <c r="CE18" i="23"/>
  <c r="CD18" i="23"/>
  <c r="CC18" i="23"/>
  <c r="CA18" i="23"/>
  <c r="BY18" i="23"/>
  <c r="BX18" i="23"/>
  <c r="BT18" i="23"/>
  <c r="BS18" i="23"/>
  <c r="BR18" i="23"/>
  <c r="BQ18" i="23"/>
  <c r="BP18" i="23"/>
  <c r="BO18" i="23"/>
  <c r="BJ18" i="23"/>
  <c r="BH18" i="23"/>
  <c r="BG18" i="23"/>
  <c r="BF18" i="23"/>
  <c r="BE18" i="23"/>
  <c r="BD18" i="23"/>
  <c r="BC18" i="23"/>
  <c r="BB18" i="23"/>
  <c r="BA18" i="23"/>
  <c r="AY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BX14" i="23"/>
  <c r="BT14" i="23"/>
  <c r="BS14" i="23"/>
  <c r="BG14" i="23"/>
  <c r="BF14" i="23"/>
  <c r="BE14" i="23"/>
  <c r="AV14" i="23"/>
  <c r="AU14" i="23"/>
  <c r="AT14" i="23"/>
  <c r="AM14" i="23"/>
  <c r="AL14" i="23"/>
  <c r="AK14" i="23"/>
  <c r="AD14" i="23"/>
  <c r="AC14" i="23"/>
  <c r="AB14" i="23"/>
  <c r="U14" i="23"/>
  <c r="T14" i="23"/>
  <c r="S14" i="23"/>
  <c r="L14" i="23"/>
  <c r="K14" i="23"/>
  <c r="J14" i="23"/>
  <c r="BX13" i="23"/>
  <c r="BT13" i="23"/>
  <c r="BS13" i="23"/>
  <c r="BG13" i="23"/>
  <c r="BF13" i="23"/>
  <c r="BE13" i="23"/>
  <c r="AV13" i="23"/>
  <c r="AU13" i="23"/>
  <c r="AT13" i="23"/>
  <c r="AM13" i="23"/>
  <c r="AL13" i="23"/>
  <c r="AK13" i="23"/>
  <c r="AD13" i="23"/>
  <c r="AC13" i="23"/>
  <c r="AB13" i="23"/>
  <c r="U13" i="23"/>
  <c r="T13" i="23"/>
  <c r="S13" i="23"/>
  <c r="L13" i="23"/>
  <c r="K13" i="23"/>
  <c r="J13" i="23"/>
  <c r="BX12" i="23"/>
  <c r="BT12" i="23"/>
  <c r="BS12" i="23"/>
  <c r="BG12" i="23"/>
  <c r="BF12" i="23"/>
  <c r="BE12" i="23"/>
  <c r="AV12" i="23"/>
  <c r="AU12" i="23"/>
  <c r="AT12" i="23"/>
  <c r="AM12" i="23"/>
  <c r="AL12" i="23"/>
  <c r="AK12" i="23"/>
  <c r="AD12" i="23"/>
  <c r="AC12" i="23"/>
  <c r="AB12" i="23"/>
  <c r="U12" i="23"/>
  <c r="T12" i="23"/>
  <c r="S12" i="23"/>
  <c r="L12" i="23"/>
  <c r="K12" i="23"/>
  <c r="J12" i="23"/>
  <c r="AO280" i="16"/>
  <c r="AN280" i="16"/>
  <c r="AM280" i="16"/>
  <c r="AL280" i="16"/>
  <c r="AK280" i="16"/>
  <c r="AJ280" i="16"/>
  <c r="AI280" i="16"/>
  <c r="AH280" i="16"/>
  <c r="AG280" i="16"/>
  <c r="AF280" i="16"/>
  <c r="AE280" i="16"/>
  <c r="AD280" i="16"/>
  <c r="AC280" i="16"/>
  <c r="AB280" i="16"/>
  <c r="AA280" i="16"/>
  <c r="Z280" i="16"/>
  <c r="Y280" i="16"/>
  <c r="X280" i="16"/>
  <c r="W280" i="16"/>
  <c r="V280" i="16"/>
  <c r="U280" i="16"/>
  <c r="T280" i="16"/>
  <c r="S280" i="16"/>
  <c r="R280" i="16"/>
  <c r="Q280" i="16"/>
  <c r="P280" i="16"/>
  <c r="O280" i="16"/>
  <c r="N280" i="16"/>
  <c r="M280" i="16"/>
  <c r="L280" i="16"/>
  <c r="K280" i="16"/>
  <c r="J280" i="16"/>
  <c r="I280" i="16"/>
  <c r="H280" i="16"/>
  <c r="G280" i="16"/>
  <c r="F280" i="16"/>
  <c r="AO279" i="16"/>
  <c r="AN279" i="16"/>
  <c r="AM279" i="16"/>
  <c r="AL279" i="16"/>
  <c r="AK279" i="16"/>
  <c r="AJ279" i="16"/>
  <c r="AI279" i="16"/>
  <c r="AH279" i="16"/>
  <c r="AG279" i="16"/>
  <c r="AF279" i="16"/>
  <c r="AE279" i="16"/>
  <c r="AD279" i="16"/>
  <c r="AC279" i="16"/>
  <c r="AB279" i="16"/>
  <c r="AA279" i="16"/>
  <c r="Z279" i="16"/>
  <c r="Y279" i="16"/>
  <c r="X279" i="16"/>
  <c r="W279" i="16"/>
  <c r="V279" i="16"/>
  <c r="U279" i="16"/>
  <c r="T279" i="16"/>
  <c r="S279" i="16"/>
  <c r="R279" i="16"/>
  <c r="Q279" i="16"/>
  <c r="P279" i="16"/>
  <c r="O279" i="16"/>
  <c r="N279" i="16"/>
  <c r="M279" i="16"/>
  <c r="L279" i="16"/>
  <c r="K279" i="16"/>
  <c r="J279" i="16"/>
  <c r="I279" i="16"/>
  <c r="H279" i="16"/>
  <c r="G279" i="16"/>
  <c r="F279" i="16"/>
  <c r="AO278" i="16"/>
  <c r="AN278" i="16"/>
  <c r="AM278" i="16"/>
  <c r="AL278" i="16"/>
  <c r="AK278" i="16"/>
  <c r="AJ278" i="16"/>
  <c r="AI278" i="16"/>
  <c r="AH278" i="16"/>
  <c r="AG278" i="16"/>
  <c r="AF278" i="16"/>
  <c r="AE278" i="16"/>
  <c r="AD278" i="16"/>
  <c r="AC278" i="16"/>
  <c r="AB278" i="16"/>
  <c r="AA278" i="16"/>
  <c r="Z278" i="16"/>
  <c r="Y278" i="16"/>
  <c r="X278" i="16"/>
  <c r="W278" i="16"/>
  <c r="V278" i="16"/>
  <c r="U278" i="16"/>
  <c r="T278" i="16"/>
  <c r="S278" i="16"/>
  <c r="R278" i="16"/>
  <c r="Q278" i="16"/>
  <c r="P278" i="16"/>
  <c r="O278" i="16"/>
  <c r="N278" i="16"/>
  <c r="M278" i="16"/>
  <c r="L278" i="16"/>
  <c r="K278" i="16"/>
  <c r="J278" i="16"/>
  <c r="I278" i="16"/>
  <c r="H278" i="16"/>
  <c r="G278" i="16"/>
  <c r="F278" i="16"/>
  <c r="AO277" i="16"/>
  <c r="AN277" i="16"/>
  <c r="AM277" i="16"/>
  <c r="AL277" i="16"/>
  <c r="AK277" i="16"/>
  <c r="AJ277" i="16"/>
  <c r="AI277" i="16"/>
  <c r="AH277" i="16"/>
  <c r="AG277" i="16"/>
  <c r="AF277" i="16"/>
  <c r="AE277" i="16"/>
  <c r="AD277" i="16"/>
  <c r="AC277" i="16"/>
  <c r="AB277" i="16"/>
  <c r="AA277" i="16"/>
  <c r="Z277" i="16"/>
  <c r="Y277" i="16"/>
  <c r="X277" i="16"/>
  <c r="W277" i="16"/>
  <c r="V277" i="16"/>
  <c r="U277" i="16"/>
  <c r="T277" i="16"/>
  <c r="S277" i="16"/>
  <c r="R277" i="16"/>
  <c r="Q277" i="16"/>
  <c r="P277" i="16"/>
  <c r="O277" i="16"/>
  <c r="N277" i="16"/>
  <c r="M277" i="16"/>
  <c r="L277" i="16"/>
  <c r="K277" i="16"/>
  <c r="J277" i="16"/>
  <c r="I277" i="16"/>
  <c r="H277" i="16"/>
  <c r="G277" i="16"/>
  <c r="F277" i="16"/>
  <c r="AO276" i="16"/>
  <c r="AN276" i="16"/>
  <c r="AM276" i="16"/>
  <c r="AL276" i="16"/>
  <c r="AK276" i="16"/>
  <c r="AJ276" i="16"/>
  <c r="AI276" i="16"/>
  <c r="AH276" i="16"/>
  <c r="AG276" i="16"/>
  <c r="AF276" i="16"/>
  <c r="AE276" i="16"/>
  <c r="AD276" i="16"/>
  <c r="AC276" i="16"/>
  <c r="AB276" i="16"/>
  <c r="AA276" i="16"/>
  <c r="Z276" i="16"/>
  <c r="Y276" i="16"/>
  <c r="X276" i="16"/>
  <c r="W276" i="16"/>
  <c r="V276" i="16"/>
  <c r="U276" i="16"/>
  <c r="T276" i="16"/>
  <c r="S276" i="16"/>
  <c r="R276" i="16"/>
  <c r="Q276" i="16"/>
  <c r="P276" i="16"/>
  <c r="O276" i="16"/>
  <c r="N276" i="16"/>
  <c r="M276" i="16"/>
  <c r="L276" i="16"/>
  <c r="K276" i="16"/>
  <c r="J276" i="16"/>
  <c r="I276" i="16"/>
  <c r="H276" i="16"/>
  <c r="G276" i="16"/>
  <c r="F276" i="16"/>
  <c r="AO275" i="16"/>
  <c r="AN275" i="16"/>
  <c r="AM275" i="16"/>
  <c r="AL275" i="16"/>
  <c r="AK275" i="16"/>
  <c r="AJ275" i="16"/>
  <c r="AI275" i="16"/>
  <c r="AH275" i="16"/>
  <c r="AG275" i="16"/>
  <c r="AF275" i="16"/>
  <c r="AE275" i="16"/>
  <c r="AD275" i="16"/>
  <c r="AC275" i="16"/>
  <c r="AB275" i="16"/>
  <c r="AA275" i="16"/>
  <c r="Z275" i="16"/>
  <c r="Y275" i="16"/>
  <c r="X275" i="16"/>
  <c r="W275" i="16"/>
  <c r="V275" i="16"/>
  <c r="U275" i="16"/>
  <c r="T275" i="16"/>
  <c r="S275" i="16"/>
  <c r="R275" i="16"/>
  <c r="Q275" i="16"/>
  <c r="P275" i="16"/>
  <c r="O275" i="16"/>
  <c r="N275" i="16"/>
  <c r="M275" i="16"/>
  <c r="L275" i="16"/>
  <c r="K275" i="16"/>
  <c r="J275" i="16"/>
  <c r="I275" i="16"/>
  <c r="H275" i="16"/>
  <c r="G275" i="16"/>
  <c r="F275" i="16"/>
  <c r="W270" i="16"/>
  <c r="V270" i="16"/>
  <c r="U270" i="16"/>
  <c r="T270" i="16"/>
  <c r="S270" i="16"/>
  <c r="R270" i="16"/>
  <c r="Q270" i="16"/>
  <c r="P270" i="16"/>
  <c r="O270" i="16"/>
  <c r="N270" i="16"/>
  <c r="M270" i="16"/>
  <c r="L270" i="16"/>
  <c r="K270" i="16"/>
  <c r="J270" i="16"/>
  <c r="I270" i="16"/>
  <c r="H270" i="16"/>
  <c r="G270" i="16"/>
  <c r="F270" i="16"/>
  <c r="W269" i="16"/>
  <c r="V269" i="16"/>
  <c r="U269" i="16"/>
  <c r="T269" i="16"/>
  <c r="S269" i="16"/>
  <c r="R269" i="16"/>
  <c r="Q269" i="16"/>
  <c r="P269" i="16"/>
  <c r="O269" i="16"/>
  <c r="N269" i="16"/>
  <c r="M269" i="16"/>
  <c r="L269" i="16"/>
  <c r="K269" i="16"/>
  <c r="J269" i="16"/>
  <c r="I269" i="16"/>
  <c r="H269" i="16"/>
  <c r="G269" i="16"/>
  <c r="F269" i="16"/>
  <c r="W268" i="16"/>
  <c r="V268" i="16"/>
  <c r="U268" i="16"/>
  <c r="T268" i="16"/>
  <c r="S268" i="16"/>
  <c r="R268" i="16"/>
  <c r="Q268" i="16"/>
  <c r="P268" i="16"/>
  <c r="O268" i="16"/>
  <c r="N268" i="16"/>
  <c r="M268" i="16"/>
  <c r="L268" i="16"/>
  <c r="K268" i="16"/>
  <c r="J268" i="16"/>
  <c r="I268" i="16"/>
  <c r="H268" i="16"/>
  <c r="G268" i="16"/>
  <c r="F268" i="16"/>
  <c r="W267" i="16"/>
  <c r="V267" i="16"/>
  <c r="U267" i="16"/>
  <c r="T267" i="16"/>
  <c r="S267" i="16"/>
  <c r="R267" i="16"/>
  <c r="Q267" i="16"/>
  <c r="P267" i="16"/>
  <c r="O267" i="16"/>
  <c r="N267" i="16"/>
  <c r="M267" i="16"/>
  <c r="L267" i="16"/>
  <c r="K267" i="16"/>
  <c r="J267" i="16"/>
  <c r="I267" i="16"/>
  <c r="H267" i="16"/>
  <c r="G267" i="16"/>
  <c r="F267" i="16"/>
  <c r="W266" i="16"/>
  <c r="V266" i="16"/>
  <c r="U266" i="16"/>
  <c r="T266" i="16"/>
  <c r="S266" i="16"/>
  <c r="R266" i="16"/>
  <c r="Q266" i="16"/>
  <c r="P266" i="16"/>
  <c r="O266" i="16"/>
  <c r="N266" i="16"/>
  <c r="M266" i="16"/>
  <c r="L266" i="16"/>
  <c r="K266" i="16"/>
  <c r="J266" i="16"/>
  <c r="I266" i="16"/>
  <c r="H266" i="16"/>
  <c r="G266" i="16"/>
  <c r="F266" i="16"/>
  <c r="W265" i="16"/>
  <c r="V265" i="16"/>
  <c r="U265" i="16"/>
  <c r="T265" i="16"/>
  <c r="S265" i="16"/>
  <c r="R265" i="16"/>
  <c r="Q265" i="16"/>
  <c r="P265" i="16"/>
  <c r="O265" i="16"/>
  <c r="N265" i="16"/>
  <c r="M265" i="16"/>
  <c r="L265" i="16"/>
  <c r="K265" i="16"/>
  <c r="J265" i="16"/>
  <c r="I265" i="16"/>
  <c r="H265" i="16"/>
  <c r="G265" i="16"/>
  <c r="F265" i="16"/>
  <c r="BA261" i="16"/>
  <c r="AZ261" i="16"/>
  <c r="AY261" i="16"/>
  <c r="AX261" i="16"/>
  <c r="AW261" i="16"/>
  <c r="AV261" i="16"/>
  <c r="AU261" i="16"/>
  <c r="AT261" i="16"/>
  <c r="AS261" i="16"/>
  <c r="AR261" i="16"/>
  <c r="AQ261" i="16"/>
  <c r="AP261" i="16"/>
  <c r="AO261" i="16"/>
  <c r="AN261" i="16"/>
  <c r="AM261" i="16"/>
  <c r="AL261" i="16"/>
  <c r="AK261" i="16"/>
  <c r="AJ261" i="16"/>
  <c r="AI261" i="16"/>
  <c r="AH261" i="16"/>
  <c r="AG261" i="16"/>
  <c r="AF261" i="16"/>
  <c r="AE261" i="16"/>
  <c r="AD261" i="16"/>
  <c r="AC261" i="16"/>
  <c r="AB261" i="16"/>
  <c r="AA261" i="16"/>
  <c r="Z261" i="16"/>
  <c r="Y261" i="16"/>
  <c r="X261" i="16"/>
  <c r="W261" i="16"/>
  <c r="V261" i="16"/>
  <c r="U261" i="16"/>
  <c r="T261" i="16"/>
  <c r="S261" i="16"/>
  <c r="R261" i="16"/>
  <c r="Q261" i="16"/>
  <c r="P261" i="16"/>
  <c r="O261" i="16"/>
  <c r="N261" i="16"/>
  <c r="M261" i="16"/>
  <c r="L261" i="16"/>
  <c r="K261" i="16"/>
  <c r="J261" i="16"/>
  <c r="I261" i="16"/>
  <c r="H261" i="16"/>
  <c r="G261" i="16"/>
  <c r="F261" i="16"/>
  <c r="BA260" i="16"/>
  <c r="AZ260" i="16"/>
  <c r="AY260" i="16"/>
  <c r="AX260" i="16"/>
  <c r="AW260" i="16"/>
  <c r="AV260" i="16"/>
  <c r="AU260" i="16"/>
  <c r="AT260" i="16"/>
  <c r="AS260" i="16"/>
  <c r="AR260" i="16"/>
  <c r="AQ260" i="16"/>
  <c r="AP260" i="16"/>
  <c r="AO260" i="16"/>
  <c r="AN260" i="16"/>
  <c r="AM260" i="16"/>
  <c r="AL260" i="16"/>
  <c r="AK260" i="16"/>
  <c r="AJ260" i="16"/>
  <c r="AI260" i="16"/>
  <c r="AH260" i="16"/>
  <c r="AG260" i="16"/>
  <c r="AF260" i="16"/>
  <c r="AE260" i="16"/>
  <c r="AD260" i="16"/>
  <c r="AC260" i="16"/>
  <c r="AB260" i="16"/>
  <c r="AA260" i="16"/>
  <c r="Z260" i="16"/>
  <c r="Y260" i="16"/>
  <c r="X260" i="16"/>
  <c r="W260" i="16"/>
  <c r="V260" i="16"/>
  <c r="U260" i="16"/>
  <c r="T260" i="16"/>
  <c r="S260" i="16"/>
  <c r="R260" i="16"/>
  <c r="Q260" i="16"/>
  <c r="P260" i="16"/>
  <c r="O260" i="16"/>
  <c r="N260" i="16"/>
  <c r="M260" i="16"/>
  <c r="L260" i="16"/>
  <c r="K260" i="16"/>
  <c r="J260" i="16"/>
  <c r="I260" i="16"/>
  <c r="H260" i="16"/>
  <c r="G260" i="16"/>
  <c r="F260" i="16"/>
  <c r="BA259" i="16"/>
  <c r="AZ259" i="16"/>
  <c r="AY259" i="16"/>
  <c r="AX259" i="16"/>
  <c r="AW259" i="16"/>
  <c r="AV259" i="16"/>
  <c r="AU259" i="16"/>
  <c r="AT259" i="16"/>
  <c r="AS259" i="16"/>
  <c r="AR259" i="16"/>
  <c r="AQ259" i="16"/>
  <c r="AP259" i="16"/>
  <c r="AO259" i="16"/>
  <c r="AN259" i="16"/>
  <c r="AM259" i="16"/>
  <c r="AL259" i="16"/>
  <c r="AK259" i="16"/>
  <c r="AJ259" i="16"/>
  <c r="AI259" i="16"/>
  <c r="AH259" i="16"/>
  <c r="AG259" i="16"/>
  <c r="AF259" i="16"/>
  <c r="AE259" i="16"/>
  <c r="AD259" i="16"/>
  <c r="AC259" i="16"/>
  <c r="AB259" i="16"/>
  <c r="AA259" i="16"/>
  <c r="Z259" i="16"/>
  <c r="Y259" i="16"/>
  <c r="X259" i="16"/>
  <c r="W259" i="16"/>
  <c r="V259" i="16"/>
  <c r="U259" i="16"/>
  <c r="T259" i="16"/>
  <c r="S259" i="16"/>
  <c r="R259" i="16"/>
  <c r="Q259" i="16"/>
  <c r="P259" i="16"/>
  <c r="O259" i="16"/>
  <c r="N259" i="16"/>
  <c r="M259" i="16"/>
  <c r="L259" i="16"/>
  <c r="K259" i="16"/>
  <c r="J259" i="16"/>
  <c r="I259" i="16"/>
  <c r="H259" i="16"/>
  <c r="G259" i="16"/>
  <c r="F259" i="16"/>
  <c r="BA258" i="16"/>
  <c r="AZ258" i="16"/>
  <c r="AY258" i="16"/>
  <c r="AX258" i="16"/>
  <c r="AW258" i="16"/>
  <c r="AV258" i="16"/>
  <c r="AU258" i="16"/>
  <c r="AT258" i="16"/>
  <c r="AS258" i="16"/>
  <c r="AR258" i="16"/>
  <c r="AQ258" i="16"/>
  <c r="AP258" i="16"/>
  <c r="AO258" i="16"/>
  <c r="AN258" i="16"/>
  <c r="AM258" i="16"/>
  <c r="AL258" i="16"/>
  <c r="AK258" i="16"/>
  <c r="AJ258" i="16"/>
  <c r="AI258" i="16"/>
  <c r="AH258" i="16"/>
  <c r="AG258" i="16"/>
  <c r="AF258" i="16"/>
  <c r="AE258" i="16"/>
  <c r="AD258" i="16"/>
  <c r="AC258" i="16"/>
  <c r="AB258" i="16"/>
  <c r="AA258" i="16"/>
  <c r="Z258" i="16"/>
  <c r="Y258" i="16"/>
  <c r="X258" i="16"/>
  <c r="W258" i="16"/>
  <c r="V258" i="16"/>
  <c r="U258" i="16"/>
  <c r="T258" i="16"/>
  <c r="S258" i="16"/>
  <c r="R258" i="16"/>
  <c r="Q258" i="16"/>
  <c r="P258" i="16"/>
  <c r="O258" i="16"/>
  <c r="N258" i="16"/>
  <c r="M258" i="16"/>
  <c r="L258" i="16"/>
  <c r="K258" i="16"/>
  <c r="J258" i="16"/>
  <c r="I258" i="16"/>
  <c r="H258" i="16"/>
  <c r="G258" i="16"/>
  <c r="F258" i="16"/>
  <c r="BA257" i="16"/>
  <c r="AZ257" i="16"/>
  <c r="AY257" i="16"/>
  <c r="AX257" i="16"/>
  <c r="AW257" i="16"/>
  <c r="AV257" i="16"/>
  <c r="AU257" i="16"/>
  <c r="AT257" i="16"/>
  <c r="AS257" i="16"/>
  <c r="AR257" i="16"/>
  <c r="AQ257" i="16"/>
  <c r="AP257" i="16"/>
  <c r="AO257" i="16"/>
  <c r="AN257" i="16"/>
  <c r="AM257" i="16"/>
  <c r="AL257" i="16"/>
  <c r="AK257" i="16"/>
  <c r="AJ257" i="16"/>
  <c r="AI257" i="16"/>
  <c r="AH257" i="16"/>
  <c r="AG257" i="16"/>
  <c r="AF257" i="16"/>
  <c r="AE257" i="16"/>
  <c r="AD257" i="16"/>
  <c r="AC257" i="16"/>
  <c r="AB257" i="16"/>
  <c r="AA257" i="16"/>
  <c r="Z257" i="16"/>
  <c r="Y257" i="16"/>
  <c r="X257" i="16"/>
  <c r="W257" i="16"/>
  <c r="V257" i="16"/>
  <c r="U257" i="16"/>
  <c r="T257" i="16"/>
  <c r="S257" i="16"/>
  <c r="R257" i="16"/>
  <c r="Q257" i="16"/>
  <c r="P257" i="16"/>
  <c r="O257" i="16"/>
  <c r="N257" i="16"/>
  <c r="M257" i="16"/>
  <c r="L257" i="16"/>
  <c r="K257" i="16"/>
  <c r="J257" i="16"/>
  <c r="I257" i="16"/>
  <c r="H257" i="16"/>
  <c r="G257" i="16"/>
  <c r="F257" i="16"/>
  <c r="BA256" i="16"/>
  <c r="AZ256" i="16"/>
  <c r="AY256" i="16"/>
  <c r="AX256" i="16"/>
  <c r="AW256" i="16"/>
  <c r="AV256"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Y256" i="16"/>
  <c r="X256" i="16"/>
  <c r="W256" i="16"/>
  <c r="V256" i="16"/>
  <c r="U256" i="16"/>
  <c r="T256" i="16"/>
  <c r="S256" i="16"/>
  <c r="R256" i="16"/>
  <c r="Q256" i="16"/>
  <c r="P256" i="16"/>
  <c r="O256" i="16"/>
  <c r="N256" i="16"/>
  <c r="M256" i="16"/>
  <c r="L256" i="16"/>
  <c r="K256" i="16"/>
  <c r="J256" i="16"/>
  <c r="I256" i="16"/>
  <c r="H256" i="16"/>
  <c r="G256" i="16"/>
  <c r="F256" i="16"/>
  <c r="AC251" i="16"/>
  <c r="AB251" i="16"/>
  <c r="AA251" i="16"/>
  <c r="Z251" i="16"/>
  <c r="Y251" i="16"/>
  <c r="X251" i="16"/>
  <c r="W251" i="16"/>
  <c r="V251" i="16"/>
  <c r="U251" i="16"/>
  <c r="T251" i="16"/>
  <c r="S251" i="16"/>
  <c r="R251" i="16"/>
  <c r="Q251" i="16"/>
  <c r="P251" i="16"/>
  <c r="O251" i="16"/>
  <c r="N251" i="16"/>
  <c r="M251" i="16"/>
  <c r="L251" i="16"/>
  <c r="K251" i="16"/>
  <c r="J251" i="16"/>
  <c r="I251" i="16"/>
  <c r="H251" i="16"/>
  <c r="G251" i="16"/>
  <c r="F251" i="16"/>
  <c r="AC250" i="16"/>
  <c r="AB250" i="16"/>
  <c r="AA250" i="16"/>
  <c r="Z250" i="16"/>
  <c r="Y250" i="16"/>
  <c r="X250" i="16"/>
  <c r="W250" i="16"/>
  <c r="V250" i="16"/>
  <c r="U250" i="16"/>
  <c r="T250" i="16"/>
  <c r="S250" i="16"/>
  <c r="R250" i="16"/>
  <c r="Q250" i="16"/>
  <c r="P250" i="16"/>
  <c r="O250" i="16"/>
  <c r="N250" i="16"/>
  <c r="M250" i="16"/>
  <c r="L250" i="16"/>
  <c r="K250" i="16"/>
  <c r="J250" i="16"/>
  <c r="I250" i="16"/>
  <c r="H250" i="16"/>
  <c r="G250" i="16"/>
  <c r="F250" i="16"/>
  <c r="AC249" i="16"/>
  <c r="AB249" i="16"/>
  <c r="AA249" i="16"/>
  <c r="Z249" i="16"/>
  <c r="Y249" i="16"/>
  <c r="X249" i="16"/>
  <c r="W249" i="16"/>
  <c r="V249" i="16"/>
  <c r="U249" i="16"/>
  <c r="T249" i="16"/>
  <c r="S249" i="16"/>
  <c r="R249" i="16"/>
  <c r="Q249" i="16"/>
  <c r="P249" i="16"/>
  <c r="O249" i="16"/>
  <c r="N249" i="16"/>
  <c r="M249" i="16"/>
  <c r="L249" i="16"/>
  <c r="K249" i="16"/>
  <c r="J249" i="16"/>
  <c r="I249" i="16"/>
  <c r="H249" i="16"/>
  <c r="G249" i="16"/>
  <c r="F249" i="16"/>
  <c r="AC248" i="16"/>
  <c r="AB248" i="16"/>
  <c r="AA248" i="16"/>
  <c r="Z248" i="16"/>
  <c r="Y248" i="16"/>
  <c r="X248" i="16"/>
  <c r="W248" i="16"/>
  <c r="V248" i="16"/>
  <c r="U248" i="16"/>
  <c r="T248" i="16"/>
  <c r="S248" i="16"/>
  <c r="R248" i="16"/>
  <c r="Q248" i="16"/>
  <c r="P248" i="16"/>
  <c r="O248" i="16"/>
  <c r="N248" i="16"/>
  <c r="M248" i="16"/>
  <c r="L248" i="16"/>
  <c r="K248" i="16"/>
  <c r="J248" i="16"/>
  <c r="I248" i="16"/>
  <c r="H248" i="16"/>
  <c r="G248" i="16"/>
  <c r="F248" i="16"/>
  <c r="AC247" i="16"/>
  <c r="AB247" i="16"/>
  <c r="AA247" i="16"/>
  <c r="Z247" i="16"/>
  <c r="Y247" i="16"/>
  <c r="X247" i="16"/>
  <c r="W247" i="16"/>
  <c r="V247" i="16"/>
  <c r="U247" i="16"/>
  <c r="T247" i="16"/>
  <c r="S247" i="16"/>
  <c r="R247" i="16"/>
  <c r="Q247" i="16"/>
  <c r="P247" i="16"/>
  <c r="O247" i="16"/>
  <c r="N247" i="16"/>
  <c r="M247" i="16"/>
  <c r="L247" i="16"/>
  <c r="K247" i="16"/>
  <c r="J247" i="16"/>
  <c r="I247" i="16"/>
  <c r="H247" i="16"/>
  <c r="G247" i="16"/>
  <c r="F247" i="16"/>
  <c r="AC246" i="16"/>
  <c r="AB246" i="16"/>
  <c r="AA246" i="16"/>
  <c r="Z246" i="16"/>
  <c r="Y246" i="16"/>
  <c r="X246" i="16"/>
  <c r="W246" i="16"/>
  <c r="V246" i="16"/>
  <c r="U246" i="16"/>
  <c r="T246" i="16"/>
  <c r="S246" i="16"/>
  <c r="R246" i="16"/>
  <c r="Q246" i="16"/>
  <c r="P246" i="16"/>
  <c r="O246" i="16"/>
  <c r="N246" i="16"/>
  <c r="M246" i="16"/>
  <c r="L246" i="16"/>
  <c r="K246" i="16"/>
  <c r="J246" i="16"/>
  <c r="I246" i="16"/>
  <c r="H246" i="16"/>
  <c r="G246" i="16"/>
  <c r="F246" i="16"/>
  <c r="AH198" i="16"/>
  <c r="AG198" i="16"/>
  <c r="AF198" i="16"/>
  <c r="AE198" i="16"/>
  <c r="AD198" i="16"/>
  <c r="AC198" i="16"/>
  <c r="AB198" i="16"/>
  <c r="AA198" i="16"/>
  <c r="Z198" i="16"/>
  <c r="Y198" i="16"/>
  <c r="X198" i="16"/>
  <c r="W198" i="16"/>
  <c r="V198" i="16"/>
  <c r="U198" i="16"/>
  <c r="T198" i="16"/>
  <c r="S198" i="16"/>
  <c r="R198" i="16"/>
  <c r="Q198" i="16"/>
  <c r="P198" i="16"/>
  <c r="O198" i="16"/>
  <c r="N198" i="16"/>
  <c r="M198" i="16"/>
  <c r="L198" i="16"/>
  <c r="K198" i="16"/>
  <c r="J198" i="16"/>
  <c r="I198" i="16"/>
  <c r="H198" i="16"/>
  <c r="G198" i="16"/>
  <c r="F198" i="16"/>
  <c r="E198" i="16"/>
  <c r="D198" i="16"/>
  <c r="C198" i="16"/>
  <c r="AH197" i="16"/>
  <c r="AG197" i="16"/>
  <c r="AF197" i="16"/>
  <c r="AE197" i="16"/>
  <c r="AD197" i="16"/>
  <c r="AC197" i="16"/>
  <c r="AB197" i="16"/>
  <c r="AA197" i="16"/>
  <c r="Z197" i="16"/>
  <c r="Y197" i="16"/>
  <c r="X197" i="16"/>
  <c r="W197" i="16"/>
  <c r="V197" i="16"/>
  <c r="U197" i="16"/>
  <c r="T197" i="16"/>
  <c r="S197" i="16"/>
  <c r="R197" i="16"/>
  <c r="Q197" i="16"/>
  <c r="P197" i="16"/>
  <c r="O197" i="16"/>
  <c r="N197" i="16"/>
  <c r="M197" i="16"/>
  <c r="L197" i="16"/>
  <c r="K197" i="16"/>
  <c r="J197" i="16"/>
  <c r="I197" i="16"/>
  <c r="H197" i="16"/>
  <c r="G197" i="16"/>
  <c r="F197" i="16"/>
  <c r="E197" i="16"/>
  <c r="D197" i="16"/>
  <c r="C197" i="16"/>
  <c r="AH196" i="16"/>
  <c r="AG196" i="16"/>
  <c r="AF196" i="16"/>
  <c r="AE196"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G196" i="16"/>
  <c r="F196" i="16"/>
  <c r="E196" i="16"/>
  <c r="D196" i="16"/>
  <c r="C196" i="16"/>
  <c r="AH195" i="16"/>
  <c r="AG195" i="16"/>
  <c r="AF195" i="16"/>
  <c r="AE195"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G195" i="16"/>
  <c r="F195" i="16"/>
  <c r="E195" i="16"/>
  <c r="D195" i="16"/>
  <c r="C195" i="16"/>
  <c r="BC194" i="16"/>
  <c r="BB194" i="16"/>
  <c r="BA194" i="16"/>
  <c r="AZ194" i="16"/>
  <c r="AY194" i="16"/>
  <c r="AX194" i="16"/>
  <c r="AW194" i="16"/>
  <c r="AV194" i="16"/>
  <c r="AU194" i="16"/>
  <c r="AT194" i="16"/>
  <c r="AS194" i="16"/>
  <c r="AR194" i="16"/>
  <c r="AH194" i="16"/>
  <c r="AG194" i="16"/>
  <c r="AF194" i="16"/>
  <c r="AE194" i="16"/>
  <c r="AD194" i="16"/>
  <c r="AC194" i="16"/>
  <c r="AB194" i="16"/>
  <c r="AA194" i="16"/>
  <c r="Z194" i="16"/>
  <c r="Y194" i="16"/>
  <c r="X194" i="16"/>
  <c r="W194" i="16"/>
  <c r="V194" i="16"/>
  <c r="U194" i="16"/>
  <c r="T194" i="16"/>
  <c r="S194" i="16"/>
  <c r="R194" i="16"/>
  <c r="Q194" i="16"/>
  <c r="P194" i="16"/>
  <c r="O194" i="16"/>
  <c r="N194" i="16"/>
  <c r="M194" i="16"/>
  <c r="L194" i="16"/>
  <c r="K194" i="16"/>
  <c r="J194" i="16"/>
  <c r="I194" i="16"/>
  <c r="H194" i="16"/>
  <c r="G194" i="16"/>
  <c r="F194" i="16"/>
  <c r="E194" i="16"/>
  <c r="D194" i="16"/>
  <c r="C194" i="16"/>
  <c r="BC193" i="16"/>
  <c r="BB193" i="16"/>
  <c r="BA193" i="16"/>
  <c r="AZ193" i="16"/>
  <c r="AY193" i="16"/>
  <c r="AX193" i="16"/>
  <c r="AW193" i="16"/>
  <c r="AV193" i="16"/>
  <c r="AU193" i="16"/>
  <c r="AT193" i="16"/>
  <c r="AS193" i="16"/>
  <c r="AR193" i="16"/>
  <c r="AH193" i="16"/>
  <c r="AG193" i="16"/>
  <c r="AF193" i="16"/>
  <c r="AE193" i="16"/>
  <c r="AD193" i="16"/>
  <c r="AC193" i="16"/>
  <c r="AB193" i="16"/>
  <c r="AA193" i="16"/>
  <c r="Z193" i="16"/>
  <c r="Y193" i="16"/>
  <c r="X193" i="16"/>
  <c r="W193" i="16"/>
  <c r="V193" i="16"/>
  <c r="U193" i="16"/>
  <c r="T193" i="16"/>
  <c r="S193" i="16"/>
  <c r="R193" i="16"/>
  <c r="Q193" i="16"/>
  <c r="P193" i="16"/>
  <c r="O193" i="16"/>
  <c r="N193" i="16"/>
  <c r="M193" i="16"/>
  <c r="L193" i="16"/>
  <c r="K193" i="16"/>
  <c r="J193" i="16"/>
  <c r="I193" i="16"/>
  <c r="H193" i="16"/>
  <c r="G193" i="16"/>
  <c r="F193" i="16"/>
  <c r="E193" i="16"/>
  <c r="D193" i="16"/>
  <c r="C193" i="16"/>
  <c r="BC192" i="16"/>
  <c r="BB192" i="16"/>
  <c r="BA192" i="16"/>
  <c r="AZ192" i="16"/>
  <c r="AY192" i="16"/>
  <c r="AX192" i="16"/>
  <c r="AW192" i="16"/>
  <c r="AV192" i="16"/>
  <c r="AU192" i="16"/>
  <c r="AT192" i="16"/>
  <c r="AS192" i="16"/>
  <c r="AR192" i="16"/>
  <c r="BC191" i="16"/>
  <c r="BB191" i="16"/>
  <c r="BA191" i="16"/>
  <c r="AZ191" i="16"/>
  <c r="AY191" i="16"/>
  <c r="AX191" i="16"/>
  <c r="AW191" i="16"/>
  <c r="AV191" i="16"/>
  <c r="AU191" i="16"/>
  <c r="AT191" i="16"/>
  <c r="AS191" i="16"/>
  <c r="AR191" i="16"/>
  <c r="N186" i="16"/>
  <c r="M186" i="16"/>
  <c r="L186" i="16"/>
  <c r="K186" i="16"/>
  <c r="J186" i="16"/>
  <c r="I186" i="16"/>
  <c r="H186" i="16"/>
  <c r="G186" i="16"/>
  <c r="F186" i="16"/>
  <c r="E186" i="16"/>
  <c r="D186" i="16"/>
  <c r="C186" i="16"/>
  <c r="N185" i="16"/>
  <c r="M185" i="16"/>
  <c r="L185" i="16"/>
  <c r="K185" i="16"/>
  <c r="J185" i="16"/>
  <c r="I185" i="16"/>
  <c r="H185" i="16"/>
  <c r="G185" i="16"/>
  <c r="F185" i="16"/>
  <c r="E185" i="16"/>
  <c r="D185" i="16"/>
  <c r="C185" i="16"/>
  <c r="N184" i="16"/>
  <c r="M184" i="16"/>
  <c r="L184" i="16"/>
  <c r="K184" i="16"/>
  <c r="J184" i="16"/>
  <c r="I184" i="16"/>
  <c r="H184" i="16"/>
  <c r="G184" i="16"/>
  <c r="F184" i="16"/>
  <c r="E184" i="16"/>
  <c r="D184" i="16"/>
  <c r="C184" i="16"/>
  <c r="N183" i="16"/>
  <c r="M183" i="16"/>
  <c r="L183" i="16"/>
  <c r="K183" i="16"/>
  <c r="J183" i="16"/>
  <c r="I183" i="16"/>
  <c r="H183" i="16"/>
  <c r="G183" i="16"/>
  <c r="F183" i="16"/>
  <c r="E183" i="16"/>
  <c r="D183" i="16"/>
  <c r="C183" i="16"/>
  <c r="N182" i="16"/>
  <c r="M182" i="16"/>
  <c r="L182" i="16"/>
  <c r="K182" i="16"/>
  <c r="J182" i="16"/>
  <c r="I182" i="16"/>
  <c r="H182" i="16"/>
  <c r="G182" i="16"/>
  <c r="F182" i="16"/>
  <c r="E182" i="16"/>
  <c r="D182" i="16"/>
  <c r="C182" i="16"/>
  <c r="N181" i="16"/>
  <c r="M181" i="16"/>
  <c r="L181" i="16"/>
  <c r="K181" i="16"/>
  <c r="J181" i="16"/>
  <c r="I181" i="16"/>
  <c r="H181" i="16"/>
  <c r="G181" i="16"/>
  <c r="F181" i="16"/>
  <c r="E181" i="16"/>
  <c r="D181" i="16"/>
  <c r="C181" i="16"/>
  <c r="CN35" i="16"/>
  <c r="BE290" i="16" s="1"/>
  <c r="Q385" i="16" s="1"/>
  <c r="CM35" i="16"/>
  <c r="BD290" i="16" s="1"/>
  <c r="P385" i="16" s="1"/>
  <c r="CL35" i="16"/>
  <c r="BC290" i="16" s="1"/>
  <c r="O385" i="16" s="1"/>
  <c r="CK35" i="16"/>
  <c r="CJ35" i="16"/>
  <c r="CI35" i="16"/>
  <c r="CH35" i="16"/>
  <c r="CF35" i="16"/>
  <c r="CD35" i="16"/>
  <c r="CC35" i="16"/>
  <c r="CB35" i="16"/>
  <c r="CA35" i="16"/>
  <c r="BZ35" i="16"/>
  <c r="BY35" i="16"/>
  <c r="BX35" i="16"/>
  <c r="BW35" i="16"/>
  <c r="BU35" i="16"/>
  <c r="BS35" i="16"/>
  <c r="BR35" i="16"/>
  <c r="BQ35" i="16"/>
  <c r="BP35" i="16"/>
  <c r="BO35" i="16"/>
  <c r="BN35" i="16"/>
  <c r="BM35" i="16"/>
  <c r="BL35" i="16"/>
  <c r="BJ35" i="16"/>
  <c r="BH35" i="16"/>
  <c r="CN34" i="16"/>
  <c r="BE289" i="16" s="1"/>
  <c r="Q384" i="16" s="1"/>
  <c r="CM34" i="16"/>
  <c r="BD289" i="16" s="1"/>
  <c r="P384" i="16" s="1"/>
  <c r="CL34" i="16"/>
  <c r="BC289" i="16" s="1"/>
  <c r="O384" i="16" s="1"/>
  <c r="CK34" i="16"/>
  <c r="CJ34" i="16"/>
  <c r="CI34" i="16"/>
  <c r="CH34" i="16"/>
  <c r="CF34" i="16"/>
  <c r="CD34" i="16"/>
  <c r="CC34" i="16"/>
  <c r="CB34" i="16"/>
  <c r="CA34" i="16"/>
  <c r="BZ34" i="16"/>
  <c r="BY34" i="16"/>
  <c r="BX34" i="16"/>
  <c r="BW34" i="16"/>
  <c r="BU34" i="16"/>
  <c r="BS34" i="16"/>
  <c r="BR34" i="16"/>
  <c r="BQ34" i="16"/>
  <c r="BP34" i="16"/>
  <c r="BO34" i="16"/>
  <c r="BN34" i="16"/>
  <c r="BM34" i="16"/>
  <c r="BL34" i="16"/>
  <c r="BJ34" i="16"/>
  <c r="BH34" i="16"/>
  <c r="CN33" i="16"/>
  <c r="CM33" i="16"/>
  <c r="CL33" i="16"/>
  <c r="CK33" i="16"/>
  <c r="CJ33" i="16"/>
  <c r="CI33" i="16"/>
  <c r="CH33" i="16"/>
  <c r="CF33" i="16"/>
  <c r="CD33" i="16"/>
  <c r="CC33" i="16"/>
  <c r="CB33" i="16"/>
  <c r="CA33" i="16"/>
  <c r="BZ33" i="16"/>
  <c r="BY33" i="16"/>
  <c r="BX33" i="16"/>
  <c r="BW33" i="16"/>
  <c r="BU33" i="16"/>
  <c r="BS33" i="16"/>
  <c r="BR33" i="16"/>
  <c r="BQ33" i="16"/>
  <c r="BP33" i="16"/>
  <c r="BO33" i="16"/>
  <c r="BN33" i="16"/>
  <c r="BM33" i="16"/>
  <c r="BL33" i="16"/>
  <c r="BJ33" i="16"/>
  <c r="BH33" i="16"/>
  <c r="CN32" i="16"/>
  <c r="CM32" i="16"/>
  <c r="CL32" i="16"/>
  <c r="CK32" i="16"/>
  <c r="CJ32" i="16"/>
  <c r="CI32" i="16"/>
  <c r="CH32" i="16"/>
  <c r="CF32" i="16"/>
  <c r="CD32" i="16"/>
  <c r="CC32" i="16"/>
  <c r="CB32" i="16"/>
  <c r="CA32" i="16"/>
  <c r="BZ32" i="16"/>
  <c r="BY32" i="16"/>
  <c r="BX32" i="16"/>
  <c r="BW32" i="16"/>
  <c r="BU32" i="16"/>
  <c r="BS32" i="16"/>
  <c r="BR32" i="16"/>
  <c r="BQ32" i="16"/>
  <c r="BP32" i="16"/>
  <c r="BO32" i="16"/>
  <c r="BN32" i="16"/>
  <c r="BM32" i="16"/>
  <c r="BL32" i="16"/>
  <c r="BJ32" i="16"/>
  <c r="BH32" i="16"/>
  <c r="CN31" i="16"/>
  <c r="CM31" i="16"/>
  <c r="CL31" i="16"/>
  <c r="CK31" i="16"/>
  <c r="CJ31" i="16"/>
  <c r="CI31" i="16"/>
  <c r="CH31" i="16"/>
  <c r="CF31" i="16"/>
  <c r="CD31" i="16"/>
  <c r="CC31" i="16"/>
  <c r="CB31" i="16"/>
  <c r="CA31" i="16"/>
  <c r="BZ31" i="16"/>
  <c r="BY31" i="16"/>
  <c r="BX31" i="16"/>
  <c r="BW31" i="16"/>
  <c r="BU31" i="16"/>
  <c r="BS31" i="16"/>
  <c r="BR31" i="16"/>
  <c r="BQ31" i="16"/>
  <c r="BP31" i="16"/>
  <c r="BO31" i="16"/>
  <c r="BN31" i="16"/>
  <c r="BM31" i="16"/>
  <c r="BL31" i="16"/>
  <c r="BJ31" i="16"/>
  <c r="BH31" i="16"/>
  <c r="CN30" i="16"/>
  <c r="CM30" i="16"/>
  <c r="CL30" i="16"/>
  <c r="CK30" i="16"/>
  <c r="CJ30" i="16"/>
  <c r="CI30" i="16"/>
  <c r="CH30" i="16"/>
  <c r="CF30" i="16"/>
  <c r="CD30" i="16"/>
  <c r="CC30" i="16"/>
  <c r="CB30" i="16"/>
  <c r="CA30" i="16"/>
  <c r="BZ30" i="16"/>
  <c r="BY30" i="16"/>
  <c r="BX30" i="16"/>
  <c r="BW30" i="16"/>
  <c r="BU30" i="16"/>
  <c r="BS30" i="16"/>
  <c r="BR30" i="16"/>
  <c r="BQ30" i="16"/>
  <c r="BP30" i="16"/>
  <c r="BO30" i="16"/>
  <c r="BN30" i="16"/>
  <c r="BM30" i="16"/>
  <c r="BL30" i="16"/>
  <c r="BJ30" i="16"/>
  <c r="BH30" i="16"/>
  <c r="CN29" i="16"/>
  <c r="BE288" i="16" s="1"/>
  <c r="Q383" i="16" s="1"/>
  <c r="CM29" i="16"/>
  <c r="BD288" i="16" s="1"/>
  <c r="P383" i="16" s="1"/>
  <c r="CL29" i="16"/>
  <c r="BC288" i="16" s="1"/>
  <c r="O383" i="16" s="1"/>
  <c r="CK29" i="16"/>
  <c r="CJ29" i="16"/>
  <c r="CI29" i="16"/>
  <c r="CH29" i="16"/>
  <c r="CF29" i="16"/>
  <c r="CD29" i="16"/>
  <c r="CC29" i="16"/>
  <c r="CB29" i="16"/>
  <c r="CA29" i="16"/>
  <c r="BZ29" i="16"/>
  <c r="BY29" i="16"/>
  <c r="BX29" i="16"/>
  <c r="BW29" i="16"/>
  <c r="BU29" i="16"/>
  <c r="BS29" i="16"/>
  <c r="BR29" i="16"/>
  <c r="BQ29" i="16"/>
  <c r="BP29" i="16"/>
  <c r="BO29" i="16"/>
  <c r="BN29" i="16"/>
  <c r="BM29" i="16"/>
  <c r="BL29" i="16"/>
  <c r="BJ29" i="16"/>
  <c r="BH29" i="16"/>
  <c r="CN28" i="16"/>
  <c r="BE287" i="16" s="1"/>
  <c r="Q382" i="16" s="1"/>
  <c r="CM28" i="16"/>
  <c r="BD287" i="16" s="1"/>
  <c r="P382" i="16" s="1"/>
  <c r="CL28" i="16"/>
  <c r="BC287" i="16" s="1"/>
  <c r="O382" i="16" s="1"/>
  <c r="CK28" i="16"/>
  <c r="CJ28" i="16"/>
  <c r="CI28" i="16"/>
  <c r="CH28" i="16"/>
  <c r="CF28" i="16"/>
  <c r="CD28" i="16"/>
  <c r="CC28" i="16"/>
  <c r="CB28" i="16"/>
  <c r="CA28" i="16"/>
  <c r="BZ28" i="16"/>
  <c r="BY28" i="16"/>
  <c r="BX28" i="16"/>
  <c r="BW28" i="16"/>
  <c r="BU28" i="16"/>
  <c r="BS28" i="16"/>
  <c r="BR28" i="16"/>
  <c r="BQ28" i="16"/>
  <c r="BP28" i="16"/>
  <c r="BO28" i="16"/>
  <c r="BN28" i="16"/>
  <c r="BM28" i="16"/>
  <c r="BL28" i="16"/>
  <c r="BJ28" i="16"/>
  <c r="BH28" i="16"/>
  <c r="CN27" i="16"/>
  <c r="CM27" i="16"/>
  <c r="CL27" i="16"/>
  <c r="CK27" i="16"/>
  <c r="CJ27" i="16"/>
  <c r="CI27" i="16"/>
  <c r="CH27" i="16"/>
  <c r="CF27" i="16"/>
  <c r="CD27" i="16"/>
  <c r="CC27" i="16"/>
  <c r="CB27" i="16"/>
  <c r="CA27" i="16"/>
  <c r="BZ27" i="16"/>
  <c r="BY27" i="16"/>
  <c r="BX27" i="16"/>
  <c r="BW27" i="16"/>
  <c r="BU27" i="16"/>
  <c r="BS27" i="16"/>
  <c r="BR27" i="16"/>
  <c r="BQ27" i="16"/>
  <c r="BP27" i="16"/>
  <c r="BO27" i="16"/>
  <c r="BN27" i="16"/>
  <c r="BM27" i="16"/>
  <c r="BL27" i="16"/>
  <c r="BJ27" i="16"/>
  <c r="BH27" i="16"/>
  <c r="CN26" i="16"/>
  <c r="CM26" i="16"/>
  <c r="CL26" i="16"/>
  <c r="CK26" i="16"/>
  <c r="CJ26" i="16"/>
  <c r="CI26" i="16"/>
  <c r="CH26" i="16"/>
  <c r="CF26" i="16"/>
  <c r="CD26" i="16"/>
  <c r="CC26" i="16"/>
  <c r="CB26" i="16"/>
  <c r="CA26" i="16"/>
  <c r="BZ26" i="16"/>
  <c r="BY26" i="16"/>
  <c r="BX26" i="16"/>
  <c r="BW26" i="16"/>
  <c r="BU26" i="16"/>
  <c r="BS26" i="16"/>
  <c r="BR26" i="16"/>
  <c r="BQ26" i="16"/>
  <c r="BP26" i="16"/>
  <c r="BO26" i="16"/>
  <c r="BN26" i="16"/>
  <c r="BM26" i="16"/>
  <c r="BL26" i="16"/>
  <c r="BJ26" i="16"/>
  <c r="BH26" i="16"/>
  <c r="CN25" i="16"/>
  <c r="CM25" i="16"/>
  <c r="CL25" i="16"/>
  <c r="CK25" i="16"/>
  <c r="CJ25" i="16"/>
  <c r="CI25" i="16"/>
  <c r="CH25" i="16"/>
  <c r="CF25" i="16"/>
  <c r="CD25" i="16"/>
  <c r="CC25" i="16"/>
  <c r="CB25" i="16"/>
  <c r="CA25" i="16"/>
  <c r="BZ25" i="16"/>
  <c r="BY25" i="16"/>
  <c r="BX25" i="16"/>
  <c r="BW25" i="16"/>
  <c r="BU25" i="16"/>
  <c r="BS25" i="16"/>
  <c r="BR25" i="16"/>
  <c r="BQ25" i="16"/>
  <c r="BP25" i="16"/>
  <c r="BO25" i="16"/>
  <c r="BN25" i="16"/>
  <c r="BM25" i="16"/>
  <c r="BL25" i="16"/>
  <c r="BJ25" i="16"/>
  <c r="BH25" i="16"/>
  <c r="CN24" i="16"/>
  <c r="CM24" i="16"/>
  <c r="CL24" i="16"/>
  <c r="CK24" i="16"/>
  <c r="CJ24" i="16"/>
  <c r="CI24" i="16"/>
  <c r="CH24" i="16"/>
  <c r="CF24" i="16"/>
  <c r="CD24" i="16"/>
  <c r="CC24" i="16"/>
  <c r="CB24" i="16"/>
  <c r="CA24" i="16"/>
  <c r="BZ24" i="16"/>
  <c r="BY24" i="16"/>
  <c r="BX24" i="16"/>
  <c r="BW24" i="16"/>
  <c r="BU24" i="16"/>
  <c r="BS24" i="16"/>
  <c r="BR24" i="16"/>
  <c r="BQ24" i="16"/>
  <c r="BP24" i="16"/>
  <c r="BO24" i="16"/>
  <c r="BN24" i="16"/>
  <c r="BM24" i="16"/>
  <c r="BL24" i="16"/>
  <c r="BJ24" i="16"/>
  <c r="BH24" i="16"/>
  <c r="CN23" i="16"/>
  <c r="CM23" i="16"/>
  <c r="CL23" i="16"/>
  <c r="CK23" i="16"/>
  <c r="CJ23" i="16"/>
  <c r="CI23" i="16"/>
  <c r="CH23" i="16"/>
  <c r="CF23" i="16"/>
  <c r="CD23" i="16"/>
  <c r="CC23" i="16"/>
  <c r="CB23" i="16"/>
  <c r="CA23" i="16"/>
  <c r="BZ23" i="16"/>
  <c r="BY23" i="16"/>
  <c r="BX23" i="16"/>
  <c r="BW23" i="16"/>
  <c r="BU23" i="16"/>
  <c r="BS23" i="16"/>
  <c r="BR23" i="16"/>
  <c r="BQ23" i="16"/>
  <c r="BP23" i="16"/>
  <c r="BO23" i="16"/>
  <c r="BN23" i="16"/>
  <c r="BM23" i="16"/>
  <c r="BL23" i="16"/>
  <c r="BJ23" i="16"/>
  <c r="BH23" i="16"/>
  <c r="AV23" i="16"/>
  <c r="AU23" i="16"/>
  <c r="AT23" i="16"/>
  <c r="AM23" i="16"/>
  <c r="AL23" i="16"/>
  <c r="AK23" i="16"/>
  <c r="AD23" i="16"/>
  <c r="AC23" i="16"/>
  <c r="AB23" i="16"/>
  <c r="U23" i="16"/>
  <c r="T23" i="16"/>
  <c r="S23" i="16"/>
  <c r="L23" i="16"/>
  <c r="K23" i="16"/>
  <c r="J23" i="16"/>
  <c r="CN22" i="16"/>
  <c r="CM22" i="16"/>
  <c r="CL22" i="16"/>
  <c r="CK22" i="16"/>
  <c r="CJ22" i="16"/>
  <c r="CI22" i="16"/>
  <c r="CH22" i="16"/>
  <c r="CF22" i="16"/>
  <c r="CD22" i="16"/>
  <c r="CC22" i="16"/>
  <c r="CB22" i="16"/>
  <c r="CA22" i="16"/>
  <c r="BZ22" i="16"/>
  <c r="BY22" i="16"/>
  <c r="BX22" i="16"/>
  <c r="BW22" i="16"/>
  <c r="BU22" i="16"/>
  <c r="BS22" i="16"/>
  <c r="BR22" i="16"/>
  <c r="BQ22" i="16"/>
  <c r="BP22" i="16"/>
  <c r="BO22" i="16"/>
  <c r="BN22" i="16"/>
  <c r="BM22" i="16"/>
  <c r="BL22" i="16"/>
  <c r="BJ22" i="16"/>
  <c r="BH22" i="16"/>
  <c r="AV22" i="16"/>
  <c r="AU22" i="16"/>
  <c r="AT22" i="16"/>
  <c r="AM22" i="16"/>
  <c r="AL22" i="16"/>
  <c r="AK22" i="16"/>
  <c r="AD22" i="16"/>
  <c r="AC22" i="16"/>
  <c r="AB22" i="16"/>
  <c r="U22" i="16"/>
  <c r="T22" i="16"/>
  <c r="S22" i="16"/>
  <c r="L22" i="16"/>
  <c r="K22" i="16"/>
  <c r="J22" i="16"/>
  <c r="CN21" i="16"/>
  <c r="CM21" i="16"/>
  <c r="CL21" i="16"/>
  <c r="CK21" i="16"/>
  <c r="CJ21" i="16"/>
  <c r="CI21" i="16"/>
  <c r="CH21" i="16"/>
  <c r="CF21" i="16"/>
  <c r="CD21" i="16"/>
  <c r="CC21" i="16"/>
  <c r="CB21" i="16"/>
  <c r="CA21" i="16"/>
  <c r="BZ21" i="16"/>
  <c r="BY21" i="16"/>
  <c r="BX21" i="16"/>
  <c r="BW21" i="16"/>
  <c r="BU21" i="16"/>
  <c r="BS21" i="16"/>
  <c r="BR21" i="16"/>
  <c r="BQ21" i="16"/>
  <c r="BP21" i="16"/>
  <c r="BO21" i="16"/>
  <c r="BN21" i="16"/>
  <c r="BM21" i="16"/>
  <c r="BL21" i="16"/>
  <c r="BJ21" i="16"/>
  <c r="BH21" i="16"/>
  <c r="AV21" i="16"/>
  <c r="AU21" i="16"/>
  <c r="AT21" i="16"/>
  <c r="AM21" i="16"/>
  <c r="AL21" i="16"/>
  <c r="AK21" i="16"/>
  <c r="AD21" i="16"/>
  <c r="AC21" i="16"/>
  <c r="AB21" i="16"/>
  <c r="U21" i="16"/>
  <c r="T21" i="16"/>
  <c r="S21" i="16"/>
  <c r="L21" i="16"/>
  <c r="K21" i="16"/>
  <c r="J21" i="16"/>
  <c r="CN20" i="16"/>
  <c r="CM20" i="16"/>
  <c r="CL20" i="16"/>
  <c r="CK20" i="16"/>
  <c r="CJ20" i="16"/>
  <c r="CI20" i="16"/>
  <c r="CH20" i="16"/>
  <c r="CF20" i="16"/>
  <c r="CD20" i="16"/>
  <c r="CC20" i="16"/>
  <c r="CB20" i="16"/>
  <c r="CA20" i="16"/>
  <c r="BZ20" i="16"/>
  <c r="BY20" i="16"/>
  <c r="BX20" i="16"/>
  <c r="BW20" i="16"/>
  <c r="BU20" i="16"/>
  <c r="BS20" i="16"/>
  <c r="BR20" i="16"/>
  <c r="BQ20" i="16"/>
  <c r="BP20" i="16"/>
  <c r="BO20" i="16"/>
  <c r="BN20" i="16"/>
  <c r="BM20" i="16"/>
  <c r="BL20" i="16"/>
  <c r="BJ20" i="16"/>
  <c r="BH20" i="16"/>
  <c r="AV20" i="16"/>
  <c r="AU20" i="16"/>
  <c r="AT20" i="16"/>
  <c r="AM20" i="16"/>
  <c r="AL20" i="16"/>
  <c r="AK20" i="16"/>
  <c r="AD20" i="16"/>
  <c r="AC20" i="16"/>
  <c r="AB20" i="16"/>
  <c r="U20" i="16"/>
  <c r="T20" i="16"/>
  <c r="S20" i="16"/>
  <c r="L20" i="16"/>
  <c r="K20" i="16"/>
  <c r="J20" i="16"/>
  <c r="CN19" i="16"/>
  <c r="CM19" i="16"/>
  <c r="CL19" i="16"/>
  <c r="CK19" i="16"/>
  <c r="CJ19" i="16"/>
  <c r="CI19" i="16"/>
  <c r="CH19" i="16"/>
  <c r="CF19" i="16"/>
  <c r="CD19" i="16"/>
  <c r="CC19" i="16"/>
  <c r="CB19" i="16"/>
  <c r="CA19" i="16"/>
  <c r="BZ19" i="16"/>
  <c r="BY19" i="16"/>
  <c r="BX19" i="16"/>
  <c r="BW19" i="16"/>
  <c r="BU19" i="16"/>
  <c r="BS19" i="16"/>
  <c r="BR19" i="16"/>
  <c r="BQ19" i="16"/>
  <c r="BP19" i="16"/>
  <c r="BO19" i="16"/>
  <c r="BN19" i="16"/>
  <c r="BM19" i="16"/>
  <c r="BL19" i="16"/>
  <c r="BJ19" i="16"/>
  <c r="BH19" i="16"/>
  <c r="AV19" i="16"/>
  <c r="AU19" i="16"/>
  <c r="AT19" i="16"/>
  <c r="AM19" i="16"/>
  <c r="AL19" i="16"/>
  <c r="AK19" i="16"/>
  <c r="AD19" i="16"/>
  <c r="AC19" i="16"/>
  <c r="AB19" i="16"/>
  <c r="U19" i="16"/>
  <c r="T19" i="16"/>
  <c r="S19" i="16"/>
  <c r="L19" i="16"/>
  <c r="K19" i="16"/>
  <c r="J19" i="16"/>
  <c r="CN18" i="16"/>
  <c r="CM18" i="16"/>
  <c r="CL18" i="16"/>
  <c r="CK18" i="16"/>
  <c r="CJ18" i="16"/>
  <c r="CI18" i="16"/>
  <c r="CH18" i="16"/>
  <c r="CF18" i="16"/>
  <c r="CD18" i="16"/>
  <c r="CC18" i="16"/>
  <c r="CB18" i="16"/>
  <c r="CA18" i="16"/>
  <c r="BZ18" i="16"/>
  <c r="BY18" i="16"/>
  <c r="BX18" i="16"/>
  <c r="BW18" i="16"/>
  <c r="BU18" i="16"/>
  <c r="BS18" i="16"/>
  <c r="BR18" i="16"/>
  <c r="BQ18" i="16"/>
  <c r="BP18" i="16"/>
  <c r="BO18" i="16"/>
  <c r="BN18" i="16"/>
  <c r="BM18" i="16"/>
  <c r="BL18" i="16"/>
  <c r="BJ18" i="16"/>
  <c r="BH18" i="16"/>
  <c r="AV18" i="16"/>
  <c r="AU18" i="16"/>
  <c r="AT18" i="16"/>
  <c r="AM18" i="16"/>
  <c r="AL18" i="16"/>
  <c r="AK18" i="16"/>
  <c r="AD18" i="16"/>
  <c r="AC18" i="16"/>
  <c r="AB18" i="16"/>
  <c r="U18" i="16"/>
  <c r="T18" i="16"/>
  <c r="S18" i="16"/>
  <c r="L18" i="16"/>
  <c r="K18" i="16"/>
  <c r="J18" i="16"/>
  <c r="BR14" i="16"/>
  <c r="BQ14" i="16"/>
  <c r="BP14" i="16"/>
  <c r="BG14" i="16"/>
  <c r="BF14" i="16"/>
  <c r="BE14" i="16"/>
  <c r="AV14" i="16"/>
  <c r="AU14" i="16"/>
  <c r="AT14" i="16"/>
  <c r="AM14" i="16"/>
  <c r="AL14" i="16"/>
  <c r="AK14" i="16"/>
  <c r="AD14" i="16"/>
  <c r="AC14" i="16"/>
  <c r="AB14" i="16"/>
  <c r="U14" i="16"/>
  <c r="T14" i="16"/>
  <c r="S14" i="16"/>
  <c r="L14" i="16"/>
  <c r="K14" i="16"/>
  <c r="J14" i="16"/>
  <c r="BR13" i="16"/>
  <c r="BQ13" i="16"/>
  <c r="BP13" i="16"/>
  <c r="BG13" i="16"/>
  <c r="BF13" i="16"/>
  <c r="BE13" i="16"/>
  <c r="AV13" i="16"/>
  <c r="AU13" i="16"/>
  <c r="AT13" i="16"/>
  <c r="AM13" i="16"/>
  <c r="AL13" i="16"/>
  <c r="AK13" i="16"/>
  <c r="AD13" i="16"/>
  <c r="AC13" i="16"/>
  <c r="AB13" i="16"/>
  <c r="U13" i="16"/>
  <c r="T13" i="16"/>
  <c r="S13" i="16"/>
  <c r="L13" i="16"/>
  <c r="K13" i="16"/>
  <c r="J13" i="16"/>
  <c r="BR12" i="16"/>
  <c r="BQ12" i="16"/>
  <c r="BP12" i="16"/>
  <c r="BG12" i="16"/>
  <c r="BF12" i="16"/>
  <c r="BE12" i="16"/>
  <c r="AV12" i="16"/>
  <c r="AU12" i="16"/>
  <c r="AT12" i="16"/>
  <c r="AM12" i="16"/>
  <c r="AL12" i="16"/>
  <c r="AK12" i="16"/>
  <c r="AD12" i="16"/>
  <c r="AC12" i="16"/>
  <c r="AB12" i="16"/>
  <c r="U12" i="16"/>
  <c r="T12" i="16"/>
  <c r="S12" i="16"/>
  <c r="L12" i="16"/>
  <c r="K12" i="16"/>
  <c r="J12" i="16"/>
  <c r="E14" i="54"/>
  <c r="D14" i="54"/>
  <c r="C14" i="54"/>
  <c r="F4" i="63"/>
  <c r="D4" i="63"/>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AO30"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AO29"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AO28"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AM226" i="3"/>
  <c r="AL226" i="3"/>
  <c r="AK226" i="3"/>
  <c r="AJ226" i="3"/>
  <c r="AI226" i="3"/>
  <c r="AH226" i="3"/>
  <c r="AG226" i="3"/>
  <c r="AF226" i="3"/>
  <c r="AE226" i="3"/>
  <c r="AD226" i="3"/>
  <c r="AC226" i="3"/>
  <c r="AB226" i="3"/>
  <c r="AA226" i="3"/>
  <c r="Z226" i="3"/>
  <c r="Y226" i="3"/>
  <c r="X226" i="3"/>
  <c r="W226" i="3"/>
  <c r="V226" i="3"/>
  <c r="U226" i="3"/>
  <c r="T226" i="3"/>
  <c r="S226" i="3"/>
  <c r="R226" i="3"/>
  <c r="Q226" i="3"/>
  <c r="P226" i="3"/>
  <c r="O226" i="3"/>
  <c r="N226" i="3"/>
  <c r="M226" i="3"/>
  <c r="L226" i="3"/>
  <c r="K226" i="3"/>
  <c r="J226" i="3"/>
  <c r="I226" i="3"/>
  <c r="H226" i="3"/>
  <c r="G226" i="3"/>
  <c r="F226" i="3"/>
  <c r="E226" i="3"/>
  <c r="D226" i="3"/>
  <c r="AM225" i="3"/>
  <c r="AL225" i="3"/>
  <c r="AK225" i="3"/>
  <c r="AJ225" i="3"/>
  <c r="AI225" i="3"/>
  <c r="AH225" i="3"/>
  <c r="AG225" i="3"/>
  <c r="AF225" i="3"/>
  <c r="AE225" i="3"/>
  <c r="AD225" i="3"/>
  <c r="AC225" i="3"/>
  <c r="AB225" i="3"/>
  <c r="AA225" i="3"/>
  <c r="Z225" i="3"/>
  <c r="Y225" i="3"/>
  <c r="X225" i="3"/>
  <c r="W225" i="3"/>
  <c r="V225" i="3"/>
  <c r="U225" i="3"/>
  <c r="T225" i="3"/>
  <c r="S225" i="3"/>
  <c r="R225" i="3"/>
  <c r="Q225" i="3"/>
  <c r="P225" i="3"/>
  <c r="O225" i="3"/>
  <c r="N225" i="3"/>
  <c r="M225" i="3"/>
  <c r="L225" i="3"/>
  <c r="K225" i="3"/>
  <c r="J225" i="3"/>
  <c r="I225" i="3"/>
  <c r="H225" i="3"/>
  <c r="G225" i="3"/>
  <c r="F225" i="3"/>
  <c r="E225" i="3"/>
  <c r="D225" i="3"/>
  <c r="AM224" i="3"/>
  <c r="AL224" i="3"/>
  <c r="AK224" i="3"/>
  <c r="AJ224" i="3"/>
  <c r="AI224" i="3"/>
  <c r="AH224" i="3"/>
  <c r="AG224" i="3"/>
  <c r="AF224" i="3"/>
  <c r="AE224" i="3"/>
  <c r="AD224" i="3"/>
  <c r="AC224" i="3"/>
  <c r="AB224" i="3"/>
  <c r="AA224" i="3"/>
  <c r="Z224" i="3"/>
  <c r="Y224" i="3"/>
  <c r="X224" i="3"/>
  <c r="W224" i="3"/>
  <c r="V224" i="3"/>
  <c r="U224" i="3"/>
  <c r="T224" i="3"/>
  <c r="S224" i="3"/>
  <c r="R224" i="3"/>
  <c r="Q224" i="3"/>
  <c r="P224" i="3"/>
  <c r="O224" i="3"/>
  <c r="N224" i="3"/>
  <c r="M224" i="3"/>
  <c r="L224" i="3"/>
  <c r="K224" i="3"/>
  <c r="J224" i="3"/>
  <c r="I224" i="3"/>
  <c r="H224" i="3"/>
  <c r="G224" i="3"/>
  <c r="F224" i="3"/>
  <c r="E224" i="3"/>
  <c r="D224" i="3"/>
  <c r="AM223" i="3"/>
  <c r="AL223" i="3"/>
  <c r="AK223" i="3"/>
  <c r="AJ223" i="3"/>
  <c r="AI223" i="3"/>
  <c r="AH223" i="3"/>
  <c r="AG223" i="3"/>
  <c r="AF223" i="3"/>
  <c r="AE223" i="3"/>
  <c r="AD223" i="3"/>
  <c r="AC223" i="3"/>
  <c r="AB223" i="3"/>
  <c r="AA223" i="3"/>
  <c r="Z223" i="3"/>
  <c r="Y223" i="3"/>
  <c r="X223" i="3"/>
  <c r="W223" i="3"/>
  <c r="V223" i="3"/>
  <c r="U223" i="3"/>
  <c r="T223" i="3"/>
  <c r="S223" i="3"/>
  <c r="R223" i="3"/>
  <c r="Q223" i="3"/>
  <c r="P223" i="3"/>
  <c r="O223" i="3"/>
  <c r="N223" i="3"/>
  <c r="M223" i="3"/>
  <c r="L223" i="3"/>
  <c r="K223" i="3"/>
  <c r="J223" i="3"/>
  <c r="I223" i="3"/>
  <c r="H223" i="3"/>
  <c r="G223" i="3"/>
  <c r="F223" i="3"/>
  <c r="E223" i="3"/>
  <c r="D223" i="3"/>
  <c r="AM222" i="3"/>
  <c r="AL222" i="3"/>
  <c r="AK222" i="3"/>
  <c r="AJ222" i="3"/>
  <c r="AI222" i="3"/>
  <c r="AH222" i="3"/>
  <c r="AG222" i="3"/>
  <c r="AF222" i="3"/>
  <c r="AE222" i="3"/>
  <c r="AD222" i="3"/>
  <c r="AC222" i="3"/>
  <c r="AB222" i="3"/>
  <c r="AA222" i="3"/>
  <c r="Z222" i="3"/>
  <c r="Y222" i="3"/>
  <c r="X222" i="3"/>
  <c r="W222" i="3"/>
  <c r="V222" i="3"/>
  <c r="U222" i="3"/>
  <c r="T222" i="3"/>
  <c r="S222" i="3"/>
  <c r="R222" i="3"/>
  <c r="Q222" i="3"/>
  <c r="P222" i="3"/>
  <c r="O222" i="3"/>
  <c r="N222" i="3"/>
  <c r="M222" i="3"/>
  <c r="L222" i="3"/>
  <c r="K222" i="3"/>
  <c r="J222" i="3"/>
  <c r="I222" i="3"/>
  <c r="H222" i="3"/>
  <c r="G222" i="3"/>
  <c r="F222" i="3"/>
  <c r="E222" i="3"/>
  <c r="D222" i="3"/>
  <c r="AM221" i="3"/>
  <c r="AL221" i="3"/>
  <c r="AK221" i="3"/>
  <c r="AJ221" i="3"/>
  <c r="AI221" i="3"/>
  <c r="AH221" i="3"/>
  <c r="AG221" i="3"/>
  <c r="AF221" i="3"/>
  <c r="AE221" i="3"/>
  <c r="AD221" i="3"/>
  <c r="AC221" i="3"/>
  <c r="AB221" i="3"/>
  <c r="AA221" i="3"/>
  <c r="Z221" i="3"/>
  <c r="Y221" i="3"/>
  <c r="X221" i="3"/>
  <c r="W221" i="3"/>
  <c r="V221" i="3"/>
  <c r="U221" i="3"/>
  <c r="T221" i="3"/>
  <c r="S221" i="3"/>
  <c r="R221" i="3"/>
  <c r="Q221" i="3"/>
  <c r="P221" i="3"/>
  <c r="O221" i="3"/>
  <c r="N221" i="3"/>
  <c r="M221" i="3"/>
  <c r="L221" i="3"/>
  <c r="K221" i="3"/>
  <c r="J221" i="3"/>
  <c r="I221" i="3"/>
  <c r="H221" i="3"/>
  <c r="G221" i="3"/>
  <c r="F221" i="3"/>
  <c r="E221" i="3"/>
  <c r="D221" i="3"/>
  <c r="G220" i="3"/>
  <c r="F220" i="3"/>
  <c r="E220" i="3"/>
  <c r="D220" i="3"/>
  <c r="S184" i="3"/>
  <c r="R184" i="3"/>
  <c r="Q184" i="3"/>
  <c r="P184" i="3"/>
  <c r="O184" i="3"/>
  <c r="N184" i="3"/>
  <c r="M184" i="3"/>
  <c r="L184" i="3"/>
  <c r="K184" i="3"/>
  <c r="J184" i="3"/>
  <c r="I184" i="3"/>
  <c r="H184" i="3"/>
  <c r="G184" i="3"/>
  <c r="F184" i="3"/>
  <c r="S183" i="3"/>
  <c r="R183" i="3"/>
  <c r="Q183" i="3"/>
  <c r="P183" i="3"/>
  <c r="O183" i="3"/>
  <c r="N183" i="3"/>
  <c r="M183" i="3"/>
  <c r="L183" i="3"/>
  <c r="K183" i="3"/>
  <c r="J183" i="3"/>
  <c r="I183" i="3"/>
  <c r="H183" i="3"/>
  <c r="G183" i="3"/>
  <c r="F183" i="3"/>
  <c r="S182" i="3"/>
  <c r="R182" i="3"/>
  <c r="Q182" i="3"/>
  <c r="P182" i="3"/>
  <c r="O182" i="3"/>
  <c r="N182" i="3"/>
  <c r="M182" i="3"/>
  <c r="L182" i="3"/>
  <c r="K182" i="3"/>
  <c r="J182" i="3"/>
  <c r="I182" i="3"/>
  <c r="H182" i="3"/>
  <c r="G182" i="3"/>
  <c r="F182" i="3"/>
  <c r="S181" i="3"/>
  <c r="R181" i="3"/>
  <c r="Q181" i="3"/>
  <c r="P181" i="3"/>
  <c r="O181" i="3"/>
  <c r="N181" i="3"/>
  <c r="M181" i="3"/>
  <c r="L181" i="3"/>
  <c r="K181" i="3"/>
  <c r="J181" i="3"/>
  <c r="I181" i="3"/>
  <c r="H181" i="3"/>
  <c r="G181" i="3"/>
  <c r="F181" i="3"/>
  <c r="S180" i="3"/>
  <c r="R180" i="3"/>
  <c r="Q180" i="3"/>
  <c r="P180" i="3"/>
  <c r="O180" i="3"/>
  <c r="N180" i="3"/>
  <c r="M180" i="3"/>
  <c r="L180" i="3"/>
  <c r="K180" i="3"/>
  <c r="J180" i="3"/>
  <c r="I180" i="3"/>
  <c r="H180" i="3"/>
  <c r="G180" i="3"/>
  <c r="F180" i="3"/>
  <c r="S179" i="3"/>
  <c r="R179" i="3"/>
  <c r="Q179" i="3"/>
  <c r="P179" i="3"/>
  <c r="O179" i="3"/>
  <c r="N179" i="3"/>
  <c r="M179" i="3"/>
  <c r="L179" i="3"/>
  <c r="K179" i="3"/>
  <c r="J179" i="3"/>
  <c r="I179" i="3"/>
  <c r="H179" i="3"/>
  <c r="G179" i="3"/>
  <c r="F179" i="3"/>
  <c r="AB35" i="3"/>
  <c r="Z35" i="3"/>
  <c r="X35" i="3"/>
  <c r="V35" i="3"/>
  <c r="T35" i="3"/>
  <c r="R35" i="3"/>
  <c r="Q35" i="3"/>
  <c r="P35" i="3"/>
  <c r="O35" i="3"/>
  <c r="N35" i="3"/>
  <c r="M35" i="3"/>
  <c r="L35" i="3"/>
  <c r="K35" i="3"/>
  <c r="J35" i="3"/>
  <c r="I35" i="3"/>
  <c r="H35" i="3"/>
  <c r="F35" i="3"/>
  <c r="D35" i="3"/>
  <c r="AB34" i="3"/>
  <c r="Z34" i="3"/>
  <c r="X34" i="3"/>
  <c r="V34" i="3"/>
  <c r="T34" i="3"/>
  <c r="R34" i="3"/>
  <c r="Q34" i="3"/>
  <c r="P34" i="3"/>
  <c r="O34" i="3"/>
  <c r="N34" i="3"/>
  <c r="M34" i="3"/>
  <c r="L34" i="3"/>
  <c r="K34" i="3"/>
  <c r="J34" i="3"/>
  <c r="I34" i="3"/>
  <c r="H34" i="3"/>
  <c r="F34" i="3"/>
  <c r="D34" i="3"/>
  <c r="AB33" i="3"/>
  <c r="Z33" i="3"/>
  <c r="X33" i="3"/>
  <c r="V33" i="3"/>
  <c r="T33" i="3"/>
  <c r="R33" i="3"/>
  <c r="Q33" i="3"/>
  <c r="P33" i="3"/>
  <c r="O33" i="3"/>
  <c r="N33" i="3"/>
  <c r="M33" i="3"/>
  <c r="L33" i="3"/>
  <c r="K33" i="3"/>
  <c r="J33" i="3"/>
  <c r="I33" i="3"/>
  <c r="H33" i="3"/>
  <c r="F33" i="3"/>
  <c r="D33" i="3"/>
  <c r="AB32" i="3"/>
  <c r="Z32" i="3"/>
  <c r="X32" i="3"/>
  <c r="V32" i="3"/>
  <c r="T32" i="3"/>
  <c r="R32" i="3"/>
  <c r="Q32" i="3"/>
  <c r="P32" i="3"/>
  <c r="O32" i="3"/>
  <c r="N32" i="3"/>
  <c r="M32" i="3"/>
  <c r="L32" i="3"/>
  <c r="K32" i="3"/>
  <c r="J32" i="3"/>
  <c r="I32" i="3"/>
  <c r="H32" i="3"/>
  <c r="F32" i="3"/>
  <c r="D32" i="3"/>
  <c r="AB31" i="3"/>
  <c r="Z31" i="3"/>
  <c r="X31" i="3"/>
  <c r="V31" i="3"/>
  <c r="T31" i="3"/>
  <c r="R31" i="3"/>
  <c r="Q31" i="3"/>
  <c r="P31" i="3"/>
  <c r="O31" i="3"/>
  <c r="N31" i="3"/>
  <c r="M31" i="3"/>
  <c r="L31" i="3"/>
  <c r="K31" i="3"/>
  <c r="J31" i="3"/>
  <c r="I31" i="3"/>
  <c r="H31" i="3"/>
  <c r="F31" i="3"/>
  <c r="D31" i="3"/>
  <c r="AB30" i="3"/>
  <c r="Z30" i="3"/>
  <c r="X30" i="3"/>
  <c r="V30" i="3"/>
  <c r="T30" i="3"/>
  <c r="R30" i="3"/>
  <c r="Q30" i="3"/>
  <c r="P30" i="3"/>
  <c r="O30" i="3"/>
  <c r="N30" i="3"/>
  <c r="M30" i="3"/>
  <c r="L30" i="3"/>
  <c r="K30" i="3"/>
  <c r="J30" i="3"/>
  <c r="I30" i="3"/>
  <c r="H30" i="3"/>
  <c r="F30" i="3"/>
  <c r="D30" i="3"/>
  <c r="AB29" i="3"/>
  <c r="Z29" i="3"/>
  <c r="X29" i="3"/>
  <c r="V29" i="3"/>
  <c r="T29" i="3"/>
  <c r="R29" i="3"/>
  <c r="Q29" i="3"/>
  <c r="P29" i="3"/>
  <c r="O29" i="3"/>
  <c r="N29" i="3"/>
  <c r="M29" i="3"/>
  <c r="L29" i="3"/>
  <c r="K29" i="3"/>
  <c r="J29" i="3"/>
  <c r="I29" i="3"/>
  <c r="H29" i="3"/>
  <c r="F29" i="3"/>
  <c r="D29" i="3"/>
  <c r="AB28" i="3"/>
  <c r="Z28" i="3"/>
  <c r="X28" i="3"/>
  <c r="V28" i="3"/>
  <c r="T28" i="3"/>
  <c r="R28" i="3"/>
  <c r="Q28" i="3"/>
  <c r="P28" i="3"/>
  <c r="O28" i="3"/>
  <c r="N28" i="3"/>
  <c r="M28" i="3"/>
  <c r="L28" i="3"/>
  <c r="K28" i="3"/>
  <c r="J28" i="3"/>
  <c r="I28" i="3"/>
  <c r="H28" i="3"/>
  <c r="F28" i="3"/>
  <c r="D28" i="3"/>
  <c r="AB27" i="3"/>
  <c r="Z27" i="3"/>
  <c r="X27" i="3"/>
  <c r="V27" i="3"/>
  <c r="T27" i="3"/>
  <c r="R27" i="3"/>
  <c r="Q27" i="3"/>
  <c r="P27" i="3"/>
  <c r="O27" i="3"/>
  <c r="N27" i="3"/>
  <c r="M27" i="3"/>
  <c r="L27" i="3"/>
  <c r="K27" i="3"/>
  <c r="J27" i="3"/>
  <c r="I27" i="3"/>
  <c r="H27" i="3"/>
  <c r="F27" i="3"/>
  <c r="D27" i="3"/>
  <c r="AB26" i="3"/>
  <c r="Z26" i="3"/>
  <c r="X26" i="3"/>
  <c r="V26" i="3"/>
  <c r="T26" i="3"/>
  <c r="R26" i="3"/>
  <c r="Q26" i="3"/>
  <c r="P26" i="3"/>
  <c r="O26" i="3"/>
  <c r="N26" i="3"/>
  <c r="M26" i="3"/>
  <c r="L26" i="3"/>
  <c r="K26" i="3"/>
  <c r="J26" i="3"/>
  <c r="I26" i="3"/>
  <c r="H26" i="3"/>
  <c r="F26" i="3"/>
  <c r="D26" i="3"/>
  <c r="AB25" i="3"/>
  <c r="Z25" i="3"/>
  <c r="X25" i="3"/>
  <c r="V25" i="3"/>
  <c r="T25" i="3"/>
  <c r="R25" i="3"/>
  <c r="Q25" i="3"/>
  <c r="P25" i="3"/>
  <c r="O25" i="3"/>
  <c r="N25" i="3"/>
  <c r="M25" i="3"/>
  <c r="L25" i="3"/>
  <c r="K25" i="3"/>
  <c r="J25" i="3"/>
  <c r="I25" i="3"/>
  <c r="H25" i="3"/>
  <c r="F25" i="3"/>
  <c r="D25" i="3"/>
  <c r="AB24" i="3"/>
  <c r="Z24" i="3"/>
  <c r="X24" i="3"/>
  <c r="V24" i="3"/>
  <c r="T24" i="3"/>
  <c r="R24" i="3"/>
  <c r="Q24" i="3"/>
  <c r="P24" i="3"/>
  <c r="O24" i="3"/>
  <c r="N24" i="3"/>
  <c r="M24" i="3"/>
  <c r="L24" i="3"/>
  <c r="K24" i="3"/>
  <c r="J24" i="3"/>
  <c r="I24" i="3"/>
  <c r="H24" i="3"/>
  <c r="F24" i="3"/>
  <c r="D24" i="3"/>
  <c r="AB23" i="3"/>
  <c r="Z23" i="3"/>
  <c r="X23" i="3"/>
  <c r="V23" i="3"/>
  <c r="T23" i="3"/>
  <c r="R23" i="3"/>
  <c r="Q23" i="3"/>
  <c r="P23" i="3"/>
  <c r="O23" i="3"/>
  <c r="N23" i="3"/>
  <c r="M23" i="3"/>
  <c r="L23" i="3"/>
  <c r="K23" i="3"/>
  <c r="J23" i="3"/>
  <c r="I23" i="3"/>
  <c r="H23" i="3"/>
  <c r="F23" i="3"/>
  <c r="D23" i="3"/>
  <c r="AB22" i="3"/>
  <c r="Z22" i="3"/>
  <c r="X22" i="3"/>
  <c r="V22" i="3"/>
  <c r="T22" i="3"/>
  <c r="R22" i="3"/>
  <c r="Q22" i="3"/>
  <c r="P22" i="3"/>
  <c r="O22" i="3"/>
  <c r="N22" i="3"/>
  <c r="M22" i="3"/>
  <c r="L22" i="3"/>
  <c r="K22" i="3"/>
  <c r="J22" i="3"/>
  <c r="I22" i="3"/>
  <c r="H22" i="3"/>
  <c r="F22" i="3"/>
  <c r="D22" i="3"/>
  <c r="AB21" i="3"/>
  <c r="Z21" i="3"/>
  <c r="X21" i="3"/>
  <c r="V21" i="3"/>
  <c r="T21" i="3"/>
  <c r="R21" i="3"/>
  <c r="Q21" i="3"/>
  <c r="P21" i="3"/>
  <c r="O21" i="3"/>
  <c r="N21" i="3"/>
  <c r="M21" i="3"/>
  <c r="L21" i="3"/>
  <c r="K21" i="3"/>
  <c r="J21" i="3"/>
  <c r="I21" i="3"/>
  <c r="H21" i="3"/>
  <c r="F21" i="3"/>
  <c r="D21" i="3"/>
  <c r="AB20" i="3"/>
  <c r="Z20" i="3"/>
  <c r="X20" i="3"/>
  <c r="V20" i="3"/>
  <c r="T20" i="3"/>
  <c r="R20" i="3"/>
  <c r="Q20" i="3"/>
  <c r="P20" i="3"/>
  <c r="O20" i="3"/>
  <c r="N20" i="3"/>
  <c r="M20" i="3"/>
  <c r="L20" i="3"/>
  <c r="K20" i="3"/>
  <c r="J20" i="3"/>
  <c r="I20" i="3"/>
  <c r="H20" i="3"/>
  <c r="F20" i="3"/>
  <c r="D20" i="3"/>
  <c r="AB19" i="3"/>
  <c r="Z19" i="3"/>
  <c r="X19" i="3"/>
  <c r="V19" i="3"/>
  <c r="T19" i="3"/>
  <c r="R19" i="3"/>
  <c r="Q19" i="3"/>
  <c r="P19" i="3"/>
  <c r="O19" i="3"/>
  <c r="N19" i="3"/>
  <c r="M19" i="3"/>
  <c r="L19" i="3"/>
  <c r="K19" i="3"/>
  <c r="J19" i="3"/>
  <c r="I19" i="3"/>
  <c r="H19" i="3"/>
  <c r="F19" i="3"/>
  <c r="D19" i="3"/>
  <c r="AB18" i="3"/>
  <c r="Z18" i="3"/>
  <c r="X18" i="3"/>
  <c r="V18" i="3"/>
  <c r="T18" i="3"/>
  <c r="R18" i="3"/>
  <c r="Q18" i="3"/>
  <c r="P18" i="3"/>
  <c r="O18" i="3"/>
  <c r="N18" i="3"/>
  <c r="M18" i="3"/>
  <c r="L18" i="3"/>
  <c r="K18" i="3"/>
  <c r="J18" i="3"/>
  <c r="I18" i="3"/>
  <c r="H18" i="3"/>
  <c r="F18" i="3"/>
  <c r="D18" i="3"/>
  <c r="O290" i="64" l="1"/>
  <c r="M290" i="64"/>
  <c r="F271" i="64"/>
  <c r="N290" i="64"/>
  <c r="L290" i="64"/>
  <c r="K290" i="64"/>
  <c r="J290" i="64"/>
  <c r="K289" i="64"/>
  <c r="D271" i="64"/>
  <c r="J289" i="64"/>
  <c r="O289" i="64"/>
  <c r="N289" i="64"/>
  <c r="M289" i="64"/>
  <c r="L289" i="64"/>
  <c r="L229" i="64"/>
  <c r="F210" i="64"/>
  <c r="N229" i="64"/>
  <c r="K229" i="64"/>
  <c r="J229" i="64"/>
  <c r="M229" i="64"/>
  <c r="D210" i="64"/>
  <c r="N228" i="64"/>
  <c r="K228" i="64"/>
  <c r="J228" i="64"/>
  <c r="M228" i="64"/>
  <c r="L228" i="64"/>
  <c r="D145" i="64"/>
  <c r="N164" i="64"/>
  <c r="K164" i="64"/>
  <c r="J164" i="64"/>
  <c r="M164" i="64"/>
  <c r="L164" i="64"/>
  <c r="N165" i="64"/>
  <c r="K165" i="64"/>
  <c r="J165" i="64"/>
  <c r="F145" i="64"/>
  <c r="M165" i="64"/>
  <c r="L165" i="64"/>
  <c r="K97" i="64"/>
  <c r="M94" i="64"/>
  <c r="L97" i="64"/>
  <c r="M97" i="64"/>
  <c r="L94" i="64"/>
  <c r="K94" i="64"/>
  <c r="D81" i="64"/>
  <c r="N94" i="64"/>
  <c r="L95" i="64"/>
  <c r="M98" i="64"/>
  <c r="M95" i="64"/>
  <c r="K98" i="64"/>
  <c r="N95" i="64"/>
  <c r="F81" i="64"/>
  <c r="K95" i="64"/>
  <c r="L98" i="64"/>
  <c r="O274" i="64"/>
  <c r="L40" i="64"/>
  <c r="D80" i="64"/>
  <c r="N100" i="64"/>
  <c r="J100" i="64"/>
  <c r="K40" i="64"/>
  <c r="D22" i="64"/>
  <c r="M100" i="64"/>
  <c r="L100" i="64"/>
  <c r="K100" i="64"/>
  <c r="N97" i="64"/>
  <c r="N40" i="64"/>
  <c r="M40" i="64"/>
  <c r="N101" i="64"/>
  <c r="J101" i="64"/>
  <c r="K41" i="64"/>
  <c r="F22" i="64"/>
  <c r="N41" i="64"/>
  <c r="F80" i="64"/>
  <c r="M101" i="64"/>
  <c r="K101" i="64"/>
  <c r="N98" i="64"/>
  <c r="M41" i="64"/>
  <c r="L101" i="64"/>
  <c r="L41" i="64"/>
  <c r="J26" i="64"/>
  <c r="J22" i="64"/>
  <c r="J25" i="64"/>
  <c r="J28" i="64"/>
  <c r="J31" i="64"/>
  <c r="J34" i="64"/>
  <c r="J37" i="64"/>
  <c r="J40" i="64"/>
  <c r="J29" i="64"/>
  <c r="J32" i="64"/>
  <c r="J35" i="64"/>
  <c r="J38" i="64"/>
  <c r="N38" i="64"/>
  <c r="L208" i="64"/>
  <c r="J41" i="64"/>
  <c r="J20" i="64"/>
  <c r="J23" i="64"/>
  <c r="J30" i="64"/>
  <c r="J17" i="52"/>
  <c r="I21" i="48"/>
  <c r="E22" i="48"/>
  <c r="J18" i="64"/>
  <c r="J39" i="64"/>
  <c r="J21" i="64"/>
  <c r="C19" i="66"/>
  <c r="D21" i="66"/>
  <c r="G22" i="66"/>
  <c r="J33" i="64"/>
  <c r="E21" i="53"/>
  <c r="D23" i="66"/>
  <c r="J36" i="64"/>
  <c r="G15" i="48"/>
  <c r="F17" i="51"/>
  <c r="J24" i="64"/>
  <c r="H19" i="51"/>
  <c r="J27" i="64"/>
  <c r="K36" i="64"/>
  <c r="L205" i="64"/>
  <c r="L214" i="64"/>
  <c r="J75" i="64"/>
  <c r="M217" i="64"/>
  <c r="F75" i="64"/>
  <c r="N223" i="64"/>
  <c r="J89" i="64"/>
  <c r="J268" i="64"/>
  <c r="K268" i="64"/>
  <c r="F140" i="64"/>
  <c r="J272" i="64"/>
  <c r="M142" i="64"/>
  <c r="J277" i="64"/>
  <c r="F143" i="64"/>
  <c r="L281" i="64"/>
  <c r="K17" i="64"/>
  <c r="M147" i="64"/>
  <c r="J285" i="64"/>
  <c r="L20" i="64"/>
  <c r="J153" i="64"/>
  <c r="N80" i="64"/>
  <c r="L86" i="64"/>
  <c r="K23" i="64"/>
  <c r="K156" i="64"/>
  <c r="L29" i="64"/>
  <c r="M162" i="64"/>
  <c r="M32" i="64"/>
  <c r="F201" i="64"/>
  <c r="D16" i="48"/>
  <c r="J22" i="66"/>
  <c r="H20" i="51"/>
  <c r="G16" i="48"/>
  <c r="J20" i="51"/>
  <c r="E18" i="48"/>
  <c r="F22" i="51"/>
  <c r="H18" i="48"/>
  <c r="G19" i="48"/>
  <c r="C21" i="64"/>
  <c r="D15" i="51"/>
  <c r="D16" i="52"/>
  <c r="N148" i="64"/>
  <c r="H16" i="51"/>
  <c r="G17" i="52"/>
  <c r="E18" i="51"/>
  <c r="J19" i="52"/>
  <c r="L15" i="47"/>
  <c r="E16" i="66"/>
  <c r="G18" i="51"/>
  <c r="H16" i="66"/>
  <c r="I18" i="51"/>
  <c r="L206" i="64"/>
  <c r="E15" i="48"/>
  <c r="F19" i="51"/>
  <c r="N90" i="64"/>
  <c r="M157" i="64"/>
  <c r="I16" i="48"/>
  <c r="F20" i="51"/>
  <c r="E18" i="52"/>
  <c r="E24" i="53"/>
  <c r="J224" i="64"/>
  <c r="K282" i="64"/>
  <c r="I17" i="48"/>
  <c r="G19" i="52"/>
  <c r="M33" i="64"/>
  <c r="L224" i="64"/>
  <c r="N282" i="64"/>
  <c r="J16" i="66"/>
  <c r="F15" i="51"/>
  <c r="E21" i="51"/>
  <c r="E20" i="52"/>
  <c r="M36" i="64"/>
  <c r="C202" i="64"/>
  <c r="J264" i="64"/>
  <c r="I18" i="48"/>
  <c r="F18" i="66"/>
  <c r="D16" i="51"/>
  <c r="F21" i="51"/>
  <c r="J21" i="52"/>
  <c r="C15" i="64"/>
  <c r="J203" i="64"/>
  <c r="M264" i="64"/>
  <c r="E19" i="48"/>
  <c r="I18" i="66"/>
  <c r="F16" i="51"/>
  <c r="H21" i="51"/>
  <c r="E22" i="52"/>
  <c r="K15" i="64"/>
  <c r="K142" i="64"/>
  <c r="O264" i="64"/>
  <c r="J23" i="52"/>
  <c r="K16" i="47"/>
  <c r="G20" i="48"/>
  <c r="F20" i="66"/>
  <c r="C17" i="51"/>
  <c r="H22" i="51"/>
  <c r="M18" i="64"/>
  <c r="M75" i="64"/>
  <c r="C207" i="64"/>
  <c r="I20" i="48"/>
  <c r="J20" i="66"/>
  <c r="D17" i="51"/>
  <c r="J22" i="51"/>
  <c r="C20" i="64"/>
  <c r="C75" i="64"/>
  <c r="C270" i="64"/>
  <c r="F21" i="48"/>
  <c r="L148" i="64"/>
  <c r="N212" i="64"/>
  <c r="K270" i="64"/>
  <c r="G21" i="48"/>
  <c r="E19" i="53"/>
  <c r="L81" i="64"/>
  <c r="K215" i="64"/>
  <c r="O273" i="64"/>
  <c r="E20" i="53"/>
  <c r="N24" i="64"/>
  <c r="N81" i="64"/>
  <c r="N154" i="64"/>
  <c r="M215" i="64"/>
  <c r="L276" i="64"/>
  <c r="L27" i="64"/>
  <c r="N276" i="64"/>
  <c r="E16" i="48"/>
  <c r="D23" i="53"/>
  <c r="N27" i="64"/>
  <c r="L90" i="64"/>
  <c r="K157" i="64"/>
  <c r="M221" i="64"/>
  <c r="E23" i="53"/>
  <c r="J20" i="47"/>
  <c r="C13" i="64"/>
  <c r="N18" i="64"/>
  <c r="N33" i="64"/>
  <c r="K75" i="64"/>
  <c r="J81" i="64"/>
  <c r="J90" i="64"/>
  <c r="O99" i="64"/>
  <c r="C141" i="64"/>
  <c r="J148" i="64"/>
  <c r="C201" i="64"/>
  <c r="M206" i="64"/>
  <c r="N221" i="64"/>
  <c r="K264" i="64"/>
  <c r="J276" i="64"/>
  <c r="L282" i="64"/>
  <c r="J15" i="47"/>
  <c r="K20" i="47"/>
  <c r="F16" i="66"/>
  <c r="G18" i="66"/>
  <c r="G20" i="66"/>
  <c r="H22" i="66"/>
  <c r="C18" i="52"/>
  <c r="C20" i="52"/>
  <c r="C22" i="52"/>
  <c r="C14" i="64"/>
  <c r="C19" i="64"/>
  <c r="K27" i="64"/>
  <c r="L75" i="64"/>
  <c r="K81" i="64"/>
  <c r="K90" i="64"/>
  <c r="J142" i="64"/>
  <c r="K148" i="64"/>
  <c r="J157" i="64"/>
  <c r="N206" i="64"/>
  <c r="J215" i="64"/>
  <c r="L264" i="64"/>
  <c r="C269" i="64"/>
  <c r="K276" i="64"/>
  <c r="M282" i="64"/>
  <c r="K15" i="47"/>
  <c r="L20" i="47"/>
  <c r="F16" i="48"/>
  <c r="D19" i="48"/>
  <c r="H21" i="48"/>
  <c r="G16" i="66"/>
  <c r="H18" i="66"/>
  <c r="I20" i="66"/>
  <c r="I22" i="66"/>
  <c r="E15" i="51"/>
  <c r="E17" i="51"/>
  <c r="G19" i="51"/>
  <c r="G21" i="51"/>
  <c r="C16" i="52"/>
  <c r="D18" i="52"/>
  <c r="D20" i="52"/>
  <c r="D22" i="52"/>
  <c r="D24" i="53"/>
  <c r="J15" i="64"/>
  <c r="M27" i="64"/>
  <c r="L36" i="64"/>
  <c r="N75" i="64"/>
  <c r="M81" i="64"/>
  <c r="M90" i="64"/>
  <c r="L142" i="64"/>
  <c r="M148" i="64"/>
  <c r="L157" i="64"/>
  <c r="C203" i="64"/>
  <c r="C208" i="64"/>
  <c r="L215" i="64"/>
  <c r="K224" i="64"/>
  <c r="N264" i="64"/>
  <c r="J270" i="64"/>
  <c r="M276" i="64"/>
  <c r="O282" i="64"/>
  <c r="J16" i="47"/>
  <c r="H16" i="48"/>
  <c r="F19" i="48"/>
  <c r="D22" i="48"/>
  <c r="I16" i="66"/>
  <c r="J18" i="66"/>
  <c r="C21" i="66"/>
  <c r="C23" i="66"/>
  <c r="G15" i="51"/>
  <c r="G17" i="51"/>
  <c r="I19" i="51"/>
  <c r="I21" i="51"/>
  <c r="E16" i="52"/>
  <c r="F18" i="52"/>
  <c r="F20" i="52"/>
  <c r="F22" i="52"/>
  <c r="H15" i="51"/>
  <c r="H17" i="51"/>
  <c r="J19" i="51"/>
  <c r="J21" i="51"/>
  <c r="G16" i="52"/>
  <c r="G18" i="52"/>
  <c r="G20" i="52"/>
  <c r="G22" i="52"/>
  <c r="E17" i="53"/>
  <c r="L15" i="64"/>
  <c r="N36" i="64"/>
  <c r="J84" i="64"/>
  <c r="J93" i="64"/>
  <c r="C136" i="64"/>
  <c r="N142" i="64"/>
  <c r="J151" i="64"/>
  <c r="N157" i="64"/>
  <c r="K203" i="64"/>
  <c r="C209" i="64"/>
  <c r="N215" i="64"/>
  <c r="M224" i="64"/>
  <c r="C265" i="64"/>
  <c r="L270" i="64"/>
  <c r="O276" i="64"/>
  <c r="K285" i="64"/>
  <c r="L16" i="47"/>
  <c r="D17" i="48"/>
  <c r="H19" i="48"/>
  <c r="F22" i="48"/>
  <c r="D19" i="66"/>
  <c r="E21" i="66"/>
  <c r="E23" i="66"/>
  <c r="I15" i="51"/>
  <c r="I17" i="51"/>
  <c r="C20" i="51"/>
  <c r="C22" i="51"/>
  <c r="H16" i="52"/>
  <c r="H18" i="52"/>
  <c r="H20" i="52"/>
  <c r="H22" i="52"/>
  <c r="D18" i="53"/>
  <c r="M15" i="64"/>
  <c r="K21" i="64"/>
  <c r="C76" i="64"/>
  <c r="K84" i="64"/>
  <c r="C137" i="64"/>
  <c r="C142" i="64"/>
  <c r="K151" i="64"/>
  <c r="J160" i="64"/>
  <c r="L203" i="64"/>
  <c r="J209" i="64"/>
  <c r="N224" i="64"/>
  <c r="C266" i="64"/>
  <c r="M270" i="64"/>
  <c r="L285" i="64"/>
  <c r="J17" i="47"/>
  <c r="E17" i="48"/>
  <c r="I19" i="48"/>
  <c r="G22" i="48"/>
  <c r="E19" i="66"/>
  <c r="F21" i="66"/>
  <c r="F23" i="66"/>
  <c r="J15" i="51"/>
  <c r="J17" i="51"/>
  <c r="D20" i="51"/>
  <c r="D22" i="51"/>
  <c r="I16" i="52"/>
  <c r="I18" i="52"/>
  <c r="I20" i="52"/>
  <c r="I22" i="52"/>
  <c r="E18" i="53"/>
  <c r="N15" i="64"/>
  <c r="L21" i="64"/>
  <c r="K30" i="64"/>
  <c r="C77" i="64"/>
  <c r="L84" i="64"/>
  <c r="C138" i="64"/>
  <c r="C143" i="64"/>
  <c r="L151" i="64"/>
  <c r="K160" i="64"/>
  <c r="M203" i="64"/>
  <c r="K209" i="64"/>
  <c r="J218" i="64"/>
  <c r="C267" i="64"/>
  <c r="N270" i="64"/>
  <c r="J279" i="64"/>
  <c r="M285" i="64"/>
  <c r="K17" i="47"/>
  <c r="F17" i="48"/>
  <c r="D20" i="48"/>
  <c r="H22" i="48"/>
  <c r="F19" i="66"/>
  <c r="G21" i="66"/>
  <c r="G23" i="66"/>
  <c r="C16" i="51"/>
  <c r="D18" i="51"/>
  <c r="E20" i="51"/>
  <c r="E22" i="51"/>
  <c r="J16" i="52"/>
  <c r="J18" i="52"/>
  <c r="J20" i="52"/>
  <c r="J22" i="52"/>
  <c r="D19" i="53"/>
  <c r="C16" i="64"/>
  <c r="M21" i="64"/>
  <c r="L30" i="64"/>
  <c r="J78" i="64"/>
  <c r="M84" i="64"/>
  <c r="J139" i="64"/>
  <c r="M151" i="64"/>
  <c r="L160" i="64"/>
  <c r="N203" i="64"/>
  <c r="L209" i="64"/>
  <c r="K218" i="64"/>
  <c r="J267" i="64"/>
  <c r="O270" i="64"/>
  <c r="K279" i="64"/>
  <c r="N285" i="64"/>
  <c r="L17" i="47"/>
  <c r="G17" i="48"/>
  <c r="E20" i="48"/>
  <c r="I22" i="48"/>
  <c r="G19" i="66"/>
  <c r="H21" i="66"/>
  <c r="H23" i="66"/>
  <c r="C17" i="52"/>
  <c r="C19" i="52"/>
  <c r="C21" i="52"/>
  <c r="C23" i="52"/>
  <c r="C17" i="64"/>
  <c r="N21" i="64"/>
  <c r="M30" i="64"/>
  <c r="K78" i="64"/>
  <c r="N84" i="64"/>
  <c r="K139" i="64"/>
  <c r="C144" i="64"/>
  <c r="N151" i="64"/>
  <c r="M160" i="64"/>
  <c r="C204" i="64"/>
  <c r="M209" i="64"/>
  <c r="L218" i="64"/>
  <c r="K267" i="64"/>
  <c r="L279" i="64"/>
  <c r="O285" i="64"/>
  <c r="J18" i="47"/>
  <c r="D15" i="48"/>
  <c r="H17" i="48"/>
  <c r="F20" i="48"/>
  <c r="H19" i="66"/>
  <c r="I21" i="66"/>
  <c r="I23" i="66"/>
  <c r="E16" i="51"/>
  <c r="F18" i="51"/>
  <c r="G20" i="51"/>
  <c r="G22" i="51"/>
  <c r="D17" i="52"/>
  <c r="D19" i="52"/>
  <c r="D21" i="52"/>
  <c r="D23" i="52"/>
  <c r="D20" i="53"/>
  <c r="N30" i="64"/>
  <c r="L78" i="64"/>
  <c r="J87" i="64"/>
  <c r="L139" i="64"/>
  <c r="J145" i="64"/>
  <c r="N160" i="64"/>
  <c r="C205" i="64"/>
  <c r="N209" i="64"/>
  <c r="M218" i="64"/>
  <c r="L267" i="64"/>
  <c r="J273" i="64"/>
  <c r="M279" i="64"/>
  <c r="K18" i="47"/>
  <c r="I19" i="66"/>
  <c r="J21" i="66"/>
  <c r="J23" i="66"/>
  <c r="E17" i="52"/>
  <c r="E19" i="52"/>
  <c r="E21" i="52"/>
  <c r="E23" i="52"/>
  <c r="C18" i="64"/>
  <c r="M78" i="64"/>
  <c r="K87" i="64"/>
  <c r="J96" i="64"/>
  <c r="M139" i="64"/>
  <c r="K145" i="64"/>
  <c r="J154" i="64"/>
  <c r="J212" i="64"/>
  <c r="N218" i="64"/>
  <c r="M267" i="64"/>
  <c r="K273" i="64"/>
  <c r="N279" i="64"/>
  <c r="L18" i="47"/>
  <c r="F15" i="48"/>
  <c r="D18" i="48"/>
  <c r="H20" i="48"/>
  <c r="J19" i="66"/>
  <c r="C22" i="66"/>
  <c r="G16" i="51"/>
  <c r="H18" i="51"/>
  <c r="I20" i="51"/>
  <c r="I22" i="51"/>
  <c r="F17" i="52"/>
  <c r="F19" i="52"/>
  <c r="F21" i="52"/>
  <c r="F23" i="52"/>
  <c r="D21" i="53"/>
  <c r="K24" i="64"/>
  <c r="C72" i="64"/>
  <c r="N78" i="64"/>
  <c r="L87" i="64"/>
  <c r="N139" i="64"/>
  <c r="L145" i="64"/>
  <c r="K154" i="64"/>
  <c r="C206" i="64"/>
  <c r="K212" i="64"/>
  <c r="J221" i="64"/>
  <c r="C262" i="64"/>
  <c r="N267" i="64"/>
  <c r="L273" i="64"/>
  <c r="O279" i="64"/>
  <c r="J19" i="47"/>
  <c r="C18" i="66"/>
  <c r="C20" i="66"/>
  <c r="D22" i="66"/>
  <c r="G21" i="52"/>
  <c r="G23" i="52"/>
  <c r="K19" i="47"/>
  <c r="H15" i="48"/>
  <c r="F18" i="48"/>
  <c r="D21" i="48"/>
  <c r="C16" i="66"/>
  <c r="D18" i="66"/>
  <c r="D20" i="66"/>
  <c r="I16" i="51"/>
  <c r="J18" i="51"/>
  <c r="C21" i="51"/>
  <c r="H17" i="52"/>
  <c r="H19" i="52"/>
  <c r="H21" i="52"/>
  <c r="H23" i="52"/>
  <c r="D22" i="53"/>
  <c r="K18" i="64"/>
  <c r="L24" i="64"/>
  <c r="K33" i="64"/>
  <c r="C73" i="64"/>
  <c r="C78" i="64"/>
  <c r="M87" i="64"/>
  <c r="C139" i="64"/>
  <c r="M145" i="64"/>
  <c r="L154" i="64"/>
  <c r="J206" i="64"/>
  <c r="L212" i="64"/>
  <c r="K221" i="64"/>
  <c r="C263" i="64"/>
  <c r="O267" i="64"/>
  <c r="M273" i="64"/>
  <c r="L18" i="64"/>
  <c r="M24" i="64"/>
  <c r="L33" i="64"/>
  <c r="C74" i="64"/>
  <c r="C79" i="64"/>
  <c r="N87" i="64"/>
  <c r="C140" i="64"/>
  <c r="N145" i="64"/>
  <c r="M154" i="64"/>
  <c r="K206" i="64"/>
  <c r="M212" i="64"/>
  <c r="L221" i="64"/>
  <c r="C264" i="64"/>
  <c r="C268" i="64"/>
  <c r="N273" i="64"/>
  <c r="J282" i="64"/>
  <c r="I15" i="48"/>
  <c r="G18" i="48"/>
  <c r="D16" i="66"/>
  <c r="E18" i="66"/>
  <c r="E20" i="66"/>
  <c r="J16" i="51"/>
  <c r="D19" i="51"/>
  <c r="I17" i="52"/>
  <c r="I19" i="52"/>
  <c r="I21" i="52"/>
  <c r="F13" i="64"/>
  <c r="L17" i="64"/>
  <c r="M20" i="64"/>
  <c r="M29" i="64"/>
  <c r="K89" i="64"/>
  <c r="J141" i="64"/>
  <c r="J144" i="64"/>
  <c r="K153" i="64"/>
  <c r="N162" i="64"/>
  <c r="M214" i="64"/>
  <c r="F266" i="64"/>
  <c r="F268" i="64"/>
  <c r="L272" i="64"/>
  <c r="M281" i="64"/>
  <c r="K38" i="64"/>
  <c r="M86" i="64"/>
  <c r="K92" i="64"/>
  <c r="M17" i="64"/>
  <c r="N20" i="64"/>
  <c r="N29" i="64"/>
  <c r="F72" i="64"/>
  <c r="J83" i="64"/>
  <c r="M89" i="64"/>
  <c r="K141" i="64"/>
  <c r="K144" i="64"/>
  <c r="L153" i="64"/>
  <c r="N214" i="64"/>
  <c r="J220" i="64"/>
  <c r="J266" i="64"/>
  <c r="M272" i="64"/>
  <c r="J287" i="64"/>
  <c r="F73" i="64"/>
  <c r="N86" i="64"/>
  <c r="L92" i="64"/>
  <c r="L275" i="64"/>
  <c r="N281" i="64"/>
  <c r="F14" i="64"/>
  <c r="N17" i="64"/>
  <c r="M35" i="64"/>
  <c r="M83" i="64"/>
  <c r="F136" i="64"/>
  <c r="L141" i="64"/>
  <c r="L144" i="64"/>
  <c r="M153" i="64"/>
  <c r="K220" i="64"/>
  <c r="K266" i="64"/>
  <c r="N272" i="64"/>
  <c r="J278" i="64"/>
  <c r="K287" i="64"/>
  <c r="M38" i="64"/>
  <c r="K269" i="64"/>
  <c r="M275" i="64"/>
  <c r="O281" i="64"/>
  <c r="F21" i="64"/>
  <c r="M141" i="64"/>
  <c r="M144" i="64"/>
  <c r="N153" i="64"/>
  <c r="J159" i="64"/>
  <c r="J211" i="64"/>
  <c r="L220" i="64"/>
  <c r="F262" i="64"/>
  <c r="L266" i="64"/>
  <c r="K278" i="64"/>
  <c r="M287" i="64"/>
  <c r="K77" i="64"/>
  <c r="N92" i="64"/>
  <c r="L269" i="64"/>
  <c r="N275" i="64"/>
  <c r="F269" i="64"/>
  <c r="F15" i="64"/>
  <c r="F18" i="64"/>
  <c r="K26" i="64"/>
  <c r="F78" i="64"/>
  <c r="F137" i="64"/>
  <c r="N141" i="64"/>
  <c r="N144" i="64"/>
  <c r="K159" i="64"/>
  <c r="K211" i="64"/>
  <c r="M220" i="64"/>
  <c r="M266" i="64"/>
  <c r="J269" i="64"/>
  <c r="M278" i="64"/>
  <c r="N287" i="64"/>
  <c r="L77" i="64"/>
  <c r="M269" i="64"/>
  <c r="O275" i="64"/>
  <c r="L26" i="64"/>
  <c r="J150" i="64"/>
  <c r="L159" i="64"/>
  <c r="F204" i="64"/>
  <c r="F207" i="64"/>
  <c r="L211" i="64"/>
  <c r="N220" i="64"/>
  <c r="J226" i="64"/>
  <c r="N266" i="64"/>
  <c r="N269" i="64"/>
  <c r="N278" i="64"/>
  <c r="O287" i="64"/>
  <c r="F20" i="64"/>
  <c r="M77" i="64"/>
  <c r="K83" i="64"/>
  <c r="F77" i="64"/>
  <c r="M26" i="64"/>
  <c r="F79" i="64"/>
  <c r="J98" i="64"/>
  <c r="F138" i="64"/>
  <c r="F141" i="64"/>
  <c r="F144" i="64"/>
  <c r="K150" i="64"/>
  <c r="M159" i="64"/>
  <c r="M211" i="64"/>
  <c r="K226" i="64"/>
  <c r="F264" i="64"/>
  <c r="O266" i="64"/>
  <c r="O269" i="64"/>
  <c r="O278" i="64"/>
  <c r="N77" i="64"/>
  <c r="L83" i="64"/>
  <c r="F209" i="64"/>
  <c r="N26" i="64"/>
  <c r="J80" i="64"/>
  <c r="J92" i="64"/>
  <c r="L150" i="64"/>
  <c r="F205" i="64"/>
  <c r="F208" i="64"/>
  <c r="N211" i="64"/>
  <c r="J217" i="64"/>
  <c r="L226" i="64"/>
  <c r="J284" i="64"/>
  <c r="K35" i="64"/>
  <c r="K32" i="64"/>
  <c r="L80" i="64"/>
  <c r="J86" i="64"/>
  <c r="M92" i="64"/>
  <c r="M150" i="64"/>
  <c r="J205" i="64"/>
  <c r="J208" i="64"/>
  <c r="K217" i="64"/>
  <c r="M226" i="64"/>
  <c r="F267" i="64"/>
  <c r="F270" i="64"/>
  <c r="K284" i="64"/>
  <c r="L35" i="64"/>
  <c r="N83" i="64"/>
  <c r="L89" i="64"/>
  <c r="L278" i="64"/>
  <c r="N284" i="64"/>
  <c r="L32" i="64"/>
  <c r="L38" i="64"/>
  <c r="M80" i="64"/>
  <c r="K86" i="64"/>
  <c r="N150" i="64"/>
  <c r="J156" i="64"/>
  <c r="K205" i="64"/>
  <c r="K208" i="64"/>
  <c r="L217" i="64"/>
  <c r="N226" i="64"/>
  <c r="J275" i="64"/>
  <c r="L284" i="64"/>
  <c r="F263" i="64"/>
  <c r="K272" i="64"/>
  <c r="O284" i="64"/>
  <c r="K275" i="64"/>
  <c r="P275" i="64" s="1"/>
  <c r="M284" i="64"/>
  <c r="N35" i="64"/>
  <c r="F74" i="64"/>
  <c r="N89" i="64"/>
  <c r="N147" i="64"/>
  <c r="N159" i="64"/>
  <c r="F16" i="64"/>
  <c r="F19" i="64"/>
  <c r="L23" i="64"/>
  <c r="N32" i="64"/>
  <c r="L156" i="64"/>
  <c r="M205" i="64"/>
  <c r="M208" i="64"/>
  <c r="N217" i="64"/>
  <c r="J223" i="64"/>
  <c r="M23" i="64"/>
  <c r="J77" i="64"/>
  <c r="J147" i="64"/>
  <c r="M156" i="64"/>
  <c r="J162" i="64"/>
  <c r="F202" i="64"/>
  <c r="N205" i="64"/>
  <c r="N208" i="64"/>
  <c r="K223" i="64"/>
  <c r="K80" i="64"/>
  <c r="F76" i="64"/>
  <c r="F17" i="64"/>
  <c r="N23" i="64"/>
  <c r="F139" i="64"/>
  <c r="F142" i="64"/>
  <c r="K147" i="64"/>
  <c r="N156" i="64"/>
  <c r="K162" i="64"/>
  <c r="J214" i="64"/>
  <c r="L223" i="64"/>
  <c r="J281" i="64"/>
  <c r="O272" i="64"/>
  <c r="J17" i="64"/>
  <c r="K20" i="64"/>
  <c r="K29" i="64"/>
  <c r="J95" i="64"/>
  <c r="L147" i="64"/>
  <c r="L162" i="64"/>
  <c r="F203" i="64"/>
  <c r="F206" i="64"/>
  <c r="K214" i="64"/>
  <c r="O214" i="64" s="1"/>
  <c r="M223" i="64"/>
  <c r="F265" i="64"/>
  <c r="K281" i="64"/>
  <c r="P281" i="64" s="1"/>
  <c r="O265" i="64"/>
  <c r="D16" i="64"/>
  <c r="D20" i="64"/>
  <c r="M25" i="64"/>
  <c r="N28" i="64"/>
  <c r="L140" i="64"/>
  <c r="N25" i="64"/>
  <c r="K91" i="64"/>
  <c r="D137" i="64"/>
  <c r="M140" i="64"/>
  <c r="D203" i="64"/>
  <c r="D266" i="64"/>
  <c r="D270" i="64"/>
  <c r="N204" i="64"/>
  <c r="D13" i="64"/>
  <c r="J16" i="64"/>
  <c r="L91" i="64"/>
  <c r="N140" i="64"/>
  <c r="D205" i="64"/>
  <c r="D207" i="64"/>
  <c r="D209" i="64"/>
  <c r="D18" i="64"/>
  <c r="K16" i="64"/>
  <c r="J88" i="64"/>
  <c r="M91" i="64"/>
  <c r="J225" i="64"/>
  <c r="D268" i="64"/>
  <c r="M28" i="64"/>
  <c r="N82" i="64"/>
  <c r="N146" i="64"/>
  <c r="J91" i="64"/>
  <c r="L16" i="64"/>
  <c r="D75" i="64"/>
  <c r="K88" i="64"/>
  <c r="N91" i="64"/>
  <c r="D138" i="64"/>
  <c r="D140" i="64"/>
  <c r="D142" i="64"/>
  <c r="D144" i="64"/>
  <c r="J161" i="64"/>
  <c r="J207" i="64"/>
  <c r="J222" i="64"/>
  <c r="K225" i="64"/>
  <c r="K161" i="64"/>
  <c r="K219" i="64"/>
  <c r="D21" i="64"/>
  <c r="K37" i="64"/>
  <c r="K76" i="64"/>
  <c r="J85" i="64"/>
  <c r="N88" i="64"/>
  <c r="K143" i="64"/>
  <c r="J155" i="64"/>
  <c r="K158" i="64"/>
  <c r="M161" i="64"/>
  <c r="M207" i="64"/>
  <c r="J213" i="64"/>
  <c r="K216" i="64"/>
  <c r="L219" i="64"/>
  <c r="M222" i="64"/>
  <c r="N225" i="64"/>
  <c r="L268" i="64"/>
  <c r="D15" i="64"/>
  <c r="D17" i="64"/>
  <c r="D19" i="64"/>
  <c r="L37" i="64"/>
  <c r="D72" i="64"/>
  <c r="L76" i="64"/>
  <c r="J79" i="64"/>
  <c r="K85" i="64"/>
  <c r="L143" i="64"/>
  <c r="J152" i="64"/>
  <c r="K155" i="64"/>
  <c r="L158" i="64"/>
  <c r="N161" i="64"/>
  <c r="N207" i="64"/>
  <c r="J210" i="64"/>
  <c r="K213" i="64"/>
  <c r="L216" i="64"/>
  <c r="M219" i="64"/>
  <c r="N222" i="64"/>
  <c r="D265" i="64"/>
  <c r="M268" i="64"/>
  <c r="K277" i="64"/>
  <c r="J280" i="64"/>
  <c r="J283" i="64"/>
  <c r="J286" i="64"/>
  <c r="D264" i="64"/>
  <c r="J219" i="64"/>
  <c r="M88" i="64"/>
  <c r="J158" i="64"/>
  <c r="L207" i="64"/>
  <c r="M37" i="64"/>
  <c r="M76" i="64"/>
  <c r="K79" i="64"/>
  <c r="L85" i="64"/>
  <c r="J97" i="64"/>
  <c r="M143" i="64"/>
  <c r="J149" i="64"/>
  <c r="K152" i="64"/>
  <c r="L155" i="64"/>
  <c r="M158" i="64"/>
  <c r="D204" i="64"/>
  <c r="K210" i="64"/>
  <c r="L213" i="64"/>
  <c r="M216" i="64"/>
  <c r="N219" i="64"/>
  <c r="N268" i="64"/>
  <c r="J271" i="64"/>
  <c r="J274" i="64"/>
  <c r="L277" i="64"/>
  <c r="K280" i="64"/>
  <c r="K283" i="64"/>
  <c r="K286" i="64"/>
  <c r="D77" i="64"/>
  <c r="K222" i="64"/>
  <c r="N16" i="64"/>
  <c r="J76" i="64"/>
  <c r="L161" i="64"/>
  <c r="J216" i="64"/>
  <c r="N37" i="64"/>
  <c r="N76" i="64"/>
  <c r="L79" i="64"/>
  <c r="M85" i="64"/>
  <c r="N143" i="64"/>
  <c r="K149" i="64"/>
  <c r="L152" i="64"/>
  <c r="M155" i="64"/>
  <c r="N158" i="64"/>
  <c r="D206" i="64"/>
  <c r="D208" i="64"/>
  <c r="L210" i="64"/>
  <c r="M213" i="64"/>
  <c r="N216" i="64"/>
  <c r="D262" i="64"/>
  <c r="J265" i="64"/>
  <c r="D267" i="64"/>
  <c r="O268" i="64"/>
  <c r="K271" i="64"/>
  <c r="K274" i="64"/>
  <c r="M277" i="64"/>
  <c r="L280" i="64"/>
  <c r="L283" i="64"/>
  <c r="L286" i="64"/>
  <c r="L25" i="64"/>
  <c r="K207" i="64"/>
  <c r="M225" i="64"/>
  <c r="M79" i="64"/>
  <c r="L149" i="64"/>
  <c r="D201" i="64"/>
  <c r="M210" i="64"/>
  <c r="K265" i="64"/>
  <c r="M286" i="64"/>
  <c r="K31" i="64"/>
  <c r="L34" i="64"/>
  <c r="D76" i="64"/>
  <c r="N79" i="64"/>
  <c r="K82" i="64"/>
  <c r="J94" i="64"/>
  <c r="D139" i="64"/>
  <c r="D141" i="64"/>
  <c r="D143" i="64"/>
  <c r="K146" i="64"/>
  <c r="M149" i="64"/>
  <c r="N152" i="64"/>
  <c r="K204" i="64"/>
  <c r="N210" i="64"/>
  <c r="L265" i="64"/>
  <c r="D269" i="64"/>
  <c r="M271" i="64"/>
  <c r="M274" i="64"/>
  <c r="O277" i="64"/>
  <c r="N280" i="64"/>
  <c r="N283" i="64"/>
  <c r="N286" i="64"/>
  <c r="D14" i="64"/>
  <c r="L88" i="64"/>
  <c r="D78" i="64"/>
  <c r="J143" i="64"/>
  <c r="K34" i="64"/>
  <c r="D73" i="64"/>
  <c r="N85" i="64"/>
  <c r="J146" i="64"/>
  <c r="M152" i="64"/>
  <c r="N155" i="64"/>
  <c r="J204" i="64"/>
  <c r="N213" i="64"/>
  <c r="L271" i="64"/>
  <c r="L274" i="64"/>
  <c r="N277" i="64"/>
  <c r="M283" i="64"/>
  <c r="M19" i="64"/>
  <c r="K28" i="64"/>
  <c r="L31" i="64"/>
  <c r="M34" i="64"/>
  <c r="D74" i="64"/>
  <c r="L82" i="64"/>
  <c r="L146" i="64"/>
  <c r="N149" i="64"/>
  <c r="L204" i="64"/>
  <c r="D263" i="64"/>
  <c r="M265" i="64"/>
  <c r="N271" i="64"/>
  <c r="N274" i="64"/>
  <c r="O280" i="64"/>
  <c r="O283" i="64"/>
  <c r="O286" i="64"/>
  <c r="N31" i="64"/>
  <c r="K140" i="64"/>
  <c r="M16" i="64"/>
  <c r="L225" i="64"/>
  <c r="L222" i="64"/>
  <c r="K19" i="64"/>
  <c r="J82" i="64"/>
  <c r="M280" i="64"/>
  <c r="N19" i="64"/>
  <c r="K25" i="64"/>
  <c r="L28" i="64"/>
  <c r="M31" i="64"/>
  <c r="N34" i="64"/>
  <c r="D79" i="64"/>
  <c r="M82" i="64"/>
  <c r="D136" i="64"/>
  <c r="J140" i="64"/>
  <c r="M146" i="64"/>
  <c r="D202" i="64"/>
  <c r="M204" i="64"/>
  <c r="N265" i="64"/>
  <c r="O271" i="64"/>
  <c r="L287" i="64"/>
  <c r="O93" i="64"/>
  <c r="P276" i="64" l="1"/>
  <c r="O94" i="64"/>
  <c r="O81" i="64"/>
  <c r="O20" i="64"/>
  <c r="O206" i="64"/>
  <c r="O95" i="64"/>
  <c r="O101" i="64"/>
  <c r="P270" i="64"/>
  <c r="P289" i="64"/>
  <c r="P269" i="64"/>
  <c r="P287" i="64"/>
  <c r="O17" i="64"/>
  <c r="O92" i="64"/>
  <c r="O100" i="64"/>
  <c r="O89" i="64"/>
  <c r="O161" i="64"/>
  <c r="O164" i="64"/>
  <c r="O29" i="64"/>
  <c r="O86" i="64"/>
  <c r="O210" i="64"/>
  <c r="O36" i="64"/>
  <c r="O157" i="64"/>
  <c r="P285" i="64"/>
  <c r="O205" i="64"/>
  <c r="O225" i="64"/>
  <c r="O224" i="64"/>
  <c r="O150" i="64"/>
  <c r="O156" i="64"/>
  <c r="O146" i="64"/>
  <c r="O82" i="64"/>
  <c r="O35" i="64"/>
  <c r="O25" i="64"/>
  <c r="O79" i="64"/>
  <c r="O211" i="64"/>
  <c r="O75" i="64"/>
  <c r="O98" i="64"/>
  <c r="O141" i="64"/>
  <c r="O148" i="64"/>
  <c r="O80" i="64"/>
  <c r="O151" i="64"/>
  <c r="O91" i="64"/>
  <c r="O15" i="64"/>
  <c r="P280" i="64"/>
  <c r="O219" i="64"/>
  <c r="O140" i="64"/>
  <c r="P266" i="64"/>
  <c r="O158" i="64"/>
  <c r="O165" i="64"/>
  <c r="O32" i="64"/>
  <c r="O153" i="64"/>
  <c r="O143" i="64"/>
  <c r="O139" i="64"/>
  <c r="O147" i="64"/>
  <c r="O26" i="64"/>
  <c r="P286" i="64"/>
  <c r="O149" i="64"/>
  <c r="O97" i="64"/>
  <c r="O23" i="64"/>
  <c r="O34" i="64"/>
  <c r="P274" i="64"/>
  <c r="O215" i="64"/>
  <c r="O222" i="64"/>
  <c r="P282" i="64"/>
  <c r="P264" i="64"/>
  <c r="O203" i="64"/>
  <c r="O229" i="64"/>
  <c r="O142" i="64"/>
  <c r="O87" i="64"/>
  <c r="O21" i="64"/>
  <c r="P288" i="64"/>
  <c r="O208" i="64"/>
  <c r="O77" i="64"/>
  <c r="P272" i="64"/>
  <c r="P290" i="64"/>
  <c r="O226" i="64"/>
  <c r="O217" i="64"/>
  <c r="O31" i="64"/>
  <c r="O160" i="64"/>
  <c r="O155" i="64"/>
  <c r="O152" i="64"/>
  <c r="P277" i="64"/>
  <c r="P283" i="64"/>
  <c r="O85" i="64"/>
  <c r="O28" i="64"/>
  <c r="O213" i="64"/>
  <c r="P268" i="64"/>
  <c r="O41" i="64"/>
  <c r="O162" i="64"/>
  <c r="O38" i="64"/>
  <c r="O159" i="64"/>
  <c r="O83" i="64"/>
  <c r="O84" i="64"/>
  <c r="O145" i="64"/>
  <c r="O163" i="64"/>
  <c r="O90" i="64"/>
  <c r="O27" i="64"/>
  <c r="O223" i="64"/>
  <c r="O216" i="64"/>
  <c r="O76" i="64"/>
  <c r="O37" i="64"/>
  <c r="P271" i="64"/>
  <c r="O19" i="64"/>
  <c r="O33" i="64"/>
  <c r="O78" i="64"/>
  <c r="O154" i="64"/>
  <c r="P279" i="64"/>
  <c r="O39" i="64"/>
  <c r="P284" i="64"/>
  <c r="O144" i="64"/>
  <c r="O221" i="64"/>
  <c r="O96" i="64"/>
  <c r="O227" i="64"/>
  <c r="O30" i="64"/>
  <c r="O18" i="64"/>
  <c r="O212" i="64"/>
  <c r="P267" i="64"/>
  <c r="O218" i="64"/>
  <c r="P273" i="64"/>
  <c r="O24" i="64"/>
  <c r="O209" i="64"/>
  <c r="P278" i="64"/>
  <c r="O220" i="64"/>
  <c r="O207" i="64"/>
  <c r="P265" i="64"/>
  <c r="O40" i="64"/>
  <c r="O88" i="64"/>
  <c r="O16" i="64"/>
  <c r="O228" i="64"/>
  <c r="O204"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885EE214-3DC6-417A-AF56-816A69B9CA7A}">
      <text>
        <r>
          <rPr>
            <sz val="10"/>
            <rFont val="Arial"/>
            <family val="2"/>
          </rPr>
          <t xml:space="preserve">Identifica y entiende los contenidos locales que conforman un texto. </t>
        </r>
      </text>
    </comment>
    <comment ref="K9" authorId="0" shapeId="0" xr:uid="{E58F9EC0-063E-4A71-99C6-8127107177BB}">
      <text>
        <r>
          <rPr>
            <sz val="10"/>
            <rFont val="Arial"/>
            <family val="2"/>
          </rPr>
          <t>Comprende cómo se articulan las partes de un texto para darle un sentido global.</t>
        </r>
      </text>
    </comment>
    <comment ref="L9" authorId="0" shapeId="0" xr:uid="{8280C25A-9C9E-49B0-82F6-C48FC1041030}">
      <text>
        <r>
          <rPr>
            <sz val="10"/>
            <rFont val="Arial"/>
            <family val="2"/>
          </rPr>
          <t>Reflexiona a partir de un texto y evalúa su contenido.</t>
        </r>
      </text>
    </comment>
    <comment ref="S9" authorId="0" shapeId="0" xr:uid="{3B13F41C-C36F-4F3A-9FD6-B5251E89A60D}">
      <text>
        <r>
          <rPr>
            <sz val="10"/>
            <rFont val="Arial"/>
            <family val="2"/>
          </rPr>
          <t xml:space="preserve">Identifica y entiende los contenidos locales que conforman un texto. </t>
        </r>
      </text>
    </comment>
    <comment ref="T9" authorId="0" shapeId="0" xr:uid="{5C031ED8-BDC1-41E3-889B-9A08A8EACB18}">
      <text>
        <r>
          <rPr>
            <sz val="10"/>
            <rFont val="Arial"/>
            <family val="2"/>
          </rPr>
          <t>Comprende cómo se articulan las partes de un texto para darle un sentido global.</t>
        </r>
      </text>
    </comment>
    <comment ref="U9" authorId="0" shapeId="0" xr:uid="{3E28162E-90E3-48AC-B677-AE7EF567A21F}">
      <text>
        <r>
          <rPr>
            <sz val="10"/>
            <rFont val="Arial"/>
            <family val="2"/>
          </rPr>
          <t>Reflexiona a partir de un texto y evalúa su contenido.</t>
        </r>
      </text>
    </comment>
    <comment ref="AB9" authorId="0" shapeId="0" xr:uid="{1AB126F2-3A29-45FA-9889-195179A16C1E}">
      <text>
        <r>
          <rPr>
            <sz val="10"/>
            <rFont val="Arial"/>
            <family val="2"/>
          </rPr>
          <t>Comprende cómo se articulan las partes de un texto para darle un sentido global.</t>
        </r>
      </text>
    </comment>
    <comment ref="AC9" authorId="0" shapeId="0" xr:uid="{9C451770-E53A-45F3-9C3A-82B23A038527}">
      <text>
        <r>
          <rPr>
            <sz val="10"/>
            <rFont val="Arial"/>
            <family val="2"/>
          </rPr>
          <t xml:space="preserve">Identifica y entiende los contenidos locales que conforman un texto. </t>
        </r>
      </text>
    </comment>
    <comment ref="AD9" authorId="0" shapeId="0" xr:uid="{AF29E377-E0A8-482F-877C-396B967BBDEC}">
      <text>
        <r>
          <rPr>
            <sz val="10"/>
            <rFont val="Arial"/>
            <family val="2"/>
          </rPr>
          <t>Reflexiona a partir de un texto y evalúa su contenido.</t>
        </r>
      </text>
    </comment>
    <comment ref="AK9" authorId="0" shapeId="0" xr:uid="{1B4CE652-2328-4061-AB4A-F4BA26301BE3}">
      <text>
        <r>
          <rPr>
            <sz val="10"/>
            <rFont val="Arial"/>
            <family val="2"/>
          </rPr>
          <t>Comprende cómo se articulan las partes de un texto para darle un sentido global.</t>
        </r>
      </text>
    </comment>
    <comment ref="AL9" authorId="0" shapeId="0" xr:uid="{43756A68-CF6F-40F7-9E2B-ACE3085F013B}">
      <text>
        <r>
          <rPr>
            <sz val="10"/>
            <rFont val="Arial"/>
            <family val="2"/>
          </rPr>
          <t xml:space="preserve">Identifica y entiende los contenidos locales que conforman un texto. </t>
        </r>
      </text>
    </comment>
    <comment ref="AM9" authorId="0" shapeId="0" xr:uid="{222AA603-4B7C-4C71-9298-979F3E4C4E7D}">
      <text>
        <r>
          <rPr>
            <sz val="10"/>
            <rFont val="Arial"/>
            <family val="2"/>
          </rPr>
          <t>Reflexiona a partir de un texto y evalúa su contenido.</t>
        </r>
      </text>
    </comment>
    <comment ref="AT9" authorId="0" shapeId="0" xr:uid="{C3B4D163-2805-4C7E-9264-B68B93B97A5D}">
      <text>
        <r>
          <rPr>
            <sz val="10"/>
            <rFont val="Arial"/>
            <family val="2"/>
          </rPr>
          <t>Comprende cómo se articulan las partes de un texto para darle un sentido global.</t>
        </r>
      </text>
    </comment>
    <comment ref="AU9" authorId="0" shapeId="0" xr:uid="{EE405EC8-B4CF-459C-B816-69EE8BC19F8B}">
      <text>
        <r>
          <rPr>
            <sz val="10"/>
            <rFont val="Arial"/>
            <family val="2"/>
          </rPr>
          <t>Reflexiona a partir de un texto y evalúa su contenido.</t>
        </r>
      </text>
    </comment>
    <comment ref="AV9" authorId="0" shapeId="0" xr:uid="{CA2175E5-A724-4013-AEAF-100583A16945}">
      <text>
        <r>
          <rPr>
            <sz val="10"/>
            <rFont val="Arial"/>
            <family val="2"/>
          </rPr>
          <t xml:space="preserve">Identifica y entiende los contenidos locales que conforman un texto.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A0D9C544-5DEE-4175-9778-E73BD5C45C49}">
      <text>
        <r>
          <rPr>
            <sz val="10"/>
            <rFont val="Arial"/>
            <family val="2"/>
          </rPr>
          <t xml:space="preserve">Comprende y transforma la información cuantitativa y esquemática presentada en distintos formatos </t>
        </r>
      </text>
    </comment>
    <comment ref="K9" authorId="0" shapeId="0" xr:uid="{A4AF2657-B6DB-4BE6-BBAC-ED9A4DE71212}">
      <text>
        <r>
          <rPr>
            <sz val="10"/>
            <rFont val="Arial"/>
            <family val="2"/>
          </rPr>
          <t>Valida procedimientos y  estrategias matemáticas utilizadas para dar solución a problemas.</t>
        </r>
      </text>
    </comment>
    <comment ref="L9" authorId="0" shapeId="0" xr:uid="{23674551-B7D8-4898-9FA4-39FA685D8CA9}">
      <text>
        <r>
          <rPr>
            <sz val="10"/>
            <rFont val="Arial"/>
            <family val="2"/>
          </rPr>
          <t>Frente a un problema que involucre información cuantitativa, plantea e implementa estrategias que lleven a soluciones adecuadas.</t>
        </r>
      </text>
    </comment>
    <comment ref="S9" authorId="0" shapeId="0" xr:uid="{D698E70F-F098-447E-AD21-F66D197A8841}">
      <text>
        <r>
          <rPr>
            <sz val="10"/>
            <rFont val="Arial"/>
            <family val="2"/>
          </rPr>
          <t>Valida procedimientos y  estrategias matemáticas utilizadas para dar solución a problemas.</t>
        </r>
      </text>
    </comment>
    <comment ref="T9" authorId="0" shapeId="0" xr:uid="{D6CD127B-0249-4D9C-8F1A-88E76FF26682}">
      <text>
        <r>
          <rPr>
            <sz val="10"/>
            <rFont val="Arial"/>
            <family val="2"/>
          </rPr>
          <t>Frente a un problema que involucre información cuantitativa, plantea e implementa estrategias que lleven a soluciones adecuadas.</t>
        </r>
      </text>
    </comment>
    <comment ref="U9" authorId="0" shapeId="0" xr:uid="{FF31CA5B-3E13-4FBF-8E84-8C89860B10B6}">
      <text>
        <r>
          <rPr>
            <sz val="10"/>
            <rFont val="Arial"/>
            <family val="2"/>
          </rPr>
          <t xml:space="preserve">Comprende y transforma la información cuantitativa y esquemática presentada en distintos formatos </t>
        </r>
      </text>
    </comment>
    <comment ref="AB9" authorId="0" shapeId="0" xr:uid="{0CEE6D1A-C6A8-44FA-A340-7C1C55B31B95}">
      <text>
        <r>
          <rPr>
            <sz val="10"/>
            <rFont val="Arial"/>
            <family val="2"/>
          </rPr>
          <t>Frente a un problema que involucre información cuantitativa, plantea e implementa estrategias que lleven a soluciones adecuadas.</t>
        </r>
      </text>
    </comment>
    <comment ref="AC9" authorId="0" shapeId="0" xr:uid="{38879742-7B56-4BDD-8D63-E906FA41CC71}">
      <text>
        <r>
          <rPr>
            <sz val="10"/>
            <rFont val="Arial"/>
            <family val="2"/>
          </rPr>
          <t xml:space="preserve">Comprende y transforma la información cuantitativa y esquemática presentada en distintos formatos </t>
        </r>
      </text>
    </comment>
    <comment ref="AD9" authorId="0" shapeId="0" xr:uid="{3FEC9532-5AEC-4544-83D0-2334EA087BEA}">
      <text>
        <r>
          <rPr>
            <sz val="10"/>
            <rFont val="Arial"/>
            <family val="2"/>
          </rPr>
          <t>Valida procedimientos y  estrategias matemáticas utilizadas para dar solución a problemas.</t>
        </r>
      </text>
    </comment>
    <comment ref="AK9" authorId="0" shapeId="0" xr:uid="{B48FADC1-ABF0-415A-B265-C2E5BA9EB919}">
      <text>
        <r>
          <rPr>
            <sz val="10"/>
            <rFont val="Arial"/>
            <family val="2"/>
          </rPr>
          <t>Frente a un problema que involucre información cuantitativa, plantea e implementa estrategias que lleven a soluciones adecuadas.</t>
        </r>
      </text>
    </comment>
    <comment ref="AL9" authorId="0" shapeId="0" xr:uid="{F49EF897-6E04-4782-B5EA-306378080B9D}">
      <text>
        <r>
          <rPr>
            <sz val="10"/>
            <rFont val="Arial"/>
            <family val="2"/>
          </rPr>
          <t>Valida procedimientos y  estrategias matemáticas utilizadas para dar solución a problemas.</t>
        </r>
      </text>
    </comment>
    <comment ref="AM9" authorId="0" shapeId="0" xr:uid="{99D90CC7-A88B-4356-AF85-CA768B21543B}">
      <text>
        <r>
          <rPr>
            <sz val="10"/>
            <rFont val="Arial"/>
            <family val="2"/>
          </rPr>
          <t xml:space="preserve">Comprende y transforma la información cuantitativa y esquemática presentada en distintos formatos </t>
        </r>
      </text>
    </comment>
    <comment ref="AT9" authorId="0" shapeId="0" xr:uid="{4134133E-0D8B-4CA8-9007-52990E262D8E}">
      <text>
        <r>
          <rPr>
            <sz val="10"/>
            <rFont val="Arial"/>
            <family val="2"/>
          </rPr>
          <t xml:space="preserve">Comprende y transforma la información cuantitativa y esquemática presentada en distintos formatos </t>
        </r>
      </text>
    </comment>
    <comment ref="AU9" authorId="0" shapeId="0" xr:uid="{65515FF6-E402-46D3-97E2-A2BE5F082AC4}">
      <text>
        <r>
          <rPr>
            <sz val="10"/>
            <rFont val="Arial"/>
            <family val="2"/>
          </rPr>
          <t>Frente a un problema que involucre información cuantitativa, plantea e implementa estrategias que lleven a soluciones adecuadas.</t>
        </r>
      </text>
    </comment>
    <comment ref="AV9" authorId="0" shapeId="0" xr:uid="{DC9C86B0-84E8-49FD-BFE0-B35F4CB57B04}">
      <text>
        <r>
          <rPr>
            <sz val="10"/>
            <rFont val="Arial"/>
            <family val="2"/>
          </rPr>
          <t>Valida procedimientos y  estrategias matemáticas utilizadas para dar solución a problemas.</t>
        </r>
      </text>
    </comment>
    <comment ref="BE9" authorId="0" shapeId="0" xr:uid="{3139B9E4-A07F-4B40-BF0C-BAA2C8728043}">
      <text>
        <r>
          <rPr>
            <sz val="10"/>
            <rFont val="Arial"/>
            <family val="2"/>
          </rPr>
          <t xml:space="preserve">Comprende y transforma la información cuantitativa y esquemática presentada en distintos formatos </t>
        </r>
      </text>
    </comment>
    <comment ref="BF9" authorId="0" shapeId="0" xr:uid="{2254F535-B33A-4F7B-8C02-749E987B23D6}">
      <text>
        <r>
          <rPr>
            <sz val="10"/>
            <rFont val="Arial"/>
            <family val="2"/>
          </rPr>
          <t>Frente a un problema que involucre información cuantitativa, plantea e implementa estrategias que lleven a soluciones adecuadas.</t>
        </r>
      </text>
    </comment>
    <comment ref="BG9" authorId="0" shapeId="0" xr:uid="{E26B9FB8-CBD3-4A85-9C4F-9828D9699641}">
      <text>
        <r>
          <rPr>
            <sz val="10"/>
            <rFont val="Arial"/>
            <family val="2"/>
          </rPr>
          <t>Valida procedimientos y  estrategias matemáticas utilizadas para dar solución a problemas.</t>
        </r>
      </text>
    </comment>
    <comment ref="BS9" authorId="0" shapeId="0" xr:uid="{FF7664C7-1820-4AB2-AB1E-7AB24AC4EA32}">
      <text>
        <r>
          <rPr>
            <sz val="10"/>
            <rFont val="Arial"/>
            <family val="2"/>
          </rPr>
          <t>Frente a un problema que involucre información cuantitativa, plantea e implementa estrategias que lleven a soluciones adecuadas.</t>
        </r>
      </text>
    </comment>
    <comment ref="BT9" authorId="0" shapeId="0" xr:uid="{8784269F-A2AC-4CC1-BE71-C7E540984B1C}">
      <text>
        <r>
          <rPr>
            <sz val="10"/>
            <rFont val="Arial"/>
            <family val="2"/>
          </rPr>
          <t>Valida procedimientos y  estrategias matemáticas utilizadas para dar solución a problemas.</t>
        </r>
      </text>
    </comment>
    <comment ref="BX9" authorId="0" shapeId="0" xr:uid="{773B5F53-FE04-4518-9204-4EB89ECFA5DF}">
      <text>
        <r>
          <rPr>
            <sz val="10"/>
            <rFont val="Arial"/>
            <family val="2"/>
          </rPr>
          <t>Comprende y transforma la información cuantitativa y esquemática presentada en distintos formatos</t>
        </r>
      </text>
    </comment>
    <comment ref="CG9" authorId="0" shapeId="0" xr:uid="{16B56AD0-DC8C-4210-967F-33EE902FEDEA}">
      <text>
        <r>
          <rPr>
            <sz val="10"/>
            <rFont val="Arial"/>
            <family val="2"/>
          </rPr>
          <t>Valida procedimientos y  estrategias matemáticas utilizadas para dar solución a problemas.</t>
        </r>
      </text>
    </comment>
    <comment ref="CH9" authorId="0" shapeId="0" xr:uid="{D6D3552D-1FB8-47D0-A95D-FA027EFB5E25}">
      <text>
        <r>
          <rPr>
            <sz val="10"/>
            <rFont val="Arial"/>
            <family val="2"/>
          </rPr>
          <t>Comprende y transforma la información cuantitativa y esquemática presentada en distintos formatos</t>
        </r>
      </text>
    </comment>
    <comment ref="CI9" authorId="0" shapeId="0" xr:uid="{43D0A002-64EF-4BE6-9B6A-ED57C0546BB6}">
      <text>
        <r>
          <rPr>
            <sz val="10"/>
            <rFont val="Arial"/>
            <family val="2"/>
          </rPr>
          <t>Frente a un problema que involucre información cuantitativa, plantea e implementa estrategias que lleven a soluciones adecuadas.</t>
        </r>
      </text>
    </comment>
    <comment ref="CR9" authorId="0" shapeId="0" xr:uid="{EF24CB50-837A-4228-B8F5-7E8109ACA9D1}">
      <text>
        <r>
          <rPr>
            <sz val="10"/>
            <rFont val="Arial"/>
            <family val="2"/>
          </rPr>
          <t>Valida procedimientos y  estrategias matemáticas utilizadas para dar solución a problemas.</t>
        </r>
      </text>
    </comment>
    <comment ref="CS9" authorId="0" shapeId="0" xr:uid="{7388C469-FFDB-4AD7-9215-45F7561F893C}">
      <text>
        <r>
          <rPr>
            <sz val="10"/>
            <rFont val="Arial"/>
            <family val="2"/>
          </rPr>
          <t>Frente a un problema que involucre información cuantitativa, plantea e implementa estrategias que lleven a soluciones adecuadas.</t>
        </r>
      </text>
    </comment>
    <comment ref="CT9" authorId="0" shapeId="0" xr:uid="{5EDDE287-489B-4727-9992-F3E63B772285}">
      <text>
        <r>
          <rPr>
            <sz val="10"/>
            <rFont val="Arial"/>
            <family val="2"/>
          </rPr>
          <t>Comprende y transforma la información cuantitativa y esquemática presentada en distintos formatos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430EA1BB-7F67-4EFF-9D61-CF6C83BC3474}">
      <text>
        <r>
          <rPr>
            <sz val="10"/>
            <rFont val="Arial"/>
            <family val="2"/>
          </rPr>
          <t>Contextualiza y evalúa usos de fuentes y argumentos.</t>
        </r>
      </text>
    </comment>
    <comment ref="K9" authorId="0" shapeId="0" xr:uid="{AD074940-4D29-4535-A533-A0199491B498}">
      <text>
        <r>
          <rPr>
            <sz val="10"/>
            <rFont val="Arial"/>
            <family val="2"/>
          </rPr>
          <t>Comprende perspectivas de distintos actores y grupos sociales.</t>
        </r>
      </text>
    </comment>
    <comment ref="L9" authorId="0" shapeId="0" xr:uid="{463D5C49-7FAF-45FF-AFF4-2F7C546FE2D2}">
      <text>
        <r>
          <rPr>
            <sz val="10"/>
            <rFont val="Arial"/>
            <family val="2"/>
          </rPr>
          <t>Evalúa usos sociales de las ciencias sociales.</t>
        </r>
      </text>
    </comment>
    <comment ref="M9" authorId="0" shapeId="0" xr:uid="{14BBB7BE-AC94-41DE-9A59-7DD01924F217}">
      <text>
        <r>
          <rPr>
            <sz val="10"/>
            <rFont val="Arial"/>
            <family val="2"/>
          </rPr>
          <t>Comprende que los problemas y sus soluciones involucran distintas dimensiones y reconoce relaciones entre estas.</t>
        </r>
      </text>
    </comment>
    <comment ref="N9" authorId="0" shapeId="0" xr:uid="{850175C9-5F58-4894-A41A-ABE8BC20C734}">
      <text>
        <r>
          <rPr>
            <sz val="10"/>
            <rFont val="Arial"/>
            <family val="2"/>
          </rPr>
          <t>Comprende modelos conceptuales, sus características y contextos de aplicación.</t>
        </r>
      </text>
    </comment>
    <comment ref="O9" authorId="0" shapeId="0" xr:uid="{36DFB875-BDB0-46CC-A8BA-46127CF5030C}">
      <text>
        <r>
          <rPr>
            <sz val="10"/>
            <rFont val="Arial"/>
            <family val="2"/>
          </rPr>
          <t>Comprende dimensiones espaciales y temporales de eventos, problemáticas y prácticas sociales.</t>
        </r>
      </text>
    </comment>
    <comment ref="V9" authorId="0" shapeId="0" xr:uid="{01B3C843-5697-4D34-9EE6-9AF9201DA9B8}">
      <text>
        <r>
          <rPr>
            <sz val="10"/>
            <rFont val="Arial"/>
            <family val="2"/>
          </rPr>
          <t>Contextualiza y evalúa usos de fuentes y argumentos.</t>
        </r>
      </text>
    </comment>
    <comment ref="W9" authorId="0" shapeId="0" xr:uid="{82896830-517D-418A-AE35-98B5A63F940E}">
      <text>
        <r>
          <rPr>
            <sz val="10"/>
            <rFont val="Arial"/>
            <family val="2"/>
          </rPr>
          <t>Comprende perspectivas de distintos actores y grupos sociales.</t>
        </r>
      </text>
    </comment>
    <comment ref="X9" authorId="0" shapeId="0" xr:uid="{D61BDAB5-1491-431F-9565-72997C934102}">
      <text>
        <r>
          <rPr>
            <sz val="10"/>
            <rFont val="Arial"/>
            <family val="2"/>
          </rPr>
          <t>Evalúa usos sociales de las ciencias sociales.</t>
        </r>
      </text>
    </comment>
    <comment ref="Y9" authorId="0" shapeId="0" xr:uid="{6CC98C43-41A8-43E3-82BD-B78E3979DA8A}">
      <text>
        <r>
          <rPr>
            <sz val="10"/>
            <rFont val="Arial"/>
            <family val="2"/>
          </rPr>
          <t>Comprende que los problemas y sus soluciones involucran distintas dimensiones y reconoce relaciones entre estas.</t>
        </r>
      </text>
    </comment>
    <comment ref="Z9" authorId="0" shapeId="0" xr:uid="{60AE737D-6E98-4140-8849-75316B977A5C}">
      <text>
        <r>
          <rPr>
            <sz val="10"/>
            <rFont val="Arial"/>
            <family val="2"/>
          </rPr>
          <t>Comprende modelos conceptuales, sus características y contextos de aplicación.</t>
        </r>
      </text>
    </comment>
    <comment ref="AA9" authorId="0" shapeId="0" xr:uid="{7F3C56B3-3ABB-4AFF-8F99-6368D54E9389}">
      <text>
        <r>
          <rPr>
            <sz val="10"/>
            <rFont val="Arial"/>
            <family val="2"/>
          </rPr>
          <t>Comprende dimensiones espaciales y temporales de eventos, problemáticas y prácticas sociales.</t>
        </r>
      </text>
    </comment>
    <comment ref="AH9" authorId="0" shapeId="0" xr:uid="{9E843A69-3D08-474B-AAE6-C3DE1F8DA834}">
      <text>
        <r>
          <rPr>
            <sz val="10"/>
            <rFont val="Arial"/>
            <family val="2"/>
          </rPr>
          <t>Comprende modelos conceptuales, sus características y contextos de aplicación.</t>
        </r>
      </text>
    </comment>
    <comment ref="AI9" authorId="0" shapeId="0" xr:uid="{FEE60B7F-E6AE-4807-AFF9-452DF9B1C32C}">
      <text>
        <r>
          <rPr>
            <sz val="10"/>
            <rFont val="Arial"/>
            <family val="2"/>
          </rPr>
          <t>Comprende perspectivas de distintos actores y grupos sociales.</t>
        </r>
      </text>
    </comment>
    <comment ref="AJ9" authorId="0" shapeId="0" xr:uid="{60982D75-57C9-4214-9D8F-D22C0AC3E268}">
      <text>
        <r>
          <rPr>
            <sz val="10"/>
            <rFont val="Arial"/>
            <family val="2"/>
          </rPr>
          <t>Comprende que los problemas y sus soluciones involucran distintas dimensiones y reconoce relaciones entre estas.</t>
        </r>
      </text>
    </comment>
    <comment ref="AK9" authorId="0" shapeId="0" xr:uid="{00CE3BDF-BA0D-407F-A61E-F1DAEAF9CDBB}">
      <text>
        <r>
          <rPr>
            <sz val="10"/>
            <rFont val="Arial"/>
            <family val="2"/>
          </rPr>
          <t>Contextualiza y evalúa usos de fuentes y argumentos.</t>
        </r>
      </text>
    </comment>
    <comment ref="AL9" authorId="0" shapeId="0" xr:uid="{45E3EB24-F9B6-4535-AF54-6565A5BE785D}">
      <text>
        <r>
          <rPr>
            <sz val="10"/>
            <rFont val="Arial"/>
            <family val="2"/>
          </rPr>
          <t>Comprende dimensiones espaciales y temporales de eventos, problemáticas y prácticas sociales.</t>
        </r>
      </text>
    </comment>
    <comment ref="AM9" authorId="0" shapeId="0" xr:uid="{83234E66-99CB-4AAC-B6DC-8E1A03B70B69}">
      <text>
        <r>
          <rPr>
            <sz val="10"/>
            <rFont val="Arial"/>
            <family val="2"/>
          </rPr>
          <t>Evalúa usos sociales de las ciencias sociales.</t>
        </r>
      </text>
    </comment>
    <comment ref="AT9" authorId="0" shapeId="0" xr:uid="{5E214D49-802F-4A12-BCF7-5953A7A7C798}">
      <text>
        <r>
          <rPr>
            <sz val="10"/>
            <rFont val="Arial"/>
            <family val="2"/>
          </rPr>
          <t>Evalúa usos sociales de las ciencias sociales.</t>
        </r>
      </text>
    </comment>
    <comment ref="AU9" authorId="0" shapeId="0" xr:uid="{E8AFCBBC-9FE1-48DC-B394-9FF9D7CC51B9}">
      <text>
        <r>
          <rPr>
            <sz val="10"/>
            <rFont val="Arial"/>
            <family val="2"/>
          </rPr>
          <t>Comprende dimensiones espaciales y temporales de eventos, problemáticas y prácticas sociales.</t>
        </r>
      </text>
    </comment>
    <comment ref="AV9" authorId="0" shapeId="0" xr:uid="{0367CFB0-050D-412D-84EB-E3A09A1F871A}">
      <text>
        <r>
          <rPr>
            <sz val="10"/>
            <rFont val="Arial"/>
            <family val="2"/>
          </rPr>
          <t>Comprende modelos conceptuales, sus características y contextos de aplicación.</t>
        </r>
      </text>
    </comment>
    <comment ref="AW9" authorId="0" shapeId="0" xr:uid="{88362284-FC3E-4DA1-A3F7-73D24E4AAA13}">
      <text>
        <r>
          <rPr>
            <sz val="10"/>
            <rFont val="Arial"/>
            <family val="2"/>
          </rPr>
          <t>Comprende que los problemas y sus soluciones involucran distintas dimensiones y reconoce relaciones entre estas.</t>
        </r>
      </text>
    </comment>
    <comment ref="AX9" authorId="0" shapeId="0" xr:uid="{A188D893-68CD-47DD-B82F-640F6FBF657B}">
      <text>
        <r>
          <rPr>
            <sz val="10"/>
            <rFont val="Arial"/>
            <family val="2"/>
          </rPr>
          <t>Contextualiza y evalúa usos de fuentes y argumentos.</t>
        </r>
      </text>
    </comment>
    <comment ref="AY9" authorId="0" shapeId="0" xr:uid="{3023601E-C20E-4EC0-9D20-27BD10C86D6A}">
      <text>
        <r>
          <rPr>
            <sz val="10"/>
            <rFont val="Arial"/>
            <family val="2"/>
          </rPr>
          <t>Comprende perspectivas de distintos actores y grupos sociales.</t>
        </r>
      </text>
    </comment>
    <comment ref="BF9" authorId="0" shapeId="0" xr:uid="{42308766-29E6-4D48-A6CA-805A1262C794}">
      <text>
        <r>
          <rPr>
            <sz val="10"/>
            <rFont val="Arial"/>
            <family val="2"/>
          </rPr>
          <t>Comprende dimensiones espaciales y temporales de eventos, problemáticas y prácticas sociales.</t>
        </r>
      </text>
    </comment>
    <comment ref="BG9" authorId="0" shapeId="0" xr:uid="{2DB9A332-16E2-4A52-9D21-8FEDEDBE0C94}">
      <text>
        <r>
          <rPr>
            <sz val="10"/>
            <rFont val="Arial"/>
            <family val="2"/>
          </rPr>
          <t>Comprende que los problemas y sus soluciones involucran distintas dimensiones y reconoce relaciones entre estas.</t>
        </r>
      </text>
    </comment>
    <comment ref="BH9" authorId="0" shapeId="0" xr:uid="{AFD17CB8-7D5B-42D3-B771-E15615F119DC}">
      <text>
        <r>
          <rPr>
            <sz val="10"/>
            <rFont val="Arial"/>
            <family val="2"/>
          </rPr>
          <t>Contextualiza y evalúa usos de fuentes y argumentos.</t>
        </r>
      </text>
    </comment>
    <comment ref="BI9" authorId="0" shapeId="0" xr:uid="{15504C94-1C6D-438D-8ECA-0C70C709AF5A}">
      <text>
        <r>
          <rPr>
            <sz val="10"/>
            <rFont val="Arial"/>
            <family val="2"/>
          </rPr>
          <t>Evalúa usos sociales de las ciencias sociales.</t>
        </r>
      </text>
    </comment>
    <comment ref="BJ9" authorId="0" shapeId="0" xr:uid="{821EBCCD-0976-459B-A643-FE4412FA9DE7}">
      <text>
        <r>
          <rPr>
            <sz val="10"/>
            <rFont val="Arial"/>
            <family val="2"/>
          </rPr>
          <t>Comprende modelos conceptuales, sus características y contextos de aplicación.</t>
        </r>
      </text>
    </comment>
    <comment ref="BK9" authorId="0" shapeId="0" xr:uid="{ECF9E555-20A8-4434-9FAF-D0957E3E5006}">
      <text>
        <r>
          <rPr>
            <sz val="10"/>
            <rFont val="Arial"/>
            <family val="2"/>
          </rPr>
          <t>Comprende perspectivas de distintos actores y grupos sociales.</t>
        </r>
      </text>
    </comment>
    <comment ref="BT9" authorId="0" shapeId="0" xr:uid="{468A2F3E-A618-44C6-8055-70DC748A2798}">
      <text>
        <r>
          <rPr>
            <sz val="10"/>
            <rFont val="Arial"/>
            <family val="2"/>
          </rPr>
          <t>Evalúa usos sociales de las ciencias sociales.</t>
        </r>
      </text>
    </comment>
    <comment ref="BU9" authorId="0" shapeId="0" xr:uid="{7AA13C58-0552-43D6-993C-E16A4D217561}">
      <text>
        <r>
          <rPr>
            <sz val="10"/>
            <rFont val="Arial"/>
            <family val="2"/>
          </rPr>
          <t>Contextualiza y evalúa usos de fuentes y argumentos.</t>
        </r>
      </text>
    </comment>
    <comment ref="BV9" authorId="0" shapeId="0" xr:uid="{25B3D4D4-21F7-4801-9E40-9B75B3597275}">
      <text>
        <r>
          <rPr>
            <sz val="10"/>
            <rFont val="Arial"/>
            <family val="2"/>
          </rPr>
          <t>Comprende dimensiones espaciales y temporales de eventos, problemáticas y prácticas sociales.</t>
        </r>
      </text>
    </comment>
    <comment ref="BW9" authorId="0" shapeId="0" xr:uid="{B26E2D73-95E5-413C-B85B-A0B608D5F881}">
      <text>
        <r>
          <rPr>
            <sz val="10"/>
            <rFont val="Arial"/>
            <family val="2"/>
          </rPr>
          <t>Comprende modelos conceptuales, sus características y contextos de aplicación.</t>
        </r>
      </text>
    </comment>
    <comment ref="BX9" authorId="0" shapeId="0" xr:uid="{E5C056DA-41D6-44FD-92F6-4EF494760045}">
      <text>
        <r>
          <rPr>
            <sz val="10"/>
            <rFont val="Arial"/>
            <family val="2"/>
          </rPr>
          <t>Comprende que los problemas y sus soluciones involucran distintas dimensiones y reconoce relaciones entre estas.</t>
        </r>
      </text>
    </comment>
    <comment ref="BY9" authorId="0" shapeId="0" xr:uid="{503AAE5F-623C-458F-8F62-F43115EB89B6}">
      <text>
        <r>
          <rPr>
            <sz val="10"/>
            <rFont val="Arial"/>
            <family val="2"/>
          </rPr>
          <t>Comprende perspectivas de distintos actores y grupos sociales.</t>
        </r>
      </text>
    </comment>
    <comment ref="CH9" authorId="0" shapeId="0" xr:uid="{56BAAD90-D19D-4463-BAF0-A9DA82DC99F7}">
      <text>
        <r>
          <rPr>
            <sz val="10"/>
            <rFont val="Arial"/>
            <family val="2"/>
          </rPr>
          <t>Evalúa usos sociales de las ciencias sociales.</t>
        </r>
      </text>
    </comment>
    <comment ref="CI9" authorId="0" shapeId="0" xr:uid="{13E89953-C99B-4BE6-B25C-CA47744C4C88}">
      <text>
        <r>
          <rPr>
            <sz val="10"/>
            <rFont val="Arial"/>
            <family val="2"/>
          </rPr>
          <t>Contextualiza y evalúa usos de fuentes y argumentos.</t>
        </r>
      </text>
    </comment>
    <comment ref="CJ9" authorId="0" shapeId="0" xr:uid="{55F0F1EF-9C51-4AFF-A762-48A86781172B}">
      <text>
        <r>
          <rPr>
            <sz val="10"/>
            <rFont val="Arial"/>
            <family val="2"/>
          </rPr>
          <t>Comprende dimensiones espaciales y temporales de eventos, problemáticas y prácticas sociales.</t>
        </r>
      </text>
    </comment>
    <comment ref="CK9" authorId="0" shapeId="0" xr:uid="{8F3227BE-2CFC-4185-B792-7BCCAAA53750}">
      <text>
        <r>
          <rPr>
            <sz val="10"/>
            <rFont val="Arial"/>
            <family val="2"/>
          </rPr>
          <t>Comprende modelos conceptuales, sus características y contextos de aplicación.</t>
        </r>
      </text>
    </comment>
    <comment ref="CL9" authorId="0" shapeId="0" xr:uid="{50A9A529-3654-4555-9662-8DE5297DCF1C}">
      <text>
        <r>
          <rPr>
            <sz val="10"/>
            <rFont val="Arial"/>
            <family val="2"/>
          </rPr>
          <t>Comprende que los problemas y sus soluciones involucran distintas dimensiones y reconoce relaciones entre estas.</t>
        </r>
      </text>
    </comment>
    <comment ref="CM9" authorId="0" shapeId="0" xr:uid="{DBB60805-225E-428D-938A-98C973FF06DE}">
      <text>
        <r>
          <rPr>
            <sz val="10"/>
            <rFont val="Arial"/>
            <family val="2"/>
          </rPr>
          <t>Comprende perspectivas de distintos actores y grupos sociales.</t>
        </r>
      </text>
    </comment>
    <comment ref="CV9" authorId="0" shapeId="0" xr:uid="{73646B9B-F0B1-4E29-BF29-3F27CD4DEAF4}">
      <text>
        <r>
          <rPr>
            <sz val="10"/>
            <rFont val="Arial"/>
            <family val="2"/>
          </rPr>
          <t>Evalúa usos sociales de las ciencias sociales.</t>
        </r>
      </text>
    </comment>
    <comment ref="CW9" authorId="0" shapeId="0" xr:uid="{A2D28849-EED9-44D9-A498-80F550D46E68}">
      <text>
        <r>
          <rPr>
            <sz val="10"/>
            <rFont val="Arial"/>
            <family val="2"/>
          </rPr>
          <t>Contextualiza y evalúa usos de fuentes y argumentos.</t>
        </r>
      </text>
    </comment>
    <comment ref="CX9" authorId="0" shapeId="0" xr:uid="{4088FA31-D2B7-4AE1-A690-5011C9E39942}">
      <text>
        <r>
          <rPr>
            <sz val="10"/>
            <rFont val="Arial"/>
            <family val="2"/>
          </rPr>
          <t>Comprende dimensiones espaciales y temporales de eventos, problemáticas y prácticas sociales.</t>
        </r>
      </text>
    </comment>
    <comment ref="CY9" authorId="0" shapeId="0" xr:uid="{2DB5851A-768F-4804-8D1D-6BAAEA6D4DC9}">
      <text>
        <r>
          <rPr>
            <sz val="10"/>
            <rFont val="Arial"/>
            <family val="2"/>
          </rPr>
          <t>Comprende modelos conceptuales, sus características y contextos de aplicación.</t>
        </r>
      </text>
    </comment>
    <comment ref="CZ9" authorId="0" shapeId="0" xr:uid="{71F0BE7E-533D-4E99-A2CF-9F4AB951FB7F}">
      <text>
        <r>
          <rPr>
            <sz val="10"/>
            <rFont val="Arial"/>
            <family val="2"/>
          </rPr>
          <t>Comprende que los problemas y sus soluciones involucran distintas dimensiones y reconoce relaciones entre estas.</t>
        </r>
      </text>
    </comment>
    <comment ref="DA9" authorId="0" shapeId="0" xr:uid="{65C7568A-D0D8-4586-A91B-C89098762E06}">
      <text>
        <r>
          <rPr>
            <sz val="10"/>
            <rFont val="Arial"/>
            <family val="2"/>
          </rPr>
          <t>Comprende perspectivas de distintos actores y grupos sociales.</t>
        </r>
      </text>
    </comment>
    <comment ref="DJ9" authorId="0" shapeId="0" xr:uid="{400E4B1B-4D83-45F9-B6DA-8D708C0C8D7A}">
      <text>
        <r>
          <rPr>
            <sz val="10"/>
            <rFont val="Arial"/>
            <family val="2"/>
          </rPr>
          <t>Comprende modelos conceptuales, sus características y contextos de aplicación.</t>
        </r>
      </text>
    </comment>
    <comment ref="DK9" authorId="0" shapeId="0" xr:uid="{FBBFA2DE-3F4D-478F-B07C-91692B7A9576}">
      <text>
        <r>
          <rPr>
            <sz val="10"/>
            <rFont val="Arial"/>
            <family val="2"/>
          </rPr>
          <t>Comprende dimensiones espaciales y temporales de eventos, problemáticas y prácticas sociales.</t>
        </r>
      </text>
    </comment>
    <comment ref="DL9" authorId="0" shapeId="0" xr:uid="{1092D64E-7D19-4DA0-BD9E-BBC095689DCE}">
      <text>
        <r>
          <rPr>
            <sz val="10"/>
            <rFont val="Arial"/>
            <family val="2"/>
          </rPr>
          <t>Contextualiza y evalúa usos de fuentes y argumentos.</t>
        </r>
      </text>
    </comment>
    <comment ref="DM9" authorId="0" shapeId="0" xr:uid="{202AA4AD-F622-48A1-A942-8D0900AA3FF2}">
      <text>
        <r>
          <rPr>
            <sz val="10"/>
            <rFont val="Arial"/>
            <family val="2"/>
          </rPr>
          <t>Comprende perspectivas de distintos actores y grupos sociales.</t>
        </r>
      </text>
    </comment>
    <comment ref="DN9" authorId="0" shapeId="0" xr:uid="{C2887931-3DB9-4CFC-A751-9F2CAD8A6149}">
      <text>
        <r>
          <rPr>
            <sz val="10"/>
            <rFont val="Arial"/>
            <family val="2"/>
          </rPr>
          <t>Evalúa usos sociales de las ciencias sociales.</t>
        </r>
      </text>
    </comment>
    <comment ref="DO9" authorId="0" shapeId="0" xr:uid="{53223ED5-81BE-4F05-BDC3-0DF7646054D7}">
      <text>
        <r>
          <rPr>
            <sz val="10"/>
            <rFont val="Arial"/>
            <family val="2"/>
          </rPr>
          <t>Comprende que los problemas y sus soluciones involucran distintas dimensiones y reconoce relaciones entre estas.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8" authorId="0" shapeId="0" xr:uid="{B430F109-9834-43F7-B76E-703CB4D713D4}">
      <text>
        <r>
          <rPr>
            <sz val="10"/>
            <rFont val="Arial"/>
            <family val="2"/>
          </rPr>
          <t>Modelar fenómenos de la naturaleza basado en el análisis de variables, la relación entre dos o más conceptos del conocimiento científico y de la evidencia derivada de investigaciones científicas. - Procesos vivos</t>
        </r>
      </text>
    </comment>
    <comment ref="K8" authorId="0" shapeId="0" xr:uid="{4418BA58-500E-48C8-9274-7B11DF4F7612}">
      <text>
        <r>
          <rPr>
            <sz val="10"/>
            <rFont val="Arial"/>
            <family val="2"/>
          </rPr>
          <t>Explicar cómo ocurren algunos fenómenos de la naturaleza basado en observaciones, en patrones y  en conceptos propios del conocimiento científico. - Procesos vivos</t>
        </r>
      </text>
    </comment>
    <comment ref="L8" authorId="0" shapeId="0" xr:uid="{8D2C07A5-0F5B-4334-9AC7-770D2B5ABAF7}">
      <text>
        <r>
          <rPr>
            <sz val="10"/>
            <rFont val="Arial"/>
            <family val="2"/>
          </rPr>
          <t>Comprender que a partir de la investigación científica se construyen explicaciones sobre el mundo natural. - Procesos vivos</t>
        </r>
      </text>
    </comment>
    <comment ref="M8" authorId="0" shapeId="0" xr:uid="{3B9B3E58-9899-49D0-9066-C783E3027CEA}">
      <text>
        <r>
          <rPr>
            <sz val="10"/>
            <rFont val="Arial"/>
            <family val="2"/>
          </rPr>
          <t>Derivar conclusiones para algunos fenómenos de la naturaleza basándose en conocimientos científicos y en la evidencia de su propia investigación y de la de otros. - Procesos vivos</t>
        </r>
      </text>
    </comment>
    <comment ref="N8" authorId="0" shapeId="0" xr:uid="{110EA361-316C-419D-977F-071F2FB1F775}">
      <text>
        <r>
          <rPr>
            <sz val="10"/>
            <rFont val="Arial"/>
            <family val="2"/>
          </rPr>
          <t>Observar y relacionar patrones en los datos para evaluar las predicciones. - Procesos vivos</t>
        </r>
      </text>
    </comment>
    <comment ref="O8" authorId="0" shapeId="0" xr:uid="{A638285E-C17B-4240-8590-59288D4A9F6A}">
      <text>
        <r>
          <rPr>
            <sz val="10"/>
            <rFont val="Arial"/>
            <family val="2"/>
          </rPr>
          <t>Utilizar algunas habilidades de pensamiento y de procedimiento para  evaluar predicciones - Procesos vivos</t>
        </r>
      </text>
    </comment>
    <comment ref="P8" authorId="0" shapeId="0" xr:uid="{B986A74D-69A8-409C-A775-9984AD1DA42D}">
      <text>
        <r>
          <rPr>
            <sz val="10"/>
            <rFont val="Arial"/>
            <family val="2"/>
          </rPr>
          <t>Asociar fenómenos naturales con conceptos propios del conocimiento científico. - Procesos vivos</t>
        </r>
      </text>
    </comment>
    <comment ref="Q8" authorId="0" shapeId="0" xr:uid="{A6BC4A42-0EED-40C7-A870-7D953D868BE3}">
      <text>
        <r>
          <rPr>
            <sz val="10"/>
            <rFont val="Arial"/>
            <family val="2"/>
          </rPr>
          <t>Identificar las características  de algunos fenómenos de la naturaleza basado en el análisis de información  y  conceptos propios del conocimiento científico. - Procesos vivos</t>
        </r>
      </text>
    </comment>
    <comment ref="R8" authorId="0" shapeId="0" xr:uid="{79790EEA-7FBB-4AB8-AB91-E9513CFEBFAE}">
      <text>
        <r>
          <rPr>
            <sz val="10"/>
            <rFont val="Arial"/>
            <family val="2"/>
          </rPr>
          <t>Modelar fenómenos de la naturaleza basado en el análisis de variables, la relación entre dos o más conceptos del conocimiento científico y de la evidencia derivada de investigaciones científicas. - Procesos químicos</t>
        </r>
      </text>
    </comment>
    <comment ref="S8" authorId="0" shapeId="0" xr:uid="{5F141F57-DDC5-4418-9CE3-E28CA732F727}">
      <text>
        <r>
          <rPr>
            <sz val="10"/>
            <rFont val="Arial"/>
            <family val="2"/>
          </rPr>
          <t>Explicar cómo ocurren algunos fenómenos de la naturaleza basado en observaciones, en patrones y  en conceptos propios del conocimiento científico. - Procesos químicos</t>
        </r>
      </text>
    </comment>
    <comment ref="T8" authorId="0" shapeId="0" xr:uid="{220A0662-2E24-4208-95FA-52F502B1F967}">
      <text>
        <r>
          <rPr>
            <sz val="10"/>
            <rFont val="Arial"/>
            <family val="2"/>
          </rPr>
          <t>Comprender que a partir de la investigación científica se construyen explicaciones sobre el mundo natural. - Procesos químicos</t>
        </r>
      </text>
    </comment>
    <comment ref="U8" authorId="0" shapeId="0" xr:uid="{498AF6FF-AF63-44E9-9F7C-2DBA604AC4F7}">
      <text>
        <r>
          <rPr>
            <sz val="10"/>
            <rFont val="Arial"/>
            <family val="2"/>
          </rPr>
          <t>Derivar conclusiones para algunos fenómenos de la naturaleza basándose en conocimientos científicos y en la evidencia de su propia investigación y de la de otros. - Procesos químicos</t>
        </r>
      </text>
    </comment>
    <comment ref="V8" authorId="0" shapeId="0" xr:uid="{A5D2DB9C-EF1D-4BB4-8C60-6DE35CF42FE8}">
      <text>
        <r>
          <rPr>
            <sz val="10"/>
            <rFont val="Arial"/>
            <family val="2"/>
          </rPr>
          <t>Observar y relacionar patrones en los datos para evaluar las predicciones. - Procesos químicos</t>
        </r>
      </text>
    </comment>
    <comment ref="W8" authorId="0" shapeId="0" xr:uid="{BB700C7E-5EC4-4646-B9FE-50CA1A89257B}">
      <text>
        <r>
          <rPr>
            <sz val="10"/>
            <rFont val="Arial"/>
            <family val="2"/>
          </rPr>
          <t>Utilizar algunas habilidades de pensamiento y de procedimiento para  evaluar predicciones - Procesos químicos</t>
        </r>
      </text>
    </comment>
    <comment ref="X8" authorId="0" shapeId="0" xr:uid="{56C3C8B8-EC85-41CC-967D-1C25623D642E}">
      <text>
        <r>
          <rPr>
            <sz val="10"/>
            <rFont val="Arial"/>
            <family val="2"/>
          </rPr>
          <t>Asociar fenómenos naturales con conceptos propios del conocimiento científico. - Procesos químicos</t>
        </r>
      </text>
    </comment>
    <comment ref="Y8" authorId="0" shapeId="0" xr:uid="{5589EBE5-C5EC-4360-BB80-9D5618394F7C}">
      <text>
        <r>
          <rPr>
            <sz val="10"/>
            <rFont val="Arial"/>
            <family val="2"/>
          </rPr>
          <t>Identificar las características  de algunos fenómenos de la naturaleza basado en el análisis de información  y  conceptos propios del conocimiento científico. - Procesos químicos</t>
        </r>
      </text>
    </comment>
    <comment ref="Z8" authorId="0" shapeId="0" xr:uid="{B043CDD3-3D98-41BC-9FFA-DFE3FC2CCA45}">
      <text>
        <r>
          <rPr>
            <sz val="10"/>
            <rFont val="Arial"/>
            <family val="2"/>
          </rPr>
          <t>Modelar fenómenos de la naturaleza basado en el análisis de variables, la relación entre dos o más conceptos del conocimiento científico y de la evidencia derivada de investigaciones científicas. - Procesos físicos</t>
        </r>
      </text>
    </comment>
    <comment ref="AA8" authorId="0" shapeId="0" xr:uid="{316888E8-36BE-410A-9286-050EA80F4F84}">
      <text>
        <r>
          <rPr>
            <sz val="10"/>
            <rFont val="Arial"/>
            <family val="2"/>
          </rPr>
          <t>Explicar cómo ocurren algunos fenómenos de la naturaleza basado en observaciones, en patrones y  en conceptos propios del conocimiento científico. - Procesos físicos</t>
        </r>
      </text>
    </comment>
    <comment ref="AB8" authorId="0" shapeId="0" xr:uid="{2C5B31E0-45C6-49FD-9F54-BA5C451C72E9}">
      <text>
        <r>
          <rPr>
            <sz val="10"/>
            <rFont val="Arial"/>
            <family val="2"/>
          </rPr>
          <t>Comprender que a partir de la investigación científica se construyen explicaciones sobre el mundo natural. - Procesos físicos</t>
        </r>
      </text>
    </comment>
    <comment ref="AC8" authorId="0" shapeId="0" xr:uid="{EF9462E8-9889-467A-97EB-F5391EAE0AC2}">
      <text>
        <r>
          <rPr>
            <sz val="10"/>
            <rFont val="Arial"/>
            <family val="2"/>
          </rPr>
          <t>Observar y relacionar patrones en los datos para evaluar las predicciones. - Procesos físicos</t>
        </r>
      </text>
    </comment>
    <comment ref="AD8" authorId="0" shapeId="0" xr:uid="{2685EDE1-5073-406C-8289-067E84D60641}">
      <text>
        <r>
          <rPr>
            <sz val="10"/>
            <rFont val="Arial"/>
            <family val="2"/>
          </rPr>
          <t>Utilizar algunas habilidades de pensamiento y de procedimiento para  evaluar predicciones - Procesos físicos</t>
        </r>
      </text>
    </comment>
    <comment ref="AE8" authorId="0" shapeId="0" xr:uid="{33A6C5FE-F689-4BE3-A9E9-D32DA18F2E6E}">
      <text>
        <r>
          <rPr>
            <sz val="10"/>
            <rFont val="Arial"/>
            <family val="2"/>
          </rPr>
          <t>Asociar fenómenos naturales con conceptos propios del conocimiento científico. - Procesos físicos</t>
        </r>
      </text>
    </comment>
    <comment ref="AF8" authorId="0" shapeId="0" xr:uid="{4D56640F-238E-4124-A527-D0AA488F0DAE}">
      <text>
        <r>
          <rPr>
            <sz val="10"/>
            <rFont val="Arial"/>
            <family val="2"/>
          </rPr>
          <t>Identificar las características  de algunos fenómenos de la naturaleza basado en el análisis de información  y  conceptos propios del conocimiento científico. - Procesos físicos</t>
        </r>
      </text>
    </comment>
    <comment ref="AG8" authorId="0" shapeId="0" xr:uid="{CD1F60FB-1B07-4CD4-90C6-F5BC9E5DAE86}">
      <text>
        <r>
          <rPr>
            <sz val="10"/>
            <rFont val="Arial"/>
            <family val="2"/>
          </rPr>
          <t>Analizar  el potencial del uso de recursos  naturales  o artefactos  y sus efectos sobre el entorno y la salud , así como las posibilidades de desarrollo para las comunidades. - CTS</t>
        </r>
      </text>
    </comment>
    <comment ref="AN8" authorId="0" shapeId="0" xr:uid="{CF5F47ED-A8F2-4555-B0A2-EF3EDF632EB4}">
      <text>
        <r>
          <rPr>
            <sz val="10"/>
            <rFont val="Arial"/>
            <family val="2"/>
          </rPr>
          <t>Modelar fenómenos de la naturaleza basado en el análisis de variables, la relación entre dos o más conceptos del conocimiento científico y de la evidencia derivada de investigaciones científicas. - Procesos vivos</t>
        </r>
      </text>
    </comment>
    <comment ref="AO8" authorId="0" shapeId="0" xr:uid="{142F8891-3E3E-414F-BF75-C2B84EB8CB68}">
      <text>
        <r>
          <rPr>
            <sz val="10"/>
            <rFont val="Arial"/>
            <family val="2"/>
          </rPr>
          <t>Explicar cómo ocurren algunos fenómenos de la naturaleza basado en observaciones, en patrones y  en conceptos propios del conocimiento científico. - Procesos vivos</t>
        </r>
      </text>
    </comment>
    <comment ref="AP8" authorId="0" shapeId="0" xr:uid="{DA974F82-85A0-487E-9732-4CF714CA97C1}">
      <text>
        <r>
          <rPr>
            <sz val="10"/>
            <rFont val="Arial"/>
            <family val="2"/>
          </rPr>
          <t>Comprender que a partir de la investigación científica se construyen explicaciones sobre el mundo natural. - Procesos vivos</t>
        </r>
      </text>
    </comment>
    <comment ref="AQ8" authorId="0" shapeId="0" xr:uid="{2161D722-35FA-4EB8-9B6B-B29A1EBDBF76}">
      <text>
        <r>
          <rPr>
            <sz val="10"/>
            <rFont val="Arial"/>
            <family val="2"/>
          </rPr>
          <t>Derivar conclusiones para algunos fenómenos de la naturaleza basándose en conocimientos científicos y en la evidencia de su propia investigación y de la de otros. - Procesos vivos</t>
        </r>
      </text>
    </comment>
    <comment ref="AR8" authorId="0" shapeId="0" xr:uid="{2362827C-4D98-4604-883D-A9B37727546E}">
      <text>
        <r>
          <rPr>
            <sz val="10"/>
            <rFont val="Arial"/>
            <family val="2"/>
          </rPr>
          <t>Observar y relacionar patrones en los datos para evaluar las predicciones. - Procesos vivos</t>
        </r>
      </text>
    </comment>
    <comment ref="AS8" authorId="0" shapeId="0" xr:uid="{3978562E-CD9B-4B95-AB07-E5DA6A14ECCE}">
      <text>
        <r>
          <rPr>
            <sz val="10"/>
            <rFont val="Arial"/>
            <family val="2"/>
          </rPr>
          <t>Asociar fenómenos naturales con conceptos propios del conocimiento científico. - Procesos vivos</t>
        </r>
      </text>
    </comment>
    <comment ref="AT8" authorId="0" shapeId="0" xr:uid="{AC18A6A4-9408-473F-A3C7-45EF872DF642}">
      <text>
        <r>
          <rPr>
            <sz val="10"/>
            <rFont val="Arial"/>
            <family val="2"/>
          </rPr>
          <t>Identificar las características  de algunos fenómenos de la naturaleza basado en el análisis de información  y  conceptos propios del conocimiento científico. - Procesos vivos</t>
        </r>
      </text>
    </comment>
    <comment ref="AU8" authorId="0" shapeId="0" xr:uid="{C3FC4D17-1F23-4C52-8098-BF315FD82375}">
      <text>
        <r>
          <rPr>
            <sz val="10"/>
            <rFont val="Arial"/>
            <family val="2"/>
          </rPr>
          <t>Modelar fenómenos de la naturaleza basado en el análisis de variables, la relación entre dos o más conceptos del conocimiento científico y de la evidencia derivada de investigaciones científicas. - Procesos químicos</t>
        </r>
      </text>
    </comment>
    <comment ref="AV8" authorId="0" shapeId="0" xr:uid="{28397F07-582F-4243-BFEB-98B0A7DC8559}">
      <text>
        <r>
          <rPr>
            <sz val="10"/>
            <rFont val="Arial"/>
            <family val="2"/>
          </rPr>
          <t>Explicar cómo ocurren algunos fenómenos de la naturaleza basado en observaciones, en patrones y  en conceptos propios del conocimiento científico. - Procesos químicos</t>
        </r>
      </text>
    </comment>
    <comment ref="AW8" authorId="0" shapeId="0" xr:uid="{F7BF5C6D-8E0B-45B0-966C-56204EDD8BD2}">
      <text>
        <r>
          <rPr>
            <sz val="10"/>
            <rFont val="Arial"/>
            <family val="2"/>
          </rPr>
          <t>Comprender que a partir de la investigación científica se construyen explicaciones sobre el mundo natural. - Procesos químicos</t>
        </r>
      </text>
    </comment>
    <comment ref="AX8" authorId="0" shapeId="0" xr:uid="{F3A5FCE0-FF83-4B46-B2DE-B3B3523C8205}">
      <text>
        <r>
          <rPr>
            <sz val="10"/>
            <rFont val="Arial"/>
            <family val="2"/>
          </rPr>
          <t>Derivar conclusiones para algunos fenómenos de la naturaleza basándose en conocimientos científicos y en la evidencia de su propia investigación y de la de otros. - Procesos químicos</t>
        </r>
      </text>
    </comment>
    <comment ref="AY8" authorId="0" shapeId="0" xr:uid="{A9A89553-7015-4D1A-8CDC-70DE91ED1676}">
      <text>
        <r>
          <rPr>
            <sz val="10"/>
            <rFont val="Arial"/>
            <family val="2"/>
          </rPr>
          <t>Observar y relacionar patrones en los datos para evaluar las predicciones. - Procesos químicos</t>
        </r>
      </text>
    </comment>
    <comment ref="AZ8" authorId="0" shapeId="0" xr:uid="{800035CE-0836-41E8-B690-EF5CFB5D0B64}">
      <text>
        <r>
          <rPr>
            <sz val="10"/>
            <rFont val="Arial"/>
            <family val="2"/>
          </rPr>
          <t>Utilizar algunas habilidades de pensamiento y de procedimiento para  evaluar predicciones - Procesos químicos</t>
        </r>
      </text>
    </comment>
    <comment ref="BA8" authorId="0" shapeId="0" xr:uid="{EF9A9B2B-F94C-4636-A319-092382EAB942}">
      <text>
        <r>
          <rPr>
            <sz val="10"/>
            <rFont val="Arial"/>
            <family val="2"/>
          </rPr>
          <t>Asociar fenómenos naturales con conceptos propios del conocimiento científico. - Procesos químicos</t>
        </r>
      </text>
    </comment>
    <comment ref="BB8" authorId="0" shapeId="0" xr:uid="{F98E062F-558F-4746-BD66-06BBB71B8387}">
      <text>
        <r>
          <rPr>
            <sz val="10"/>
            <rFont val="Arial"/>
            <family val="2"/>
          </rPr>
          <t>Identificar las características  de algunos fenómenos de la naturaleza basado en el análisis de información  y  conceptos propios del conocimiento científico. - Procesos químicos</t>
        </r>
      </text>
    </comment>
    <comment ref="BC8" authorId="0" shapeId="0" xr:uid="{19EAF00E-3825-453D-9FC8-2C663B5A9F17}">
      <text>
        <r>
          <rPr>
            <sz val="10"/>
            <rFont val="Arial"/>
            <family val="2"/>
          </rPr>
          <t>Modelar fenómenos de la naturaleza basado en el análisis de variables, la relación entre dos o más conceptos del conocimiento científico y de la evidencia derivada de investigaciones científicas. - Procesos físicos</t>
        </r>
      </text>
    </comment>
    <comment ref="BD8" authorId="0" shapeId="0" xr:uid="{1D3226E3-31DB-41AF-B657-CADA3BDC41E3}">
      <text>
        <r>
          <rPr>
            <sz val="10"/>
            <rFont val="Arial"/>
            <family val="2"/>
          </rPr>
          <t>Explicar cómo ocurren algunos fenómenos de la naturaleza basado en observaciones, en patrones y  en conceptos propios del conocimiento científico. - Procesos físicos</t>
        </r>
      </text>
    </comment>
    <comment ref="BE8" authorId="0" shapeId="0" xr:uid="{633ABEA6-61A9-4E85-99C5-767D5A54E64C}">
      <text>
        <r>
          <rPr>
            <sz val="10"/>
            <rFont val="Arial"/>
            <family val="2"/>
          </rPr>
          <t>Comprender que a partir de la investigación científica se construyen explicaciones sobre el mundo natural. - Procesos físicos</t>
        </r>
      </text>
    </comment>
    <comment ref="BF8" authorId="0" shapeId="0" xr:uid="{9AAF5618-976D-406C-A551-5CC549DD389B}">
      <text>
        <r>
          <rPr>
            <sz val="10"/>
            <rFont val="Arial"/>
            <family val="2"/>
          </rPr>
          <t>Derivar conclusiones para algunos fenómenos de la naturaleza basándose en conocimientos científicos y en la evidencia de su propia investigación y de la de otros. - Procesos físicos</t>
        </r>
      </text>
    </comment>
    <comment ref="BG8" authorId="0" shapeId="0" xr:uid="{7FCB8126-87AB-4773-BA31-205575BC4BAC}">
      <text>
        <r>
          <rPr>
            <sz val="10"/>
            <rFont val="Arial"/>
            <family val="2"/>
          </rPr>
          <t>Observar y relacionar patrones en los datos para evaluar las predicciones. - Procesos físicos</t>
        </r>
      </text>
    </comment>
    <comment ref="BH8" authorId="0" shapeId="0" xr:uid="{2B519BD7-C7D1-4FF1-BDA3-C70E7D0D1216}">
      <text>
        <r>
          <rPr>
            <sz val="10"/>
            <rFont val="Arial"/>
            <family val="2"/>
          </rPr>
          <t>Utilizar algunas habilidades de pensamiento y de procedimiento para  evaluar predicciones - Procesos físicos</t>
        </r>
      </text>
    </comment>
    <comment ref="BI8" authorId="0" shapeId="0" xr:uid="{153BB0B9-E231-452B-856A-9EA32010A9EF}">
      <text>
        <r>
          <rPr>
            <sz val="10"/>
            <rFont val="Arial"/>
            <family val="2"/>
          </rPr>
          <t>Asociar fenómenos naturales con conceptos propios del conocimiento científico. - Procesos físicos</t>
        </r>
      </text>
    </comment>
    <comment ref="BJ8" authorId="0" shapeId="0" xr:uid="{4C621448-FB15-4013-BDDF-E4DE39CB669F}">
      <text>
        <r>
          <rPr>
            <sz val="10"/>
            <rFont val="Arial"/>
            <family val="2"/>
          </rPr>
          <t>Identificar las características  de algunos fenómenos de la naturaleza basado en el análisis de información  y  conceptos propios del conocimiento científico. - Procesos físicos</t>
        </r>
      </text>
    </comment>
    <comment ref="BK8" authorId="0" shapeId="0" xr:uid="{508A311B-53F3-4DC3-8B0D-DAF07B7F1FEF}">
      <text>
        <r>
          <rPr>
            <sz val="10"/>
            <rFont val="Arial"/>
            <family val="2"/>
          </rPr>
          <t>Analizar  el potencial del uso de recursos  naturales  o artefactos  y sus efectos sobre el entorno y la salud , así como las posibilidades de desarrollo para las comunidades. - CTS</t>
        </r>
      </text>
    </comment>
    <comment ref="BL8" authorId="0" shapeId="0" xr:uid="{8EA89ABE-7152-41F6-89FC-AB1AF20286E9}">
      <text>
        <r>
          <rPr>
            <sz val="10"/>
            <rFont val="Arial"/>
            <family val="2"/>
          </rPr>
          <t>Identificar las características  de algunos fenómenos de la naturaleza basado en el análisis de información  y  conceptos propios del conocimiento científico. - CTS</t>
        </r>
      </text>
    </comment>
    <comment ref="BV8" authorId="0" shapeId="0" xr:uid="{FF3CE55E-BF9E-4558-B3C4-C86134CB708A}">
      <text>
        <r>
          <rPr>
            <sz val="10"/>
            <rFont val="Arial"/>
            <family val="2"/>
          </rPr>
          <t>Comprender que a partir de la investigación científica se construyen explicaciones sobre el mundo natural. - Procesos físicos</t>
        </r>
      </text>
    </comment>
    <comment ref="BW8" authorId="0" shapeId="0" xr:uid="{F9B67F40-ABEC-43CF-BB33-F151CC61D29E}">
      <text>
        <r>
          <rPr>
            <sz val="10"/>
            <rFont val="Arial"/>
            <family val="2"/>
          </rPr>
          <t>Identificar las características  de algunos fenómenos de la naturaleza basado en el análisis de información  y  conceptos propios del conocimiento científico. - CTS</t>
        </r>
      </text>
    </comment>
    <comment ref="BX8" authorId="0" shapeId="0" xr:uid="{0E63CDB6-60E6-4DC3-8060-37D06CC7BDCE}">
      <text>
        <r>
          <rPr>
            <sz val="10"/>
            <rFont val="Arial"/>
            <family val="2"/>
          </rPr>
          <t>Observar y relacionar patrones en los datos para evaluar las predicciones. - Procesos vivos</t>
        </r>
      </text>
    </comment>
    <comment ref="BY8" authorId="0" shapeId="0" xr:uid="{B05ACF8C-D4C1-4C5E-9FCE-1AF264D7D8D9}">
      <text>
        <r>
          <rPr>
            <sz val="10"/>
            <rFont val="Arial"/>
            <family val="2"/>
          </rPr>
          <t>Identificar las características  de algunos fenómenos de la naturaleza basado en el análisis de información  y  conceptos propios del conocimiento científico. - Procesos vivos</t>
        </r>
      </text>
    </comment>
    <comment ref="BZ8" authorId="0" shapeId="0" xr:uid="{85266B2C-1512-4E7E-9B16-4F6893B06D01}">
      <text>
        <r>
          <rPr>
            <sz val="10"/>
            <rFont val="Arial"/>
            <family val="2"/>
          </rPr>
          <t>Identificar las características  de algunos fenómenos de la naturaleza basado en el análisis de información  y  conceptos propios del conocimiento científico. - Procesos físicos</t>
        </r>
      </text>
    </comment>
    <comment ref="CA8" authorId="0" shapeId="0" xr:uid="{69C16BE4-C812-4E87-B672-C0F8324EDC51}">
      <text>
        <r>
          <rPr>
            <sz val="10"/>
            <rFont val="Arial"/>
            <family val="2"/>
          </rPr>
          <t>Modelar fenómenos de la naturaleza basado en el análisis de variables, la relación entre dos o más conceptos del conocimiento científico y de la evidencia derivada de investigaciones científicas. - Procesos vivos</t>
        </r>
      </text>
    </comment>
    <comment ref="CB8" authorId="0" shapeId="0" xr:uid="{BE0A38BC-973D-4694-94F6-6C386D4CE9CD}">
      <text>
        <r>
          <rPr>
            <sz val="10"/>
            <rFont val="Arial"/>
            <family val="2"/>
          </rPr>
          <t>Derivar conclusiones para algunos fenómenos de la naturaleza basándose en conocimientos científicos y en la evidencia de su propia investigación y de la de otros. - Procesos químicos</t>
        </r>
      </text>
    </comment>
    <comment ref="CC8" authorId="0" shapeId="0" xr:uid="{FFB21307-2778-4EA8-909A-67E408691477}">
      <text>
        <r>
          <rPr>
            <sz val="10"/>
            <rFont val="Arial"/>
            <family val="2"/>
          </rPr>
          <t>Observar y relacionar patrones en los datos para evaluar las predicciones. - Procesos químicos</t>
        </r>
      </text>
    </comment>
    <comment ref="CD8" authorId="0" shapeId="0" xr:uid="{19FC02A4-3685-486D-BC50-0081F40C13BD}">
      <text>
        <r>
          <rPr>
            <sz val="10"/>
            <rFont val="Arial"/>
            <family val="2"/>
          </rPr>
          <t>Analizar  el potencial del uso de recursos  naturales  o artefactos  y sus efectos sobre el entorno y la salud , así como las posibilidades de desarrollo para las comunidades. - CTS</t>
        </r>
      </text>
    </comment>
    <comment ref="CE8" authorId="0" shapeId="0" xr:uid="{2C7C5367-0186-41D6-8145-9E0AD32F5B33}">
      <text>
        <r>
          <rPr>
            <sz val="10"/>
            <rFont val="Arial"/>
            <family val="2"/>
          </rPr>
          <t>Comprender que a partir de la investigación científica se construyen explicaciones sobre el mundo natural. - Procesos químicos</t>
        </r>
      </text>
    </comment>
    <comment ref="CF8" authorId="0" shapeId="0" xr:uid="{E5920FC1-03CC-4A95-8234-B92D7BF8BF2B}">
      <text>
        <r>
          <rPr>
            <sz val="10"/>
            <rFont val="Arial"/>
            <family val="2"/>
          </rPr>
          <t>Utilizar algunas habilidades de pensamiento y de procedimiento para  evaluar predicciones - Procesos químicos</t>
        </r>
      </text>
    </comment>
    <comment ref="CG8" authorId="0" shapeId="0" xr:uid="{C8E28F4A-99EC-453B-92A9-5439D67C59CD}">
      <text>
        <r>
          <rPr>
            <sz val="10"/>
            <rFont val="Arial"/>
            <family val="2"/>
          </rPr>
          <t>Observar y relacionar patrones en los datos para evaluar las predicciones. - Procesos físicos</t>
        </r>
      </text>
    </comment>
    <comment ref="CH8" authorId="0" shapeId="0" xr:uid="{6844556A-FDA4-4053-BB98-7946A18EC622}">
      <text>
        <r>
          <rPr>
            <sz val="10"/>
            <rFont val="Arial"/>
            <family val="2"/>
          </rPr>
          <t>Asociar fenómenos naturales con conceptos propios del conocimiento científico. - Procesos vivos</t>
        </r>
      </text>
    </comment>
    <comment ref="CI8" authorId="0" shapeId="0" xr:uid="{FDEFE8CD-E2AF-4C31-B8C0-1AEEC750DA4D}">
      <text>
        <r>
          <rPr>
            <sz val="10"/>
            <rFont val="Arial"/>
            <family val="2"/>
          </rPr>
          <t>Explicar cómo ocurren algunos fenómenos de la naturaleza basado en observaciones, en patrones y  en conceptos propios del conocimiento científico. - Procesos físicos</t>
        </r>
      </text>
    </comment>
    <comment ref="CJ8" authorId="0" shapeId="0" xr:uid="{34D9136A-4E37-44B3-99C5-3CE7382C461C}">
      <text>
        <r>
          <rPr>
            <sz val="10"/>
            <rFont val="Arial"/>
            <family val="2"/>
          </rPr>
          <t>Derivar conclusiones para algunos fenómenos de la naturaleza basándose en conocimientos científicos y en la evidencia de su propia investigación y de la de otros. - Procesos físicos</t>
        </r>
      </text>
    </comment>
    <comment ref="CK8" authorId="0" shapeId="0" xr:uid="{82E0658B-B695-4ACE-B329-7016D3F8DCF1}">
      <text>
        <r>
          <rPr>
            <sz val="10"/>
            <rFont val="Arial"/>
            <family val="2"/>
          </rPr>
          <t>Utilizar algunas habilidades de pensamiento y de procedimiento para  evaluar predicciones - Procesos físicos</t>
        </r>
      </text>
    </comment>
    <comment ref="CL8" authorId="0" shapeId="0" xr:uid="{ECF90A28-9A52-4146-8BDE-62A00A8FFA4F}">
      <text>
        <r>
          <rPr>
            <sz val="10"/>
            <rFont val="Arial"/>
            <family val="2"/>
          </rPr>
          <t>Derivar conclusiones para algunos fenómenos de la naturaleza basándose en conocimientos científicos y en la evidencia de su propia investigación y de la de otros. - Procesos vivos</t>
        </r>
      </text>
    </comment>
    <comment ref="CM8" authorId="0" shapeId="0" xr:uid="{74B45849-4393-4A64-9EAC-79FCB181EE7D}">
      <text>
        <r>
          <rPr>
            <sz val="10"/>
            <rFont val="Arial"/>
            <family val="2"/>
          </rPr>
          <t>Utilizar algunas habilidades de pensamiento y de procedimiento para  evaluar predicciones - Procesos vivos</t>
        </r>
      </text>
    </comment>
    <comment ref="CN8" authorId="0" shapeId="0" xr:uid="{E98A70B8-0E4C-4F82-B796-31EC31AACAB5}">
      <text>
        <r>
          <rPr>
            <sz val="10"/>
            <rFont val="Arial"/>
            <family val="2"/>
          </rPr>
          <t>Asociar fenómenos naturales con conceptos propios del conocimiento científico. - Procesos químicos</t>
        </r>
      </text>
    </comment>
    <comment ref="CO8" authorId="0" shapeId="0" xr:uid="{CEA232B5-23FC-4279-ACB0-02AB45AA4B4B}">
      <text>
        <r>
          <rPr>
            <sz val="10"/>
            <rFont val="Arial"/>
            <family val="2"/>
          </rPr>
          <t>Identificar las características  de algunos fenómenos de la naturaleza basado en el análisis de información  y  conceptos propios del conocimiento científico. - Procesos químicos</t>
        </r>
      </text>
    </comment>
    <comment ref="CP8" authorId="0" shapeId="0" xr:uid="{0418F270-724E-46C6-AA94-98F1E701023D}">
      <text>
        <r>
          <rPr>
            <sz val="10"/>
            <rFont val="Arial"/>
            <family val="2"/>
          </rPr>
          <t>Explicar cómo ocurren algunos fenómenos de la naturaleza basado en observaciones, en patrones y  en conceptos propios del conocimiento científico. - Procesos vivos</t>
        </r>
      </text>
    </comment>
    <comment ref="CQ8" authorId="0" shapeId="0" xr:uid="{D8D6F4BC-1301-4B9C-AFD2-5A943CCDD824}">
      <text>
        <r>
          <rPr>
            <sz val="10"/>
            <rFont val="Arial"/>
            <family val="2"/>
          </rPr>
          <t>Explicar cómo ocurren algunos fenómenos de la naturaleza basado en observaciones, en patrones y  en conceptos propios del conocimiento científico. - Procesos químicos</t>
        </r>
      </text>
    </comment>
    <comment ref="CR8" authorId="0" shapeId="0" xr:uid="{154B280B-2584-4449-A6B5-378EFA852869}">
      <text>
        <r>
          <rPr>
            <sz val="10"/>
            <rFont val="Arial"/>
            <family val="2"/>
          </rPr>
          <t>Modelar fenómenos de la naturaleza basado en el análisis de variables, la relación entre dos o más conceptos del conocimiento científico y de la evidencia derivada de investigaciones científicas. - Procesos físicos</t>
        </r>
      </text>
    </comment>
    <comment ref="CY8" authorId="0" shapeId="0" xr:uid="{C815FE5E-0323-494C-AA95-6AC9584C592C}">
      <text>
        <r>
          <rPr>
            <sz val="10"/>
            <rFont val="Arial"/>
            <family val="2"/>
          </rPr>
          <t>Identificar las características  de algunos fenómenos de la naturaleza basado en el análisis de información  y  conceptos propios del conocimiento científico. - Procesos físicos</t>
        </r>
      </text>
    </comment>
    <comment ref="CZ8" authorId="0" shapeId="0" xr:uid="{864B0B03-EA32-4F61-8E80-5B3FFE0FF5C7}">
      <text>
        <r>
          <rPr>
            <sz val="10"/>
            <rFont val="Arial"/>
            <family val="2"/>
          </rPr>
          <t>Observar y relacionar patrones en los datos para evaluar las predicciones. - Procesos vivos</t>
        </r>
      </text>
    </comment>
    <comment ref="DA8" authorId="0" shapeId="0" xr:uid="{DD682CFA-9973-4BE7-B871-55F61CCC67AD}">
      <text>
        <r>
          <rPr>
            <sz val="10"/>
            <rFont val="Arial"/>
            <family val="2"/>
          </rPr>
          <t>Asociar fenómenos naturales con conceptos propios del conocimiento científico. - Procesos vivos</t>
        </r>
      </text>
    </comment>
    <comment ref="DB8" authorId="0" shapeId="0" xr:uid="{89370E73-C335-47B3-BA13-F93FEE6DF047}">
      <text>
        <r>
          <rPr>
            <sz val="10"/>
            <rFont val="Arial"/>
            <family val="2"/>
          </rPr>
          <t>Derivar conclusiones para algunos fenómenos de la naturaleza basándose en conocimientos científicos y en la evidencia de su propia investigación y de la de otros. - Procesos químicos</t>
        </r>
      </text>
    </comment>
    <comment ref="DC8" authorId="0" shapeId="0" xr:uid="{6B466012-46DF-46B5-8484-66E5BD59694D}">
      <text>
        <r>
          <rPr>
            <sz val="10"/>
            <rFont val="Arial"/>
            <family val="2"/>
          </rPr>
          <t>Utilizar algunas habilidades de pensamiento y de procedimiento para  evaluar predicciones - Procesos físicos</t>
        </r>
      </text>
    </comment>
    <comment ref="DD8" authorId="0" shapeId="0" xr:uid="{17D6BD41-F3AB-4BDF-A33C-EEB2885B0A52}">
      <text>
        <r>
          <rPr>
            <sz val="10"/>
            <rFont val="Arial"/>
            <family val="2"/>
          </rPr>
          <t>Asociar fenómenos naturales con conceptos propios del conocimiento científico. - Procesos físicos</t>
        </r>
      </text>
    </comment>
    <comment ref="DE8" authorId="0" shapeId="0" xr:uid="{E88BA17C-9777-436A-83D3-399B57B2B91D}">
      <text>
        <r>
          <rPr>
            <sz val="10"/>
            <rFont val="Arial"/>
            <family val="2"/>
          </rPr>
          <t>Comprender que a partir de la investigación científica se construyen explicaciones sobre el mundo natural. - Procesos vivos</t>
        </r>
      </text>
    </comment>
    <comment ref="DF8" authorId="0" shapeId="0" xr:uid="{FEDFCB0F-ACFB-4ADF-9710-F3BE76CB3C39}">
      <text>
        <r>
          <rPr>
            <sz val="10"/>
            <rFont val="Arial"/>
            <family val="2"/>
          </rPr>
          <t>Modelar fenómenos de la naturaleza basado en el análisis de variables, la relación entre dos o más conceptos del conocimiento científico y de la evidencia derivada de investigaciones científicas. - Procesos físicos</t>
        </r>
      </text>
    </comment>
    <comment ref="DG8" authorId="0" shapeId="0" xr:uid="{08D9D2CF-8566-451C-8416-C0F6E365837F}">
      <text>
        <r>
          <rPr>
            <sz val="10"/>
            <rFont val="Arial"/>
            <family val="2"/>
          </rPr>
          <t>Observar y relacionar patrones en los datos para evaluar las predicciones. - Procesos físicos</t>
        </r>
      </text>
    </comment>
    <comment ref="DH8" authorId="0" shapeId="0" xr:uid="{E61A9326-9380-497C-BF98-3A7A8182683F}">
      <text>
        <r>
          <rPr>
            <sz val="10"/>
            <rFont val="Arial"/>
            <family val="2"/>
          </rPr>
          <t>Identificar las características  de algunos fenómenos de la naturaleza basado en el análisis de información  y  conceptos propios del conocimiento científico. - Procesos vivos</t>
        </r>
      </text>
    </comment>
    <comment ref="DI8" authorId="0" shapeId="0" xr:uid="{3273AC59-7D17-4B86-942E-670D307CB2CA}">
      <text>
        <r>
          <rPr>
            <sz val="10"/>
            <rFont val="Arial"/>
            <family val="2"/>
          </rPr>
          <t>Observar y relacionar patrones en los datos para evaluar las predicciones. - Procesos químicos</t>
        </r>
      </text>
    </comment>
    <comment ref="DJ8" authorId="0" shapeId="0" xr:uid="{64C2F8EE-92A7-40EE-A758-A4C12E445A9D}">
      <text>
        <r>
          <rPr>
            <sz val="10"/>
            <rFont val="Arial"/>
            <family val="2"/>
          </rPr>
          <t>Asociar fenómenos naturales con conceptos propios del conocimiento científico. - Procesos químicos</t>
        </r>
      </text>
    </comment>
    <comment ref="DK8" authorId="0" shapeId="0" xr:uid="{2C5814B6-3963-4E08-8CF9-E9923306E2AC}">
      <text>
        <r>
          <rPr>
            <sz val="10"/>
            <rFont val="Arial"/>
            <family val="2"/>
          </rPr>
          <t>Derivar conclusiones para algunos fenómenos de la naturaleza basándose en conocimientos científicos y en la evidencia de su propia investigación y de la de otros. - Procesos vivos</t>
        </r>
      </text>
    </comment>
    <comment ref="DL8" authorId="0" shapeId="0" xr:uid="{350E8FC6-2874-4F39-BBCB-DFD3C5C688B7}">
      <text>
        <r>
          <rPr>
            <sz val="10"/>
            <rFont val="Arial"/>
            <family val="2"/>
          </rPr>
          <t>Comprender que a partir de la investigación científica se construyen explicaciones sobre el mundo natural. - Procesos físicos</t>
        </r>
      </text>
    </comment>
    <comment ref="DM8" authorId="0" shapeId="0" xr:uid="{9D62161A-0470-4881-BAEA-FCE4FAD48FF7}">
      <text>
        <r>
          <rPr>
            <sz val="10"/>
            <rFont val="Arial"/>
            <family val="2"/>
          </rPr>
          <t>Modelar fenómenos de la naturaleza basado en el análisis de variables, la relación entre dos o más conceptos del conocimiento científico y de la evidencia derivada de investigaciones científicas. - Procesos vivos</t>
        </r>
      </text>
    </comment>
    <comment ref="DN8" authorId="0" shapeId="0" xr:uid="{24B8818C-C96F-43D9-B3B7-80AB6E95A77A}">
      <text>
        <r>
          <rPr>
            <sz val="10"/>
            <rFont val="Arial"/>
            <family val="2"/>
          </rPr>
          <t>Explicar cómo ocurren algunos fenómenos de la naturaleza basado en observaciones, en patrones y  en conceptos propios del conocimiento científico. - Procesos vivos</t>
        </r>
      </text>
    </comment>
    <comment ref="DO8" authorId="0" shapeId="0" xr:uid="{D89D6496-3C93-4AB6-80D8-1544BBE431CD}">
      <text>
        <r>
          <rPr>
            <sz val="10"/>
            <rFont val="Arial"/>
            <family val="2"/>
          </rPr>
          <t>Comprender que a partir de la investigación científica se construyen explicaciones sobre el mundo natural. - Procesos químicos</t>
        </r>
      </text>
    </comment>
    <comment ref="DP8" authorId="0" shapeId="0" xr:uid="{7CC395D5-1516-4F55-AFD2-00A18589AA67}">
      <text>
        <r>
          <rPr>
            <sz val="10"/>
            <rFont val="Arial"/>
            <family val="2"/>
          </rPr>
          <t>Analizar  el potencial del uso de recursos  naturales  o artefactos  y sus efectos sobre el entorno y la salud , así como las posibilidades de desarrollo para las comunidades. - CTS</t>
        </r>
      </text>
    </comment>
    <comment ref="DQ8" authorId="0" shapeId="0" xr:uid="{2A97E2F6-BBD3-4666-AAA5-42F9901541BB}">
      <text>
        <r>
          <rPr>
            <sz val="10"/>
            <rFont val="Arial"/>
            <family val="2"/>
          </rPr>
          <t>Explicar cómo ocurren algunos fenómenos de la naturaleza basado en observaciones, en patrones y  en conceptos propios del conocimiento científico. - Procesos químicos</t>
        </r>
      </text>
    </comment>
    <comment ref="DR8" authorId="0" shapeId="0" xr:uid="{82661972-3111-4E8C-85AE-81FE4C603BEE}">
      <text>
        <r>
          <rPr>
            <sz val="10"/>
            <rFont val="Arial"/>
            <family val="2"/>
          </rPr>
          <t>Utilizar algunas habilidades de pensamiento y de procedimiento para  evaluar predicciones - Procesos químicos</t>
        </r>
      </text>
    </comment>
    <comment ref="DS8" authorId="0" shapeId="0" xr:uid="{DDF4065C-5219-454D-A3BE-C80F8F644B77}">
      <text>
        <r>
          <rPr>
            <sz val="10"/>
            <rFont val="Arial"/>
            <family val="2"/>
          </rPr>
          <t>Identificar las características  de algunos fenómenos de la naturaleza basado en el análisis de información  y  conceptos propios del conocimiento científico. - Procesos químicos</t>
        </r>
      </text>
    </comment>
    <comment ref="DT8" authorId="0" shapeId="0" xr:uid="{FB78DF85-64C2-426B-BF50-3727622C6763}">
      <text>
        <r>
          <rPr>
            <sz val="10"/>
            <rFont val="Arial"/>
            <family val="2"/>
          </rPr>
          <t>Explicar cómo ocurren algunos fenómenos de la naturaleza basado en observaciones, en patrones y  en conceptos propios del conocimiento científico. - Procesos físicos</t>
        </r>
      </text>
    </comment>
    <comment ref="DU8" authorId="0" shapeId="0" xr:uid="{7396572B-5A73-450C-B09A-28B1482BF127}">
      <text>
        <r>
          <rPr>
            <sz val="10"/>
            <rFont val="Arial"/>
            <family val="2"/>
          </rPr>
          <t>Utilizar algunas habilidades de pensamiento y de procedimiento para  evaluar predicciones - Procesos vivos</t>
        </r>
      </text>
    </comment>
    <comment ref="DV8" authorId="0" shapeId="0" xr:uid="{9704B3B9-79E7-437E-B67A-6982677754A6}">
      <text>
        <r>
          <rPr>
            <sz val="10"/>
            <rFont val="Arial"/>
            <family val="2"/>
          </rPr>
          <t>Identificar las características  de algunos fenómenos de la naturaleza basado en el análisis de información  y  conceptos propios del conocimiento científico. - CTS</t>
        </r>
      </text>
    </comment>
    <comment ref="DW8" authorId="0" shapeId="0" xr:uid="{029F049E-D9E7-4240-AE39-D3B45F96AEFD}">
      <text>
        <r>
          <rPr>
            <sz val="10"/>
            <rFont val="Arial"/>
            <family val="2"/>
          </rPr>
          <t>Derivar conclusiones para algunos fenómenos de la naturaleza basándose en conocimientos científicos y en la evidencia de su propia investigación y de la de otros. - Procesos físicos</t>
        </r>
      </text>
    </comment>
    <comment ref="EH8" authorId="0" shapeId="0" xr:uid="{DA87FA04-82D3-442F-96BC-90EBBAFB98C7}">
      <text>
        <r>
          <rPr>
            <sz val="10"/>
            <rFont val="Arial"/>
            <family val="2"/>
          </rPr>
          <t>Observar y relacionar patrones en los datos para evaluar las predicciones. - Procesos físicos</t>
        </r>
      </text>
    </comment>
    <comment ref="EI8" authorId="0" shapeId="0" xr:uid="{8275B0CE-5B82-4B90-A3AC-2D0834660E5F}">
      <text>
        <r>
          <rPr>
            <sz val="10"/>
            <rFont val="Arial"/>
            <family val="2"/>
          </rPr>
          <t>Identificar las características  de algunos fenómenos de la naturaleza basado en el análisis de información  y  conceptos propios del conocimiento científico. - CTS</t>
        </r>
      </text>
    </comment>
    <comment ref="EJ8" authorId="0" shapeId="0" xr:uid="{59EC6E3F-C6BB-423E-ABD6-5737B47D683D}">
      <text>
        <r>
          <rPr>
            <sz val="10"/>
            <rFont val="Arial"/>
            <family val="2"/>
          </rPr>
          <t>Identificar las características  de algunos fenómenos de la naturaleza basado en el análisis de información  y  conceptos propios del conocimiento científico. - Procesos vivos</t>
        </r>
      </text>
    </comment>
    <comment ref="EK8" authorId="0" shapeId="0" xr:uid="{836DFAD6-E5A1-4E8A-9FB6-BE946C2C26C0}">
      <text>
        <r>
          <rPr>
            <sz val="10"/>
            <rFont val="Arial"/>
            <family val="2"/>
          </rPr>
          <t>Asociar fenómenos naturales con conceptos propios del conocimiento científico. - Procesos físicos</t>
        </r>
      </text>
    </comment>
    <comment ref="EL8" authorId="0" shapeId="0" xr:uid="{9BE50FBC-2C42-4BAE-AD92-9489A869A545}">
      <text>
        <r>
          <rPr>
            <sz val="10"/>
            <rFont val="Arial"/>
            <family val="2"/>
          </rPr>
          <t>Observar y relacionar patrones en los datos para evaluar las predicciones. - Procesos vivos</t>
        </r>
      </text>
    </comment>
    <comment ref="EM8" authorId="0" shapeId="0" xr:uid="{E6AEC499-C903-48E0-AB9C-C5F459A64C30}">
      <text>
        <r>
          <rPr>
            <sz val="10"/>
            <rFont val="Arial"/>
            <family val="2"/>
          </rPr>
          <t>Observar y relacionar patrones en los datos para evaluar las predicciones. - Procesos químicos</t>
        </r>
      </text>
    </comment>
    <comment ref="EN8" authorId="0" shapeId="0" xr:uid="{6B79A796-C37F-4E6B-895F-0CA1C17B0DBE}">
      <text>
        <r>
          <rPr>
            <sz val="10"/>
            <rFont val="Arial"/>
            <family val="2"/>
          </rPr>
          <t>Asociar fenómenos naturales con conceptos propios del conocimiento científico. - Procesos químicos</t>
        </r>
      </text>
    </comment>
    <comment ref="EO8" authorId="0" shapeId="0" xr:uid="{167B0904-349B-45ED-9089-96454A4F2BFD}">
      <text>
        <r>
          <rPr>
            <sz val="10"/>
            <rFont val="Arial"/>
            <family val="2"/>
          </rPr>
          <t>Identificar las características  de algunos fenómenos de la naturaleza basado en el análisis de información  y  conceptos propios del conocimiento científico. - Procesos físicos</t>
        </r>
      </text>
    </comment>
    <comment ref="EP8" authorId="0" shapeId="0" xr:uid="{E0FE23F4-9F7D-49C2-BB8D-BBA83B7692A8}">
      <text>
        <r>
          <rPr>
            <sz val="10"/>
            <rFont val="Arial"/>
            <family val="2"/>
          </rPr>
          <t>Derivar conclusiones para algunos fenómenos de la naturaleza basándose en conocimientos científicos y en la evidencia de su propia investigación y de la de otros. - Procesos vivos</t>
        </r>
      </text>
    </comment>
    <comment ref="EQ8" authorId="0" shapeId="0" xr:uid="{DD6B96BD-98A4-403C-BFDE-21EAD4F793B4}">
      <text>
        <r>
          <rPr>
            <sz val="10"/>
            <rFont val="Arial"/>
            <family val="2"/>
          </rPr>
          <t>Comprender que a partir de la investigación científica se construyen explicaciones sobre el mundo natural. - Procesos químicos</t>
        </r>
      </text>
    </comment>
    <comment ref="ER8" authorId="0" shapeId="0" xr:uid="{A143F385-1C61-4CA5-9C90-AE93116AC777}">
      <text>
        <r>
          <rPr>
            <sz val="10"/>
            <rFont val="Arial"/>
            <family val="2"/>
          </rPr>
          <t>Utilizar algunas habilidades de pensamiento y de procedimiento para  evaluar predicciones - Procesos físicos</t>
        </r>
      </text>
    </comment>
    <comment ref="ES8" authorId="0" shapeId="0" xr:uid="{822308DA-F468-487A-919A-01D613209027}">
      <text>
        <r>
          <rPr>
            <sz val="10"/>
            <rFont val="Arial"/>
            <family val="2"/>
          </rPr>
          <t>Comprender que a partir de la investigación científica se construyen explicaciones sobre el mundo natural. - Procesos vivos</t>
        </r>
      </text>
    </comment>
    <comment ref="ET8" authorId="0" shapeId="0" xr:uid="{E87ACFDA-4FD6-4D7A-97E4-8C7BB4F9B7E2}">
      <text>
        <r>
          <rPr>
            <sz val="10"/>
            <rFont val="Arial"/>
            <family val="2"/>
          </rPr>
          <t>Derivar conclusiones para algunos fenómenos de la naturaleza basándose en conocimientos científicos y en la evidencia de su propia investigación y de la de otros. - Procesos químicos</t>
        </r>
      </text>
    </comment>
    <comment ref="EU8" authorId="0" shapeId="0" xr:uid="{8D23203A-62F2-4B8D-8CE1-138189976177}">
      <text>
        <r>
          <rPr>
            <sz val="10"/>
            <rFont val="Arial"/>
            <family val="2"/>
          </rPr>
          <t>Explicar cómo ocurren algunos fenómenos de la naturaleza basado en observaciones, en patrones y  en conceptos propios del conocimiento científico. - Procesos físicos</t>
        </r>
      </text>
    </comment>
    <comment ref="EV8" authorId="0" shapeId="0" xr:uid="{8308612D-05B0-4DDD-B898-AB39D944254C}">
      <text>
        <r>
          <rPr>
            <sz val="10"/>
            <rFont val="Arial"/>
            <family val="2"/>
          </rPr>
          <t>Derivar conclusiones para algunos fenómenos de la naturaleza basándose en conocimientos científicos y en la evidencia de su propia investigación y de la de otros. - Procesos físicos</t>
        </r>
      </text>
    </comment>
    <comment ref="EW8" authorId="0" shapeId="0" xr:uid="{E7A976DD-94B0-490F-A649-79F53E81E032}">
      <text>
        <r>
          <rPr>
            <sz val="10"/>
            <rFont val="Arial"/>
            <family val="2"/>
          </rPr>
          <t>Analizar  el potencial del uso de recursos  naturales  o artefactos  y sus efectos sobre el entorno y la salud , así como las posibilidades de desarrollo para las comunidades. - CTS</t>
        </r>
      </text>
    </comment>
    <comment ref="EX8" authorId="0" shapeId="0" xr:uid="{A133EDB8-9A18-4E6F-9649-BF92803511E5}">
      <text>
        <r>
          <rPr>
            <sz val="10"/>
            <rFont val="Arial"/>
            <family val="2"/>
          </rPr>
          <t>Explicar cómo ocurren algunos fenómenos de la naturaleza basado en observaciones, en patrones y  en conceptos propios del conocimiento científico. - Procesos vivos</t>
        </r>
      </text>
    </comment>
    <comment ref="EY8" authorId="0" shapeId="0" xr:uid="{8C53199B-98D8-44B3-9E4C-D5CB24807C8A}">
      <text>
        <r>
          <rPr>
            <sz val="10"/>
            <rFont val="Arial"/>
            <family val="2"/>
          </rPr>
          <t>Explicar cómo ocurren algunos fenómenos de la naturaleza basado en observaciones, en patrones y  en conceptos propios del conocimiento científico. - Procesos químicos</t>
        </r>
      </text>
    </comment>
    <comment ref="EZ8" authorId="0" shapeId="0" xr:uid="{2C2CDE97-D630-4E2B-B468-8EC72CA06C53}">
      <text>
        <r>
          <rPr>
            <sz val="10"/>
            <rFont val="Arial"/>
            <family val="2"/>
          </rPr>
          <t>Utilizar algunas habilidades de pensamiento y de procedimiento para  evaluar predicciones - Procesos químicos</t>
        </r>
      </text>
    </comment>
    <comment ref="FA8" authorId="0" shapeId="0" xr:uid="{530F0C16-AC0D-4040-BAB8-DD2A87DC2019}">
      <text>
        <r>
          <rPr>
            <sz val="10"/>
            <rFont val="Arial"/>
            <family val="2"/>
          </rPr>
          <t>Modelar fenómenos de la naturaleza basado en el análisis de variables, la relación entre dos o más conceptos del conocimiento científico y de la evidencia derivada de investigaciones científicas. - Procesos físicos</t>
        </r>
      </text>
    </comment>
  </commentList>
</comments>
</file>

<file path=xl/sharedStrings.xml><?xml version="1.0" encoding="utf-8"?>
<sst xmlns="http://schemas.openxmlformats.org/spreadsheetml/2006/main" count="16203" uniqueCount="1101">
  <si>
    <t>SOACHA</t>
  </si>
  <si>
    <t>Instituto Colombiano para la Evaluación de la Educación - ICFES</t>
  </si>
  <si>
    <t>Resultados para entidades territoriales (ET)</t>
  </si>
  <si>
    <t>Código DANE</t>
  </si>
  <si>
    <t>Paí/ET/Municipios</t>
  </si>
  <si>
    <t>Establecimientos educativos</t>
  </si>
  <si>
    <t>Matriculados</t>
  </si>
  <si>
    <t>Registrados</t>
  </si>
  <si>
    <t>Presentes</t>
  </si>
  <si>
    <t>Publicados</t>
  </si>
  <si>
    <t>COLOMBIA</t>
  </si>
  <si>
    <t/>
  </si>
  <si>
    <t>OFICIALES URBANOS DE SOACHA</t>
  </si>
  <si>
    <t>OFICIALES RURALES DE SOACHA</t>
  </si>
  <si>
    <t>PRIVADOS DE SOACHA</t>
  </si>
  <si>
    <t>GC 2 DE SOACHA</t>
  </si>
  <si>
    <t>GC 3 DE SOACHA</t>
  </si>
  <si>
    <t>GC 4 DE SOACHA</t>
  </si>
  <si>
    <t>325754002901</t>
  </si>
  <si>
    <t>LICEO LOS ANGELES</t>
  </si>
  <si>
    <t>125754002066</t>
  </si>
  <si>
    <t>INSTITUCION EDUCATIVA EL BOSQUE</t>
  </si>
  <si>
    <t>125754000331</t>
  </si>
  <si>
    <t>INSTITUCION EDUCATIVA GENERAL SANTANDER</t>
  </si>
  <si>
    <t>125754001833</t>
  </si>
  <si>
    <t>COLEGIO NUESTRA SENORA DE LAS MISERICORDIAS</t>
  </si>
  <si>
    <t>325754001590</t>
  </si>
  <si>
    <t>INSTITUCION EDUCATIVA  RICAURTE</t>
  </si>
  <si>
    <t>325754001778</t>
  </si>
  <si>
    <t>BACHILLERATO TECNICO COMERCIAL SANTA ANA</t>
  </si>
  <si>
    <t>325754004050</t>
  </si>
  <si>
    <t>INSTITUTO TECNICO GRANCOLOMBIANO</t>
  </si>
  <si>
    <t>125754001019</t>
  </si>
  <si>
    <t>INSTITUCION EDUCATIVA LAS VILLAS</t>
  </si>
  <si>
    <t>CENTRO EDUCATIVO COLOMBO LATINO</t>
  </si>
  <si>
    <t>225754000661</t>
  </si>
  <si>
    <t>INSITITUCION EDUCATIVA EUGENIO DIAZ CASTRO</t>
  </si>
  <si>
    <t>325754001859</t>
  </si>
  <si>
    <t>COLEGIO TECNICO HEROES NACIONALES</t>
  </si>
  <si>
    <t>325754003606</t>
  </si>
  <si>
    <t>INSTITUTO DE INVESTIGACION AMBIENTAL JOAQUIN MONTOYA</t>
  </si>
  <si>
    <t>325754001212</t>
  </si>
  <si>
    <t>COLEGIO SANTA ROSA DE LIMA</t>
  </si>
  <si>
    <t>325754000062</t>
  </si>
  <si>
    <t>COLEGIO AMOR</t>
  </si>
  <si>
    <t>325754002464</t>
  </si>
  <si>
    <t>INSTITUCION EDUCATIVA DE MARIA REINA</t>
  </si>
  <si>
    <t>125754001973</t>
  </si>
  <si>
    <t>INSTITUCION EDUCATIVA CAZUCA</t>
  </si>
  <si>
    <t>425754001811</t>
  </si>
  <si>
    <t>INSTITUCION EDUCATIVA SANTA VERONICA</t>
  </si>
  <si>
    <t>325754003592</t>
  </si>
  <si>
    <t>INSTITUTO DE INTEGRACION ESCOLAR SAN AGUSTIN</t>
  </si>
  <si>
    <t>425754001551</t>
  </si>
  <si>
    <t>INSTITUTO TECNOLOGICO LOS ANDES</t>
  </si>
  <si>
    <t>325754003428</t>
  </si>
  <si>
    <t>325754004211</t>
  </si>
  <si>
    <t>LICEO ISABEL SARMIENTO</t>
  </si>
  <si>
    <t>325754001671</t>
  </si>
  <si>
    <t>COLEGIO MIGUEL DE CERVANTES</t>
  </si>
  <si>
    <t>125754001183</t>
  </si>
  <si>
    <t>INSTITUCION EDUCATIVA EDUARDO SANTOS</t>
  </si>
  <si>
    <t>325754004513</t>
  </si>
  <si>
    <t>COLEGIO ALFONSO REYES</t>
  </si>
  <si>
    <t>125754003291</t>
  </si>
  <si>
    <t>INSTITUCION EDUCATIVA LEON XIII</t>
  </si>
  <si>
    <t>325754003410</t>
  </si>
  <si>
    <t>INSTITUTO PSICOPEDAGOGICO JUAN PABLO II</t>
  </si>
  <si>
    <t>325754000160</t>
  </si>
  <si>
    <t>COLEGIO ANTONIA SANTOS</t>
  </si>
  <si>
    <t>325754001841</t>
  </si>
  <si>
    <t>LICEO PEDAGOGICO CUNDINAMARCA</t>
  </si>
  <si>
    <t>325754003886</t>
  </si>
  <si>
    <t>LICEO SATELITE</t>
  </si>
  <si>
    <t>325754002073</t>
  </si>
  <si>
    <t>COLEGIO MILITAR LICEO SOCIAL COMPARTIR</t>
  </si>
  <si>
    <t>325754002839</t>
  </si>
  <si>
    <t>GIMNASIO TEQUENDAMA</t>
  </si>
  <si>
    <t>325754005048</t>
  </si>
  <si>
    <t>2</t>
  </si>
  <si>
    <t>325754001875</t>
  </si>
  <si>
    <t>COLEGIO RAFAEL POMBO CAZUCA</t>
  </si>
  <si>
    <t>54</t>
  </si>
  <si>
    <t>325754000721</t>
  </si>
  <si>
    <t>COLEGIO INTEGRAL FEMENINO</t>
  </si>
  <si>
    <t>125754003267</t>
  </si>
  <si>
    <t>INSTITUCION EDUCATIVA COMPARTIR</t>
  </si>
  <si>
    <t>125754001035</t>
  </si>
  <si>
    <t>INSTITUCION EDUCATIVA INTEGRADO DE SOACHA</t>
  </si>
  <si>
    <t>125754000250</t>
  </si>
  <si>
    <t>INSTITUCION EDUCATIVA SANTA ANA</t>
  </si>
  <si>
    <t>125754003569</t>
  </si>
  <si>
    <t>INSTITUCION EDUCATIVA  NUEVO COMPARTIR</t>
  </si>
  <si>
    <t>325754002979</t>
  </si>
  <si>
    <t>COLEGIO NUESTRA SENORA DEL CARMEN DE SOACHA LTDA.</t>
  </si>
  <si>
    <t>4</t>
  </si>
  <si>
    <t>325754005129</t>
  </si>
  <si>
    <t>GIMNASIO MODERNO LOS CEDROS</t>
  </si>
  <si>
    <t>325754001123</t>
  </si>
  <si>
    <t>LICEO SAN MATEO</t>
  </si>
  <si>
    <t>325754002961</t>
  </si>
  <si>
    <t>COLEGIO COSMOS</t>
  </si>
  <si>
    <t>125754001957</t>
  </si>
  <si>
    <t>INSTITUCION EDUCATIVA CIUDADELA  SUCRE</t>
  </si>
  <si>
    <t>125754001159</t>
  </si>
  <si>
    <t>325754004076</t>
  </si>
  <si>
    <t>INSTITUCION EDUCATIVA LICEO CONVIBA</t>
  </si>
  <si>
    <t>325754003509</t>
  </si>
  <si>
    <t>COLEGIO SAULO DE TARSO</t>
  </si>
  <si>
    <t>325754000046</t>
  </si>
  <si>
    <t>ESCUELA NORMAL SUPERIOR MARIA AUXILIADORA</t>
  </si>
  <si>
    <t>125754002554</t>
  </si>
  <si>
    <t>INSTITUCION EDUCATIVA BUENOS AIRES</t>
  </si>
  <si>
    <t>325754004122</t>
  </si>
  <si>
    <t>COLEGIO LEON MAGNO</t>
  </si>
  <si>
    <t>325754004131</t>
  </si>
  <si>
    <t>COLEGIO DE BACHILLERATO NINO JESUS</t>
  </si>
  <si>
    <t>325754004661</t>
  </si>
  <si>
    <t>LICEO MARANATA</t>
  </si>
  <si>
    <t>325754004629</t>
  </si>
  <si>
    <t>INSTITUTO COMERCIAL OASIS</t>
  </si>
  <si>
    <t>325754004238</t>
  </si>
  <si>
    <t>LICEO CRISTIANO VIDA NUEVA</t>
  </si>
  <si>
    <t>125754002538</t>
  </si>
  <si>
    <t>INSTITUCION EDUCATIVA GABRIEL GARCIA MARQUEZ</t>
  </si>
  <si>
    <t>325754001891</t>
  </si>
  <si>
    <t>COLEGIO BOLIVAR DE SOACHA</t>
  </si>
  <si>
    <t>325754002154</t>
  </si>
  <si>
    <t>COLEGIO MARIA MAGDALENA</t>
  </si>
  <si>
    <t>225754000238</t>
  </si>
  <si>
    <t>INSTITUCION EDUCATIVA MANUELA BELTRAN</t>
  </si>
  <si>
    <t>325754002162</t>
  </si>
  <si>
    <t>COLEGIO MIGUEL DE CERVANTES SAAVEDRA</t>
  </si>
  <si>
    <t>325754001361</t>
  </si>
  <si>
    <t>COLEGIO COLOMBO AMERICANO</t>
  </si>
  <si>
    <t>325754004521</t>
  </si>
  <si>
    <t>GIMNASIO MODERNO COLOMBIANO</t>
  </si>
  <si>
    <t>125754001418</t>
  </si>
  <si>
    <t>INSTITUCION EDUCATIVA CIUDAD LATINA</t>
  </si>
  <si>
    <t>325754001883</t>
  </si>
  <si>
    <t>LICEO CRISTIANO MARTIN LUTERO</t>
  </si>
  <si>
    <t>325754004902</t>
  </si>
  <si>
    <t>LICEO COMFACUNDI EU</t>
  </si>
  <si>
    <t>325754004530</t>
  </si>
  <si>
    <t>INSTITUTO PEDAGOGICO LAURA VICUNA</t>
  </si>
  <si>
    <t>38</t>
  </si>
  <si>
    <t>125754002147</t>
  </si>
  <si>
    <t>INSTITUCION EDUCATIVA  SAN MATEO</t>
  </si>
  <si>
    <t>325754003860</t>
  </si>
  <si>
    <t>LICEO CRISTIANO MANANTIAL DE VIDA</t>
  </si>
  <si>
    <t>325754000771</t>
  </si>
  <si>
    <t>COLEGIO DE LA INMACULADA CONCEPCION</t>
  </si>
  <si>
    <t>325754001450</t>
  </si>
  <si>
    <t>GIMNASIO LA ALAMEDA</t>
  </si>
  <si>
    <t>325754004173</t>
  </si>
  <si>
    <t>INSTITUTO PEDAGOGICO ALFRED BINET</t>
  </si>
  <si>
    <t>3</t>
  </si>
  <si>
    <t>325754005196</t>
  </si>
  <si>
    <t>325754001662</t>
  </si>
  <si>
    <t>COLEGIO MAYOR NUESTRA SENORA DE LA ESPERANZA</t>
  </si>
  <si>
    <t>325754003347</t>
  </si>
  <si>
    <t>COLEGIO JORGE ISAACS</t>
  </si>
  <si>
    <t>40</t>
  </si>
  <si>
    <t>325754001905</t>
  </si>
  <si>
    <t>LICEO EDUCATIVO BADEN POWELL</t>
  </si>
  <si>
    <t>325754001921</t>
  </si>
  <si>
    <t>COLEGIO PEDAGOGICO LOS OLIVOS</t>
  </si>
  <si>
    <t>325754001221</t>
  </si>
  <si>
    <t>COLEGIO RICAURTE DE SOACHA</t>
  </si>
  <si>
    <t>325754005161</t>
  </si>
  <si>
    <t>GIMNASIO NUEVO BOLIVAR</t>
  </si>
  <si>
    <t>125754000713</t>
  </si>
  <si>
    <t>INSTITUCION EDUCATIVA LA DESPENSA</t>
  </si>
  <si>
    <t>325754000950</t>
  </si>
  <si>
    <t>COLEGIO EUGENIO DIAZ CASTRO SAS</t>
  </si>
  <si>
    <t>325754004262</t>
  </si>
  <si>
    <t>LICEO NUESTRA SENORA MILAGROSA</t>
  </si>
  <si>
    <t>325754003312</t>
  </si>
  <si>
    <t>COLEGIO MILITAR ALMIRANTE PADILLA</t>
  </si>
  <si>
    <t>325754003461</t>
  </si>
  <si>
    <t>GIMNASIO MODERNO ROBINSON CRUSOE</t>
  </si>
  <si>
    <t>325754005404</t>
  </si>
  <si>
    <t>325754002782</t>
  </si>
  <si>
    <t>COLEGIO THOMAS ALVA EDISON</t>
  </si>
  <si>
    <t>325754004959</t>
  </si>
  <si>
    <t>COLEGIO JORGE ELIECER GAITAN</t>
  </si>
  <si>
    <t>125754000934</t>
  </si>
  <si>
    <t>INSTITUCION EDUCATIVA LUIS CARLOS GALAN</t>
  </si>
  <si>
    <t>325754002596</t>
  </si>
  <si>
    <t>COL CENT DE INSTRUCION SISTEMATIZADO</t>
  </si>
  <si>
    <t>1</t>
  </si>
  <si>
    <t>325754005366</t>
  </si>
  <si>
    <t>INSTITUTO BOLIVARIANO ESDISEÑOS</t>
  </si>
  <si>
    <t>325754001441</t>
  </si>
  <si>
    <t>325754003517</t>
  </si>
  <si>
    <t>LICEO LEONARDO DA VINCI</t>
  </si>
  <si>
    <t>325754005099</t>
  </si>
  <si>
    <t>LICEO DIRIGENTES DEL FUTURO</t>
  </si>
  <si>
    <t>325754005412</t>
  </si>
  <si>
    <t>COLEGIO EL MINUTO DE DIOS CIUDAD VERDE</t>
  </si>
  <si>
    <t>325754005471</t>
  </si>
  <si>
    <t>LICEO MAYOR DE SOACHA BIENESTAR PARA TODOS</t>
  </si>
  <si>
    <t>325754004581</t>
  </si>
  <si>
    <t>COLEGIO PEDAGOGICO SAGRADA SABIDURIA</t>
  </si>
  <si>
    <t>325754004441</t>
  </si>
  <si>
    <t>LICEO MARIA INMACULADA</t>
  </si>
  <si>
    <t>325754003771</t>
  </si>
  <si>
    <t>LICEO PSICOPEDAGÓGICO MUNDO ACTIVO</t>
  </si>
  <si>
    <t>325754003134</t>
  </si>
  <si>
    <t>INSTITUTO PEDAGOGICO NUEVA GENERACION</t>
  </si>
  <si>
    <t>325754004033</t>
  </si>
  <si>
    <t>LICEO INTEGRAL LOS ALISOS</t>
  </si>
  <si>
    <t>325754003878</t>
  </si>
  <si>
    <t>LICEO MODERNO AMERICAN SCHOOL LTDA.</t>
  </si>
  <si>
    <t>325754005595</t>
  </si>
  <si>
    <t>INSTITUTO COL TECNISISTEMAS</t>
  </si>
  <si>
    <t>Promedio Puntaje Global</t>
  </si>
  <si>
    <t>Desviación</t>
  </si>
  <si>
    <t>Promedio</t>
  </si>
  <si>
    <t>OFICIAL</t>
  </si>
  <si>
    <t>CORREGIMIENTO</t>
  </si>
  <si>
    <t>NO OFICIAL</t>
  </si>
  <si>
    <t>INSTITUCION EDUCATIVA GIMNASIO SANTO DOMINGO DE LA JUVENTUD EU</t>
  </si>
  <si>
    <t>COLEGIO BENEDICTO XVI</t>
  </si>
  <si>
    <t>.</t>
  </si>
  <si>
    <t>INST DE EDUCACIÓN PARA JOVENES Y ADULTOS DE SOACHA GENESIS</t>
  </si>
  <si>
    <t>,</t>
  </si>
  <si>
    <t>INSTITUTO EDUCATIVO COMERCIAL INEC</t>
  </si>
  <si>
    <t>LICEO GREGORIO MENDEL</t>
  </si>
  <si>
    <t>COLEGIO CRISTIANO SEMIDA</t>
  </si>
  <si>
    <t>COLEGIO SAN LUIS</t>
  </si>
  <si>
    <t>INSTITUTO BUENOS AIRES</t>
  </si>
  <si>
    <t>GIMNASIO EDUCATIVO INTEGRAL</t>
  </si>
  <si>
    <t>INSTITUTO PEDAGOGICO DE SOACHA</t>
  </si>
  <si>
    <t>325754001972</t>
  </si>
  <si>
    <t>325754005587</t>
  </si>
  <si>
    <t>325754003916</t>
  </si>
  <si>
    <t>325754005021</t>
  </si>
  <si>
    <t>325754000968</t>
  </si>
  <si>
    <t>325754004246</t>
  </si>
  <si>
    <t>LECTURA CRÍTICA</t>
  </si>
  <si>
    <t>CIENCIAS NATURALES</t>
  </si>
  <si>
    <t>Sector</t>
  </si>
  <si>
    <t>Comuna</t>
  </si>
  <si>
    <t>COMUNA 1</t>
  </si>
  <si>
    <t>COMUNA 2</t>
  </si>
  <si>
    <t>COMUNA 3</t>
  </si>
  <si>
    <t>COMUNA 4</t>
  </si>
  <si>
    <t>COMUNA 5</t>
  </si>
  <si>
    <t>COMUNA 6</t>
  </si>
  <si>
    <t xml:space="preserve">RESULTADOS POR COMUNA </t>
  </si>
  <si>
    <t xml:space="preserve">Desviación </t>
  </si>
  <si>
    <t>OFICIALES</t>
  </si>
  <si>
    <t>NO OFICIALES</t>
  </si>
  <si>
    <t>SOACHA GENERAL</t>
  </si>
  <si>
    <t xml:space="preserve">RESULTADOS LECTURA CRÍTICA POR COMUNA </t>
  </si>
  <si>
    <t xml:space="preserve"> </t>
  </si>
  <si>
    <t xml:space="preserve">RESULTADOS MATEMÁTICAS POR COMUNA </t>
  </si>
  <si>
    <t xml:space="preserve">RESULTADOS INGLÉS POR COMUNA </t>
  </si>
  <si>
    <t xml:space="preserve">RESULTADOS CIENCIAS NATURALES POR COMUNA </t>
  </si>
  <si>
    <t xml:space="preserve">RESULTADOS SOCIALES Y CIUDADANAS POR COMUNA </t>
  </si>
  <si>
    <t>MATEMATICAS</t>
  </si>
  <si>
    <t xml:space="preserve">SOCIALES Y CIUDADANAS </t>
  </si>
  <si>
    <t>INGLÉS</t>
  </si>
  <si>
    <t>258</t>
  </si>
  <si>
    <t>251</t>
  </si>
  <si>
    <t>GIMNASIO BRITANICO BRIGTHON</t>
  </si>
  <si>
    <t>CENTRO EDUCATIVO MANOS UNIDAS</t>
  </si>
  <si>
    <t>COLEGIO ANTONIO NARINO</t>
  </si>
  <si>
    <t>COLEGIO BRITANICO</t>
  </si>
  <si>
    <t>CENTRO DE CAPACITACIÓN BOLÍVAR CENCABO</t>
  </si>
  <si>
    <t>CENTRO EDUCATIVO DIOS ES AMOR</t>
  </si>
  <si>
    <t>325754005200</t>
  </si>
  <si>
    <t>325754004599</t>
  </si>
  <si>
    <t>325754003363</t>
  </si>
  <si>
    <t>325754005331</t>
  </si>
  <si>
    <t>325754800018</t>
  </si>
  <si>
    <t>125754005464</t>
  </si>
  <si>
    <t>Porcentaje de estudiantes por niveles de desempeño</t>
  </si>
  <si>
    <t>Porcentaje promedio de estudiantes que responde incorrectamente a los aprendizajes</t>
  </si>
  <si>
    <t>Aprendizaje 1</t>
  </si>
  <si>
    <t>Aprendizaje 2</t>
  </si>
  <si>
    <t>Aprendizaje 3</t>
  </si>
  <si>
    <t>N.D.</t>
  </si>
  <si>
    <t>55%</t>
  </si>
  <si>
    <t>LICEO NUEVA VIDA</t>
  </si>
  <si>
    <t>INSTITUCION EDUCATIVA SOACHA PARA VIVIR MEJOR</t>
  </si>
  <si>
    <t>INSTITUCION EDUCATIVA CIUDAD VERDE</t>
  </si>
  <si>
    <t>Aprendizaje 4</t>
  </si>
  <si>
    <t>Aprendizaje 5</t>
  </si>
  <si>
    <t>Aprendizaje 6</t>
  </si>
  <si>
    <t>CENTRO EDUCATIVO EL CASTILLO DE SAN MATEO</t>
  </si>
  <si>
    <t>Aprendizaje 7</t>
  </si>
  <si>
    <t>Aprendizaje 8</t>
  </si>
  <si>
    <t>Aprendizaje 9</t>
  </si>
  <si>
    <t>Aprendizaje 10</t>
  </si>
  <si>
    <t>Aprendizaje 11</t>
  </si>
  <si>
    <t>Aprendizaje 12</t>
  </si>
  <si>
    <t>Aprendizaje 13</t>
  </si>
  <si>
    <t>Aprendizaje 14</t>
  </si>
  <si>
    <t>Aprendizaje 15</t>
  </si>
  <si>
    <t>Aprendizaje 16</t>
  </si>
  <si>
    <t>Aprendizaje 17</t>
  </si>
  <si>
    <t>Aprendizaje 18</t>
  </si>
  <si>
    <t>Aprendizaje 19</t>
  </si>
  <si>
    <t>Aprendizaje 20</t>
  </si>
  <si>
    <t>Aprendizaje 21</t>
  </si>
  <si>
    <t>Aprendizaje 22</t>
  </si>
  <si>
    <t>Aprendizaje 23</t>
  </si>
  <si>
    <t>Aprendizaje 24</t>
  </si>
  <si>
    <t>A-</t>
  </si>
  <si>
    <t>A1</t>
  </si>
  <si>
    <t>A2</t>
  </si>
  <si>
    <t>B1</t>
  </si>
  <si>
    <t>B+</t>
  </si>
  <si>
    <t>Aprendizaje 25</t>
  </si>
  <si>
    <t>Aprendizaje 26</t>
  </si>
  <si>
    <t xml:space="preserve">Niveles de desempeño Soacha General </t>
  </si>
  <si>
    <t>SOACHA OFICIAL</t>
  </si>
  <si>
    <t>SOACHA NO OFICIAL</t>
  </si>
  <si>
    <t>Niveles de desempeño Matemáticas 2016 - 2020</t>
  </si>
  <si>
    <t>Aprendizaje 1: Comprende cómo se articulan las partes de un texto para darle un sentido global.</t>
  </si>
  <si>
    <t xml:space="preserve">Aprendizaje 3: Identifica y entiende los contenidos locales que conforman un texto. </t>
  </si>
  <si>
    <t xml:space="preserve">Aprendizaje 2: Identifica y entiende los contenidos locales que conforman un texto. </t>
  </si>
  <si>
    <t>Aprendizaje 2: Reflexiona a partir de un texto y evalúa su contenido.</t>
  </si>
  <si>
    <t>Aprendizaje 3: Reflexiona a partir de un texto y evalúa su contenido.</t>
  </si>
  <si>
    <t xml:space="preserve">Aprendizaje 2:_ Identifica y entiende los contenidos locales que conforman un texto. </t>
  </si>
  <si>
    <t xml:space="preserve">Aprendizaje 1: Identifica y entiende los contenidos locales que conforman un texto. </t>
  </si>
  <si>
    <t>Aprendizaje 2: Comprende cómo se articulan las partes de un texto para darle un sentido global.</t>
  </si>
  <si>
    <t>Aprendizaje 1:  Comprende cómo se articulan las partes de un texto para darle un sentido global.</t>
  </si>
  <si>
    <t>Aprendizaje 3: Reflexiona a partir de un texto y evalúa su contenido</t>
  </si>
  <si>
    <t>Aprendizaje 1: Comprende y transforma la información cuantitativa y esquemática presentada en distintos formatos</t>
  </si>
  <si>
    <t>Aprendizaje 2: Valida procedimientos y  estrategias matemáticas utilizadas para dar solución a problemas.</t>
  </si>
  <si>
    <t>Aprendizaje 1: Valida procedimientos y  estrategias matemáticas utilizadas para dar solución a problemas.</t>
  </si>
  <si>
    <t>Aprendizaje 3: Valida procedimientos y  estrategias matemáticas utilizadas para dar solución a problemas.</t>
  </si>
  <si>
    <t>Aprendizaje 2: Comprende y transforma la información cuantitativa y esquemática presentada en distintos formatos</t>
  </si>
  <si>
    <t>Aprendizaje 3: Comprende y transforma la información cuantitativa y esquemática presentada en distintos formatos</t>
  </si>
  <si>
    <t>Aprendizaje 2: Frente a un problema que involucre información cuantitativa, plantea e implementa estrategias que lleven a soluciones adecuadas.</t>
  </si>
  <si>
    <t>Aprendizaje 1: Frente a un problema que involucre información cuantitativa, plantea e implementa estrategias que lleven a soluciones adecuadas.</t>
  </si>
  <si>
    <t>Aprendizaje 3: Frente a un problema que involucre información cuantitativa, plantea e implementa estrategias que lleven a soluciones adecuadas.</t>
  </si>
  <si>
    <t>Aprendizaje 3:  Comprende y transforma la información cuantitativa y esquemática presentada en distintos formatos</t>
  </si>
  <si>
    <t>Aprendizaje 6: Comprende dimensiones espaciales y temporales de eventos, problemáticas y prácticas sociales.</t>
  </si>
  <si>
    <t>Aprendizaje 5: Comprende dimensiones espaciales y temporales de eventos, problemáticas y prácticas sociales.</t>
  </si>
  <si>
    <t>Aprendizaje 2: Comprende dimensiones espaciales y temporales de eventos, problemáticas y prácticas sociales.</t>
  </si>
  <si>
    <t>Aprendizaje 1: Comprende dimensiones espaciales y temporales de eventos, problemáticas y prácticas sociales.</t>
  </si>
  <si>
    <t>Aprendizaje 5: Comprende modelos conceptuales, sus características y contextos de aplicación.</t>
  </si>
  <si>
    <t>Aprendizaje 3: Comprende modelos conceptuales, sus características y contextos de aplicación.</t>
  </si>
  <si>
    <t>Aprendizaje 1: Comprende modelos conceptuales, sus características y contextos de aplicación.</t>
  </si>
  <si>
    <t>Aprendizaje 2: Comprende que los problemas y sus soluciones involucran distintas dimensiones y reconoce relaciones entre estas.</t>
  </si>
  <si>
    <t>Aprendizaje 4: Comprende que los problemas y sus soluciones involucran distintas dimensiones y reconoce relaciones entre estas.</t>
  </si>
  <si>
    <t>Aprendizaje 3: Comprende que los problemas y sus soluciones involucran distintas dimensiones y reconoce relaciones entre estas.</t>
  </si>
  <si>
    <t>Aprendizaje 1: Contextualiza y evalúa usos de fuentes y argumentos.</t>
  </si>
  <si>
    <t>Aprendizaje 4: Contextualiza y evalúa usos de fuentes y argumentos.</t>
  </si>
  <si>
    <t>Aprendizaje 5: Contextualiza y evalúa usos de fuentes y argumentos.</t>
  </si>
  <si>
    <t>Aprendizaje 3: Contextualiza y evalúa usos de fuentes y argumentos.</t>
  </si>
  <si>
    <t>Aprendizaje 6: Comprende perspectivas de distintos actores y grupos sociales.</t>
  </si>
  <si>
    <t>Aprendizaje 2: Comprende perspectivas de distintos actores y grupos sociales.</t>
  </si>
  <si>
    <t>Aprendizaje 3: Evalúa usos sociales de las ciencias sociales.</t>
  </si>
  <si>
    <t>Aprendizaje 6: Evalúa usos sociales de las ciencias sociales.</t>
  </si>
  <si>
    <t>Aprendizaje 1: Evalúa usos sociales de las ciencias sociales.</t>
  </si>
  <si>
    <t>Aprendizaje 4: Evalúa usos sociales de las ciencias sociales.</t>
  </si>
  <si>
    <t>Competencia</t>
  </si>
  <si>
    <t>Aprendizaje</t>
  </si>
  <si>
    <t>Comprende y transforma la información cuantitativa y esquemática presentada en distintos formatos</t>
  </si>
  <si>
    <t>Frente a un problema que involucre información cuantitativa, plantea e implementa estrategias que lleven a soluciones adecuadas.</t>
  </si>
  <si>
    <t>Valida procedimientos y  estrategias matemáticas utilizadas para dar solución a problemas.</t>
  </si>
  <si>
    <t>Comprende modelos conceptuales, sus características y contextos de aplicación.</t>
  </si>
  <si>
    <t>Comprende dimensiones espaciales y temporales de eventos, problemáticas y prácticas sociales.</t>
  </si>
  <si>
    <t>Contextualiza y evalúa usos de fuentes y argumentos.</t>
  </si>
  <si>
    <t>Comprende perspectivas de distintos actores y grupos sociales.</t>
  </si>
  <si>
    <t>Evalúa usos sociales de las ciencias sociales.</t>
  </si>
  <si>
    <t>Comprende que los problemas y sus soluciones involucran distintas dimensiones y reconoce relaciones entre estas.</t>
  </si>
  <si>
    <t>Modelar fenómenos de la naturaleza basado en el análisis de variables, la relación entre dos o más conceptos del conocimiento científico y de la evidencia derivada de investigaciones científicas. - Procesos vivos</t>
  </si>
  <si>
    <t>Explicar cómo ocurren algunos fenómenos de la naturaleza basado en observaciones, en patrones y  en conceptos propios del conocimiento científico. - Procesos vivos</t>
  </si>
  <si>
    <t>Comprender que a partir de la investigación científica se construyen explicaciones sobre el mundo natural. - Procesos vivos</t>
  </si>
  <si>
    <t>Derivar conclusiones para algunos fenómenos de la naturaleza basándose en conocimientos científicos y en la evidencia de su propia investigación y de la de otros. - Procesos vivos</t>
  </si>
  <si>
    <t>Observar y relacionar patrones en los datos para evaluar las predicciones. - Procesos vivos</t>
  </si>
  <si>
    <t>Utilizar algunas habilidades de pensamiento y de procedimiento para  evaluar predicciones - Procesos vivos</t>
  </si>
  <si>
    <t>Asociar fenómenos naturales con conceptos propios del conocimiento científico. - Procesos vivos</t>
  </si>
  <si>
    <t>Identificar las características  de algunos fenómenos de la naturaleza basado en el análisis de información  y  conceptos propios del conocimiento científico. - Procesos vivos</t>
  </si>
  <si>
    <t>Analizar  el potencial del uso de recursos  naturales  o artefactos  y sus efectos sobre el entorno y la salud , así como las posibilidades de desarrollo para las comunidades. - CTS</t>
  </si>
  <si>
    <t>Utilizar algunas habilidades de pensamiento y de procedimiento para  evaluar predicciones - Procesos químicos</t>
  </si>
  <si>
    <t>Identificar las características  de algunos fenómenos de la naturaleza basado en el análisis de información  y  conceptos propios del conocimiento científico. - Procesos químicos</t>
  </si>
  <si>
    <t>Explicar cómo ocurren algunos fenómenos de la naturaleza basado en observaciones, en patrones y  en conceptos propios del conocimiento científico. - Procesos físicos</t>
  </si>
  <si>
    <t>Identificar las características  de algunos fenómenos de la naturaleza basado en el análisis de información  y  conceptos propios del conocimiento científico. - CTS</t>
  </si>
  <si>
    <t>Derivar conclusiones para algunos fenómenos de la naturaleza basándose en conocimientos científicos y en la evidencia de su propia investigación y de la de otros. - Procesos físicos</t>
  </si>
  <si>
    <t>Identificar las características  de algunos fenómenos de la naturaleza basado en el análisis de información  y  conceptos propios del conocimiento científico. - Procesos físicos</t>
  </si>
  <si>
    <t>Observar y relacionar patrones en los datos para evaluar las predicciones. - Procesos químicos</t>
  </si>
  <si>
    <t>Asociar fenómenos naturales con conceptos propios del conocimiento científico. - Procesos químicos</t>
  </si>
  <si>
    <t>Comprender que a partir de la investigación científica se construyen explicaciones sobre el mundo natural. - Procesos físicos</t>
  </si>
  <si>
    <t>Comprender que a partir de la investigación científica se construyen explicaciones sobre el mundo natural. - Procesos químicos</t>
  </si>
  <si>
    <t>Derivar conclusiones para algunos fenómenos de la naturaleza basándose en conocimientos científicos y en la evidencia de su propia investigación y de la de otros. - Procesos químicos</t>
  </si>
  <si>
    <t>Utilizar algunas habilidades de pensamiento y de procedimiento para  evaluar predicciones - Procesos físicos</t>
  </si>
  <si>
    <t>Asociar fenómenos naturales con conceptos propios del conocimiento científico. - Procesos físicos</t>
  </si>
  <si>
    <t>Modelar fenómenos de la naturaleza basado en el análisis de variables, la relación entre dos o más conceptos del conocimiento científico y de la evidencia derivada de investigaciones científicas. - Procesos físicos</t>
  </si>
  <si>
    <t>Observar y relacionar patrones en los datos para evaluar las predicciones. - Procesos físicos</t>
  </si>
  <si>
    <t>Explicar cómo ocurren algunos fenómenos de la naturaleza basado en observaciones, en patrones y  en conceptos propios del conocimiento científico. - Procesos químicos</t>
  </si>
  <si>
    <t>Modelar fenómenos de la naturaleza basado en el análisis de variables, la relación entre dos o más conceptos del conocimiento científico y de la evidencia derivada de investigaciones científicas. - Procesos químicos</t>
  </si>
  <si>
    <t>NR</t>
  </si>
  <si>
    <t>PUNTAJE GLOBAL</t>
  </si>
  <si>
    <t>Año</t>
  </si>
  <si>
    <t>CATEGORÍA</t>
  </si>
  <si>
    <t>Categoría</t>
  </si>
  <si>
    <t>A+</t>
  </si>
  <si>
    <t>A</t>
  </si>
  <si>
    <t>B</t>
  </si>
  <si>
    <t>Nombre del Establecimiento</t>
  </si>
  <si>
    <t>Código Dane</t>
  </si>
  <si>
    <t>Municipio</t>
  </si>
  <si>
    <t>Matriculados (últimos 3 años)</t>
  </si>
  <si>
    <t>Evaluados (últimos 3 años)</t>
  </si>
  <si>
    <t>Índice de Matemática</t>
  </si>
  <si>
    <t>Índice de Ciencias Naturales</t>
  </si>
  <si>
    <t>Índice de Sociales y Ciudadanas</t>
  </si>
  <si>
    <t>Índice de Lectura Crítica</t>
  </si>
  <si>
    <t>Índice de Inglés</t>
  </si>
  <si>
    <t>Índice Total</t>
  </si>
  <si>
    <t>SOACHA (CUNDINAMARCA)</t>
  </si>
  <si>
    <t>47</t>
  </si>
  <si>
    <t>85</t>
  </si>
  <si>
    <t>80</t>
  </si>
  <si>
    <t>59</t>
  </si>
  <si>
    <t>57</t>
  </si>
  <si>
    <t>69</t>
  </si>
  <si>
    <t>68</t>
  </si>
  <si>
    <t>196</t>
  </si>
  <si>
    <t>194</t>
  </si>
  <si>
    <t>451</t>
  </si>
  <si>
    <t>446</t>
  </si>
  <si>
    <t>96</t>
  </si>
  <si>
    <t>191</t>
  </si>
  <si>
    <t>190</t>
  </si>
  <si>
    <t>325754003169</t>
  </si>
  <si>
    <t>37</t>
  </si>
  <si>
    <t>94</t>
  </si>
  <si>
    <t>75</t>
  </si>
  <si>
    <t>153</t>
  </si>
  <si>
    <t>414</t>
  </si>
  <si>
    <t>411</t>
  </si>
  <si>
    <t>77</t>
  </si>
  <si>
    <t>124</t>
  </si>
  <si>
    <t>345</t>
  </si>
  <si>
    <t>344</t>
  </si>
  <si>
    <t>76</t>
  </si>
  <si>
    <t>35</t>
  </si>
  <si>
    <t>95</t>
  </si>
  <si>
    <t>90</t>
  </si>
  <si>
    <t>86</t>
  </si>
  <si>
    <t>83</t>
  </si>
  <si>
    <t>292</t>
  </si>
  <si>
    <t>290</t>
  </si>
  <si>
    <t>116</t>
  </si>
  <si>
    <t>115</t>
  </si>
  <si>
    <t>215</t>
  </si>
  <si>
    <t>214</t>
  </si>
  <si>
    <t>338</t>
  </si>
  <si>
    <t>334</t>
  </si>
  <si>
    <t>111</t>
  </si>
  <si>
    <t>108</t>
  </si>
  <si>
    <t>342</t>
  </si>
  <si>
    <t>393</t>
  </si>
  <si>
    <t>388</t>
  </si>
  <si>
    <t>123</t>
  </si>
  <si>
    <t>51</t>
  </si>
  <si>
    <t>48</t>
  </si>
  <si>
    <t>128</t>
  </si>
  <si>
    <t>199</t>
  </si>
  <si>
    <t>167</t>
  </si>
  <si>
    <t>159</t>
  </si>
  <si>
    <t>63</t>
  </si>
  <si>
    <t>62</t>
  </si>
  <si>
    <t>102</t>
  </si>
  <si>
    <t>101</t>
  </si>
  <si>
    <t>197</t>
  </si>
  <si>
    <t>195</t>
  </si>
  <si>
    <t>114</t>
  </si>
  <si>
    <t>818</t>
  </si>
  <si>
    <t>787</t>
  </si>
  <si>
    <t>42</t>
  </si>
  <si>
    <t>39</t>
  </si>
  <si>
    <t>44</t>
  </si>
  <si>
    <t>43</t>
  </si>
  <si>
    <t>237</t>
  </si>
  <si>
    <t>232</t>
  </si>
  <si>
    <t>122</t>
  </si>
  <si>
    <t>65</t>
  </si>
  <si>
    <t>127</t>
  </si>
  <si>
    <t>121</t>
  </si>
  <si>
    <t>129</t>
  </si>
  <si>
    <t>17</t>
  </si>
  <si>
    <t>325754002057</t>
  </si>
  <si>
    <t>18</t>
  </si>
  <si>
    <t>448</t>
  </si>
  <si>
    <t>443</t>
  </si>
  <si>
    <t>218</t>
  </si>
  <si>
    <t>72</t>
  </si>
  <si>
    <t>473</t>
  </si>
  <si>
    <t>453</t>
  </si>
  <si>
    <t>58</t>
  </si>
  <si>
    <t>98</t>
  </si>
  <si>
    <t>97</t>
  </si>
  <si>
    <t>386</t>
  </si>
  <si>
    <t>375</t>
  </si>
  <si>
    <t>962</t>
  </si>
  <si>
    <t>881</t>
  </si>
  <si>
    <t>830</t>
  </si>
  <si>
    <t>809</t>
  </si>
  <si>
    <t>509</t>
  </si>
  <si>
    <t>500</t>
  </si>
  <si>
    <t>789</t>
  </si>
  <si>
    <t>758</t>
  </si>
  <si>
    <t>88</t>
  </si>
  <si>
    <t>25</t>
  </si>
  <si>
    <t>24</t>
  </si>
  <si>
    <t>325754001042</t>
  </si>
  <si>
    <t>154</t>
  </si>
  <si>
    <t>152</t>
  </si>
  <si>
    <t>329</t>
  </si>
  <si>
    <t>321</t>
  </si>
  <si>
    <t>316</t>
  </si>
  <si>
    <t>315</t>
  </si>
  <si>
    <t>939</t>
  </si>
  <si>
    <t>931</t>
  </si>
  <si>
    <t>107</t>
  </si>
  <si>
    <t>105</t>
  </si>
  <si>
    <t>176</t>
  </si>
  <si>
    <t>171</t>
  </si>
  <si>
    <t>339</t>
  </si>
  <si>
    <t>319</t>
  </si>
  <si>
    <t>23</t>
  </si>
  <si>
    <t>22</t>
  </si>
  <si>
    <t>833</t>
  </si>
  <si>
    <t>808</t>
  </si>
  <si>
    <t>33</t>
  </si>
  <si>
    <t>119</t>
  </si>
  <si>
    <t>118</t>
  </si>
  <si>
    <t>117</t>
  </si>
  <si>
    <t>125754005189</t>
  </si>
  <si>
    <t>248</t>
  </si>
  <si>
    <t>244</t>
  </si>
  <si>
    <t>15</t>
  </si>
  <si>
    <t>C</t>
  </si>
  <si>
    <t>21</t>
  </si>
  <si>
    <t>19</t>
  </si>
  <si>
    <t>50</t>
  </si>
  <si>
    <t>49</t>
  </si>
  <si>
    <t>74</t>
  </si>
  <si>
    <t>92</t>
  </si>
  <si>
    <t>79</t>
  </si>
  <si>
    <t>126</t>
  </si>
  <si>
    <t>354</t>
  </si>
  <si>
    <t>41</t>
  </si>
  <si>
    <t>36</t>
  </si>
  <si>
    <t>20</t>
  </si>
  <si>
    <t>112</t>
  </si>
  <si>
    <t>106</t>
  </si>
  <si>
    <t>29</t>
  </si>
  <si>
    <t>D</t>
  </si>
  <si>
    <t>146</t>
  </si>
  <si>
    <t>139</t>
  </si>
  <si>
    <t>13</t>
  </si>
  <si>
    <t>12</t>
  </si>
  <si>
    <t>11</t>
  </si>
  <si>
    <t>325754003908</t>
  </si>
  <si>
    <t>34</t>
  </si>
  <si>
    <t>32</t>
  </si>
  <si>
    <t>Tipo</t>
  </si>
  <si>
    <t>Establecimiento</t>
  </si>
  <si>
    <t>56</t>
  </si>
  <si>
    <t>46</t>
  </si>
  <si>
    <t>238</t>
  </si>
  <si>
    <t>187</t>
  </si>
  <si>
    <t>186</t>
  </si>
  <si>
    <t>485</t>
  </si>
  <si>
    <t>482</t>
  </si>
  <si>
    <t>66</t>
  </si>
  <si>
    <t>312</t>
  </si>
  <si>
    <t>310</t>
  </si>
  <si>
    <t>109</t>
  </si>
  <si>
    <t>64</t>
  </si>
  <si>
    <t>81</t>
  </si>
  <si>
    <t>78</t>
  </si>
  <si>
    <t>93</t>
  </si>
  <si>
    <t>70</t>
  </si>
  <si>
    <t>306</t>
  </si>
  <si>
    <t>302</t>
  </si>
  <si>
    <t>367</t>
  </si>
  <si>
    <t>364</t>
  </si>
  <si>
    <t>326</t>
  </si>
  <si>
    <t>323</t>
  </si>
  <si>
    <t>410</t>
  </si>
  <si>
    <t>407</t>
  </si>
  <si>
    <t>295</t>
  </si>
  <si>
    <t>291</t>
  </si>
  <si>
    <t>210</t>
  </si>
  <si>
    <t>55</t>
  </si>
  <si>
    <t>60</t>
  </si>
  <si>
    <t>166</t>
  </si>
  <si>
    <t>164</t>
  </si>
  <si>
    <t>103</t>
  </si>
  <si>
    <t>84</t>
  </si>
  <si>
    <t>31</t>
  </si>
  <si>
    <t>212</t>
  </si>
  <si>
    <t>161</t>
  </si>
  <si>
    <t>421</t>
  </si>
  <si>
    <t>879</t>
  </si>
  <si>
    <t>168</t>
  </si>
  <si>
    <t>45</t>
  </si>
  <si>
    <t>110</t>
  </si>
  <si>
    <t>99</t>
  </si>
  <si>
    <t>220</t>
  </si>
  <si>
    <t>249</t>
  </si>
  <si>
    <t>243</t>
  </si>
  <si>
    <t>293</t>
  </si>
  <si>
    <t>308</t>
  </si>
  <si>
    <t>299</t>
  </si>
  <si>
    <t>680</t>
  </si>
  <si>
    <t>655</t>
  </si>
  <si>
    <t>514</t>
  </si>
  <si>
    <t>498</t>
  </si>
  <si>
    <t>872</t>
  </si>
  <si>
    <t>852</t>
  </si>
  <si>
    <t>394</t>
  </si>
  <si>
    <t>765</t>
  </si>
  <si>
    <t>742</t>
  </si>
  <si>
    <t>189</t>
  </si>
  <si>
    <t>282</t>
  </si>
  <si>
    <t>474</t>
  </si>
  <si>
    <t>454</t>
  </si>
  <si>
    <t>745</t>
  </si>
  <si>
    <t>738</t>
  </si>
  <si>
    <t>125</t>
  </si>
  <si>
    <t>138</t>
  </si>
  <si>
    <t>16</t>
  </si>
  <si>
    <t>61</t>
  </si>
  <si>
    <t>350</t>
  </si>
  <si>
    <t>336</t>
  </si>
  <si>
    <t>71</t>
  </si>
  <si>
    <t>89</t>
  </si>
  <si>
    <t>82</t>
  </si>
  <si>
    <t>30</t>
  </si>
  <si>
    <t>27</t>
  </si>
  <si>
    <t>156</t>
  </si>
  <si>
    <t>226</t>
  </si>
  <si>
    <t>224</t>
  </si>
  <si>
    <t>504</t>
  </si>
  <si>
    <t>502</t>
  </si>
  <si>
    <t>91</t>
  </si>
  <si>
    <t>240</t>
  </si>
  <si>
    <t>26</t>
  </si>
  <si>
    <t>142</t>
  </si>
  <si>
    <t>140</t>
  </si>
  <si>
    <t>281</t>
  </si>
  <si>
    <t>277</t>
  </si>
  <si>
    <t>418</t>
  </si>
  <si>
    <t>416</t>
  </si>
  <si>
    <t>373</t>
  </si>
  <si>
    <t>113</t>
  </si>
  <si>
    <t>53</t>
  </si>
  <si>
    <t>104</t>
  </si>
  <si>
    <t>192</t>
  </si>
  <si>
    <t>254</t>
  </si>
  <si>
    <t>14</t>
  </si>
  <si>
    <t>87</t>
  </si>
  <si>
    <t>311</t>
  </si>
  <si>
    <t>301</t>
  </si>
  <si>
    <t>179</t>
  </si>
  <si>
    <t>120</t>
  </si>
  <si>
    <t>150</t>
  </si>
  <si>
    <t>147</t>
  </si>
  <si>
    <t>155</t>
  </si>
  <si>
    <t>405</t>
  </si>
  <si>
    <t>941</t>
  </si>
  <si>
    <t>889</t>
  </si>
  <si>
    <t>239</t>
  </si>
  <si>
    <t>235</t>
  </si>
  <si>
    <t>193</t>
  </si>
  <si>
    <t>184</t>
  </si>
  <si>
    <t>67</t>
  </si>
  <si>
    <t>259</t>
  </si>
  <si>
    <t>612</t>
  </si>
  <si>
    <t>592</t>
  </si>
  <si>
    <t>748</t>
  </si>
  <si>
    <t>629</t>
  </si>
  <si>
    <t>620</t>
  </si>
  <si>
    <t>355</t>
  </si>
  <si>
    <t>880</t>
  </si>
  <si>
    <t>834</t>
  </si>
  <si>
    <t>305</t>
  </si>
  <si>
    <t>288</t>
  </si>
  <si>
    <t>395</t>
  </si>
  <si>
    <t>585</t>
  </si>
  <si>
    <t>576</t>
  </si>
  <si>
    <t>151</t>
  </si>
  <si>
    <t>578</t>
  </si>
  <si>
    <t>551</t>
  </si>
  <si>
    <t>178</t>
  </si>
  <si>
    <t>177</t>
  </si>
  <si>
    <t>518</t>
  </si>
  <si>
    <t>495</t>
  </si>
  <si>
    <t>273</t>
  </si>
  <si>
    <t>297</t>
  </si>
  <si>
    <t>365</t>
  </si>
  <si>
    <t>352</t>
  </si>
  <si>
    <t>132</t>
  </si>
  <si>
    <t>149</t>
  </si>
  <si>
    <t>275</t>
  </si>
  <si>
    <t>52</t>
  </si>
  <si>
    <t>130</t>
  </si>
  <si>
    <t>170</t>
  </si>
  <si>
    <t>143</t>
  </si>
  <si>
    <t>898</t>
  </si>
  <si>
    <t>276</t>
  </si>
  <si>
    <t>358</t>
  </si>
  <si>
    <t>134</t>
  </si>
  <si>
    <t>309</t>
  </si>
  <si>
    <t>382</t>
  </si>
  <si>
    <t>343</t>
  </si>
  <si>
    <t>135</t>
  </si>
  <si>
    <t>(0 - 35)</t>
  </si>
  <si>
    <t>(36 - 50)</t>
  </si>
  <si>
    <t>(51 - 65)</t>
  </si>
  <si>
    <t>(66 - 100)</t>
  </si>
  <si>
    <t>(0-50)</t>
  </si>
  <si>
    <t>PROMEDIO ÁREA 
Lectura Crítica</t>
  </si>
  <si>
    <t>(51 - 70)</t>
  </si>
  <si>
    <t>(71 - 100)</t>
  </si>
  <si>
    <t>PROMEDIO ÁREA 
Matemáticas</t>
  </si>
  <si>
    <t>PROMEDIO ÁREA 
Sociales y Ciudadanas</t>
  </si>
  <si>
    <t>(0 - 40)</t>
  </si>
  <si>
    <t>(41 - 55)</t>
  </si>
  <si>
    <t>(56 - 70)</t>
  </si>
  <si>
    <t>(0-55)</t>
  </si>
  <si>
    <t>PROMEDIO ÁREA 
Ciencias Naturales</t>
  </si>
  <si>
    <t>PROMEDIO ÁREA 
Inglés</t>
  </si>
  <si>
    <t>(0 - 47)</t>
  </si>
  <si>
    <t>(48 - 57)</t>
  </si>
  <si>
    <t>(58 - 67)</t>
  </si>
  <si>
    <t>(68 - 78)</t>
  </si>
  <si>
    <t>(79 - 100)</t>
  </si>
  <si>
    <t>(0-57)</t>
  </si>
  <si>
    <t>A- y A1</t>
  </si>
  <si>
    <t>389</t>
  </si>
  <si>
    <t>182</t>
  </si>
  <si>
    <t>180</t>
  </si>
  <si>
    <t>444</t>
  </si>
  <si>
    <t>439</t>
  </si>
  <si>
    <t>332</t>
  </si>
  <si>
    <t>331</t>
  </si>
  <si>
    <t>300</t>
  </si>
  <si>
    <t>236</t>
  </si>
  <si>
    <t>390</t>
  </si>
  <si>
    <t>335</t>
  </si>
  <si>
    <t>419</t>
  </si>
  <si>
    <t>417</t>
  </si>
  <si>
    <t>169</t>
  </si>
  <si>
    <t>162</t>
  </si>
  <si>
    <t>208</t>
  </si>
  <si>
    <t>205</t>
  </si>
  <si>
    <t>754</t>
  </si>
  <si>
    <t>490</t>
  </si>
  <si>
    <t>470</t>
  </si>
  <si>
    <t>519</t>
  </si>
  <si>
    <t>507</t>
  </si>
  <si>
    <t>841</t>
  </si>
  <si>
    <t>821</t>
  </si>
  <si>
    <t>325754005226</t>
  </si>
  <si>
    <t>826</t>
  </si>
  <si>
    <t>977</t>
  </si>
  <si>
    <t>965</t>
  </si>
  <si>
    <t>188</t>
  </si>
  <si>
    <t>478</t>
  </si>
  <si>
    <t>374</t>
  </si>
  <si>
    <t>325</t>
  </si>
  <si>
    <t>318</t>
  </si>
  <si>
    <t>944</t>
  </si>
  <si>
    <t>783</t>
  </si>
  <si>
    <t>759</t>
  </si>
  <si>
    <t>307</t>
  </si>
  <si>
    <t>Modelar fenómenos de la naturaleza basado en el análisis de variables, la relación entre dos o más conceptos del conocimiento científico y de la evidencia derivada de investigaciones científicas. - Procesos quimicos</t>
  </si>
  <si>
    <t>Zona</t>
  </si>
  <si>
    <t>Índice de Matemática</t>
  </si>
  <si>
    <t>Índice de Ciencias Naturales</t>
  </si>
  <si>
    <t>Índice de Sociales y Ciudadanas</t>
  </si>
  <si>
    <t>Índice de Lectura Crítica</t>
  </si>
  <si>
    <t>Índice de Inglés</t>
  </si>
  <si>
    <t>Índice Total</t>
  </si>
  <si>
    <t>Urbana</t>
  </si>
  <si>
    <t>Rural</t>
  </si>
  <si>
    <t>586</t>
  </si>
  <si>
    <t>488</t>
  </si>
  <si>
    <t>204</t>
  </si>
  <si>
    <t>148</t>
  </si>
  <si>
    <t>Clasificación</t>
  </si>
  <si>
    <t>136</t>
  </si>
  <si>
    <t>28</t>
  </si>
  <si>
    <t>73</t>
  </si>
  <si>
    <t>10</t>
  </si>
  <si>
    <t>165</t>
  </si>
  <si>
    <t>163</t>
  </si>
  <si>
    <t>372</t>
  </si>
  <si>
    <t>271</t>
  </si>
  <si>
    <t>893</t>
  </si>
  <si>
    <t>379</t>
  </si>
  <si>
    <t>561</t>
  </si>
  <si>
    <t>415</t>
  </si>
  <si>
    <t>303</t>
  </si>
  <si>
    <t>359</t>
  </si>
  <si>
    <t>530</t>
  </si>
  <si>
    <t>528</t>
  </si>
  <si>
    <t>145</t>
  </si>
  <si>
    <t>404</t>
  </si>
  <si>
    <t>183</t>
  </si>
  <si>
    <t>100</t>
  </si>
  <si>
    <t>603</t>
  </si>
  <si>
    <t>582</t>
  </si>
  <si>
    <t>380</t>
  </si>
  <si>
    <t>351</t>
  </si>
  <si>
    <t>750</t>
  </si>
  <si>
    <t>724</t>
  </si>
  <si>
    <t>298</t>
  </si>
  <si>
    <t>285</t>
  </si>
  <si>
    <t>634</t>
  </si>
  <si>
    <t>628</t>
  </si>
  <si>
    <t>144</t>
  </si>
  <si>
    <t>936</t>
  </si>
  <si>
    <t>858</t>
  </si>
  <si>
    <t>429</t>
  </si>
  <si>
    <t>423</t>
  </si>
  <si>
    <t>483</t>
  </si>
  <si>
    <t>679</t>
  </si>
  <si>
    <t>663</t>
  </si>
  <si>
    <t>408</t>
  </si>
  <si>
    <t>402</t>
  </si>
  <si>
    <t>304</t>
  </si>
  <si>
    <t>294</t>
  </si>
  <si>
    <t>185</t>
  </si>
  <si>
    <t>377</t>
  </si>
  <si>
    <t>376</t>
  </si>
  <si>
    <t>278</t>
  </si>
  <si>
    <t>133</t>
  </si>
  <si>
    <t>172</t>
  </si>
  <si>
    <t>241</t>
  </si>
  <si>
    <t>COLEGIO DEL NAZARENO</t>
  </si>
  <si>
    <t>LICEO ANGEL DE LA GUARDA</t>
  </si>
  <si>
    <t>INDICE GLOBAL</t>
  </si>
  <si>
    <t>CLASIFICACIÓN DE PLANTELES</t>
  </si>
  <si>
    <t>Porcentaje de estudiantes por niveles de desempeño
Lectura Crítica</t>
  </si>
  <si>
    <t>PROMEDIO POR PRUEBAS Y NIVELES DE DESEMPEÑO</t>
  </si>
  <si>
    <t>Porcentaje de estudiantes por niveles de desempeño
Matemáticas</t>
  </si>
  <si>
    <t>Porcentaje de estudiantes por niveles de desempeño
Sociales y Ciudadanas</t>
  </si>
  <si>
    <t>Porcentaje de estudiantes por niveles de desempeño
Ciencias Naturales</t>
  </si>
  <si>
    <t>Porcentaje de estudiantes por niveles de desempeño
Inglés</t>
  </si>
  <si>
    <t>1 y 2</t>
  </si>
  <si>
    <t>Porcentaje promedio de estudiantes que responde incorrectamente a los aprendizajes
Lectura Crítica</t>
  </si>
  <si>
    <t>COMPETENCIA</t>
  </si>
  <si>
    <t>Porcentaje promedio de estudiantes que responde incorrectamente a los aprendizajes
Matemáticas</t>
  </si>
  <si>
    <t>Competencias</t>
  </si>
  <si>
    <t>Aprendizaje 
Año</t>
  </si>
  <si>
    <t>INSTITUCIÓN EDUCATIVA:</t>
  </si>
  <si>
    <t>PORCENTAJE DE ESTUDIANTES QUE RESPONDE INCORRECTAMENTE A LOS APRENDIZAJES
LECTURA CRÍTICA</t>
  </si>
  <si>
    <t>PORCENTAJE DE ESTUDIANTES QUE RESPONDE INCORRECTAMENTE A LOS APRENDIZAJES
MATEMÁTICAS</t>
  </si>
  <si>
    <t>PORCENTAJE DE ESTUDIANTES QUE RESPONDE INCORRECTAMENTE A LOS APRENDIZAJES
SOCIALES Y CIUDADANAS</t>
  </si>
  <si>
    <t>Porcentaje promedio de estudiantes que responde incorrectamente a los aprendizajes
Sociales y Ciudadanas</t>
  </si>
  <si>
    <t>PORCENTAJE DE ESTUDIANTES QUE RESPONDE INCORRECTAMENTE A LOS APRENDIZAJES
CIENCIAS NATURALES
PROCESOS VIVOS</t>
  </si>
  <si>
    <t>PORCENTAJE DE ESTUDIANTES QUE RESPONDE INCORRECTAMENTE A LOS APRENDIZAJES
CIENCIAS NATURALES
PROCESOS QUÍMICOS</t>
  </si>
  <si>
    <t>PORCENTAJE DE ESTUDIANTES QUE RESPONDE INCORRECTAMENTE A LOS APRENDIZAJES
CIENCIAS NATURALES
PROCESOS FÍSICOS</t>
  </si>
  <si>
    <t>PORCENTAJE DE ESTUDIANTES QUE RESPONDE INCORRECTAMENTE A LOS APRENDIZAJES
CIENCIAS NATURALES
CIENCIA, TECNOLOGÍA Y SOCIEDAD</t>
  </si>
  <si>
    <t>APRENDIZAJE</t>
  </si>
  <si>
    <t>COMPARACIÓN 1:</t>
  </si>
  <si>
    <t>COMPARACIÓN 2:</t>
  </si>
  <si>
    <t>PROMEDIO</t>
  </si>
  <si>
    <t>Comparación PG</t>
  </si>
  <si>
    <t>Comparación DPG</t>
  </si>
  <si>
    <t>Similar</t>
  </si>
  <si>
    <t>Menor</t>
  </si>
  <si>
    <t>Mayor</t>
  </si>
  <si>
    <t>325754001549</t>
  </si>
  <si>
    <t>COLEGIO NUEVA ANDALUCIA</t>
  </si>
  <si>
    <t>Aprendizaje 2:  Identifica y entiende los contenidos locales que conforman un texto.</t>
  </si>
  <si>
    <t>Comparación PLC</t>
  </si>
  <si>
    <t>Comparación DLC</t>
  </si>
  <si>
    <t>Comparación PMAT</t>
  </si>
  <si>
    <t>Comparación DMAT</t>
  </si>
  <si>
    <t>Aprendizaje 2: Contextualiza y evalúa usos de fuentes y argumentos.</t>
  </si>
  <si>
    <t>Aprendizaje 3: Comprende dimensiones espaciales y temporales de eventos, problemáticas y prácticas sociales.</t>
  </si>
  <si>
    <t>Aprendizaje 4: Comprende modelos conceptuales, sus características y contextos de aplicación.</t>
  </si>
  <si>
    <t>Aprendizaje 5: Comprende que los problemas y sus soluciones involucran distintas dimensiones y reconoce relaciones entre estas.</t>
  </si>
  <si>
    <t>Comparación PSYC</t>
  </si>
  <si>
    <t>Comparación DSYC</t>
  </si>
  <si>
    <t>INSTITUCION EDUCATIVA CHILOÉ</t>
  </si>
  <si>
    <t>125754005600</t>
  </si>
  <si>
    <t>INSTITUTO TÉCNICO DE CUNDINAMARCA</t>
  </si>
  <si>
    <t>325754005498</t>
  </si>
  <si>
    <t>198</t>
  </si>
  <si>
    <t>COMUNA 1 OFICIAL</t>
  </si>
  <si>
    <t>COMUNA 2 OFICIAL</t>
  </si>
  <si>
    <t>COMUNA 3 OFICIAL</t>
  </si>
  <si>
    <t>COMUNA 4 OFICIAL</t>
  </si>
  <si>
    <t>COMUNA 5 OFICIAL</t>
  </si>
  <si>
    <t>COMUNA 6 OFICIAL</t>
  </si>
  <si>
    <t>COMUNA 1 PRIVADOS</t>
  </si>
  <si>
    <t>COMUNA 2 PRIVADOS</t>
  </si>
  <si>
    <t>COMUNA 3 PRIVADOS</t>
  </si>
  <si>
    <t>COMUNA 4 PRIVADOS</t>
  </si>
  <si>
    <t>COMUNA 5 PRIVADOS</t>
  </si>
  <si>
    <t>COMUNA 6 PRIVADOS</t>
  </si>
  <si>
    <t>Comprende</t>
  </si>
  <si>
    <t>Identifica</t>
  </si>
  <si>
    <t>Reflexiona</t>
  </si>
  <si>
    <t>Valida</t>
  </si>
  <si>
    <t>Frente</t>
  </si>
  <si>
    <t xml:space="preserve">OFICIALES </t>
  </si>
  <si>
    <t xml:space="preserve">NO OFICIALES </t>
  </si>
  <si>
    <t>398</t>
  </si>
  <si>
    <t>325754800077</t>
  </si>
  <si>
    <t>CENTRO DE ESTUDIOS PAULO FREIRE</t>
  </si>
  <si>
    <t>325754005561</t>
  </si>
  <si>
    <t>COLEGIO ABRAHAM LINCOLN SOACHA</t>
  </si>
  <si>
    <t>325754005480</t>
  </si>
  <si>
    <t>COLEGIO COLSUBSIDIO MAIPORÉ</t>
  </si>
  <si>
    <t>325754001531</t>
  </si>
  <si>
    <t>COLEGIO RAFAEL NUNEZ</t>
  </si>
  <si>
    <t>325754004335</t>
  </si>
  <si>
    <t>COLEGIO SANTA TERESITA</t>
  </si>
  <si>
    <t>325754005358</t>
  </si>
  <si>
    <t>FUNDACIÓN ACEPTA EL CAMBIO PARA VIDA NUEVA</t>
  </si>
  <si>
    <t>125754800141</t>
  </si>
  <si>
    <t>INSTITUCION EDUCATIVA LUIS HENRIQUEZ</t>
  </si>
  <si>
    <t>125754800132</t>
  </si>
  <si>
    <t>INSTITUCION EDUCATIVA PAZ Y ESPERANZA</t>
  </si>
  <si>
    <t>125754800329</t>
  </si>
  <si>
    <t>INSTITUCION EDUCATIVA SOACHA AVANZA LA UNIDAD</t>
  </si>
  <si>
    <t>125754800256</t>
  </si>
  <si>
    <t>INSTITUCION EDUCATIVA VIDA NUEVA</t>
  </si>
  <si>
    <t>325754005510</t>
  </si>
  <si>
    <t>INSTITUTO FRANCESCO PETRARCA</t>
  </si>
  <si>
    <t>Aprendizaje 4: Comprende dimensiones espaciales y temporales de eventos, problemáticas y prácticas sociales.</t>
  </si>
  <si>
    <t>Aprendizaje 1: Comprende que los problemas y sus soluciones involucran distintas dimensiones y reconoce relaciones entre estas.</t>
  </si>
  <si>
    <t>Elaboración propia Dirección de Calidad Educativa de la Secretaría de Educación de Soacha, adaptado de Secretaría de Educación de Itagüí</t>
  </si>
  <si>
    <t>422</t>
  </si>
  <si>
    <t>330</t>
  </si>
  <si>
    <t>516</t>
  </si>
  <si>
    <t>333</t>
  </si>
  <si>
    <t>213</t>
  </si>
  <si>
    <t>211</t>
  </si>
  <si>
    <t>589</t>
  </si>
  <si>
    <t>658</t>
  </si>
  <si>
    <t>649</t>
  </si>
  <si>
    <t>337</t>
  </si>
  <si>
    <t>547</t>
  </si>
  <si>
    <t>541</t>
  </si>
  <si>
    <t>686</t>
  </si>
  <si>
    <t>681</t>
  </si>
  <si>
    <t>327</t>
  </si>
  <si>
    <t>712</t>
  </si>
  <si>
    <t>692</t>
  </si>
  <si>
    <t>503</t>
  </si>
  <si>
    <t>888</t>
  </si>
  <si>
    <t>861</t>
  </si>
  <si>
    <t>357</t>
  </si>
  <si>
    <t>597</t>
  </si>
  <si>
    <t>284</t>
  </si>
  <si>
    <t>324</t>
  </si>
  <si>
    <t>181</t>
  </si>
  <si>
    <t>340</t>
  </si>
  <si>
    <t>207</t>
  </si>
  <si>
    <t>479</t>
  </si>
  <si>
    <t>477</t>
  </si>
  <si>
    <t>2016</t>
  </si>
  <si>
    <t>2017</t>
  </si>
  <si>
    <t>2018</t>
  </si>
  <si>
    <t>2019</t>
  </si>
  <si>
    <t>2020</t>
  </si>
  <si>
    <t>2021</t>
  </si>
  <si>
    <t>2022</t>
  </si>
  <si>
    <t>MATEMÁTICAS</t>
  </si>
  <si>
    <t>SOCIALES Y CIUDADANAS</t>
  </si>
  <si>
    <t>INGLES</t>
  </si>
  <si>
    <t>HERRAMIENTA RESULTADOS HISTÓRICOS PRUEBAS SABER 11</t>
  </si>
  <si>
    <t>RESULTADOS PRUEBAS SABER 11
PUNTAJE PROMEDIO GLOBAL</t>
  </si>
  <si>
    <t xml:space="preserve">En la lista desplegable escoja la Institución Educativa y grupos de comparación de su preferencia. Si no desea realizar comparaciones escoja la opción Ninguno que se encuentra al final de la lista. </t>
  </si>
  <si>
    <t>EVIDENCIAS</t>
  </si>
  <si>
    <t>• Comprende la estructura formal de un texto y la función de sus partes.
• Identifica y caracteriza las diferentes voces o situaciones presentes en un texto.
• Comprende las relaciones entre diferentes partes o enunciados de un texto.
• Identifica y caracteriza las ideas o afirmaciones presentes en un texto informativo.
• Identifica el tipo de relación existente entre diferentes elementos de un texto (discontinuo).</t>
  </si>
  <si>
    <t>• Establece la validez e implicaciones de un enunciado de un texto (argumentativo o expositivo).
• Establece relaciones entre un texto y otros textos o enunciados.
• Reconoce contenidos valorativos presentes en un texto.
• Reconoce las estrategias discursivas en un texto.
• Contextualiza adecuadamente un texto o la información contenida en este.</t>
  </si>
  <si>
    <t>• Entiende el significado de los elementos locales que constituyen un texto.
• Identifica los eventos narrados de manera explícita en un texto (literario, descriptivo, caricatura o cómic) y los personajes involucrados (si los hay).</t>
  </si>
  <si>
    <t>PREGUNTAS ORIENTADORAS PARA EL ANÁLISIS DE RESULTADOS</t>
  </si>
  <si>
    <t>Identifica y entiende los contenidos locales que conforman un texto.
(25% de las preguntas)</t>
  </si>
  <si>
    <t>Comprende cómo se articulan las partes de un texto para darle un sentido global.
(42% de las preguntas)</t>
  </si>
  <si>
    <t>Reflexiona a partir de un texto y evalúa su contenido.
(33% de las preguntas)</t>
  </si>
  <si>
    <t>Interpretación y representación
(34% de las preguntas)</t>
  </si>
  <si>
    <t>Formulación y ejecución
(43% de las preguntas)</t>
  </si>
  <si>
    <t>Argumentación
(23% de las preguntas)</t>
  </si>
  <si>
    <t>•	Da cuenta de las características básicas de la información presentada en diferentes formatos como series, gráficas, tablas y esquemas.
•	Transforma la representación de una o más piezas de información.</t>
  </si>
  <si>
    <t>•	Diseña planes para la solución de problemas que involucran información cuantitativa o esquemática.
•	Ejecuta un plan de solución para un problema que involucra información
•	cuantitativa o esquemática.
•	Resuelve un problema que involucra información cuantitativa o esquemática.</t>
  </si>
  <si>
    <t>•	Plantea afirmaciones que sustentan o refutan una interpretación dada a la información disponible en el marco de la solución de un problema.
•	Argumenta a favor o en contra de un procedimiento para resolver un problema a la luz de criterios presentados o establecidos.
•	Establece la validez o pertinencia de una solución propuesta a un problema dado.</t>
  </si>
  <si>
    <t>•	¿En qué aspectos los estudiantes tienen mayores fortalezas? ¿En qué aspectos se observan mayores dificultades? Considerar especialmente los aprendizajes y evidencias descritos.
•	La planeación de área que se propone para el grado, ¿considera acciones asociadas a los aprendizajes evaluados en la prueba Saber? 
En caso de responder afirmativamente, ¿los resultados de la evaluación externa para dichos aprendizajes guardan relación con los resultados del seguimiento que se da en el aula? 
En caso de responder negativamente, ¿qué dificultades se presentan para que esto no ocurra? 
•	¿Qué aprendizajes del plan de área se deben priorizar para alcanzar los objetivos propuestos?
•	¿Cómo se están trabajando los aprendizajes en el aula?
•	¿Los estudiantes desarrollan las actividades y las profundizan en el trabajo en casa?
•	¿Qué situaciones motivan más a los estudiantes? ¿Qué actividades o estrategias generan más involucramiento de los estudiantes?
•	¿Cómo considero en la propuesta pedagógica los saberes previos de los estudiantes?
•	¿Cómo reviso y valoro la planeación?
•	¿Cómo realizo la retroalimentación a los estudiantes? ¿es la adecuada?
•	¿Las actividades para recolectar evidencias de aprendizaje son las adecuadas? ¿Qué aspectos puedo considerar para potencializarlas?
•	¿Los estudiantes conocen los criterios de evaluación con anterioridad?</t>
  </si>
  <si>
    <t>Evidencias</t>
  </si>
  <si>
    <t>•	Identifica y usa conceptos sociales básicos (económicos, políticos, culturales y geográficos).
•	Conoce el modelo de Estado Social de Derecho y su aplicación en Colombia.
•	Conoce la organización del Estado: Conoce las funciones y alcances de las ramas del poder y de los organismos de control.
•	Conoce los mecanismos que los ciudadanos tienen a su disposición para participar activamente en la democracia y para garantizar el respeto de sus derechos.</t>
  </si>
  <si>
    <t>•	Localiza en el tiempo y en el espacio eventos históricos y prácticas sociales.
•	Relaciona dimensiones históricas y geográficas de eventos y problemáticas sociales.
•	Relaciona problemáticas o prácticas sociales con características del espacio geográfico.</t>
  </si>
  <si>
    <t>•	Inscribe una fuente primaria dada en un contexto económico, político o cultural.
•	Evalúa posibilidades y limitaciones del uso de una fuente para apoyar argumentos o explicaciones.
•	Devela prejuicios e intenciones en enunciados o argumentos</t>
  </si>
  <si>
    <t>•	Reconoce y compara perspectivas de actores y grupos sociales.
•	Reconoce que las cosmovisiones, ideologías y roles sociales, influyen en diferentes argumentos, posiciones y conductas.
•	Establece relaciones entre las perspectivas de los individuos en una situación conflictiva y las propuestas de solución.</t>
  </si>
  <si>
    <t>•	Analiza modelos conceptuales y sus usos en decisiones sociales.</t>
  </si>
  <si>
    <t>•	Establece relaciones que hay entre dimensiones presentes en una situación problemática.
•	Analiza los efectos en distintas dimensiones que tendría una posible intervención</t>
  </si>
  <si>
    <t>Esta herramienta contiene los resultados en pruebas Saber 11 entre 2016 y 2023 obtenidos por las instituciones educativas oficiales y privadas del municipio de Soacha. 
El objetivo de consolidar los resultados históricos en este documento es incentivar en las instituciones educativas el análisis y uso de los resultados de las pruebas externas para la toma de decisiones informadas y el establecimiento de estrategias de que permitan el mejoramiento de la calidad en cada una de ellas. 
El documento cuenta con 10 hojas:</t>
  </si>
  <si>
    <r>
      <rPr>
        <b/>
        <sz val="12"/>
        <color rgb="FFC00000"/>
        <rFont val="Arial"/>
        <family val="2"/>
      </rPr>
      <t>Hoja 1: Guía de Uso</t>
    </r>
    <r>
      <rPr>
        <sz val="12"/>
        <color theme="1"/>
        <rFont val="Arial"/>
        <family val="2"/>
      </rPr>
      <t xml:space="preserve">
En la primera pestaña encontrarán la Guía de uso para las Instituciones Educativas en la cual se explica el contenido del documento y se orienta el uso de cada apartado. </t>
    </r>
  </si>
  <si>
    <t>Hoja 2: Puntaje Global</t>
  </si>
  <si>
    <t>Hoja 3: Promedios y Niveles</t>
  </si>
  <si>
    <t xml:space="preserve">Hoja 4: AprenLectura
</t>
  </si>
  <si>
    <t xml:space="preserve">Hoja 5: AprenMate
</t>
  </si>
  <si>
    <r>
      <rPr>
        <b/>
        <sz val="12"/>
        <color rgb="FFFF6600"/>
        <rFont val="Arial"/>
        <family val="2"/>
      </rPr>
      <t>Hoja 6: AprenSyC</t>
    </r>
    <r>
      <rPr>
        <b/>
        <sz val="12"/>
        <color theme="4"/>
        <rFont val="Arial"/>
        <family val="2"/>
      </rPr>
      <t xml:space="preserve">
</t>
    </r>
  </si>
  <si>
    <t xml:space="preserve">Hoja 7: AprenCNProVivos
</t>
  </si>
  <si>
    <t xml:space="preserve">Hoja 8: AprenCNProQuímicos
</t>
  </si>
  <si>
    <t xml:space="preserve">Hoja 9: AprenCNProFísicos
</t>
  </si>
  <si>
    <t xml:space="preserve">Hoja 10: AprenCNCTS
</t>
  </si>
  <si>
    <t>NIVEL DE DESEMPEÑO</t>
  </si>
  <si>
    <t>RANGO DEL PUNTAJE</t>
  </si>
  <si>
    <t>DESCRIPCIÓN</t>
  </si>
  <si>
    <t>El estudiante que se ubica en este nivel probablemente identifica elementos literales en textos continuos y discontinuos sin establecer relaciones de significado.</t>
  </si>
  <si>
    <t>El estudiante que se ubica en este nivel comprende textos continuos y discontinuos de manera literal. Reconoce información explícita y la relaciona con el contexto. Para clasificar en este nivel, el estudiante: 
• Identifica información local del texto. 
• Identifica la estructura de textos continuos y discontinuos. 
• Identifica relaciones básicas entre componentes del texto. 
• Identifica fenómenos semánticos básicos: sinónimos y antónimos. 
• Reconoce en un texto la diferencia entre proposición y párrafo. 
• Reconoce el sentido local y global del texto. 
• Identifica intenciones comunicativas implícitas. 
• Identifica relaciones básicas: Contraste, similitud y complementación, entre textos presentes.</t>
  </si>
  <si>
    <t>Además de lo descrito en el nivel 2, el estudiante que se ubica en este nivel interpreta información de textos al inferir contenidos implícitos y reconocer estructuras, estrategias discursivas y juicios valorativos. Para clasificar en este nivel, el estudiante: 
• Jerarquiza la información presente en un texto. 
• Infiere información implícita en textos continuos y discontinuos. 
• Establece relaciones intertextuales: definición, causa-efecto, oposición y antecedente – consecuente, entre textos presentes.
• Reconoce la intención comunicativa del texto. 
• Relaciona marcadores textuales en la interpretación de textos. 
• Reconoce la función de figuras literarias. 
• Identifica el uso del lenguaje en contexto. 
• Analiza y sintetiza la información contenida en un texto. 
• Identifica la estructura sintáctica en textos discontinuos. 
• Establece la validez de argumentos en un texto.</t>
  </si>
  <si>
    <t>Además de lo descrito en los niveles 2 y 3, el estudiante que se ubica en este nivel reflexiona a partir de un texto sobre la visión de mundo del autor (costumbres, creencias, juicios, carácter ideo-político y posturas éticas, entre otros). Asimismo, da cuenta de elementos paratextuales significativos presentes en el texto. Finalmente, valora y contrasta los elementos mencionados con la posición propia. Para clasificar en este nivel, el estudiante: 
• Propone soluciones a problemas de interpretación que subyacen en un texto. 
• Evalúa contenidos, estrategias discursivas y argumentativas presentes en un texto. 
• Relaciona información de dos o más textos o fragmentos de texto para llegar a una conclusión.
• Aplica conceptos de análisis literario para caracterizar diferentes elementos en un texto. 
• Reconoce los contextos como elementos importantes en la valoración de un texto. 
• Selecciona elementos locales y construye argumentos que sustentan una tesis con base en textos relacionados. 
• Asume una postura crítica frente a los planteamientos de un texto. 
• Plantea hipótesis de lectura a partir de las ideas presentes en un texto.</t>
  </si>
  <si>
    <t>Descripción Niveles de Desempeño Prueba Lectura Crítica</t>
  </si>
  <si>
    <t>El estudiante que se ubica en este nivel probablemente puede leer información puntual (un dato) relacionada con situaciones cotidianas y presentada en tablas o gráficas con escala explícita, cuadrícula o por lo menos líneas horizontales. Pero puede tener dificultades al comparar distintos conjuntos de datos, involucrar diferentes variables o analizar situaciones alejadas de su vida diaria.</t>
  </si>
  <si>
    <t>El estudiante que se ubica en este nivel es capaz de hacer comparaciones y establecer relaciones entre los datos presentados e identificar y extraer información local y global de manera directa. En contextos familiares o personales que involucran gráficas con escala explícita, cuadrícula o por lo menos líneas horizontales u otros formatos con poca información.
Para clasificar en este nivel, el estudiante:
• Compara datos de dos variables presentadas en una misma gráfica sin necesidad de hacer operaciones aritméticas.
• Identifica valores o puntos representativos en diferentes tipos de registro a partir del significado que tienen en la situación.
• Compara la probabilidad de eventos simples (casos favorables/casos posibles), cuando los casos posibles son los mismos en ambos eventos, en contextos similares a los presentados en el aula.
• Toma decisiones sobre la veracidad o falsedad de una afirmación cuando esta se puede explicar verbalizando la lectura directa que se hace de la información.
• Cambia gráficas de barras a tablas de doble entrada.
• Reconoce e interpreta según el contexto el significado de promedio simple, moda, mayor, menor, máximo y mínimo</t>
  </si>
  <si>
    <t>Además de lo descrito en el nivel 2, el estudiante que se ubica en este nivel selecciona información, señala errores, hace distintos tipos de transformaciones y, manipulaciones aritméticas y algebraicas sencillas; para enfrentarse a problemas que involucran el uso de conceptos de proporcionalidad, factores de conversión, áreas y desarrollos planos; en contextos laborales u ocupacionales, matemáticos o científicos y, comunitarios o sociales. Para clasificar en este nivel, el estudiante:
• Selecciona la gráfica a partir de una tabla, que puede ser de doble entrada o a partir de verbalizaciones (características de crecimiento o decrecimiento), teniendo en cuenta para la selección la escala, el tipo de variable y el tipo de gráfica.
• Compara información gráfica que requiere algunas manipulaciones aritméticas.
• Señala información representada en formatos no convencional (mapas o infografías).
• Reconoce errores dada una transformación entre diferentes registros.
• Reconoce el desarrollo de planos de una forma tridimensional y viceversa.
• Compara la probabilidad de eventos simples (casos favorables/casos posibles), cuando los casos posibles son diferentes, en diversos contextos.
• Selecciona información necesaria para resolver problemas que involucran operaciones aritméticas.
• Selecciona información necesaria para resolver problemas que involucran
características medibles de figuras geométricas elementales (triángulos, cuadriláteros y circunferencias).
• Cambia la escala cuando la transformación no es convencional.
• Justifica afirmaciones utilizando planteamientos y operaciones aritméticas o haciendo uso directo de un concepto; es decir, a partir de un único argumento.
• Identifica información relevante cuando el tipo de registro contiene información de más de tres categorías.
• Hace manipulaciones algebraicas sencillas (aritmética de términos semejantes).</t>
  </si>
  <si>
    <t>Además de lo descrito en los niveles 2 y 3, el estudiante que se ubica en este nivel resuelve problemas y justifica la veracidad o falsedad de afirmaciones que requieren el uso de conceptos de probabilidad, propiedades algebraicas, relaciones trigonométricas y características de funciones reales. En contextos principalmente matemáticos o científicos.
Para clasificar en este nivel, el estudiante:
• Resuelve problemas que requieren interpretar información de eventos dependientes.
• Realiza transformaciones de subconjuntos de información que pueden requerir el uso de operaciones complejas (cálculos de porcentajes).
• Resuelve problemas que requieren construir una representación auxiliar (gráficas y fórmulas) como paso intermedio para su solución.
• Modela usando lenguaje algebraico información dada en lenguaje natural, tablas o representaciones geométricas.
• Manipula expresiones algebraicas o aritméticas haciendo uso de las propiedades de las operaciones.
• Modela fenómenos variacionales no explícitos haciendo uso de lenguaje simbólico o gráficas.
• Reconoce en diferentes formatos el espacio muestral de un experimento aleatorio.
• Resuelve problemas de conteo que requieren el uso de permutaciones.
• Justifica la falta de información de un problema para tomar una decisión.
• Toma decisiones sobre la veracidad o falsedad de una afirmación cuando requiere el uso de varias propiedades o conceptualizaciones formales.</t>
  </si>
  <si>
    <t>Descripción Niveles de Desempeño Prueba Matemáticas</t>
  </si>
  <si>
    <t>Descripción Niveles de Desempeño Prueba Sociales y Ciudadanas</t>
  </si>
  <si>
    <t>El estudiante que se ubica en este nivel podría reconocer algunos derechos ciudadanos en situaciones sencillas. Adicionalmente, podría reconocer factores que generan un conflicto y creencias que explican algunos comportamientos. Este estudiante probablemente no está en capacidad de utilizar conceptos de las ciencias sociales o modelos conceptuales; tampoco reconocer principios constitucionales ni analizar enunciados, dimensiones de una problemática o propuestas de solución.</t>
  </si>
  <si>
    <t>El estudiante que se ubica en este nivel reconoce deberes del Estado colombiano y situaciones de protección o vulneración de derechos en el marco del Estado Social de Derecho; identifica relaciones entre conductas de las personas y sus cosmovisiones; y reconoce las dimensiones presentes en una situación, problema, decisión tomada o propuesta de solución. Además, contextualiza fuentes y procesos sociales. En este nivel, se presentan contextos cuya descripción es corta, con pocos actores,
enunciados directos y posturas o posiciones explícitas, sencillas y claras. Además, se presentan situaciones cercanas a la cotidianidad del estudiante o de conocimiento y amplia discusión pública.
Para clasificar en este nivel, el estudiante:
• Identifica derechos ciudadanos y deberes del Estado establecidos en la Constitución Política de Colombia.
• Relaciona la conducta de una persona con su forma de ver la vida.
• Reconoce los efectos de una solución y las dimensiones que privilegia.
• Identifica contextos o procesos en los que se inscribe una fuente o evento.</t>
  </si>
  <si>
    <t>Además de lo descrito en el nivel 2, el estudiante que se ubica en este nivel identifica
prejuicios o intenciones contenidos en una afirmación y reconoce las dimensiones e
intereses involucrados en un problema o alternativa de solución. Así mismo, identifica algunos conceptos básicos de las ciencias sociales y modelos conceptuales, y valora y contextualiza la información presentada en una fuente.
En este nivel, las competencias se evalúan tanto en situaciones cotidianas o de amplio conocimiento y discusión pública, como en contextos más lejanos y complejos, algunos de ellos con descripciones más largas que las del nivel mínimo.
Para clasificar en este nivel, el estudiante:
• Reconoce intenciones y prejuicios, así como argumentos similares o diferentes dados en un contexto o una situación específica.
• Identifica dimensiones (económicas, políticas, culturales, ambientales, etc.) involucradas en situaciones, problemáticas o propuestas de solución.
• Identifica y compara opiniones e intereses de diferentes actores involucrados en una situación problemática y establece relaciones entre esas posturas y posibles soluciones.
• Reconoce algunos conceptos básicos de las ciencias sociales.
• Identifica supuestos y usos de algunos modelos conceptuales.
• Relaciona contextos históricos y/o geoGráficas con fuentes, situaciones y prácticas sociales.
• Valora la información contenida en una fuente y reconoce sus alcances.</t>
  </si>
  <si>
    <t>Además de lo descrito en los niveles 2 y 3, el estudiante que se ubica en este nivel conoce algunas disposiciones de la Constitución política de Colombia que posibilitan la participación ciudadana y el control a los poderes públicos; analiza y compara enunciados, intereses y argumentos; y evalúa alternativas de solución a un problema. Este estudiante analiza situaciones a partir de conceptos básicos de las ciencias sociales o de contextos históricos y/o geoGráficas. A su vez, relaciona fuentes y políticas con modelos conceptuales, y valora los contenidos de una fuente.
En este nivel, las competencias se evalúan principalmente en contextos que pueden estar alejados de la cotidianidad del estudiante y que no necesariamente son de amplia discusión pública. Se incluyen preguntas con contextos cortos que requieren ciertos conocimientos sociales, históricos, políticos, culturales y económicos adicionales para ser respondidas correctamente. El estudiante de este nivel es capaz de abordar las preguntas de manera objetiva y realizar el ejercicio cognitivo esperado, independientemente de su posición personal.
Finalmente, el estudiante logra identificar diferencias sutiles entre conceptos, entre intenciones y entre intereses de diferentes actores.
Para clasificar en este nivel, el estudiante:
• Conoce los procedimientos de reforma a la Constitución Política de Colombia, los mecanismos de participación ciudadana y las funciones de los organismos de control.
• Compara enunciados o argumentos, así como intereses y posiciones de actores en contextos en los que se discuten situaciones problemáticas o sus alternativas de solución.
• Relaciona propuestas de solución a un problema con su contexto de implementación, o con sus posibles impactos en ciertas dimensiones (económicas, políticas, culturales, ambientales, etc.).
• Entiende problemáticas, eventos o procesos sociales a partir del uso de conceptos básicos de las ciencias sociales, o a partir de contextos históricos y/o geoGráficas.
• Analiza fuentes (primarias y secundarias) para valorar inferencias o identificar intenciones, características de los actores involucrados y contextos en los que se ubican dichas fuentes.
• Establece relaciones entre modelos conceptuales y fuentes que los abordan o decisiones sociales que los aplican</t>
  </si>
  <si>
    <t>Descripción Niveles de Desempeño Prueba Ciencias Naturales</t>
  </si>
  <si>
    <t>El estudiante que se ubica en este nivel muy posiblemente alcanza a reconocer información explícita, presentada de manera ordenada en tablas o gráficas, con un lenguaje cotidiano y que implica la lectura de una sola variable  independiente. Por lo tanto, estos estudiantes demuestran un insuficiente desarrollo de la competencia Indagar definida en el marco teórico de la prueba.</t>
  </si>
  <si>
    <t>El estudiante que se ubica en este nivel reconoce información suministrada en tablas, gráficas y esquemas de una sola variable independiente, y la asocia con nociones de los conceptos básicos de las ciencias naturales (tiempo, posición, velocidad, imantación y filtración).
Para clasificar en este nivel, el estudiante:
• Identifica patrones y características a partir de información presentada en textos, gráficas y tablas.
• Relaciona esquemas con nociones básicas del conocimiento científico.
• Establece predicciones a partir de datos presentados en tablas, gráficas y esquemas en donde se presentan patrones claramente crecientes o decrecientes.
• Ordena datos e información en gráficas y tablas.</t>
  </si>
  <si>
    <t>Además de lo descrito en el nivel 2, el estudiante que se ubica en este nivel interrelaciona conceptos, leyes y teorías científicas con información presentada en diversos contextos, en los que intervienen dos o más variables, para hacer inferencias sobre una situación problema o un fenómeno natural.
Para clasificar en este nivel, el estudiante:
• Establece relaciones de causa-efecto usando información no suministrada.
• Interpreta gráficas, tablas y modelos para hacer predicciones.
• Establece relaciones entre conceptos, leyes y teorías científicas con diseños experimentales y sus resultados.
• Diferencia entre evidencias y conclusiones.
• Plantea hipótesis basadas en evidencias.
• Relaciona variables para explicar algunos fenómenos naturales.</t>
  </si>
  <si>
    <t>Además de lo descrito en los niveles anteriores, el estudiante que se ubica en este nivel usa conceptos, teorías o leyes en la solución de situaciones problema que involucran procedimientos, habilidades, conocimientos y un
lenguaje propio de las ciencias naturales.
Descriptores específicos:
• Plantea preguntas de investigación desde las ciencias naturales a partir de un contexto determinado.
• Establece conclusiones derivadas de una investigación.
• Contrasta modelos de las ciencias naturales con fenómenos cotidianos.
• Resuelve situaciones problema usando conceptos, leyes y teorías de las ciencias naturales.
• Comunica resultados de procesos de investigación científica.
• Analiza fenómenos naturales con base en los procedimientos propios de la investigación científica</t>
  </si>
  <si>
    <t>•  Analiza aspectos de los  ecosistemas y da razón de cómo funcionan, de sus interrelaciones con los factores bióticos y abióticos y de sus efectos al modificarse alguna variable en el interior.
•  Analiza la dinámica interna de los organismos y da razón de cómo funcionan sus componentes por separado y en conjunto para mantener la vida en el organismo.</t>
  </si>
  <si>
    <t>• Analiza qué tipo de pregunta puede ser contestada a partir del contexto de una investigación científica.
• Reconoce la importancia de la evidencia para comprender fenómenos naturales.</t>
  </si>
  <si>
    <t>• Comunica de forma apropiada el proceso y los resultados de investigación en ciencias naturales.
• Determina si los resultados derivados de una investigación son suficientes y pertinentes para sacar conclusiones en una situación dada.
• Elabora conclusiones a partir de información o evidencias que las respalden. 
• Hace predicciones con base en información, patrones y regularidades.</t>
  </si>
  <si>
    <t>• Interpreta y analiza datos representados en texto, gráficas, dibujos, diagramas o tablas.
• Representa datos en gráficas y tablas.</t>
  </si>
  <si>
    <t>• Da posibles explicaciones de eventos o fenómenos consistentes con conceptos de la ciencia (predicción o hipótesis).
• Diseña experimentos para dar respuesta a sus preguntas. 
• Elige y utiliza instrumentos adecuados para reunir datos. 
• Reconoce la necesidad de registrar y clasificar la información para realizar un buen análisis.
• Usa información adicional para evaluar una predicción.</t>
  </si>
  <si>
    <t xml:space="preserve">• Explica algunos principios para mantener la salud individual y la pública con base en principios biológicos, químicos y físicos. 
• Explica cómo la explotación de un recurso o el uso de una tecnología tiene efectos positivos y/o negativos en las personas y en el entorno.
• Explica el uso correcto y seguro de una tecnología o artefacto en un contexto específico. </t>
  </si>
  <si>
    <t>EVIDENCIA</t>
  </si>
  <si>
    <t>• Relaciona los componentes de un circuito en serie y en paralelo con sus respectivos voltajes y corrientes.
• Relaciona los distintos factores que determinan la dinámica de un sistema o fenómeno (condiciones iniciales, parámetros y constantes) para identificar (no en un modelo) su comportamiento, teniendo en cuenta las leyes de la física.
• Relaciona los tipos de energía presentes en un objeto con las interacciones que presenta el sistema con su entorno.</t>
  </si>
  <si>
    <t xml:space="preserve">• Identifica las características fundamentales de las ondas, así como las variables y parámetros que afectan estas características en un medio de propagación.
• Identifica las formas de energía presentes en un fenómeno físico y las transformaciones que se dan entre la formas de energía. 
• Identifica los diferentes tipos de fuerzas que actúan sobre los cuerpos que conforman un sistema.
</t>
  </si>
  <si>
    <t>• Usa modelos físicos (no básicos) basados en dinámica clásica (modelos mecanicistas) de un fenómeno particular en un sistema.</t>
  </si>
  <si>
    <t xml:space="preserve">• Elabora explicaciones al relacionar las variables de estado que describen un sistema electrónico, argumentando a partir de los modelos básicos de circuitos.
• Elabora explicaciones al relacionar las variables de estado que describen un sistema, argumentando a partir de los modelos básicos de cinemática y dinámica newtoniana.
• Elabora explicaciones al relacionar las variables de estado que describen un sistema, argumentando a partir de los modelos básicos de la termodinámica.
• Elabora explicaciones al relacionar las variables de estado que describen un sistema, argumentando a partir de los modelos básicos de ondas. </t>
  </si>
  <si>
    <t>• Identifica y usa modelos químicos para comprender fenómenos particulares de la naturaleza.</t>
  </si>
  <si>
    <t>• Da las razones por las cuales una reacción describe un fenómeno y justifica las relaciones cuantitativas existentes, teniendo en cuenta la ley de la conservación de la masa y carga.
• Reconoce las razones por las cuales la materia se puede diferenciar según su estructura y propiedades, y justifica las diferencias existentes entre distintos elementos, compuestos
y mezclas.
• Reconoce los atributos que definen ciertos procesos fisicoquímicos simples (separación de mezclas, solubilidad, gases ideales, cambios de fase) y da razón de la manera en que ocurren.</t>
  </si>
  <si>
    <t>• Diferencia distintos tipos de reacciones químicas y realiza cálculos de manera adecuada teniendo en cuenta la ley de la conservación de la masa y carga.
• Establece relaciones entre conceptos fisicoquímicos simples (separación de mezclas, solubilidad, gases ideales) con distintos fenómenos naturales.
• Establece relaciones entre las propiedades y estructura de la materia con la formación de iones y moléculas.</t>
  </si>
  <si>
    <t>• Identifica las propiedades y estructura de la materia y diferencia elementos, compuestos y mezclas.</t>
  </si>
  <si>
    <t>• Analiza y usa modelos biológicos para comprender la dinámica que se da en lo vivo y en el entorno.</t>
  </si>
  <si>
    <t xml:space="preserve">• Establece relaciones entre fenómenos biológicos para comprender la dinámica de lo vivo. 
• Establece relaciones entre fenómenos biológicos para comprender su entorno. 
</t>
  </si>
  <si>
    <t xml:space="preserve">• Identifica características de algunos procesos que se dan en los ecosistemas para comprender la dinámica que se da en su interior.
• Identifica características de algunos procesos que se dan en los organismos para comprender la dinámica de lo vivo.
</t>
  </si>
  <si>
    <t>1. PENSAMIENTO SOCIAL 
(30% de las preguntas)</t>
  </si>
  <si>
    <t>2. INTERPRETACIÓN Y ANÁLISIS DE PERSPECTIVAS 
(40% de las preguntas)</t>
  </si>
  <si>
    <t>3. PENSAMIENTO REFLEXIVO Y SISTEMÁTICO 
(30% de las preguntas)</t>
  </si>
  <si>
    <t>Porcentaje promedio de estudiantes que responde incorrectamente a los aprendizajes
Ciencias Naturales - Procesos Vivos 
(30% de las preguntas)</t>
  </si>
  <si>
    <t>Uso comprensivo del conocimiento científico 
(9% de las preguntas)</t>
  </si>
  <si>
    <t>Indagar 
(9% de las preguntas)</t>
  </si>
  <si>
    <t>Explicación de fenómenos 
(12% de las preguntas)</t>
  </si>
  <si>
    <t>Porcentaje promedio de estudiantes que responde incorrectamente a los aprendizajes
Procesos Químicos 
(30% de las preguntas)</t>
  </si>
  <si>
    <t>Explicación de fenómenos 
(9% de las preguntas)</t>
  </si>
  <si>
    <t>Indagar 
(12% de las preguntas)</t>
  </si>
  <si>
    <t>Uso comprensivo del conocimiento científico 
(3% de las preguntas)</t>
  </si>
  <si>
    <t>Explicación de fenómenos
(3% de las preguntas)</t>
  </si>
  <si>
    <t>Porcentaje promedio de estudiantes que responde incorrectamente a los aprendizajes
Ciencia, tecnología y sociedad
(10% de las preguntas)</t>
  </si>
  <si>
    <t>• Reconoce posibles cambios en el entorno por la explotación de un recurso o el uso de una tecnología.</t>
  </si>
  <si>
    <t>Porcentaje promedio de estudiantes que responde incorrectamente a los aprendizajes
Procesos físicos
(30% de las preguntas)</t>
  </si>
  <si>
    <t>SOACHA OFICIALES URBANOS</t>
  </si>
  <si>
    <t>SOACHA PRIVADOS</t>
  </si>
  <si>
    <t>NINGUNO</t>
  </si>
  <si>
    <t>RESULTADOS SOACHA 2016-2024</t>
  </si>
  <si>
    <t>2023</t>
  </si>
  <si>
    <t>2024</t>
  </si>
  <si>
    <t>Comparación DING</t>
  </si>
  <si>
    <t>Comparación PING</t>
  </si>
  <si>
    <t>Niveles de desempeño Inglés 2016 - 2024</t>
  </si>
  <si>
    <t>Niveles de desempeño Ciencias Naturales 2016 - 2024</t>
  </si>
  <si>
    <t>COLEGIO SUE</t>
  </si>
  <si>
    <t>LICEO TALENTOS</t>
  </si>
  <si>
    <t>325754004971</t>
  </si>
  <si>
    <t>325754800115</t>
  </si>
  <si>
    <t>En esta pestaña encontrarán la información correspondiente al Promedio Global por Institución Educativa y la clasificación del plantel publicado por el Icfes para los años 2016 a 2024. Para esto, el usuario debe seleccionar de la lista desplegable ubicada en la parte superior la institución educativa de su interés. Adicionalmente, cuenta con la posibilidad de hacer comparaciones con otras instituciones educativas o con otros grupos de comparación como la comuna, municipio o país. Si no desea comparar puede escoger al final del listado la opción "Ninguno"</t>
  </si>
  <si>
    <t xml:space="preserve">En esta pestaña se consolidan los resultados para cada una de las 5 pruebas evaluadas: Lectura Crítica, Matemáticas, Sociales y Ciudadanas, Ciencias Naturales e Inglés. Se presenta el promedio obtenido por la institución educativa en cada prueba desde 2016 hasta 2024. Igualmente encontrarán el porcentaje de estudiantes que se ubican en cada nivel de desempeño y el descriptor de cada nivel de desempeño. Muestra los datos de las instituciones o grupos seleccionados en la Hoja 2 Puntaje Global. Los resultados se muestran en tabla y gráfica para facilitar la apropiación de los mismos. </t>
  </si>
  <si>
    <t xml:space="preserve">En la pestaña 4 se encuentra el porcentaje de respuestas incorrectas obtenido por la institución educativa para cada una de las competencias evaluadas en la prueba de lectura desde el año 2016 al año 2024. </t>
  </si>
  <si>
    <t xml:space="preserve">En la pestaña 5 se encuentra el porcentaje de respuestas incorrectas obtenido por la institución educativa para cada una de las competencias evaluadas en la prueba de matemáticas desde el año 2016 al año 2024. </t>
  </si>
  <si>
    <t xml:space="preserve">En la pestaña 6 se encuentra el porcentaje de respuestas incorrectas obtenido por la institución educativa para cada uno de los aprendizajes evaluados en la prueba de sociales y ciudadanas desde el año 2016 al año 2024. </t>
  </si>
  <si>
    <r>
      <t xml:space="preserve">En la pestaña 7 se encuentra el porcentaje de respuestas incorrectas obtenido por la institución educativa para cada uno de los aprendizajes evaluados en la prueba de ciencias naturales </t>
    </r>
    <r>
      <rPr>
        <b/>
        <sz val="12"/>
        <color theme="1"/>
        <rFont val="Arial"/>
        <family val="2"/>
      </rPr>
      <t>componente procesos vivos</t>
    </r>
    <r>
      <rPr>
        <sz val="12"/>
        <color theme="1"/>
        <rFont val="Arial"/>
        <family val="2"/>
      </rPr>
      <t xml:space="preserve"> desde el año 2016 al año 2024. </t>
    </r>
  </si>
  <si>
    <r>
      <t>En la pestaña 8 se encuentra el porcentaje de respuestas incorrectas obtenido por la institución educativa para cada uno de los aprendizajes evaluados en la prueba de</t>
    </r>
    <r>
      <rPr>
        <b/>
        <sz val="12"/>
        <color theme="1"/>
        <rFont val="Arial"/>
        <family val="2"/>
      </rPr>
      <t xml:space="preserve"> ciencias naturales componente procesos químicos</t>
    </r>
    <r>
      <rPr>
        <sz val="12"/>
        <color theme="1"/>
        <rFont val="Arial"/>
        <family val="2"/>
      </rPr>
      <t xml:space="preserve"> desde el año 2016 al año 2024. </t>
    </r>
  </si>
  <si>
    <r>
      <t>En la pestaña 9 se encuentra el porcentaje de respuestas incorrectas obtenido por la institución educativa para cada uno de los aprendizajes evaluados en la prueba de</t>
    </r>
    <r>
      <rPr>
        <b/>
        <sz val="12"/>
        <color theme="1"/>
        <rFont val="Arial"/>
        <family val="2"/>
      </rPr>
      <t xml:space="preserve"> ciencias naturales componente procesos físicos</t>
    </r>
    <r>
      <rPr>
        <sz val="12"/>
        <color theme="1"/>
        <rFont val="Arial"/>
        <family val="2"/>
      </rPr>
      <t xml:space="preserve"> desde el año 2016 al año 2024. </t>
    </r>
  </si>
  <si>
    <r>
      <t>En la pestaña 10 se encuentra el porcentaje de respuestas incorrectas obtenido por la institución educativa para cada uno de los aprendizajes evaluados en la prueba de</t>
    </r>
    <r>
      <rPr>
        <b/>
        <sz val="12"/>
        <color theme="1"/>
        <rFont val="Arial"/>
        <family val="2"/>
      </rPr>
      <t xml:space="preserve"> ciencias naturales componente ciencia, tecnología y sociedad </t>
    </r>
    <r>
      <rPr>
        <sz val="12"/>
        <color theme="1"/>
        <rFont val="Arial"/>
        <family val="2"/>
      </rPr>
      <t xml:space="preserve">desde el año 2016 al año 2024. </t>
    </r>
  </si>
  <si>
    <t>GUÍA DE USO PARA LAS INSTITUCIONES EDUCATIVAS SOACHA 2025</t>
  </si>
  <si>
    <t>CENCOSISTEMAS SOACHA</t>
  </si>
  <si>
    <t>INSTITUCION EDUCATIVA JULIO CÉSAR TURBAY AYALA</t>
  </si>
  <si>
    <t>INSTITUCION EDUCATIVA JUVENTUD DEL SUR</t>
  </si>
  <si>
    <t>INSTITUTO CAMPESTRE SENDEROS  LTDA.</t>
  </si>
  <si>
    <t>COLEGIO SANTA TERESITA SEDE EL OASIS</t>
  </si>
  <si>
    <t>COLEGIO SANTA TERESITA EL OASIS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</si>
</sst>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9"/>
      <name val="Arial"/>
      <family val="2"/>
    </font>
    <font>
      <b/>
      <sz val="20"/>
      <color indexed="12"/>
      <name val="Arial"/>
      <family val="2"/>
    </font>
    <font>
      <b/>
      <sz val="16"/>
      <color indexed="12"/>
      <name val="Arial"/>
      <family val="2"/>
    </font>
    <font>
      <b/>
      <sz val="10"/>
      <color indexed="54"/>
      <name val="Arial"/>
      <family val="2"/>
    </font>
    <font>
      <b/>
      <sz val="10"/>
      <color indexed="54"/>
      <name val="Arial"/>
      <family val="2"/>
    </font>
    <font>
      <b/>
      <sz val="10"/>
      <color indexed="9"/>
      <name val="Arial"/>
      <family val="2"/>
    </font>
    <font>
      <b/>
      <sz val="10"/>
      <color theme="0"/>
      <name val="Arial"/>
      <family val="2"/>
    </font>
    <font>
      <b/>
      <sz val="10"/>
      <color indexed="9"/>
      <name val="Calibri"/>
      <family val="2"/>
      <scheme val="minor"/>
    </font>
    <font>
      <b/>
      <sz val="10"/>
      <color indexed="54"/>
      <name val="Calibri"/>
      <family val="2"/>
      <scheme val="minor"/>
    </font>
    <font>
      <sz val="12"/>
      <color theme="1"/>
      <name val="Calibri"/>
      <family val="2"/>
      <scheme val="minor"/>
    </font>
    <font>
      <b/>
      <sz val="14"/>
      <color theme="1"/>
      <name val="Calibri"/>
      <family val="2"/>
      <scheme val="minor"/>
    </font>
    <font>
      <sz val="10"/>
      <name val="Arial"/>
      <family val="2"/>
    </font>
    <font>
      <b/>
      <sz val="10"/>
      <name val="Arial"/>
      <family val="2"/>
    </font>
    <font>
      <b/>
      <sz val="9"/>
      <color rgb="FF000000"/>
      <name val="Arial"/>
      <family val="2"/>
    </font>
    <font>
      <sz val="10"/>
      <color rgb="FF000000"/>
      <name val="Arial"/>
      <family val="2"/>
    </font>
    <font>
      <b/>
      <i/>
      <sz val="16"/>
      <color rgb="FF000000"/>
      <name val="Arial"/>
      <family val="2"/>
    </font>
    <font>
      <b/>
      <sz val="16"/>
      <name val="Arial"/>
      <family val="2"/>
    </font>
    <font>
      <b/>
      <sz val="18"/>
      <color theme="1"/>
      <name val="Calibri"/>
      <family val="2"/>
      <scheme val="minor"/>
    </font>
    <font>
      <sz val="8"/>
      <name val="Arial"/>
      <family val="2"/>
    </font>
    <font>
      <sz val="16"/>
      <color theme="1"/>
      <name val="Calibri"/>
      <family val="2"/>
      <scheme val="minor"/>
    </font>
    <font>
      <b/>
      <sz val="20"/>
      <color theme="1"/>
      <name val="Calibri"/>
      <family val="2"/>
      <scheme val="minor"/>
    </font>
    <font>
      <b/>
      <sz val="10"/>
      <color rgb="FF000000"/>
      <name val="Arial"/>
      <family val="2"/>
    </font>
    <font>
      <b/>
      <sz val="12"/>
      <color theme="1"/>
      <name val="Calibri"/>
      <family val="2"/>
      <scheme val="minor"/>
    </font>
    <font>
      <sz val="12"/>
      <color rgb="FFFF0000"/>
      <name val="Calibri"/>
      <family val="2"/>
      <scheme val="minor"/>
    </font>
    <font>
      <b/>
      <sz val="14"/>
      <color rgb="FFFF0000"/>
      <name val="Calibri"/>
      <family val="2"/>
      <scheme val="minor"/>
    </font>
    <font>
      <sz val="12"/>
      <color theme="0"/>
      <name val="Arial"/>
      <family val="2"/>
    </font>
    <font>
      <b/>
      <sz val="12"/>
      <color theme="1"/>
      <name val="Arial"/>
      <family val="2"/>
    </font>
    <font>
      <b/>
      <sz val="9"/>
      <color rgb="FFFF0000"/>
      <name val="Arial"/>
      <family val="2"/>
    </font>
    <font>
      <b/>
      <sz val="16"/>
      <color theme="0"/>
      <name val="Arial"/>
      <family val="2"/>
    </font>
    <font>
      <b/>
      <sz val="16"/>
      <color theme="1"/>
      <name val="Arial"/>
      <family val="2"/>
    </font>
    <font>
      <sz val="16"/>
      <color theme="1"/>
      <name val="Arial"/>
      <family val="2"/>
    </font>
    <font>
      <b/>
      <i/>
      <sz val="16"/>
      <color rgb="FFFF0000"/>
      <name val="Arial"/>
      <family val="2"/>
    </font>
    <font>
      <b/>
      <sz val="12"/>
      <color theme="0"/>
      <name val="Arial"/>
      <family val="2"/>
    </font>
    <font>
      <b/>
      <sz val="14"/>
      <color theme="0"/>
      <name val="Arial"/>
      <family val="2"/>
    </font>
    <font>
      <sz val="12"/>
      <color rgb="FFFF0000"/>
      <name val="Arial"/>
      <family val="2"/>
    </font>
    <font>
      <b/>
      <sz val="12"/>
      <name val="Arial"/>
      <family val="2"/>
    </font>
    <font>
      <sz val="12"/>
      <name val="Arial"/>
      <family val="2"/>
    </font>
    <font>
      <b/>
      <sz val="10"/>
      <name val="Arial"/>
      <family val="2"/>
    </font>
    <font>
      <b/>
      <i/>
      <sz val="16"/>
      <name val="Arial"/>
      <family val="2"/>
    </font>
    <font>
      <b/>
      <sz val="12"/>
      <color rgb="FF000000"/>
      <name val="Arial"/>
      <family val="2"/>
    </font>
    <font>
      <sz val="12"/>
      <name val="Calibri"/>
      <family val="2"/>
      <scheme val="minor"/>
    </font>
    <font>
      <sz val="16"/>
      <name val="Arial"/>
      <family val="2"/>
    </font>
    <font>
      <b/>
      <sz val="16"/>
      <color rgb="FFFF0000"/>
      <name val="Arial"/>
      <family val="2"/>
    </font>
    <font>
      <sz val="16"/>
      <color rgb="FFFF0000"/>
      <name val="Arial"/>
      <family val="2"/>
    </font>
    <font>
      <b/>
      <sz val="16"/>
      <color theme="1"/>
      <name val="Calibri"/>
      <family val="2"/>
      <scheme val="minor"/>
    </font>
    <font>
      <i/>
      <sz val="10"/>
      <color theme="1"/>
      <name val="Calibri"/>
      <family val="2"/>
      <scheme val="minor"/>
    </font>
    <font>
      <i/>
      <sz val="10"/>
      <color theme="1"/>
      <name val="Arial"/>
      <family val="2"/>
    </font>
    <font>
      <sz val="10"/>
      <name val="Arial"/>
      <family val="2"/>
    </font>
    <font>
      <b/>
      <sz val="10"/>
      <color indexed="54"/>
      <name val="Arial"/>
      <family val="2"/>
    </font>
    <font>
      <b/>
      <sz val="10"/>
      <color indexed="9"/>
      <name val="Arial"/>
      <family val="2"/>
    </font>
    <font>
      <b/>
      <sz val="10"/>
      <color indexed="9"/>
      <name val="Arial"/>
      <family val="2"/>
    </font>
    <font>
      <b/>
      <sz val="10"/>
      <color indexed="54"/>
      <name val="Arial"/>
      <family val="2"/>
    </font>
    <font>
      <b/>
      <i/>
      <sz val="16"/>
      <color rgb="FF000000"/>
      <name val="Calibri"/>
      <family val="2"/>
      <scheme val="minor"/>
    </font>
    <font>
      <sz val="10"/>
      <name val="Calibri"/>
      <family val="2"/>
      <scheme val="minor"/>
    </font>
    <font>
      <sz val="12"/>
      <color theme="1"/>
      <name val="Arial"/>
      <family val="2"/>
    </font>
    <font>
      <b/>
      <sz val="12"/>
      <color rgb="FFFF0000"/>
      <name val="Arial"/>
      <family val="2"/>
    </font>
    <font>
      <b/>
      <sz val="12"/>
      <color rgb="FFC00000"/>
      <name val="Arial"/>
      <family val="2"/>
    </font>
    <font>
      <b/>
      <sz val="12"/>
      <color rgb="FF92D050"/>
      <name val="Arial"/>
      <family val="2"/>
    </font>
    <font>
      <b/>
      <sz val="12"/>
      <color theme="4"/>
      <name val="Arial"/>
      <family val="2"/>
    </font>
    <font>
      <b/>
      <sz val="12"/>
      <color rgb="FF00B050"/>
      <name val="Arial"/>
      <family val="2"/>
    </font>
    <font>
      <b/>
      <sz val="12"/>
      <color rgb="FFFF6600"/>
      <name val="Arial"/>
      <family val="2"/>
    </font>
    <font>
      <b/>
      <sz val="12"/>
      <color rgb="FF7030A0"/>
      <name val="Arial"/>
      <family val="2"/>
    </font>
    <font>
      <sz val="9"/>
      <color rgb="FF000000"/>
      <name val="Arial"/>
      <family val="2"/>
    </font>
    <font>
      <sz val="14"/>
      <name val="Arial"/>
      <family val="2"/>
    </font>
    <font>
      <sz val="9"/>
      <name val="Arial"/>
      <family val="2"/>
    </font>
    <font>
      <b/>
      <sz val="14"/>
      <color theme="1"/>
      <name val="Arial"/>
      <family val="2"/>
    </font>
    <font>
      <sz val="14"/>
      <color theme="1"/>
      <name val="Calibri"/>
      <family val="2"/>
      <scheme val="minor"/>
    </font>
    <font>
      <sz val="10"/>
      <color theme="1"/>
      <name val="Arial"/>
      <family val="2"/>
    </font>
    <font>
      <b/>
      <sz val="14"/>
      <name val="Arial"/>
      <family val="2"/>
    </font>
    <font>
      <sz val="14"/>
      <color theme="1"/>
      <name val="Arial"/>
      <family val="2"/>
    </font>
    <font>
      <sz val="9"/>
      <color theme="1"/>
      <name val="Arial"/>
      <family val="2"/>
    </font>
    <font>
      <b/>
      <sz val="10"/>
      <color indexed="9"/>
      <name val="Arial"/>
      <family val="2"/>
    </font>
    <font>
      <b/>
      <sz val="10"/>
      <color indexed="54"/>
      <name val="Arial"/>
      <family val="2"/>
    </font>
    <font>
      <sz val="11"/>
      <name val="Calibri"/>
      <family val="2"/>
      <scheme val="minor"/>
    </font>
    <font>
      <sz val="8"/>
      <name val="Arial"/>
      <family val="2"/>
    </font>
    <font>
      <sz val="11"/>
      <name val="Arial Narrow"/>
      <family val="2"/>
    </font>
  </fonts>
  <fills count="30">
    <fill>
      <patternFill patternType="none"/>
    </fill>
    <fill>
      <patternFill patternType="gray125"/>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indexed="54"/>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bgColor indexed="64"/>
      </patternFill>
    </fill>
    <fill>
      <patternFill patternType="solid">
        <fgColor theme="9"/>
        <bgColor indexed="64"/>
      </patternFill>
    </fill>
    <fill>
      <patternFill patternType="solid">
        <fgColor theme="5"/>
        <bgColor indexed="64"/>
      </patternFill>
    </fill>
    <fill>
      <patternFill patternType="solid">
        <fgColor theme="2" tint="-9.9978637043366805E-2"/>
        <bgColor indexed="64"/>
      </patternFill>
    </fill>
    <fill>
      <patternFill patternType="solid">
        <fgColor indexed="46"/>
        <bgColor indexed="64"/>
      </patternFill>
    </fill>
    <fill>
      <patternFill patternType="solid">
        <fgColor rgb="FFFFC000"/>
        <bgColor indexed="64"/>
      </patternFill>
    </fill>
    <fill>
      <patternFill patternType="solid">
        <fgColor rgb="FFDE0000"/>
        <bgColor indexed="64"/>
      </patternFill>
    </fill>
    <fill>
      <patternFill patternType="solid">
        <fgColor rgb="FF92D050"/>
        <bgColor indexed="64"/>
      </patternFill>
    </fill>
    <fill>
      <patternFill patternType="solid">
        <fgColor rgb="FF00B050"/>
        <bgColor indexed="64"/>
      </patternFill>
    </fill>
    <fill>
      <patternFill patternType="solid">
        <fgColor rgb="FFFF6600"/>
        <bgColor indexed="64"/>
      </patternFill>
    </fill>
    <fill>
      <patternFill patternType="solid">
        <fgColor rgb="FF800000"/>
        <bgColor indexed="64"/>
      </patternFill>
    </fill>
    <fill>
      <patternFill patternType="solid">
        <fgColor theme="6"/>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139">
    <border>
      <left/>
      <right/>
      <top/>
      <bottom/>
      <diagonal/>
    </border>
    <border>
      <left style="thin">
        <color indexed="49"/>
      </left>
      <right style="thin">
        <color indexed="49"/>
      </right>
      <top style="thin">
        <color indexed="49"/>
      </top>
      <bottom style="thin">
        <color indexed="49"/>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style="thin">
        <color indexed="49"/>
      </left>
      <right style="thin">
        <color indexed="49"/>
      </right>
      <top/>
      <bottom/>
      <diagonal/>
    </border>
    <border>
      <left style="thin">
        <color indexed="63"/>
      </left>
      <right/>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thin">
        <color indexed="63"/>
      </left>
      <right/>
      <top style="thin">
        <color indexed="63"/>
      </top>
      <bottom style="thin">
        <color indexed="49"/>
      </bottom>
      <diagonal/>
    </border>
    <border>
      <left/>
      <right style="thin">
        <color indexed="63"/>
      </right>
      <top/>
      <bottom/>
      <diagonal/>
    </border>
    <border>
      <left/>
      <right style="thin">
        <color indexed="63"/>
      </right>
      <top/>
      <bottom style="thin">
        <color indexed="63"/>
      </bottom>
      <diagonal/>
    </border>
    <border>
      <left style="thin">
        <color indexed="63"/>
      </left>
      <right/>
      <top/>
      <bottom style="thin">
        <color indexed="63"/>
      </bottom>
      <diagonal/>
    </border>
    <border>
      <left style="thin">
        <color indexed="63"/>
      </left>
      <right style="thin">
        <color indexed="63"/>
      </right>
      <top/>
      <bottom/>
      <diagonal/>
    </border>
    <border>
      <left/>
      <right style="thin">
        <color indexed="63"/>
      </right>
      <top style="thin">
        <color indexed="63"/>
      </top>
      <bottom/>
      <diagonal/>
    </border>
    <border>
      <left/>
      <right/>
      <top style="thin">
        <color indexed="63"/>
      </top>
      <bottom/>
      <diagonal/>
    </border>
    <border>
      <left/>
      <right/>
      <top/>
      <bottom style="thin">
        <color indexed="49"/>
      </bottom>
      <diagonal/>
    </border>
    <border>
      <left style="thin">
        <color indexed="63"/>
      </left>
      <right style="thin">
        <color indexed="63"/>
      </right>
      <top/>
      <bottom style="thin">
        <color indexed="49"/>
      </bottom>
      <diagonal/>
    </border>
    <border>
      <left style="thin">
        <color indexed="49"/>
      </left>
      <right/>
      <top style="thin">
        <color indexed="49"/>
      </top>
      <bottom style="thin">
        <color indexed="49"/>
      </bottom>
      <diagonal/>
    </border>
    <border>
      <left style="thin">
        <color indexed="63"/>
      </left>
      <right/>
      <top style="thin">
        <color indexed="63"/>
      </top>
      <bottom/>
      <diagonal/>
    </border>
    <border>
      <left style="thin">
        <color indexed="49"/>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9"/>
      </left>
      <right style="thin">
        <color indexed="49"/>
      </right>
      <top style="thin">
        <color indexed="49"/>
      </top>
      <bottom style="thin">
        <color indexed="49"/>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3"/>
      </top>
      <bottom style="thin">
        <color indexed="63"/>
      </bottom>
      <diagonal/>
    </border>
    <border>
      <left style="thin">
        <color indexed="63"/>
      </left>
      <right/>
      <top/>
      <bottom style="thin">
        <color indexed="63"/>
      </bottom>
      <diagonal/>
    </border>
    <border>
      <left style="thin">
        <color indexed="63"/>
      </left>
      <right style="thin">
        <color indexed="63"/>
      </right>
      <top/>
      <bottom style="thin">
        <color indexed="49"/>
      </bottom>
      <diagonal/>
    </border>
    <border>
      <left/>
      <right/>
      <top/>
      <bottom style="thin">
        <color indexed="49"/>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49"/>
      </left>
      <right style="thin">
        <color indexed="49"/>
      </right>
      <top style="thin">
        <color indexed="49"/>
      </top>
      <bottom style="thin">
        <color indexed="4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thin">
        <color indexed="49"/>
      </left>
      <right style="thin">
        <color indexed="49"/>
      </right>
      <top style="thin">
        <color indexed="49"/>
      </top>
      <bottom style="thin">
        <color indexed="49"/>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9"/>
      </left>
      <right style="thin">
        <color indexed="49"/>
      </right>
      <top style="thin">
        <color indexed="49"/>
      </top>
      <bottom style="thin">
        <color indexed="49"/>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thin">
        <color indexed="63"/>
      </top>
      <bottom style="thin">
        <color indexed="63"/>
      </bottom>
      <diagonal/>
    </border>
    <border>
      <left style="thin">
        <color indexed="49"/>
      </left>
      <right style="thin">
        <color indexed="49"/>
      </right>
      <top/>
      <bottom style="thin">
        <color indexed="49"/>
      </bottom>
      <diagonal/>
    </border>
    <border>
      <left style="thin">
        <color indexed="49"/>
      </left>
      <right style="thin">
        <color indexed="49"/>
      </right>
      <top style="thin">
        <color indexed="49"/>
      </top>
      <bottom/>
      <diagonal/>
    </border>
    <border>
      <left/>
      <right style="thin">
        <color indexed="49"/>
      </right>
      <top style="thin">
        <color indexed="49"/>
      </top>
      <bottom style="thin">
        <color indexed="49"/>
      </bottom>
      <diagonal/>
    </border>
    <border>
      <left style="thin">
        <color indexed="49"/>
      </left>
      <right style="thin">
        <color indexed="64"/>
      </right>
      <top style="thin">
        <color indexed="49"/>
      </top>
      <bottom style="thin">
        <color indexed="49"/>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3"/>
      </left>
      <right/>
      <top/>
      <bottom style="thin">
        <color indexed="63"/>
      </bottom>
      <diagonal/>
    </border>
    <border>
      <left/>
      <right/>
      <top/>
      <bottom style="thin">
        <color indexed="63"/>
      </bottom>
      <diagonal/>
    </border>
    <border>
      <left/>
      <right style="thin">
        <color theme="4" tint="-0.499984740745262"/>
      </right>
      <top/>
      <bottom/>
      <diagonal/>
    </border>
    <border>
      <left style="thin">
        <color indexed="49"/>
      </left>
      <right style="thin">
        <color theme="4" tint="-0.499984740745262"/>
      </right>
      <top style="thin">
        <color indexed="49"/>
      </top>
      <bottom style="thin">
        <color indexed="49"/>
      </bottom>
      <diagonal/>
    </border>
    <border>
      <left style="thin">
        <color indexed="63"/>
      </left>
      <right/>
      <top/>
      <bottom/>
      <diagonal/>
    </border>
    <border>
      <left/>
      <right style="thin">
        <color indexed="63"/>
      </right>
      <top/>
      <bottom style="thin">
        <color indexed="6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indexed="49"/>
      </left>
      <right/>
      <top style="thin">
        <color indexed="49"/>
      </top>
      <bottom style="thin">
        <color indexed="49"/>
      </bottom>
      <diagonal/>
    </border>
    <border>
      <left style="thin">
        <color theme="4" tint="-0.499984740745262"/>
      </left>
      <right style="thin">
        <color indexed="49"/>
      </right>
      <top style="thin">
        <color indexed="49"/>
      </top>
      <bottom style="thin">
        <color indexed="49"/>
      </bottom>
      <diagonal/>
    </border>
    <border>
      <left style="thin">
        <color theme="4" tint="-0.499984740745262"/>
      </left>
      <right style="thin">
        <color indexed="49"/>
      </right>
      <top style="thin">
        <color indexed="49"/>
      </top>
      <bottom style="thin">
        <color theme="4" tint="-0.499984740745262"/>
      </bottom>
      <diagonal/>
    </border>
    <border>
      <left style="thin">
        <color indexed="49"/>
      </left>
      <right style="thin">
        <color indexed="49"/>
      </right>
      <top style="thin">
        <color indexed="49"/>
      </top>
      <bottom style="thin">
        <color theme="4" tint="-0.499984740745262"/>
      </bottom>
      <diagonal/>
    </border>
    <border>
      <left style="thin">
        <color indexed="49"/>
      </left>
      <right style="thin">
        <color theme="4" tint="-0.499984740745262"/>
      </right>
      <top style="thin">
        <color indexed="49"/>
      </top>
      <bottom style="thin">
        <color theme="4" tint="-0.499984740745262"/>
      </bottom>
      <diagonal/>
    </border>
    <border>
      <left/>
      <right style="thin">
        <color indexed="49"/>
      </right>
      <top style="thin">
        <color indexed="49"/>
      </top>
      <bottom style="thin">
        <color theme="4" tint="-0.499984740745262"/>
      </bottom>
      <diagonal/>
    </border>
    <border>
      <left style="thin">
        <color indexed="49"/>
      </left>
      <right/>
      <top style="thin">
        <color indexed="49"/>
      </top>
      <bottom style="thin">
        <color theme="4" tint="-0.499984740745262"/>
      </bottom>
      <diagonal/>
    </border>
    <border>
      <left style="thin">
        <color theme="4" tint="-0.499984740745262"/>
      </left>
      <right style="thin">
        <color indexed="49"/>
      </right>
      <top/>
      <bottom style="thin">
        <color indexed="49"/>
      </bottom>
      <diagonal/>
    </border>
    <border>
      <left style="thin">
        <color indexed="49"/>
      </left>
      <right style="thin">
        <color theme="4" tint="-0.499984740745262"/>
      </right>
      <top/>
      <bottom style="thin">
        <color indexed="49"/>
      </bottom>
      <diagonal/>
    </border>
    <border>
      <left style="thin">
        <color indexed="49"/>
      </left>
      <right/>
      <top/>
      <bottom style="thin">
        <color indexed="49"/>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right style="thin">
        <color theme="1"/>
      </right>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top style="thin">
        <color theme="1"/>
      </top>
      <bottom/>
      <diagonal/>
    </border>
    <border>
      <left style="thin">
        <color indexed="49"/>
      </left>
      <right style="thin">
        <color indexed="49"/>
      </right>
      <top/>
      <bottom/>
      <diagonal/>
    </border>
    <border>
      <left/>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theme="1"/>
      </right>
      <top style="thin">
        <color indexed="64"/>
      </top>
      <bottom style="thin">
        <color indexed="64"/>
      </bottom>
      <diagonal/>
    </border>
    <border>
      <left style="thin">
        <color indexed="49"/>
      </left>
      <right style="thin">
        <color indexed="49"/>
      </right>
      <top style="thin">
        <color indexed="49"/>
      </top>
      <bottom style="thin">
        <color indexed="49"/>
      </bottom>
      <diagonal/>
    </border>
    <border>
      <left style="thin">
        <color auto="1"/>
      </left>
      <right style="thin">
        <color auto="1"/>
      </right>
      <top style="thin">
        <color auto="1"/>
      </top>
      <bottom style="thin">
        <color auto="1"/>
      </bottom>
      <diagonal/>
    </border>
    <border>
      <left style="thin">
        <color indexed="49"/>
      </left>
      <right style="thin">
        <color indexed="49"/>
      </right>
      <top style="thin">
        <color indexed="49"/>
      </top>
      <bottom style="thin">
        <color indexed="49"/>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4" fillId="0" borderId="0"/>
    <xf numFmtId="0" fontId="16" fillId="0" borderId="0"/>
    <xf numFmtId="0" fontId="16" fillId="0" borderId="0"/>
    <xf numFmtId="0" fontId="4" fillId="0" borderId="0"/>
    <xf numFmtId="9" fontId="52" fillId="0" borderId="0" applyFont="0" applyFill="0" applyBorder="0" applyAlignment="0" applyProtection="0"/>
    <xf numFmtId="0" fontId="2" fillId="0" borderId="0"/>
    <xf numFmtId="9" fontId="16" fillId="0" borderId="0" applyFont="0" applyFill="0" applyBorder="0" applyAlignment="0" applyProtection="0"/>
  </cellStyleXfs>
  <cellXfs count="1056">
    <xf numFmtId="0" fontId="0" fillId="0" borderId="0" xfId="0"/>
    <xf numFmtId="0" fontId="8" fillId="0" borderId="1" xfId="0" applyFont="1" applyBorder="1" applyAlignment="1">
      <alignment horizontal="right"/>
    </xf>
    <xf numFmtId="0" fontId="8" fillId="0" borderId="1" xfId="0" applyFont="1" applyBorder="1" applyAlignment="1">
      <alignment horizontal="center"/>
    </xf>
    <xf numFmtId="0" fontId="5" fillId="2" borderId="1" xfId="0" applyFont="1" applyFill="1" applyBorder="1" applyAlignment="1">
      <alignment horizontal="left"/>
    </xf>
    <xf numFmtId="0" fontId="8" fillId="3" borderId="1" xfId="0" applyFont="1" applyFill="1" applyBorder="1" applyAlignment="1">
      <alignment horizontal="left"/>
    </xf>
    <xf numFmtId="0" fontId="8" fillId="4" borderId="1" xfId="0" applyFont="1" applyFill="1" applyBorder="1" applyAlignment="1">
      <alignment horizontal="left"/>
    </xf>
    <xf numFmtId="0" fontId="8" fillId="5" borderId="1" xfId="0" applyFont="1" applyFill="1" applyBorder="1" applyAlignment="1">
      <alignment horizontal="left"/>
    </xf>
    <xf numFmtId="0" fontId="5" fillId="6" borderId="2" xfId="0" applyFont="1" applyFill="1" applyBorder="1" applyAlignment="1">
      <alignment horizontal="center" vertical="center" wrapText="1"/>
    </xf>
    <xf numFmtId="0" fontId="5" fillId="2" borderId="1" xfId="0" applyFont="1" applyFill="1" applyBorder="1" applyAlignment="1">
      <alignment horizontal="center"/>
    </xf>
    <xf numFmtId="0" fontId="8" fillId="3" borderId="1" xfId="0" applyFont="1" applyFill="1" applyBorder="1" applyAlignment="1">
      <alignment horizont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0" borderId="1" xfId="0" applyFont="1" applyBorder="1" applyAlignment="1">
      <alignment horizontal="center" vertical="center"/>
    </xf>
    <xf numFmtId="1" fontId="8" fillId="0" borderId="1" xfId="0" applyNumberFormat="1" applyFont="1" applyBorder="1" applyAlignment="1">
      <alignment horizontal="right"/>
    </xf>
    <xf numFmtId="0" fontId="9" fillId="0" borderId="1" xfId="0" applyFont="1" applyBorder="1" applyAlignment="1">
      <alignment horizontal="right"/>
    </xf>
    <xf numFmtId="1" fontId="0" fillId="0" borderId="0" xfId="0" applyNumberFormat="1" applyAlignment="1">
      <alignment horizontal="center"/>
    </xf>
    <xf numFmtId="0" fontId="10" fillId="6"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1" fontId="0" fillId="0" borderId="0" xfId="0" applyNumberFormat="1"/>
    <xf numFmtId="1" fontId="8" fillId="0" borderId="1" xfId="0" applyNumberFormat="1" applyFont="1" applyBorder="1" applyAlignment="1">
      <alignment horizontal="center"/>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9" fillId="4" borderId="4" xfId="0" applyFont="1" applyFill="1" applyBorder="1" applyAlignment="1">
      <alignment horizontal="center"/>
    </xf>
    <xf numFmtId="0" fontId="5" fillId="6" borderId="9" xfId="0" applyFont="1" applyFill="1" applyBorder="1" applyAlignment="1">
      <alignment horizontal="center" vertical="center" wrapText="1"/>
    </xf>
    <xf numFmtId="1" fontId="8" fillId="0" borderId="0" xfId="0" applyNumberFormat="1" applyFont="1" applyAlignment="1">
      <alignment horizontal="center"/>
    </xf>
    <xf numFmtId="1" fontId="8" fillId="0" borderId="1" xfId="0" applyNumberFormat="1" applyFont="1" applyBorder="1" applyAlignment="1">
      <alignment horizontal="center" vertical="center"/>
    </xf>
    <xf numFmtId="0" fontId="5" fillId="6" borderId="6" xfId="0" applyFont="1" applyFill="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left"/>
    </xf>
    <xf numFmtId="9" fontId="5" fillId="2" borderId="1" xfId="0" applyNumberFormat="1" applyFont="1" applyFill="1" applyBorder="1" applyAlignment="1">
      <alignment horizontal="center"/>
    </xf>
    <xf numFmtId="9" fontId="8" fillId="3" borderId="1" xfId="0" applyNumberFormat="1" applyFont="1" applyFill="1" applyBorder="1" applyAlignment="1">
      <alignment horizontal="center"/>
    </xf>
    <xf numFmtId="9" fontId="8" fillId="5" borderId="1" xfId="0" applyNumberFormat="1" applyFont="1" applyFill="1" applyBorder="1" applyAlignment="1">
      <alignment horizontal="center"/>
    </xf>
    <xf numFmtId="9" fontId="9" fillId="0" borderId="1" xfId="0" applyNumberFormat="1" applyFont="1" applyBorder="1" applyAlignment="1">
      <alignment horizontal="center"/>
    </xf>
    <xf numFmtId="0" fontId="0" fillId="0" borderId="1" xfId="0" applyBorder="1"/>
    <xf numFmtId="0" fontId="8" fillId="0" borderId="0" xfId="0" applyFont="1" applyAlignment="1">
      <alignment horizontal="right"/>
    </xf>
    <xf numFmtId="0" fontId="8" fillId="0" borderId="4" xfId="0" applyFont="1" applyBorder="1" applyAlignment="1">
      <alignment horizontal="right"/>
    </xf>
    <xf numFmtId="0" fontId="8" fillId="0" borderId="4" xfId="0" applyFont="1" applyBorder="1" applyAlignment="1">
      <alignment horizontal="center"/>
    </xf>
    <xf numFmtId="0" fontId="9" fillId="0" borderId="0" xfId="0" applyFont="1" applyAlignment="1">
      <alignment horizontal="center"/>
    </xf>
    <xf numFmtId="9" fontId="9" fillId="0" borderId="0" xfId="0" applyNumberFormat="1" applyFont="1" applyAlignment="1">
      <alignment horizontal="center"/>
    </xf>
    <xf numFmtId="0" fontId="8" fillId="0" borderId="0" xfId="0" applyFont="1" applyAlignment="1">
      <alignment horizontal="center" vertical="center"/>
    </xf>
    <xf numFmtId="0" fontId="10" fillId="2" borderId="1" xfId="0" applyFont="1" applyFill="1" applyBorder="1" applyAlignment="1">
      <alignment horizontal="center"/>
    </xf>
    <xf numFmtId="0" fontId="9" fillId="3" borderId="1" xfId="0" applyFont="1" applyFill="1" applyBorder="1" applyAlignment="1">
      <alignment horizontal="center"/>
    </xf>
    <xf numFmtId="0" fontId="9" fillId="5" borderId="1" xfId="0" applyFont="1" applyFill="1" applyBorder="1" applyAlignment="1">
      <alignment horizontal="center"/>
    </xf>
    <xf numFmtId="0" fontId="10" fillId="6" borderId="14"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2" xfId="0" applyFont="1" applyFill="1" applyBorder="1" applyAlignment="1">
      <alignment horizontal="center" vertical="center"/>
    </xf>
    <xf numFmtId="9" fontId="10" fillId="2" borderId="1" xfId="0" applyNumberFormat="1" applyFont="1" applyFill="1" applyBorder="1" applyAlignment="1">
      <alignment horizontal="center"/>
    </xf>
    <xf numFmtId="9" fontId="9" fillId="3" borderId="1" xfId="0" applyNumberFormat="1" applyFont="1" applyFill="1" applyBorder="1" applyAlignment="1">
      <alignment horizontal="center"/>
    </xf>
    <xf numFmtId="9" fontId="9" fillId="5" borderId="1" xfId="0" applyNumberFormat="1" applyFont="1" applyFill="1" applyBorder="1" applyAlignment="1">
      <alignment horizontal="center"/>
    </xf>
    <xf numFmtId="9" fontId="10" fillId="2" borderId="1" xfId="0" applyNumberFormat="1" applyFont="1" applyFill="1" applyBorder="1" applyAlignment="1">
      <alignment horizontal="center" vertical="center"/>
    </xf>
    <xf numFmtId="9" fontId="9" fillId="3" borderId="1" xfId="0" applyNumberFormat="1" applyFont="1" applyFill="1" applyBorder="1" applyAlignment="1">
      <alignment horizontal="center" vertical="center"/>
    </xf>
    <xf numFmtId="9" fontId="9" fillId="5"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8" fillId="3" borderId="1" xfId="0" applyNumberFormat="1" applyFont="1" applyFill="1" applyBorder="1" applyAlignment="1">
      <alignment horizontal="center" vertical="center"/>
    </xf>
    <xf numFmtId="9" fontId="8" fillId="0" borderId="1" xfId="0" applyNumberFormat="1" applyFont="1" applyBorder="1" applyAlignment="1">
      <alignment horizontal="center"/>
    </xf>
    <xf numFmtId="9" fontId="5" fillId="2" borderId="1"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0" fontId="0" fillId="0" borderId="0" xfId="0" applyAlignment="1">
      <alignment vertical="center"/>
    </xf>
    <xf numFmtId="1" fontId="0" fillId="0" borderId="0" xfId="0" applyNumberFormat="1" applyAlignment="1">
      <alignment horizontal="center" vertical="center"/>
    </xf>
    <xf numFmtId="1" fontId="8" fillId="0" borderId="0" xfId="0" applyNumberFormat="1" applyFont="1" applyAlignment="1">
      <alignment horizontal="center" vertical="center"/>
    </xf>
    <xf numFmtId="0" fontId="8" fillId="4" borderId="20" xfId="0" applyFont="1" applyFill="1" applyBorder="1" applyAlignment="1">
      <alignment horizontal="center" vertical="center"/>
    </xf>
    <xf numFmtId="1" fontId="8" fillId="0" borderId="20" xfId="0" applyNumberFormat="1"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xf>
    <xf numFmtId="0" fontId="8" fillId="4" borderId="20" xfId="0" applyFont="1" applyFill="1" applyBorder="1" applyAlignment="1">
      <alignment horizontal="center"/>
    </xf>
    <xf numFmtId="0" fontId="9" fillId="4" borderId="22" xfId="0" applyFont="1" applyFill="1" applyBorder="1" applyAlignment="1">
      <alignment horizontal="center"/>
    </xf>
    <xf numFmtId="0" fontId="12" fillId="6" borderId="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4" borderId="1" xfId="0" applyFont="1" applyFill="1" applyBorder="1" applyAlignment="1">
      <alignment horizontal="left"/>
    </xf>
    <xf numFmtId="0" fontId="13" fillId="4" borderId="1" xfId="0" applyFont="1" applyFill="1" applyBorder="1" applyAlignment="1">
      <alignment horizontal="center" vertical="center"/>
    </xf>
    <xf numFmtId="1" fontId="13" fillId="0" borderId="1" xfId="0" applyNumberFormat="1" applyFont="1" applyBorder="1" applyAlignment="1">
      <alignment horizontal="center"/>
    </xf>
    <xf numFmtId="1" fontId="8" fillId="0" borderId="20" xfId="0" applyNumberFormat="1" applyFont="1" applyBorder="1" applyAlignment="1">
      <alignment horizontal="center" vertical="center"/>
    </xf>
    <xf numFmtId="0" fontId="10" fillId="6" borderId="0" xfId="0" applyFont="1" applyFill="1" applyAlignment="1">
      <alignment horizontal="center" vertical="center" wrapText="1"/>
    </xf>
    <xf numFmtId="0" fontId="10" fillId="6" borderId="0" xfId="0" applyFont="1" applyFill="1" applyAlignment="1">
      <alignment horizontal="center" vertical="center"/>
    </xf>
    <xf numFmtId="9" fontId="0" fillId="0" borderId="0" xfId="0" applyNumberFormat="1"/>
    <xf numFmtId="0" fontId="0" fillId="0" borderId="0" xfId="0" applyAlignment="1">
      <alignment horizontal="center"/>
    </xf>
    <xf numFmtId="0" fontId="5" fillId="0" borderId="5" xfId="0" applyFont="1" applyBorder="1" applyAlignment="1">
      <alignment vertical="center" wrapText="1"/>
    </xf>
    <xf numFmtId="0" fontId="5" fillId="0" borderId="12" xfId="0" applyFont="1" applyBorder="1" applyAlignment="1">
      <alignment vertical="center" wrapText="1"/>
    </xf>
    <xf numFmtId="0" fontId="5" fillId="6" borderId="6" xfId="0" applyFont="1" applyFill="1" applyBorder="1" applyAlignment="1">
      <alignment vertical="center" wrapText="1"/>
    </xf>
    <xf numFmtId="0" fontId="5" fillId="6" borderId="8" xfId="0" applyFont="1" applyFill="1" applyBorder="1" applyAlignment="1">
      <alignment vertical="center" wrapText="1"/>
    </xf>
    <xf numFmtId="0" fontId="5" fillId="2" borderId="20" xfId="0" applyFont="1" applyFill="1" applyBorder="1" applyAlignment="1">
      <alignment horizontal="center" vertical="center"/>
    </xf>
    <xf numFmtId="0" fontId="8" fillId="3" borderId="20" xfId="0" applyFont="1" applyFill="1" applyBorder="1" applyAlignment="1">
      <alignment horizontal="center" vertical="center"/>
    </xf>
    <xf numFmtId="0" fontId="8" fillId="5" borderId="20" xfId="0" applyFont="1" applyFill="1" applyBorder="1" applyAlignment="1">
      <alignment horizontal="center" vertical="center"/>
    </xf>
    <xf numFmtId="0" fontId="5" fillId="0" borderId="0" xfId="0" applyFont="1" applyAlignment="1">
      <alignment horizontal="center" vertical="center"/>
    </xf>
    <xf numFmtId="9" fontId="0" fillId="0" borderId="0" xfId="0" applyNumberFormat="1" applyAlignment="1">
      <alignment horizontal="center"/>
    </xf>
    <xf numFmtId="9" fontId="8" fillId="0" borderId="0" xfId="0" applyNumberFormat="1" applyFont="1" applyAlignment="1">
      <alignment horizontal="center"/>
    </xf>
    <xf numFmtId="0" fontId="10" fillId="6" borderId="2" xfId="0" applyFont="1" applyFill="1" applyBorder="1" applyAlignment="1">
      <alignment horizontal="left" vertical="center" wrapText="1"/>
    </xf>
    <xf numFmtId="0" fontId="14" fillId="9" borderId="0" xfId="1" applyFill="1"/>
    <xf numFmtId="0" fontId="14" fillId="10" borderId="0" xfId="1" applyFill="1"/>
    <xf numFmtId="0" fontId="14" fillId="11" borderId="0" xfId="1" applyFill="1"/>
    <xf numFmtId="0" fontId="15" fillId="9" borderId="0" xfId="1" applyFont="1" applyFill="1" applyAlignment="1">
      <alignment horizontal="left"/>
    </xf>
    <xf numFmtId="0" fontId="15" fillId="9" borderId="0" xfId="1" applyFont="1" applyFill="1" applyAlignment="1">
      <alignment horizontal="center"/>
    </xf>
    <xf numFmtId="0" fontId="18" fillId="11" borderId="23" xfId="1" applyFont="1" applyFill="1" applyBorder="1" applyAlignment="1">
      <alignment horizontal="center" vertical="center" wrapText="1"/>
    </xf>
    <xf numFmtId="0" fontId="20" fillId="11" borderId="23" xfId="1" applyFont="1" applyFill="1" applyBorder="1" applyAlignment="1">
      <alignment horizontal="center" vertical="center" wrapText="1"/>
    </xf>
    <xf numFmtId="9" fontId="21" fillId="9" borderId="23" xfId="1" applyNumberFormat="1" applyFont="1" applyFill="1" applyBorder="1" applyAlignment="1">
      <alignment horizontal="center" vertical="center"/>
    </xf>
    <xf numFmtId="0" fontId="17" fillId="11" borderId="23" xfId="2" applyFont="1" applyFill="1" applyBorder="1" applyAlignment="1">
      <alignment horizontal="center" vertical="center" wrapText="1"/>
    </xf>
    <xf numFmtId="9" fontId="21" fillId="12" borderId="23" xfId="1" applyNumberFormat="1" applyFont="1" applyFill="1" applyBorder="1" applyAlignment="1">
      <alignment horizontal="center" vertical="center"/>
    </xf>
    <xf numFmtId="9" fontId="14" fillId="9" borderId="0" xfId="1" applyNumberFormat="1" applyFill="1"/>
    <xf numFmtId="0" fontId="14" fillId="0" borderId="0" xfId="1"/>
    <xf numFmtId="0" fontId="23" fillId="14" borderId="2" xfId="1" applyFont="1" applyFill="1" applyBorder="1" applyAlignment="1">
      <alignment horizontal="center" vertical="center" wrapText="1"/>
    </xf>
    <xf numFmtId="0" fontId="23" fillId="11" borderId="2" xfId="1" applyFont="1" applyFill="1" applyBorder="1" applyAlignment="1">
      <alignment horizontal="center" vertical="center" wrapText="1"/>
    </xf>
    <xf numFmtId="0" fontId="23" fillId="15" borderId="2" xfId="1" applyFont="1" applyFill="1" applyBorder="1" applyAlignment="1">
      <alignment horizontal="center" vertical="center" wrapText="1"/>
    </xf>
    <xf numFmtId="0" fontId="23" fillId="9" borderId="2" xfId="1" applyFont="1" applyFill="1" applyBorder="1" applyAlignment="1">
      <alignment horizontal="center" vertical="center" wrapText="1"/>
    </xf>
    <xf numFmtId="0" fontId="24" fillId="10" borderId="0" xfId="1" applyFont="1" applyFill="1"/>
    <xf numFmtId="1" fontId="14" fillId="10" borderId="0" xfId="1" applyNumberFormat="1" applyFill="1"/>
    <xf numFmtId="0" fontId="14" fillId="13" borderId="0" xfId="1" applyFill="1"/>
    <xf numFmtId="0" fontId="14" fillId="9" borderId="0" xfId="1" applyFill="1" applyAlignment="1">
      <alignment vertical="top" wrapText="1"/>
    </xf>
    <xf numFmtId="0" fontId="28" fillId="9" borderId="0" xfId="1" applyFont="1" applyFill="1"/>
    <xf numFmtId="0" fontId="29" fillId="9" borderId="0" xfId="1" applyFont="1" applyFill="1" applyAlignment="1">
      <alignment horizontal="left"/>
    </xf>
    <xf numFmtId="0" fontId="29" fillId="9" borderId="0" xfId="1" applyFont="1" applyFill="1" applyAlignment="1">
      <alignment horizontal="center"/>
    </xf>
    <xf numFmtId="0" fontId="27" fillId="9" borderId="0" xfId="1" applyFont="1" applyFill="1" applyAlignment="1">
      <alignment horizontal="center"/>
    </xf>
    <xf numFmtId="165" fontId="29" fillId="9" borderId="0" xfId="1" applyNumberFormat="1" applyFont="1" applyFill="1" applyAlignment="1">
      <alignment horizontal="left"/>
    </xf>
    <xf numFmtId="0" fontId="36" fillId="9" borderId="0" xfId="1" applyFont="1" applyFill="1" applyAlignment="1">
      <alignment horizontal="center" vertical="center" wrapText="1"/>
    </xf>
    <xf numFmtId="0" fontId="39" fillId="9" borderId="0" xfId="1" applyFont="1" applyFill="1"/>
    <xf numFmtId="0" fontId="28" fillId="11" borderId="0" xfId="1" applyFont="1" applyFill="1"/>
    <xf numFmtId="0" fontId="8" fillId="0" borderId="1" xfId="0" applyFont="1" applyBorder="1" applyAlignment="1">
      <alignment horizontal="left"/>
    </xf>
    <xf numFmtId="1" fontId="5" fillId="2"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5" borderId="1"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1" fontId="8" fillId="0" borderId="4" xfId="0" applyNumberFormat="1" applyFont="1" applyBorder="1" applyAlignment="1">
      <alignment horizontal="center" vertical="center"/>
    </xf>
    <xf numFmtId="0" fontId="10" fillId="6" borderId="18" xfId="0" applyFont="1" applyFill="1" applyBorder="1" applyAlignment="1">
      <alignment horizontal="center" vertical="center"/>
    </xf>
    <xf numFmtId="0" fontId="4" fillId="0" borderId="0" xfId="4"/>
    <xf numFmtId="0" fontId="4" fillId="0" borderId="23" xfId="4" applyBorder="1"/>
    <xf numFmtId="0" fontId="4" fillId="7" borderId="23" xfId="4" applyFill="1" applyBorder="1" applyAlignment="1">
      <alignment horizontal="center"/>
    </xf>
    <xf numFmtId="0" fontId="4" fillId="0" borderId="23" xfId="4" applyBorder="1" applyAlignment="1">
      <alignment horizontal="center"/>
    </xf>
    <xf numFmtId="164" fontId="4" fillId="0" borderId="23" xfId="4" applyNumberFormat="1" applyBorder="1"/>
    <xf numFmtId="0" fontId="4" fillId="7" borderId="23" xfId="4" applyFill="1" applyBorder="1"/>
    <xf numFmtId="0" fontId="16" fillId="7" borderId="23" xfId="3" applyFill="1" applyBorder="1" applyAlignment="1">
      <alignment horizontal="center"/>
    </xf>
    <xf numFmtId="0" fontId="4" fillId="18" borderId="23" xfId="4" applyFill="1" applyBorder="1" applyAlignment="1">
      <alignment horizontal="center"/>
    </xf>
    <xf numFmtId="0" fontId="4" fillId="18" borderId="23" xfId="4" applyFill="1" applyBorder="1"/>
    <xf numFmtId="0" fontId="16" fillId="18" borderId="23" xfId="3" applyFill="1" applyBorder="1" applyAlignment="1">
      <alignment horizontal="center"/>
    </xf>
    <xf numFmtId="0" fontId="4" fillId="12" borderId="23" xfId="4" applyFill="1" applyBorder="1"/>
    <xf numFmtId="0" fontId="16" fillId="19" borderId="23" xfId="3" applyFill="1" applyBorder="1" applyAlignment="1">
      <alignment horizontal="center"/>
    </xf>
    <xf numFmtId="0" fontId="4" fillId="20" borderId="23" xfId="4" applyFill="1" applyBorder="1"/>
    <xf numFmtId="0" fontId="4" fillId="21" borderId="23" xfId="4" applyFill="1" applyBorder="1" applyAlignment="1">
      <alignment horizontal="center"/>
    </xf>
    <xf numFmtId="0" fontId="4" fillId="21" borderId="23" xfId="4" applyFill="1" applyBorder="1"/>
    <xf numFmtId="0" fontId="16" fillId="21" borderId="23" xfId="3" applyFill="1" applyBorder="1" applyAlignment="1">
      <alignment horizontal="center"/>
    </xf>
    <xf numFmtId="0" fontId="4" fillId="20" borderId="23" xfId="4" applyFill="1" applyBorder="1" applyAlignment="1">
      <alignment horizontal="center"/>
    </xf>
    <xf numFmtId="0" fontId="16" fillId="20" borderId="23" xfId="3" applyFill="1" applyBorder="1" applyAlignment="1">
      <alignment horizontal="center"/>
    </xf>
    <xf numFmtId="0" fontId="4" fillId="12" borderId="23" xfId="4" applyFill="1" applyBorder="1" applyAlignment="1">
      <alignment horizontal="center"/>
    </xf>
    <xf numFmtId="1" fontId="4" fillId="0" borderId="23" xfId="4" applyNumberFormat="1" applyBorder="1" applyAlignment="1">
      <alignment horizontal="center"/>
    </xf>
    <xf numFmtId="0" fontId="14" fillId="0" borderId="0" xfId="4" applyFont="1" applyAlignment="1">
      <alignment horizontal="center"/>
    </xf>
    <xf numFmtId="0" fontId="41" fillId="7" borderId="23" xfId="3" applyFont="1" applyFill="1" applyBorder="1" applyAlignment="1">
      <alignment horizontal="center"/>
    </xf>
    <xf numFmtId="0" fontId="14" fillId="18" borderId="23" xfId="4" applyFont="1" applyFill="1" applyBorder="1" applyAlignment="1">
      <alignment horizontal="center"/>
    </xf>
    <xf numFmtId="0" fontId="14" fillId="0" borderId="23" xfId="4" applyFont="1" applyBorder="1" applyAlignment="1">
      <alignment horizontal="center"/>
    </xf>
    <xf numFmtId="0" fontId="14" fillId="12" borderId="23" xfId="4" applyFont="1" applyFill="1" applyBorder="1" applyAlignment="1">
      <alignment horizontal="center"/>
    </xf>
    <xf numFmtId="0" fontId="14" fillId="20" borderId="23" xfId="4" applyFont="1" applyFill="1" applyBorder="1" applyAlignment="1">
      <alignment horizontal="center"/>
    </xf>
    <xf numFmtId="0" fontId="14" fillId="7" borderId="23" xfId="4" applyFont="1" applyFill="1" applyBorder="1" applyAlignment="1">
      <alignment horizontal="center"/>
    </xf>
    <xf numFmtId="0" fontId="14" fillId="21" borderId="23" xfId="4" applyFont="1" applyFill="1" applyBorder="1" applyAlignment="1">
      <alignment horizontal="center"/>
    </xf>
    <xf numFmtId="0" fontId="41" fillId="20" borderId="23" xfId="3" applyFont="1" applyFill="1" applyBorder="1" applyAlignment="1">
      <alignment horizontal="center"/>
    </xf>
    <xf numFmtId="0" fontId="41" fillId="0" borderId="23" xfId="3" applyFont="1" applyBorder="1" applyAlignment="1">
      <alignment horizontal="center"/>
    </xf>
    <xf numFmtId="164" fontId="4" fillId="0" borderId="0" xfId="4" applyNumberFormat="1"/>
    <xf numFmtId="0" fontId="4" fillId="0" borderId="26" xfId="4" applyBorder="1"/>
    <xf numFmtId="0" fontId="0" fillId="7" borderId="23" xfId="0" applyFill="1" applyBorder="1"/>
    <xf numFmtId="0" fontId="0" fillId="0" borderId="23" xfId="0" applyBorder="1"/>
    <xf numFmtId="0" fontId="0" fillId="18" borderId="23" xfId="0" applyFill="1" applyBorder="1"/>
    <xf numFmtId="0" fontId="0" fillId="20" borderId="23" xfId="0" applyFill="1" applyBorder="1"/>
    <xf numFmtId="0" fontId="0" fillId="12" borderId="23" xfId="0" applyFill="1" applyBorder="1"/>
    <xf numFmtId="0" fontId="4" fillId="0" borderId="27" xfId="4" applyBorder="1"/>
    <xf numFmtId="0" fontId="0" fillId="7" borderId="27" xfId="0" applyFill="1" applyBorder="1"/>
    <xf numFmtId="0" fontId="0" fillId="0" borderId="27" xfId="0" applyBorder="1"/>
    <xf numFmtId="0" fontId="0" fillId="7" borderId="40" xfId="0" applyFill="1" applyBorder="1"/>
    <xf numFmtId="0" fontId="0" fillId="0" borderId="40" xfId="0" applyBorder="1"/>
    <xf numFmtId="0" fontId="0" fillId="18" borderId="40" xfId="0" applyFill="1" applyBorder="1"/>
    <xf numFmtId="0" fontId="0" fillId="12" borderId="40" xfId="0" applyFill="1" applyBorder="1"/>
    <xf numFmtId="0" fontId="0" fillId="20" borderId="40" xfId="0" applyFill="1" applyBorder="1"/>
    <xf numFmtId="0" fontId="42" fillId="17" borderId="33" xfId="0" applyFont="1" applyFill="1" applyBorder="1" applyAlignment="1">
      <alignment vertical="center" wrapText="1"/>
    </xf>
    <xf numFmtId="0" fontId="40" fillId="17" borderId="32" xfId="4" applyFont="1" applyFill="1" applyBorder="1" applyAlignment="1">
      <alignment horizontal="center" vertical="center" wrapText="1"/>
    </xf>
    <xf numFmtId="0" fontId="17" fillId="17" borderId="32" xfId="4" applyFont="1" applyFill="1" applyBorder="1" applyAlignment="1">
      <alignment horizontal="center" vertical="center" wrapText="1"/>
    </xf>
    <xf numFmtId="0" fontId="17" fillId="17" borderId="38" xfId="4" applyFont="1" applyFill="1" applyBorder="1" applyAlignment="1">
      <alignment horizontal="center" vertical="center" wrapText="1"/>
    </xf>
    <xf numFmtId="0" fontId="17" fillId="17" borderId="39" xfId="4" applyFont="1" applyFill="1" applyBorder="1" applyAlignment="1">
      <alignment horizontal="center" vertical="center" wrapText="1"/>
    </xf>
    <xf numFmtId="0" fontId="17" fillId="17" borderId="39" xfId="0" applyFont="1" applyFill="1" applyBorder="1" applyAlignment="1">
      <alignment horizontal="center" vertical="center" wrapText="1"/>
    </xf>
    <xf numFmtId="164" fontId="17" fillId="17" borderId="32" xfId="4" applyNumberFormat="1" applyFont="1" applyFill="1" applyBorder="1" applyAlignment="1">
      <alignment horizontal="center" vertical="center" wrapText="1"/>
    </xf>
    <xf numFmtId="0" fontId="17" fillId="17" borderId="31" xfId="4" applyFont="1" applyFill="1" applyBorder="1" applyAlignment="1">
      <alignment horizontal="center" vertical="center" wrapText="1"/>
    </xf>
    <xf numFmtId="164" fontId="17" fillId="17" borderId="31" xfId="4" applyNumberFormat="1" applyFont="1" applyFill="1" applyBorder="1" applyAlignment="1">
      <alignment horizontal="center" vertical="center" wrapText="1"/>
    </xf>
    <xf numFmtId="0" fontId="4" fillId="0" borderId="0" xfId="4" applyAlignment="1">
      <alignment horizontal="center" vertical="center" wrapText="1"/>
    </xf>
    <xf numFmtId="164" fontId="20" fillId="9" borderId="0" xfId="1" applyNumberFormat="1" applyFont="1" applyFill="1" applyAlignment="1">
      <alignment horizontal="center" vertical="center" wrapText="1"/>
    </xf>
    <xf numFmtId="0" fontId="20" fillId="9" borderId="0" xfId="1" applyFont="1" applyFill="1" applyAlignment="1">
      <alignment horizontal="center" vertical="center" wrapText="1"/>
    </xf>
    <xf numFmtId="0" fontId="25" fillId="9" borderId="0" xfId="1" applyFont="1" applyFill="1"/>
    <xf numFmtId="1" fontId="43" fillId="9" borderId="40" xfId="1" applyNumberFormat="1" applyFont="1" applyFill="1" applyBorder="1" applyAlignment="1">
      <alignment horizontal="center" vertical="center" wrapText="1"/>
    </xf>
    <xf numFmtId="9" fontId="33" fillId="9" borderId="0" xfId="1" applyNumberFormat="1" applyFont="1" applyFill="1" applyAlignment="1">
      <alignment horizontal="center" vertical="center"/>
    </xf>
    <xf numFmtId="9" fontId="35" fillId="9" borderId="0" xfId="1" applyNumberFormat="1" applyFont="1" applyFill="1" applyAlignment="1">
      <alignment horizontal="center" vertical="center"/>
    </xf>
    <xf numFmtId="9" fontId="33" fillId="12" borderId="40" xfId="1" applyNumberFormat="1" applyFont="1" applyFill="1" applyBorder="1" applyAlignment="1">
      <alignment horizontal="center" vertical="center"/>
    </xf>
    <xf numFmtId="9" fontId="35" fillId="22" borderId="40" xfId="1" applyNumberFormat="1" applyFont="1" applyFill="1" applyBorder="1" applyAlignment="1">
      <alignment horizontal="center" vertical="center"/>
    </xf>
    <xf numFmtId="9" fontId="35" fillId="7" borderId="40" xfId="1" applyNumberFormat="1" applyFont="1" applyFill="1" applyBorder="1" applyAlignment="1">
      <alignment horizontal="center" vertical="center"/>
    </xf>
    <xf numFmtId="9" fontId="35" fillId="21" borderId="40" xfId="1" applyNumberFormat="1" applyFont="1" applyFill="1" applyBorder="1" applyAlignment="1">
      <alignment horizontal="center" vertical="center"/>
    </xf>
    <xf numFmtId="0" fontId="9" fillId="5" borderId="1" xfId="0" applyFont="1" applyFill="1" applyBorder="1" applyAlignment="1">
      <alignment horizontal="left"/>
    </xf>
    <xf numFmtId="1" fontId="8" fillId="5" borderId="1" xfId="0" applyNumberFormat="1" applyFont="1" applyFill="1" applyBorder="1" applyAlignment="1">
      <alignment horizontal="center"/>
    </xf>
    <xf numFmtId="0" fontId="43" fillId="9" borderId="0" xfId="1" applyFont="1" applyFill="1" applyAlignment="1">
      <alignment horizontal="center" vertical="center" wrapText="1"/>
    </xf>
    <xf numFmtId="1" fontId="43" fillId="9" borderId="0" xfId="1" applyNumberFormat="1" applyFont="1" applyFill="1" applyAlignment="1">
      <alignment horizontal="center" vertical="center" wrapText="1"/>
    </xf>
    <xf numFmtId="0" fontId="16" fillId="0" borderId="0" xfId="0" applyFont="1"/>
    <xf numFmtId="1" fontId="8" fillId="4" borderId="1" xfId="0" applyNumberFormat="1" applyFont="1" applyFill="1" applyBorder="1" applyAlignment="1">
      <alignment horizontal="center"/>
    </xf>
    <xf numFmtId="0" fontId="5" fillId="6" borderId="5" xfId="0" applyFont="1" applyFill="1" applyBorder="1" applyAlignment="1">
      <alignment vertical="center" wrapText="1"/>
    </xf>
    <xf numFmtId="0" fontId="5" fillId="6" borderId="0" xfId="0" applyFont="1" applyFill="1" applyAlignment="1">
      <alignment vertical="center" wrapText="1"/>
    </xf>
    <xf numFmtId="0" fontId="15" fillId="9" borderId="0" xfId="1" applyFont="1" applyFill="1"/>
    <xf numFmtId="0" fontId="43" fillId="11" borderId="40" xfId="1" applyFont="1" applyFill="1" applyBorder="1" applyAlignment="1">
      <alignment horizontal="center" vertical="center" wrapText="1"/>
    </xf>
    <xf numFmtId="165" fontId="43" fillId="9" borderId="0" xfId="1" applyNumberFormat="1" applyFont="1" applyFill="1" applyAlignment="1">
      <alignment horizontal="center" vertical="center" wrapText="1"/>
    </xf>
    <xf numFmtId="1" fontId="30" fillId="12" borderId="40" xfId="1" applyNumberFormat="1" applyFont="1" applyFill="1" applyBorder="1" applyAlignment="1">
      <alignment horizontal="center" vertical="center"/>
    </xf>
    <xf numFmtId="1" fontId="31" fillId="22" borderId="40" xfId="1" applyNumberFormat="1" applyFont="1" applyFill="1" applyBorder="1" applyAlignment="1">
      <alignment horizontal="center" vertical="center"/>
    </xf>
    <xf numFmtId="1" fontId="31" fillId="7" borderId="40" xfId="1" applyNumberFormat="1" applyFont="1" applyFill="1" applyBorder="1" applyAlignment="1">
      <alignment horizontal="center" vertical="center"/>
    </xf>
    <xf numFmtId="1" fontId="31" fillId="21" borderId="40" xfId="1" applyNumberFormat="1" applyFont="1" applyFill="1" applyBorder="1" applyAlignment="1">
      <alignment horizontal="center" vertical="center"/>
    </xf>
    <xf numFmtId="1" fontId="33" fillId="12" borderId="40" xfId="1" applyNumberFormat="1" applyFont="1" applyFill="1" applyBorder="1" applyAlignment="1">
      <alignment horizontal="center" vertical="center"/>
    </xf>
    <xf numFmtId="1" fontId="34" fillId="22" borderId="40" xfId="1" applyNumberFormat="1" applyFont="1" applyFill="1" applyBorder="1" applyAlignment="1">
      <alignment horizontal="center" vertical="center"/>
    </xf>
    <xf numFmtId="1" fontId="34" fillId="7" borderId="40" xfId="1" applyNumberFormat="1" applyFont="1" applyFill="1" applyBorder="1" applyAlignment="1">
      <alignment horizontal="center" vertical="center"/>
    </xf>
    <xf numFmtId="1" fontId="34" fillId="21" borderId="40" xfId="1" applyNumberFormat="1" applyFont="1" applyFill="1" applyBorder="1" applyAlignment="1">
      <alignment horizontal="center" vertical="center"/>
    </xf>
    <xf numFmtId="1" fontId="36" fillId="9" borderId="0" xfId="1" applyNumberFormat="1" applyFont="1" applyFill="1" applyAlignment="1">
      <alignment horizontal="center" vertical="center" wrapText="1"/>
    </xf>
    <xf numFmtId="165" fontId="36" fillId="9" borderId="0" xfId="1" applyNumberFormat="1" applyFont="1" applyFill="1" applyAlignment="1">
      <alignment horizontal="center" vertical="center" wrapText="1"/>
    </xf>
    <xf numFmtId="0" fontId="17" fillId="11" borderId="40" xfId="1" applyFont="1" applyFill="1" applyBorder="1" applyAlignment="1">
      <alignment horizontal="center" vertical="center" wrapText="1"/>
    </xf>
    <xf numFmtId="0" fontId="17" fillId="25" borderId="40" xfId="1" applyFont="1" applyFill="1" applyBorder="1" applyAlignment="1">
      <alignment horizontal="center" vertical="center" wrapText="1"/>
    </xf>
    <xf numFmtId="0" fontId="17" fillId="24" borderId="40" xfId="1" applyFont="1" applyFill="1" applyBorder="1" applyAlignment="1">
      <alignment horizontal="center" vertical="center" wrapText="1"/>
    </xf>
    <xf numFmtId="0" fontId="32" fillId="9" borderId="0" xfId="1" applyFont="1" applyFill="1" applyAlignment="1">
      <alignment vertical="center" wrapText="1"/>
    </xf>
    <xf numFmtId="9" fontId="46" fillId="22" borderId="40" xfId="1" applyNumberFormat="1" applyFont="1" applyFill="1" applyBorder="1" applyAlignment="1">
      <alignment horizontal="center" vertical="center"/>
    </xf>
    <xf numFmtId="0" fontId="45" fillId="9" borderId="0" xfId="1" applyFont="1" applyFill="1"/>
    <xf numFmtId="0" fontId="37" fillId="23" borderId="40" xfId="2" applyFont="1" applyFill="1" applyBorder="1" applyAlignment="1">
      <alignment horizontal="center" vertical="center" wrapText="1"/>
    </xf>
    <xf numFmtId="1" fontId="37" fillId="12" borderId="40" xfId="1" applyNumberFormat="1" applyFont="1" applyFill="1" applyBorder="1" applyAlignment="1">
      <alignment horizontal="center" vertical="center"/>
    </xf>
    <xf numFmtId="0" fontId="38" fillId="23" borderId="40" xfId="2" applyFont="1" applyFill="1" applyBorder="1" applyAlignment="1">
      <alignment horizontal="center" vertical="center" wrapText="1"/>
    </xf>
    <xf numFmtId="9" fontId="33" fillId="23" borderId="40" xfId="1" applyNumberFormat="1" applyFont="1" applyFill="1" applyBorder="1" applyAlignment="1">
      <alignment horizontal="center" vertical="center"/>
    </xf>
    <xf numFmtId="9" fontId="46" fillId="12" borderId="40" xfId="1" applyNumberFormat="1" applyFont="1" applyFill="1" applyBorder="1" applyAlignment="1">
      <alignment horizontal="center" vertical="center"/>
    </xf>
    <xf numFmtId="0" fontId="47" fillId="9" borderId="0" xfId="1" applyFont="1" applyFill="1" applyAlignment="1">
      <alignment horizontal="left"/>
    </xf>
    <xf numFmtId="0" fontId="48" fillId="9" borderId="0" xfId="1" applyFont="1" applyFill="1"/>
    <xf numFmtId="0" fontId="35" fillId="9" borderId="0" xfId="1" applyFont="1" applyFill="1"/>
    <xf numFmtId="0" fontId="14" fillId="10" borderId="0" xfId="1" applyFill="1" applyAlignment="1">
      <alignment vertical="top" wrapText="1"/>
    </xf>
    <xf numFmtId="0" fontId="34" fillId="9" borderId="0" xfId="1" applyFont="1" applyFill="1" applyAlignment="1">
      <alignment vertical="center"/>
    </xf>
    <xf numFmtId="0" fontId="50" fillId="9" borderId="0" xfId="1" applyFont="1" applyFill="1"/>
    <xf numFmtId="0" fontId="34" fillId="9" borderId="0" xfId="1" applyFont="1" applyFill="1"/>
    <xf numFmtId="0" fontId="34" fillId="9" borderId="0" xfId="1" applyFont="1" applyFill="1" applyAlignment="1">
      <alignment vertical="center" wrapText="1"/>
    </xf>
    <xf numFmtId="0" fontId="34" fillId="10" borderId="0" xfId="1" applyFont="1" applyFill="1" applyAlignment="1">
      <alignment vertical="center" wrapText="1"/>
    </xf>
    <xf numFmtId="0" fontId="34" fillId="9" borderId="0" xfId="1" applyFont="1" applyFill="1" applyAlignment="1">
      <alignment horizontal="left" vertical="center"/>
    </xf>
    <xf numFmtId="0" fontId="8" fillId="0" borderId="4" xfId="0" applyFont="1" applyBorder="1" applyAlignment="1">
      <alignment horizontal="left"/>
    </xf>
    <xf numFmtId="9" fontId="8" fillId="5" borderId="1" xfId="5" applyFont="1" applyFill="1" applyBorder="1" applyAlignment="1">
      <alignment horizontal="center"/>
    </xf>
    <xf numFmtId="0" fontId="10" fillId="6" borderId="5" xfId="0" applyFont="1" applyFill="1" applyBorder="1" applyAlignment="1">
      <alignment horizontal="center" vertical="center"/>
    </xf>
    <xf numFmtId="0" fontId="10" fillId="6" borderId="15" xfId="0" applyFont="1" applyFill="1" applyBorder="1" applyAlignment="1">
      <alignment horizontal="center" vertical="center"/>
    </xf>
    <xf numFmtId="0" fontId="53" fillId="3" borderId="45" xfId="0" applyFont="1" applyFill="1" applyBorder="1" applyAlignment="1">
      <alignment horizontal="center"/>
    </xf>
    <xf numFmtId="0" fontId="53" fillId="5" borderId="45" xfId="0" applyFont="1" applyFill="1" applyBorder="1" applyAlignment="1">
      <alignment horizontal="center"/>
    </xf>
    <xf numFmtId="0" fontId="54" fillId="2" borderId="45" xfId="0" applyFont="1" applyFill="1" applyBorder="1" applyAlignment="1">
      <alignment horizontal="center"/>
    </xf>
    <xf numFmtId="0" fontId="53" fillId="0" borderId="45" xfId="0" applyFont="1" applyBorder="1" applyAlignment="1">
      <alignment horizontal="center"/>
    </xf>
    <xf numFmtId="0" fontId="54" fillId="6" borderId="4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8" fillId="0" borderId="45" xfId="0" applyFont="1" applyBorder="1" applyAlignment="1">
      <alignment horizontal="center"/>
    </xf>
    <xf numFmtId="0" fontId="9" fillId="0" borderId="45" xfId="0" applyFont="1" applyBorder="1" applyAlignment="1">
      <alignment horizontal="center"/>
    </xf>
    <xf numFmtId="1" fontId="8" fillId="0" borderId="45" xfId="0" applyNumberFormat="1" applyFont="1" applyBorder="1" applyAlignment="1">
      <alignment horizontal="center"/>
    </xf>
    <xf numFmtId="1" fontId="8" fillId="0" borderId="45" xfId="0" applyNumberFormat="1" applyFont="1" applyBorder="1" applyAlignment="1">
      <alignment horizontal="center" vertical="center"/>
    </xf>
    <xf numFmtId="1" fontId="9" fillId="0" borderId="45" xfId="0" applyNumberFormat="1" applyFont="1" applyBorder="1" applyAlignment="1">
      <alignment horizontal="center" vertical="center"/>
    </xf>
    <xf numFmtId="0" fontId="8" fillId="0" borderId="45" xfId="0" applyFont="1" applyBorder="1" applyAlignment="1">
      <alignment horizontal="center" vertical="center"/>
    </xf>
    <xf numFmtId="9" fontId="8" fillId="0" borderId="45" xfId="0" applyNumberFormat="1" applyFont="1" applyBorder="1" applyAlignment="1">
      <alignment horizontal="center"/>
    </xf>
    <xf numFmtId="0" fontId="9" fillId="0" borderId="45" xfId="0" applyFont="1" applyBorder="1" applyAlignment="1">
      <alignment horizontal="center" vertical="center"/>
    </xf>
    <xf numFmtId="9" fontId="9" fillId="0" borderId="45" xfId="0" applyNumberFormat="1" applyFont="1" applyBorder="1" applyAlignment="1">
      <alignment horizontal="center" vertical="center"/>
    </xf>
    <xf numFmtId="9" fontId="8" fillId="0" borderId="45" xfId="0" applyNumberFormat="1" applyFont="1" applyBorder="1" applyAlignment="1">
      <alignment horizontal="center" vertical="center"/>
    </xf>
    <xf numFmtId="9" fontId="9" fillId="0" borderId="45" xfId="0" applyNumberFormat="1" applyFont="1" applyBorder="1" applyAlignment="1">
      <alignment horizontal="center"/>
    </xf>
    <xf numFmtId="9" fontId="54" fillId="2" borderId="45" xfId="0" applyNumberFormat="1" applyFont="1" applyFill="1" applyBorder="1" applyAlignment="1">
      <alignment horizontal="center"/>
    </xf>
    <xf numFmtId="9" fontId="53" fillId="3" borderId="45" xfId="0" applyNumberFormat="1" applyFont="1" applyFill="1" applyBorder="1" applyAlignment="1">
      <alignment horizontal="center"/>
    </xf>
    <xf numFmtId="9" fontId="53" fillId="5" borderId="45" xfId="0" applyNumberFormat="1" applyFont="1" applyFill="1" applyBorder="1" applyAlignment="1">
      <alignment horizontal="center"/>
    </xf>
    <xf numFmtId="9" fontId="53" fillId="0" borderId="45" xfId="0" applyNumberFormat="1" applyFont="1" applyBorder="1" applyAlignment="1">
      <alignment horizontal="center"/>
    </xf>
    <xf numFmtId="0" fontId="10" fillId="6" borderId="51" xfId="0" applyFont="1" applyFill="1" applyBorder="1" applyAlignment="1">
      <alignment horizontal="center" vertical="center"/>
    </xf>
    <xf numFmtId="0" fontId="23" fillId="0" borderId="2" xfId="1" applyFont="1" applyBorder="1" applyAlignment="1">
      <alignment horizontal="center" vertical="center" wrapText="1"/>
    </xf>
    <xf numFmtId="0" fontId="5" fillId="6" borderId="15" xfId="0" applyFont="1" applyFill="1" applyBorder="1" applyAlignment="1">
      <alignment horizontal="center" vertical="center"/>
    </xf>
    <xf numFmtId="0" fontId="10" fillId="6" borderId="52" xfId="0" applyFont="1" applyFill="1" applyBorder="1" applyAlignment="1">
      <alignment horizontal="center" vertical="center"/>
    </xf>
    <xf numFmtId="0" fontId="8" fillId="4" borderId="4" xfId="0" applyFont="1" applyFill="1" applyBorder="1" applyAlignment="1">
      <alignment horizontal="center"/>
    </xf>
    <xf numFmtId="1" fontId="8" fillId="0" borderId="4" xfId="0" applyNumberFormat="1" applyFont="1" applyBorder="1" applyAlignment="1">
      <alignment horizontal="center"/>
    </xf>
    <xf numFmtId="0" fontId="4" fillId="0" borderId="53" xfId="4" applyBorder="1"/>
    <xf numFmtId="0" fontId="0" fillId="0" borderId="53" xfId="0" applyBorder="1"/>
    <xf numFmtId="164" fontId="4" fillId="0" borderId="53" xfId="4" applyNumberFormat="1" applyBorder="1"/>
    <xf numFmtId="1" fontId="4" fillId="0" borderId="53" xfId="4" applyNumberFormat="1" applyBorder="1" applyAlignment="1">
      <alignment horizontal="center"/>
    </xf>
    <xf numFmtId="0" fontId="14" fillId="7" borderId="53" xfId="4" applyFont="1" applyFill="1" applyBorder="1" applyAlignment="1">
      <alignment horizontal="center"/>
    </xf>
    <xf numFmtId="0" fontId="16" fillId="7" borderId="53" xfId="3" applyFill="1" applyBorder="1" applyAlignment="1">
      <alignment horizontal="center"/>
    </xf>
    <xf numFmtId="0" fontId="4" fillId="18" borderId="53" xfId="4" applyFill="1" applyBorder="1" applyAlignment="1">
      <alignment horizontal="center"/>
    </xf>
    <xf numFmtId="0" fontId="16" fillId="20" borderId="53" xfId="3" applyFill="1" applyBorder="1" applyAlignment="1">
      <alignment horizontal="center"/>
    </xf>
    <xf numFmtId="0" fontId="4" fillId="7" borderId="55" xfId="4" applyFill="1" applyBorder="1" applyAlignment="1">
      <alignment horizontal="center"/>
    </xf>
    <xf numFmtId="0" fontId="4" fillId="12" borderId="55" xfId="4" applyFill="1" applyBorder="1" applyAlignment="1">
      <alignment horizontal="center"/>
    </xf>
    <xf numFmtId="0" fontId="4" fillId="18" borderId="55" xfId="4" applyFill="1" applyBorder="1" applyAlignment="1">
      <alignment horizontal="center"/>
    </xf>
    <xf numFmtId="0" fontId="4" fillId="21" borderId="55" xfId="4" applyFill="1" applyBorder="1" applyAlignment="1">
      <alignment horizontal="center"/>
    </xf>
    <xf numFmtId="0" fontId="4" fillId="20" borderId="55" xfId="4" applyFill="1" applyBorder="1" applyAlignment="1">
      <alignment horizontal="center"/>
    </xf>
    <xf numFmtId="0" fontId="55" fillId="2" borderId="57" xfId="0" applyFont="1" applyFill="1" applyBorder="1" applyAlignment="1">
      <alignment horizontal="center"/>
    </xf>
    <xf numFmtId="0" fontId="56" fillId="3" borderId="57" xfId="0" applyFont="1" applyFill="1" applyBorder="1" applyAlignment="1">
      <alignment horizontal="center"/>
    </xf>
    <xf numFmtId="0" fontId="56" fillId="5" borderId="57" xfId="0" applyFont="1" applyFill="1" applyBorder="1" applyAlignment="1">
      <alignment horizontal="center"/>
    </xf>
    <xf numFmtId="9" fontId="55" fillId="2" borderId="57" xfId="0" applyNumberFormat="1" applyFont="1" applyFill="1" applyBorder="1" applyAlignment="1">
      <alignment horizontal="center"/>
    </xf>
    <xf numFmtId="9" fontId="56" fillId="3" borderId="57" xfId="0" applyNumberFormat="1" applyFont="1" applyFill="1" applyBorder="1" applyAlignment="1">
      <alignment horizontal="center"/>
    </xf>
    <xf numFmtId="9" fontId="5" fillId="2" borderId="57" xfId="0" applyNumberFormat="1" applyFont="1" applyFill="1" applyBorder="1" applyAlignment="1">
      <alignment horizontal="center"/>
    </xf>
    <xf numFmtId="9" fontId="8" fillId="3" borderId="57" xfId="0" applyNumberFormat="1" applyFont="1" applyFill="1" applyBorder="1" applyAlignment="1">
      <alignment horizontal="center"/>
    </xf>
    <xf numFmtId="9" fontId="5" fillId="2" borderId="57" xfId="0" applyNumberFormat="1" applyFont="1" applyFill="1" applyBorder="1" applyAlignment="1">
      <alignment horizontal="center" vertical="center"/>
    </xf>
    <xf numFmtId="9" fontId="8" fillId="3" borderId="57" xfId="0" applyNumberFormat="1" applyFont="1" applyFill="1" applyBorder="1" applyAlignment="1">
      <alignment horizontal="center" vertical="center"/>
    </xf>
    <xf numFmtId="9" fontId="8" fillId="5" borderId="57" xfId="0" applyNumberFormat="1" applyFont="1" applyFill="1" applyBorder="1" applyAlignment="1">
      <alignment horizontal="center"/>
    </xf>
    <xf numFmtId="0" fontId="8" fillId="5" borderId="57" xfId="0" applyFont="1" applyFill="1" applyBorder="1" applyAlignment="1">
      <alignment horizontal="left"/>
    </xf>
    <xf numFmtId="9" fontId="8" fillId="5" borderId="57" xfId="5" applyFont="1" applyFill="1" applyBorder="1" applyAlignment="1">
      <alignment horizontal="center"/>
    </xf>
    <xf numFmtId="1" fontId="53" fillId="5" borderId="45" xfId="0" applyNumberFormat="1" applyFont="1" applyFill="1" applyBorder="1" applyAlignment="1">
      <alignment horizontal="center"/>
    </xf>
    <xf numFmtId="1" fontId="9" fillId="5" borderId="1" xfId="0" applyNumberFormat="1" applyFont="1" applyFill="1" applyBorder="1" applyAlignment="1">
      <alignment horizontal="center" vertical="center"/>
    </xf>
    <xf numFmtId="9" fontId="0" fillId="0" borderId="0" xfId="5" applyFont="1"/>
    <xf numFmtId="0" fontId="17" fillId="11" borderId="31" xfId="2" applyFont="1" applyFill="1" applyBorder="1" applyAlignment="1">
      <alignment horizontal="center" vertical="center" wrapText="1"/>
    </xf>
    <xf numFmtId="0" fontId="9" fillId="5" borderId="45" xfId="0" applyFont="1" applyFill="1" applyBorder="1" applyAlignment="1">
      <alignment horizontal="left"/>
    </xf>
    <xf numFmtId="0" fontId="8" fillId="5" borderId="45" xfId="0" applyFont="1" applyFill="1" applyBorder="1" applyAlignment="1">
      <alignment horizontal="left"/>
    </xf>
    <xf numFmtId="1" fontId="8" fillId="5" borderId="45" xfId="0" applyNumberFormat="1" applyFont="1" applyFill="1" applyBorder="1" applyAlignment="1">
      <alignment horizontal="center" vertical="center"/>
    </xf>
    <xf numFmtId="9" fontId="56" fillId="3" borderId="45" xfId="0" applyNumberFormat="1" applyFont="1" applyFill="1" applyBorder="1" applyAlignment="1">
      <alignment horizontal="center"/>
    </xf>
    <xf numFmtId="9" fontId="56" fillId="5" borderId="45" xfId="0" applyNumberFormat="1" applyFont="1" applyFill="1" applyBorder="1" applyAlignment="1">
      <alignment horizontal="center"/>
    </xf>
    <xf numFmtId="9" fontId="10" fillId="2" borderId="1" xfId="5" applyFont="1" applyFill="1" applyBorder="1" applyAlignment="1">
      <alignment horizontal="center" vertical="center"/>
    </xf>
    <xf numFmtId="1" fontId="30" fillId="12" borderId="42" xfId="1" applyNumberFormat="1" applyFont="1" applyFill="1" applyBorder="1" applyAlignment="1">
      <alignment horizontal="center" vertical="center"/>
    </xf>
    <xf numFmtId="0" fontId="17" fillId="11" borderId="56" xfId="2" applyFont="1" applyFill="1" applyBorder="1" applyAlignment="1">
      <alignment horizontal="center" vertical="center" wrapText="1"/>
    </xf>
    <xf numFmtId="0" fontId="19" fillId="11" borderId="40" xfId="1" applyFont="1" applyFill="1" applyBorder="1" applyAlignment="1">
      <alignment horizontal="left" vertical="center" wrapText="1"/>
    </xf>
    <xf numFmtId="9" fontId="46" fillId="7" borderId="40" xfId="1" applyNumberFormat="1" applyFont="1" applyFill="1" applyBorder="1" applyAlignment="1">
      <alignment horizontal="center" vertical="center"/>
    </xf>
    <xf numFmtId="9" fontId="46" fillId="21" borderId="40" xfId="1" applyNumberFormat="1" applyFont="1" applyFill="1" applyBorder="1" applyAlignment="1">
      <alignment horizontal="center" vertical="center"/>
    </xf>
    <xf numFmtId="0" fontId="8" fillId="0" borderId="57" xfId="0" applyFont="1" applyBorder="1" applyAlignment="1">
      <alignment horizontal="center"/>
    </xf>
    <xf numFmtId="0" fontId="8" fillId="0" borderId="57" xfId="0" applyFont="1" applyBorder="1" applyAlignment="1">
      <alignment horizontal="right"/>
    </xf>
    <xf numFmtId="0" fontId="9" fillId="0" borderId="57" xfId="0" applyFont="1" applyBorder="1" applyAlignment="1">
      <alignment horizontal="center"/>
    </xf>
    <xf numFmtId="0" fontId="53" fillId="0" borderId="57" xfId="0" applyFont="1" applyBorder="1" applyAlignment="1">
      <alignment horizontal="center"/>
    </xf>
    <xf numFmtId="0" fontId="5" fillId="2" borderId="57" xfId="0" applyFont="1" applyFill="1" applyBorder="1" applyAlignment="1">
      <alignment horizontal="center"/>
    </xf>
    <xf numFmtId="0" fontId="8" fillId="3" borderId="57" xfId="0" applyFont="1" applyFill="1" applyBorder="1" applyAlignment="1">
      <alignment horizontal="center"/>
    </xf>
    <xf numFmtId="0" fontId="8" fillId="5" borderId="57" xfId="0" applyFont="1" applyFill="1" applyBorder="1" applyAlignment="1">
      <alignment horizontal="center"/>
    </xf>
    <xf numFmtId="0" fontId="8" fillId="5" borderId="57" xfId="0" applyFont="1" applyFill="1" applyBorder="1" applyAlignment="1">
      <alignment horizontal="center" vertical="center"/>
    </xf>
    <xf numFmtId="1" fontId="8" fillId="5" borderId="57" xfId="0" applyNumberFormat="1" applyFont="1" applyFill="1" applyBorder="1" applyAlignment="1">
      <alignment horizontal="center" vertical="center"/>
    </xf>
    <xf numFmtId="0" fontId="53" fillId="5" borderId="57" xfId="0" applyFont="1" applyFill="1" applyBorder="1" applyAlignment="1">
      <alignment horizontal="center"/>
    </xf>
    <xf numFmtId="1" fontId="8" fillId="0" borderId="57" xfId="0" applyNumberFormat="1" applyFont="1" applyBorder="1" applyAlignment="1">
      <alignment horizontal="center"/>
    </xf>
    <xf numFmtId="1" fontId="8" fillId="0" borderId="57" xfId="0" applyNumberFormat="1" applyFont="1" applyBorder="1" applyAlignment="1">
      <alignment horizontal="center" vertical="center"/>
    </xf>
    <xf numFmtId="1" fontId="9" fillId="0" borderId="57" xfId="0" applyNumberFormat="1" applyFont="1" applyBorder="1" applyAlignment="1">
      <alignment horizontal="center" vertical="center"/>
    </xf>
    <xf numFmtId="0" fontId="9" fillId="0" borderId="57" xfId="0" applyFont="1" applyBorder="1" applyAlignment="1">
      <alignment horizontal="left"/>
    </xf>
    <xf numFmtId="0" fontId="9" fillId="5" borderId="57" xfId="0" applyFont="1" applyFill="1" applyBorder="1" applyAlignment="1">
      <alignment horizontal="center" vertical="center"/>
    </xf>
    <xf numFmtId="9" fontId="9" fillId="5" borderId="57" xfId="0" applyNumberFormat="1" applyFont="1" applyFill="1" applyBorder="1" applyAlignment="1">
      <alignment horizontal="center" vertical="center"/>
    </xf>
    <xf numFmtId="9" fontId="8" fillId="5" borderId="57" xfId="0" applyNumberFormat="1" applyFont="1" applyFill="1" applyBorder="1" applyAlignment="1">
      <alignment horizontal="center" vertical="center"/>
    </xf>
    <xf numFmtId="9" fontId="53" fillId="5" borderId="57" xfId="0" applyNumberFormat="1" applyFont="1" applyFill="1" applyBorder="1" applyAlignment="1">
      <alignment horizontal="center"/>
    </xf>
    <xf numFmtId="9" fontId="8" fillId="0" borderId="57" xfId="0" applyNumberFormat="1" applyFont="1" applyBorder="1" applyAlignment="1">
      <alignment horizontal="center"/>
    </xf>
    <xf numFmtId="0" fontId="8" fillId="0" borderId="57" xfId="0" applyFont="1" applyBorder="1" applyAlignment="1">
      <alignment horizontal="center" vertical="center"/>
    </xf>
    <xf numFmtId="0" fontId="9" fillId="0" borderId="57" xfId="0" applyFont="1" applyBorder="1" applyAlignment="1">
      <alignment horizontal="center" vertical="center"/>
    </xf>
    <xf numFmtId="9" fontId="9" fillId="0" borderId="57" xfId="0" applyNumberFormat="1" applyFont="1" applyBorder="1" applyAlignment="1">
      <alignment horizontal="center" vertical="center"/>
    </xf>
    <xf numFmtId="9" fontId="9" fillId="0" borderId="57" xfId="0" applyNumberFormat="1" applyFont="1" applyBorder="1" applyAlignment="1">
      <alignment horizontal="center"/>
    </xf>
    <xf numFmtId="9" fontId="53" fillId="0" borderId="57" xfId="0" applyNumberFormat="1" applyFont="1" applyBorder="1" applyAlignment="1">
      <alignment horizontal="center"/>
    </xf>
    <xf numFmtId="9" fontId="8" fillId="0" borderId="57" xfId="0" applyNumberFormat="1" applyFont="1" applyBorder="1" applyAlignment="1">
      <alignment horizontal="center" vertical="center"/>
    </xf>
    <xf numFmtId="9" fontId="9" fillId="5" borderId="57" xfId="0" applyNumberFormat="1" applyFont="1" applyFill="1" applyBorder="1" applyAlignment="1">
      <alignment horizontal="center"/>
    </xf>
    <xf numFmtId="0" fontId="9" fillId="5" borderId="57" xfId="0" applyFont="1" applyFill="1" applyBorder="1" applyAlignment="1">
      <alignment horizontal="center"/>
    </xf>
    <xf numFmtId="0" fontId="53" fillId="5" borderId="0" xfId="0" applyFont="1" applyFill="1" applyAlignment="1">
      <alignment horizontal="center"/>
    </xf>
    <xf numFmtId="0" fontId="23" fillId="9" borderId="46" xfId="1" applyFont="1" applyFill="1" applyBorder="1" applyAlignment="1">
      <alignment horizontal="center" vertical="center" wrapText="1"/>
    </xf>
    <xf numFmtId="0" fontId="23" fillId="11" borderId="46" xfId="1" applyFont="1" applyFill="1" applyBorder="1" applyAlignment="1">
      <alignment horizontal="center" vertical="center" wrapText="1"/>
    </xf>
    <xf numFmtId="0" fontId="23" fillId="15" borderId="46" xfId="1" applyFont="1" applyFill="1" applyBorder="1" applyAlignment="1">
      <alignment horizontal="center" vertical="center" wrapText="1"/>
    </xf>
    <xf numFmtId="0" fontId="23" fillId="0" borderId="46" xfId="1" applyFont="1" applyBorder="1" applyAlignment="1">
      <alignment horizontal="center" vertical="center" wrapText="1"/>
    </xf>
    <xf numFmtId="0" fontId="23" fillId="14" borderId="46" xfId="1" applyFont="1" applyFill="1" applyBorder="1" applyAlignment="1">
      <alignment horizontal="center" vertical="center" wrapText="1"/>
    </xf>
    <xf numFmtId="9" fontId="8" fillId="5" borderId="1" xfId="5" applyFont="1" applyFill="1" applyBorder="1" applyAlignment="1">
      <alignment horizontal="center" vertical="center"/>
    </xf>
    <xf numFmtId="9" fontId="8" fillId="5" borderId="45" xfId="5" applyFont="1" applyFill="1" applyBorder="1" applyAlignment="1">
      <alignment horizontal="center" vertical="center"/>
    </xf>
    <xf numFmtId="0" fontId="4" fillId="0" borderId="58" xfId="4" applyBorder="1"/>
    <xf numFmtId="0" fontId="0" fillId="18" borderId="58" xfId="0" applyFill="1" applyBorder="1"/>
    <xf numFmtId="0" fontId="0" fillId="0" borderId="58" xfId="0" applyBorder="1"/>
    <xf numFmtId="0" fontId="4" fillId="18" borderId="58" xfId="4" applyFill="1" applyBorder="1"/>
    <xf numFmtId="164" fontId="4" fillId="0" borderId="58" xfId="4" applyNumberFormat="1" applyBorder="1"/>
    <xf numFmtId="0" fontId="14" fillId="18" borderId="58" xfId="4" applyFont="1" applyFill="1" applyBorder="1" applyAlignment="1">
      <alignment horizontal="center"/>
    </xf>
    <xf numFmtId="0" fontId="16" fillId="18" borderId="58" xfId="3" applyFill="1" applyBorder="1" applyAlignment="1">
      <alignment horizontal="center"/>
    </xf>
    <xf numFmtId="0" fontId="4" fillId="18" borderId="58" xfId="4" applyFill="1" applyBorder="1" applyAlignment="1">
      <alignment horizontal="center"/>
    </xf>
    <xf numFmtId="1" fontId="4" fillId="0" borderId="58" xfId="4" applyNumberFormat="1" applyBorder="1" applyAlignment="1">
      <alignment horizontal="center"/>
    </xf>
    <xf numFmtId="0" fontId="4" fillId="12" borderId="59" xfId="4" applyFill="1" applyBorder="1" applyAlignment="1">
      <alignment horizontal="center"/>
    </xf>
    <xf numFmtId="0" fontId="58" fillId="12" borderId="58" xfId="3" applyFont="1" applyFill="1" applyBorder="1" applyAlignment="1">
      <alignment horizontal="center" vertical="center"/>
    </xf>
    <xf numFmtId="0" fontId="58" fillId="0" borderId="58" xfId="3" applyFont="1" applyBorder="1" applyAlignment="1">
      <alignment horizontal="left" vertical="center"/>
    </xf>
    <xf numFmtId="0" fontId="58" fillId="7" borderId="58" xfId="3" applyFont="1" applyFill="1" applyBorder="1" applyAlignment="1">
      <alignment horizontal="center" vertical="center"/>
    </xf>
    <xf numFmtId="0" fontId="58" fillId="18" borderId="58" xfId="3" applyFont="1" applyFill="1" applyBorder="1" applyAlignment="1">
      <alignment horizontal="center" vertical="center"/>
    </xf>
    <xf numFmtId="0" fontId="58" fillId="21" borderId="58" xfId="3" applyFont="1" applyFill="1" applyBorder="1" applyAlignment="1">
      <alignment horizontal="center" vertical="center"/>
    </xf>
    <xf numFmtId="0" fontId="0" fillId="7" borderId="58" xfId="0" applyFill="1" applyBorder="1"/>
    <xf numFmtId="0" fontId="4" fillId="7" borderId="58" xfId="4" applyFill="1" applyBorder="1"/>
    <xf numFmtId="0" fontId="14" fillId="20" borderId="58" xfId="4" applyFont="1" applyFill="1" applyBorder="1" applyAlignment="1">
      <alignment horizontal="center"/>
    </xf>
    <xf numFmtId="0" fontId="16" fillId="20" borderId="58" xfId="3" applyFill="1" applyBorder="1" applyAlignment="1">
      <alignment horizontal="center"/>
    </xf>
    <xf numFmtId="0" fontId="4" fillId="20" borderId="58" xfId="4" applyFill="1" applyBorder="1"/>
    <xf numFmtId="0" fontId="58" fillId="20" borderId="58" xfId="3" applyFont="1" applyFill="1" applyBorder="1" applyAlignment="1">
      <alignment horizontal="center" vertical="center"/>
    </xf>
    <xf numFmtId="0" fontId="0" fillId="18" borderId="60" xfId="0" applyFill="1" applyBorder="1"/>
    <xf numFmtId="0" fontId="14" fillId="7" borderId="58" xfId="4" applyFont="1" applyFill="1" applyBorder="1" applyAlignment="1">
      <alignment horizontal="center"/>
    </xf>
    <xf numFmtId="0" fontId="16" fillId="7" borderId="58" xfId="3" applyFill="1" applyBorder="1" applyAlignment="1">
      <alignment horizontal="center"/>
    </xf>
    <xf numFmtId="0" fontId="4" fillId="7" borderId="58" xfId="4" applyFill="1" applyBorder="1" applyAlignment="1">
      <alignment horizontal="center"/>
    </xf>
    <xf numFmtId="0" fontId="4" fillId="7" borderId="59" xfId="4" applyFill="1" applyBorder="1" applyAlignment="1">
      <alignment horizontal="center"/>
    </xf>
    <xf numFmtId="0" fontId="0" fillId="20" borderId="58" xfId="0" applyFill="1" applyBorder="1"/>
    <xf numFmtId="0" fontId="4" fillId="21" borderId="58" xfId="4" applyFill="1" applyBorder="1"/>
    <xf numFmtId="0" fontId="16" fillId="21" borderId="58" xfId="3" applyFill="1" applyBorder="1" applyAlignment="1">
      <alignment horizontal="center"/>
    </xf>
    <xf numFmtId="0" fontId="4" fillId="21" borderId="58" xfId="4" applyFill="1" applyBorder="1" applyAlignment="1">
      <alignment horizontal="center"/>
    </xf>
    <xf numFmtId="0" fontId="4" fillId="12" borderId="58" xfId="4" applyFill="1" applyBorder="1" applyAlignment="1">
      <alignment horizontal="center"/>
    </xf>
    <xf numFmtId="0" fontId="4" fillId="18" borderId="59" xfId="4" applyFill="1" applyBorder="1" applyAlignment="1">
      <alignment horizontal="center"/>
    </xf>
    <xf numFmtId="0" fontId="26" fillId="9" borderId="0" xfId="1" applyFont="1" applyFill="1" applyAlignment="1">
      <alignment horizontal="center" vertical="center" wrapText="1"/>
    </xf>
    <xf numFmtId="0" fontId="17" fillId="11" borderId="40" xfId="2" applyFont="1" applyFill="1" applyBorder="1" applyAlignment="1">
      <alignment horizontal="center" vertical="center" wrapText="1"/>
    </xf>
    <xf numFmtId="0" fontId="44" fillId="9" borderId="0" xfId="1" applyFont="1" applyFill="1" applyAlignment="1">
      <alignment horizontal="center" vertical="center" wrapText="1"/>
    </xf>
    <xf numFmtId="1" fontId="20" fillId="9" borderId="0" xfId="1" applyNumberFormat="1" applyFont="1" applyFill="1" applyAlignment="1">
      <alignment horizontal="center" vertical="center" wrapText="1"/>
    </xf>
    <xf numFmtId="0" fontId="59" fillId="9" borderId="0" xfId="1" applyFont="1" applyFill="1" applyAlignment="1">
      <alignment vertical="center" wrapText="1"/>
    </xf>
    <xf numFmtId="0" fontId="44" fillId="9" borderId="0" xfId="1" applyFont="1" applyFill="1" applyAlignment="1">
      <alignment vertical="center" wrapText="1"/>
    </xf>
    <xf numFmtId="0" fontId="62" fillId="9" borderId="0" xfId="1" applyFont="1" applyFill="1" applyAlignment="1">
      <alignment vertical="center" wrapText="1"/>
    </xf>
    <xf numFmtId="0" fontId="18" fillId="11" borderId="40" xfId="1" applyFont="1" applyFill="1" applyBorder="1" applyAlignment="1">
      <alignment horizontal="center" vertical="center" wrapText="1"/>
    </xf>
    <xf numFmtId="0" fontId="68" fillId="9" borderId="0" xfId="0" applyFont="1" applyFill="1" applyAlignment="1">
      <alignment vertical="center" wrapText="1"/>
    </xf>
    <xf numFmtId="0" fontId="68" fillId="9" borderId="0" xfId="0" applyFont="1" applyFill="1" applyAlignment="1">
      <alignment horizontal="left" vertical="top" wrapText="1"/>
    </xf>
    <xf numFmtId="1" fontId="34" fillId="12" borderId="40" xfId="1" applyNumberFormat="1" applyFont="1" applyFill="1" applyBorder="1" applyAlignment="1">
      <alignment horizontal="center" vertical="center"/>
    </xf>
    <xf numFmtId="0" fontId="37" fillId="27" borderId="40" xfId="0" applyFont="1" applyFill="1" applyBorder="1" applyAlignment="1">
      <alignment horizontal="center" vertical="center" wrapText="1"/>
    </xf>
    <xf numFmtId="0" fontId="40" fillId="0" borderId="40" xfId="0" applyFont="1" applyBorder="1" applyAlignment="1">
      <alignment horizontal="center" vertical="center" wrapText="1"/>
    </xf>
    <xf numFmtId="0" fontId="41" fillId="0" borderId="40" xfId="0" applyFont="1" applyBorder="1" applyAlignment="1">
      <alignment horizontal="center" vertical="center" wrapText="1"/>
    </xf>
    <xf numFmtId="0" fontId="17" fillId="10" borderId="31" xfId="2" applyFont="1" applyFill="1" applyBorder="1" applyAlignment="1">
      <alignment horizontal="center" vertical="center" wrapText="1"/>
    </xf>
    <xf numFmtId="0" fontId="17" fillId="10" borderId="56" xfId="2" applyFont="1" applyFill="1" applyBorder="1" applyAlignment="1">
      <alignment horizontal="center" vertical="center" wrapText="1"/>
    </xf>
    <xf numFmtId="0" fontId="19" fillId="10" borderId="40" xfId="1" applyFont="1" applyFill="1" applyBorder="1" applyAlignment="1">
      <alignment horizontal="left" vertical="center" wrapText="1"/>
    </xf>
    <xf numFmtId="0" fontId="40" fillId="10" borderId="40" xfId="2" applyFont="1" applyFill="1" applyBorder="1" applyAlignment="1">
      <alignment horizontal="center" vertical="center" wrapText="1"/>
    </xf>
    <xf numFmtId="0" fontId="59" fillId="28" borderId="0" xfId="1" applyFont="1" applyFill="1"/>
    <xf numFmtId="0" fontId="70" fillId="28" borderId="0" xfId="1" applyFont="1" applyFill="1"/>
    <xf numFmtId="0" fontId="70" fillId="28" borderId="0" xfId="1" applyFont="1" applyFill="1" applyAlignment="1">
      <alignment vertical="center"/>
    </xf>
    <xf numFmtId="0" fontId="14" fillId="28" borderId="0" xfId="1" applyFill="1"/>
    <xf numFmtId="0" fontId="68" fillId="9" borderId="0" xfId="0" applyFont="1" applyFill="1" applyAlignment="1">
      <alignment vertical="top" wrapText="1"/>
    </xf>
    <xf numFmtId="0" fontId="71" fillId="9" borderId="0" xfId="1" applyFont="1" applyFill="1" applyAlignment="1">
      <alignment vertical="top" wrapText="1"/>
    </xf>
    <xf numFmtId="0" fontId="71" fillId="9" borderId="0" xfId="1" applyFont="1" applyFill="1" applyAlignment="1">
      <alignment vertical="top"/>
    </xf>
    <xf numFmtId="0" fontId="16" fillId="10" borderId="15" xfId="2" applyFill="1" applyBorder="1" applyAlignment="1">
      <alignment horizontal="center" vertical="center" wrapText="1"/>
    </xf>
    <xf numFmtId="0" fontId="69" fillId="10" borderId="40" xfId="2" applyFont="1" applyFill="1" applyBorder="1" applyAlignment="1">
      <alignment vertical="top" wrapText="1"/>
    </xf>
    <xf numFmtId="0" fontId="16" fillId="10" borderId="23" xfId="2" applyFill="1" applyBorder="1" applyAlignment="1">
      <alignment horizontal="center" vertical="center" wrapText="1"/>
    </xf>
    <xf numFmtId="0" fontId="69" fillId="10" borderId="40" xfId="2" applyFont="1" applyFill="1" applyBorder="1" applyAlignment="1">
      <alignment horizontal="left" vertical="top" wrapText="1"/>
    </xf>
    <xf numFmtId="0" fontId="57" fillId="9" borderId="0" xfId="1" applyFont="1" applyFill="1" applyAlignment="1">
      <alignment horizontal="center" vertical="center" wrapText="1"/>
    </xf>
    <xf numFmtId="0" fontId="72" fillId="10" borderId="71" xfId="2" applyFont="1" applyFill="1" applyBorder="1" applyAlignment="1">
      <alignment horizontal="center" vertical="center" wrapText="1"/>
    </xf>
    <xf numFmtId="0" fontId="72" fillId="10" borderId="40" xfId="2" applyFont="1" applyFill="1" applyBorder="1" applyAlignment="1">
      <alignment horizontal="left" vertical="top" wrapText="1"/>
    </xf>
    <xf numFmtId="0" fontId="18" fillId="11" borderId="27" xfId="1" applyFont="1" applyFill="1" applyBorder="1" applyAlignment="1">
      <alignment horizontal="center" vertical="center" wrapText="1"/>
    </xf>
    <xf numFmtId="0" fontId="72" fillId="10" borderId="53" xfId="2" applyFont="1" applyFill="1" applyBorder="1" applyAlignment="1">
      <alignment horizontal="center" vertical="center" wrapText="1"/>
    </xf>
    <xf numFmtId="0" fontId="18" fillId="11" borderId="72" xfId="1" applyFont="1" applyFill="1" applyBorder="1" applyAlignment="1">
      <alignment horizontal="center" vertical="center" wrapText="1"/>
    </xf>
    <xf numFmtId="0" fontId="75" fillId="10" borderId="53" xfId="2" applyFont="1" applyFill="1" applyBorder="1" applyAlignment="1">
      <alignment horizontal="left" vertical="top" wrapText="1"/>
    </xf>
    <xf numFmtId="0" fontId="75" fillId="10" borderId="53" xfId="2" applyFont="1" applyFill="1" applyBorder="1" applyAlignment="1">
      <alignment horizontal="left" vertical="center" wrapText="1"/>
    </xf>
    <xf numFmtId="9" fontId="21" fillId="9" borderId="53" xfId="1" applyNumberFormat="1" applyFont="1" applyFill="1" applyBorder="1" applyAlignment="1">
      <alignment horizontal="center" vertical="center"/>
    </xf>
    <xf numFmtId="0" fontId="74" fillId="9" borderId="0" xfId="1" applyFont="1" applyFill="1"/>
    <xf numFmtId="0" fontId="72" fillId="10" borderId="2" xfId="2" applyFont="1" applyFill="1" applyBorder="1" applyAlignment="1">
      <alignment horizontal="center" vertical="center" wrapText="1"/>
    </xf>
    <xf numFmtId="0" fontId="72" fillId="10" borderId="61" xfId="2" applyFont="1" applyFill="1" applyBorder="1" applyAlignment="1">
      <alignment horizontal="left" vertical="top" wrapText="1"/>
    </xf>
    <xf numFmtId="0" fontId="40" fillId="10" borderId="42" xfId="2" applyFont="1" applyFill="1" applyBorder="1" applyAlignment="1">
      <alignment horizontal="center" vertical="center" wrapText="1"/>
    </xf>
    <xf numFmtId="0" fontId="59" fillId="10" borderId="40" xfId="2" applyFont="1" applyFill="1" applyBorder="1" applyAlignment="1">
      <alignment horizontal="center" vertical="center" wrapText="1"/>
    </xf>
    <xf numFmtId="0" fontId="18" fillId="11" borderId="31" xfId="1" applyFont="1" applyFill="1" applyBorder="1" applyAlignment="1">
      <alignment horizontal="center" vertical="center" wrapText="1"/>
    </xf>
    <xf numFmtId="0" fontId="72" fillId="10" borderId="31" xfId="2" applyFont="1" applyFill="1" applyBorder="1" applyAlignment="1">
      <alignment horizontal="left" vertical="top" wrapText="1"/>
    </xf>
    <xf numFmtId="0" fontId="76" fillId="2" borderId="73" xfId="0" applyFont="1" applyFill="1" applyBorder="1" applyAlignment="1">
      <alignment horizontal="center"/>
    </xf>
    <xf numFmtId="0" fontId="77" fillId="3" borderId="73" xfId="0" applyFont="1" applyFill="1" applyBorder="1" applyAlignment="1">
      <alignment horizontal="center"/>
    </xf>
    <xf numFmtId="0" fontId="77" fillId="5" borderId="73" xfId="0" applyFont="1" applyFill="1" applyBorder="1" applyAlignment="1">
      <alignment horizontal="center"/>
    </xf>
    <xf numFmtId="0" fontId="77" fillId="0" borderId="73" xfId="0" applyFont="1" applyBorder="1" applyAlignment="1">
      <alignment horizontal="center"/>
    </xf>
    <xf numFmtId="9" fontId="76" fillId="2" borderId="73" xfId="0" applyNumberFormat="1" applyFont="1" applyFill="1" applyBorder="1" applyAlignment="1">
      <alignment horizontal="center"/>
    </xf>
    <xf numFmtId="9" fontId="77" fillId="3" borderId="73" xfId="0" applyNumberFormat="1" applyFont="1" applyFill="1" applyBorder="1" applyAlignment="1">
      <alignment horizontal="center"/>
    </xf>
    <xf numFmtId="9" fontId="77" fillId="5" borderId="73" xfId="0" applyNumberFormat="1" applyFont="1" applyFill="1" applyBorder="1" applyAlignment="1">
      <alignment horizontal="center"/>
    </xf>
    <xf numFmtId="9" fontId="77" fillId="0" borderId="73" xfId="0" applyNumberFormat="1" applyFont="1" applyBorder="1" applyAlignment="1">
      <alignment horizontal="center"/>
    </xf>
    <xf numFmtId="0" fontId="4" fillId="0" borderId="74" xfId="4" applyBorder="1"/>
    <xf numFmtId="0" fontId="0" fillId="12" borderId="74" xfId="0" applyFill="1" applyBorder="1"/>
    <xf numFmtId="0" fontId="0" fillId="0" borderId="74" xfId="0" applyBorder="1"/>
    <xf numFmtId="0" fontId="4" fillId="12" borderId="74" xfId="4" applyFill="1" applyBorder="1"/>
    <xf numFmtId="164" fontId="4" fillId="0" borderId="74" xfId="4" applyNumberFormat="1" applyBorder="1"/>
    <xf numFmtId="0" fontId="14" fillId="12" borderId="74" xfId="4" applyFont="1" applyFill="1" applyBorder="1" applyAlignment="1">
      <alignment horizontal="center"/>
    </xf>
    <xf numFmtId="0" fontId="16" fillId="19" borderId="74" xfId="3" applyFill="1" applyBorder="1" applyAlignment="1">
      <alignment horizontal="center"/>
    </xf>
    <xf numFmtId="1" fontId="4" fillId="0" borderId="74" xfId="4" applyNumberFormat="1" applyBorder="1" applyAlignment="1">
      <alignment horizontal="center"/>
    </xf>
    <xf numFmtId="0" fontId="20" fillId="11" borderId="74" xfId="1" applyFont="1" applyFill="1" applyBorder="1" applyAlignment="1">
      <alignment horizontal="center" vertical="center" wrapText="1"/>
    </xf>
    <xf numFmtId="9" fontId="21" fillId="9" borderId="74" xfId="1" applyNumberFormat="1" applyFont="1" applyFill="1" applyBorder="1" applyAlignment="1">
      <alignment horizontal="center" vertical="center"/>
    </xf>
    <xf numFmtId="0" fontId="18" fillId="11" borderId="75" xfId="1" applyFont="1" applyFill="1" applyBorder="1" applyAlignment="1">
      <alignment horizontal="center" vertical="center" wrapText="1"/>
    </xf>
    <xf numFmtId="0" fontId="26" fillId="11" borderId="23" xfId="1" applyFont="1" applyFill="1" applyBorder="1" applyAlignment="1">
      <alignment horizontal="center" vertical="center" wrapText="1"/>
    </xf>
    <xf numFmtId="0" fontId="26" fillId="11" borderId="40" xfId="1" applyFont="1" applyFill="1" applyBorder="1" applyAlignment="1">
      <alignment horizontal="center" vertical="center" wrapText="1"/>
    </xf>
    <xf numFmtId="0" fontId="67" fillId="10" borderId="40" xfId="1" applyFont="1" applyFill="1" applyBorder="1" applyAlignment="1">
      <alignment horizontal="left" vertical="top" wrapText="1"/>
    </xf>
    <xf numFmtId="0" fontId="67" fillId="10" borderId="40" xfId="1" applyFont="1" applyFill="1" applyBorder="1" applyAlignment="1">
      <alignment horizontal="justify" vertical="top" wrapText="1"/>
    </xf>
    <xf numFmtId="1" fontId="14" fillId="9" borderId="0" xfId="1" applyNumberFormat="1" applyFill="1"/>
    <xf numFmtId="0" fontId="68" fillId="9" borderId="0" xfId="0" applyFont="1" applyFill="1" applyAlignment="1">
      <alignment horizontal="left" vertical="center" wrapText="1"/>
    </xf>
    <xf numFmtId="0" fontId="49" fillId="9" borderId="0" xfId="1" applyFont="1" applyFill="1"/>
    <xf numFmtId="0" fontId="49" fillId="9" borderId="0" xfId="1" applyFont="1" applyFill="1" applyAlignment="1">
      <alignment horizontal="left"/>
    </xf>
    <xf numFmtId="0" fontId="51" fillId="10" borderId="0" xfId="1" applyFont="1" applyFill="1" applyAlignment="1">
      <alignment vertical="center" wrapText="1"/>
    </xf>
    <xf numFmtId="0" fontId="14" fillId="13" borderId="0" xfId="1" applyFill="1" applyProtection="1">
      <protection locked="0"/>
    </xf>
    <xf numFmtId="0" fontId="44" fillId="11" borderId="23" xfId="1" applyFont="1" applyFill="1" applyBorder="1" applyAlignment="1">
      <alignment horizontal="center" vertical="center" wrapText="1"/>
    </xf>
    <xf numFmtId="0" fontId="44" fillId="25" borderId="23" xfId="1" applyFont="1" applyFill="1" applyBorder="1" applyAlignment="1">
      <alignment horizontal="center" vertical="center" wrapText="1"/>
    </xf>
    <xf numFmtId="0" fontId="44" fillId="15" borderId="23" xfId="1" applyFont="1" applyFill="1" applyBorder="1" applyAlignment="1">
      <alignment horizontal="center" vertical="center" wrapText="1"/>
    </xf>
    <xf numFmtId="0" fontId="44" fillId="20" borderId="23" xfId="1" applyFont="1" applyFill="1" applyBorder="1" applyAlignment="1">
      <alignment horizontal="center" vertical="center" wrapText="1"/>
    </xf>
    <xf numFmtId="1" fontId="20" fillId="9" borderId="23" xfId="1" applyNumberFormat="1" applyFont="1" applyFill="1" applyBorder="1" applyAlignment="1">
      <alignment horizontal="center" vertical="center" wrapText="1"/>
    </xf>
    <xf numFmtId="0" fontId="20" fillId="11" borderId="40" xfId="1" applyFont="1" applyFill="1" applyBorder="1" applyAlignment="1">
      <alignment horizontal="center" vertical="center" wrapText="1"/>
    </xf>
    <xf numFmtId="164" fontId="20" fillId="9" borderId="40" xfId="1" applyNumberFormat="1"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8" fillId="4" borderId="22" xfId="0" applyFont="1" applyFill="1" applyBorder="1" applyAlignment="1">
      <alignment horizontal="center"/>
    </xf>
    <xf numFmtId="0" fontId="5" fillId="6" borderId="8" xfId="0" applyFont="1" applyFill="1" applyBorder="1" applyAlignment="1">
      <alignment horizontal="center" vertical="center" wrapText="1"/>
    </xf>
    <xf numFmtId="0" fontId="5" fillId="2" borderId="82" xfId="0" applyFont="1" applyFill="1" applyBorder="1" applyAlignment="1">
      <alignment horizontal="center"/>
    </xf>
    <xf numFmtId="0" fontId="8" fillId="3" borderId="82" xfId="0" applyFont="1" applyFill="1" applyBorder="1" applyAlignment="1">
      <alignment horizontal="center"/>
    </xf>
    <xf numFmtId="0" fontId="8" fillId="5" borderId="82" xfId="0" applyFont="1" applyFill="1" applyBorder="1" applyAlignment="1">
      <alignment horizontal="center"/>
    </xf>
    <xf numFmtId="0" fontId="8" fillId="0" borderId="82" xfId="0" applyFont="1" applyBorder="1" applyAlignment="1">
      <alignment horizontal="center"/>
    </xf>
    <xf numFmtId="0" fontId="8" fillId="0" borderId="1" xfId="0" applyFont="1" applyBorder="1"/>
    <xf numFmtId="0" fontId="9" fillId="0" borderId="1" xfId="0" applyFont="1" applyBorder="1"/>
    <xf numFmtId="0" fontId="8" fillId="0" borderId="57" xfId="0" applyFont="1" applyBorder="1"/>
    <xf numFmtId="0" fontId="53" fillId="0" borderId="45" xfId="0" applyFont="1" applyBorder="1"/>
    <xf numFmtId="0" fontId="5" fillId="6" borderId="83" xfId="0" applyFont="1" applyFill="1" applyBorder="1" applyAlignment="1">
      <alignment vertical="center" wrapText="1"/>
    </xf>
    <xf numFmtId="0" fontId="5" fillId="6" borderId="84" xfId="0" applyFont="1" applyFill="1" applyBorder="1" applyAlignment="1">
      <alignment vertical="center" wrapText="1"/>
    </xf>
    <xf numFmtId="0" fontId="19" fillId="9" borderId="0" xfId="1" applyFont="1" applyFill="1" applyAlignment="1">
      <alignment horizontal="left" vertical="center" wrapText="1"/>
    </xf>
    <xf numFmtId="0" fontId="8" fillId="0" borderId="45" xfId="0" applyFont="1" applyBorder="1" applyAlignment="1">
      <alignment horizontal="right"/>
    </xf>
    <xf numFmtId="0" fontId="9" fillId="0" borderId="57" xfId="0" applyFont="1" applyBorder="1" applyAlignment="1">
      <alignment horizontal="right"/>
    </xf>
    <xf numFmtId="0" fontId="5" fillId="6" borderId="46" xfId="0" applyFont="1" applyFill="1" applyBorder="1" applyAlignment="1">
      <alignment horizontal="center" vertical="center" wrapText="1"/>
    </xf>
    <xf numFmtId="9" fontId="5" fillId="2" borderId="82" xfId="0" applyNumberFormat="1" applyFont="1" applyFill="1" applyBorder="1" applyAlignment="1">
      <alignment horizontal="center"/>
    </xf>
    <xf numFmtId="9" fontId="8" fillId="3" borderId="82" xfId="0" applyNumberFormat="1" applyFont="1" applyFill="1" applyBorder="1" applyAlignment="1">
      <alignment horizontal="center"/>
    </xf>
    <xf numFmtId="9" fontId="8" fillId="5" borderId="82" xfId="0" applyNumberFormat="1" applyFont="1" applyFill="1" applyBorder="1" applyAlignment="1">
      <alignment horizontal="center"/>
    </xf>
    <xf numFmtId="9" fontId="8" fillId="0" borderId="82" xfId="0" applyNumberFormat="1" applyFont="1" applyBorder="1" applyAlignment="1">
      <alignment horizontal="center"/>
    </xf>
    <xf numFmtId="0" fontId="8" fillId="0" borderId="0" xfId="0" applyFont="1" applyAlignment="1">
      <alignment horizontal="right" vertical="center"/>
    </xf>
    <xf numFmtId="1" fontId="8" fillId="0" borderId="0" xfId="0" applyNumberFormat="1" applyFont="1" applyAlignment="1">
      <alignment horizontal="right" vertical="center"/>
    </xf>
    <xf numFmtId="0" fontId="5" fillId="6" borderId="12" xfId="0" applyFont="1" applyFill="1" applyBorder="1" applyAlignment="1">
      <alignment vertical="center" wrapText="1"/>
    </xf>
    <xf numFmtId="0" fontId="8" fillId="5" borderId="82" xfId="0" applyFont="1" applyFill="1" applyBorder="1" applyAlignment="1">
      <alignment horizontal="center" vertical="center"/>
    </xf>
    <xf numFmtId="1" fontId="9" fillId="5" borderId="45" xfId="0" applyNumberFormat="1" applyFont="1" applyFill="1" applyBorder="1" applyAlignment="1">
      <alignment horizontal="center" vertical="center"/>
    </xf>
    <xf numFmtId="0" fontId="77" fillId="5" borderId="73" xfId="0" applyFont="1" applyFill="1" applyBorder="1" applyAlignment="1">
      <alignment horizontal="left"/>
    </xf>
    <xf numFmtId="1" fontId="8" fillId="5" borderId="82" xfId="0" applyNumberFormat="1" applyFont="1" applyFill="1" applyBorder="1" applyAlignment="1">
      <alignment horizontal="center"/>
    </xf>
    <xf numFmtId="1" fontId="8" fillId="5" borderId="86" xfId="0" applyNumberFormat="1" applyFont="1" applyFill="1" applyBorder="1" applyAlignment="1">
      <alignment horizontal="center"/>
    </xf>
    <xf numFmtId="1" fontId="8" fillId="5" borderId="87" xfId="0" applyNumberFormat="1" applyFont="1" applyFill="1" applyBorder="1" applyAlignment="1">
      <alignment horizontal="center"/>
    </xf>
    <xf numFmtId="9" fontId="77" fillId="5" borderId="73" xfId="0" applyNumberFormat="1" applyFont="1" applyFill="1" applyBorder="1" applyAlignment="1">
      <alignment horizontal="center" vertical="center"/>
    </xf>
    <xf numFmtId="9" fontId="8" fillId="5" borderId="82" xfId="0" applyNumberFormat="1" applyFont="1" applyFill="1" applyBorder="1" applyAlignment="1">
      <alignment horizontal="center" vertical="center"/>
    </xf>
    <xf numFmtId="0" fontId="12" fillId="6" borderId="2" xfId="0" applyFont="1" applyFill="1" applyBorder="1" applyAlignment="1">
      <alignment horizontal="center" vertical="top" wrapText="1"/>
    </xf>
    <xf numFmtId="0" fontId="12" fillId="6" borderId="6" xfId="0" applyFont="1" applyFill="1" applyBorder="1" applyAlignment="1">
      <alignment horizontal="center" vertical="top" wrapText="1"/>
    </xf>
    <xf numFmtId="1" fontId="8" fillId="5" borderId="45" xfId="5" applyNumberFormat="1" applyFont="1" applyFill="1" applyBorder="1" applyAlignment="1">
      <alignment horizontal="center" vertical="center"/>
    </xf>
    <xf numFmtId="0" fontId="5" fillId="6" borderId="1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0" fillId="0" borderId="0" xfId="0" applyAlignment="1">
      <alignment horizontal="center" vertical="center"/>
    </xf>
    <xf numFmtId="9" fontId="8" fillId="5" borderId="88" xfId="0" applyNumberFormat="1" applyFont="1" applyFill="1" applyBorder="1" applyAlignment="1">
      <alignment horizontal="center"/>
    </xf>
    <xf numFmtId="9" fontId="8" fillId="5" borderId="89" xfId="0" applyNumberFormat="1" applyFont="1" applyFill="1" applyBorder="1" applyAlignment="1">
      <alignment horizontal="center"/>
    </xf>
    <xf numFmtId="0" fontId="16" fillId="0" borderId="64" xfId="0" applyFont="1" applyBorder="1"/>
    <xf numFmtId="0" fontId="0" fillId="0" borderId="91" xfId="0" applyBorder="1"/>
    <xf numFmtId="0" fontId="0" fillId="0" borderId="92" xfId="0" applyBorder="1"/>
    <xf numFmtId="0" fontId="0" fillId="0" borderId="93" xfId="0" applyBorder="1"/>
    <xf numFmtId="0" fontId="0" fillId="0" borderId="90" xfId="0" applyBorder="1"/>
    <xf numFmtId="0" fontId="0" fillId="0" borderId="64" xfId="0" applyBorder="1"/>
    <xf numFmtId="1" fontId="8" fillId="0" borderId="82" xfId="0" applyNumberFormat="1" applyFont="1" applyBorder="1" applyAlignment="1">
      <alignment horizontal="center"/>
    </xf>
    <xf numFmtId="0" fontId="0" fillId="0" borderId="76" xfId="0" applyBorder="1"/>
    <xf numFmtId="0" fontId="0" fillId="0" borderId="78" xfId="0" applyBorder="1"/>
    <xf numFmtId="0" fontId="0" fillId="0" borderId="77" xfId="0" applyBorder="1"/>
    <xf numFmtId="0" fontId="0" fillId="0" borderId="0" xfId="0" applyAlignment="1">
      <alignment horizontal="right"/>
    </xf>
    <xf numFmtId="0" fontId="0" fillId="0" borderId="96" xfId="0" applyBorder="1"/>
    <xf numFmtId="9" fontId="8" fillId="5" borderId="97" xfId="0" applyNumberFormat="1" applyFont="1" applyFill="1" applyBorder="1" applyAlignment="1">
      <alignment horizontal="center"/>
    </xf>
    <xf numFmtId="0" fontId="16" fillId="0" borderId="96" xfId="0" applyFont="1" applyBorder="1"/>
    <xf numFmtId="9" fontId="76" fillId="2" borderId="88" xfId="0" applyNumberFormat="1" applyFont="1" applyFill="1" applyBorder="1" applyAlignment="1">
      <alignment horizontal="center"/>
    </xf>
    <xf numFmtId="9" fontId="77" fillId="5" borderId="97" xfId="0" applyNumberFormat="1" applyFont="1" applyFill="1" applyBorder="1" applyAlignment="1">
      <alignment horizontal="center"/>
    </xf>
    <xf numFmtId="0" fontId="5" fillId="6" borderId="96" xfId="0" applyFont="1" applyFill="1" applyBorder="1" applyAlignment="1">
      <alignment horizontal="center" vertical="center" wrapText="1"/>
    </xf>
    <xf numFmtId="9" fontId="5" fillId="2" borderId="88" xfId="0" applyNumberFormat="1" applyFont="1" applyFill="1" applyBorder="1" applyAlignment="1">
      <alignment horizontal="center"/>
    </xf>
    <xf numFmtId="9" fontId="56" fillId="5" borderId="97" xfId="0" applyNumberFormat="1" applyFont="1" applyFill="1" applyBorder="1" applyAlignment="1">
      <alignment horizontal="center"/>
    </xf>
    <xf numFmtId="9" fontId="55" fillId="2" borderId="88" xfId="0" applyNumberFormat="1" applyFont="1" applyFill="1" applyBorder="1" applyAlignment="1">
      <alignment horizontal="center"/>
    </xf>
    <xf numFmtId="9" fontId="0" fillId="0" borderId="96" xfId="0" applyNumberFormat="1" applyBorder="1" applyAlignment="1">
      <alignment horizontal="center"/>
    </xf>
    <xf numFmtId="9" fontId="77" fillId="3" borderId="73" xfId="0" applyNumberFormat="1" applyFont="1" applyFill="1" applyBorder="1" applyAlignment="1">
      <alignment horizontal="center" vertical="center"/>
    </xf>
    <xf numFmtId="0" fontId="77" fillId="3" borderId="73" xfId="0" applyFont="1" applyFill="1" applyBorder="1" applyAlignment="1">
      <alignment horizontal="center" vertical="center"/>
    </xf>
    <xf numFmtId="0" fontId="77" fillId="5" borderId="73" xfId="0" applyFont="1" applyFill="1" applyBorder="1" applyAlignment="1">
      <alignment horizontal="center" vertical="center"/>
    </xf>
    <xf numFmtId="9" fontId="8" fillId="5" borderId="45" xfId="5" applyFont="1" applyFill="1" applyBorder="1" applyAlignment="1">
      <alignment horizontal="center"/>
    </xf>
    <xf numFmtId="9" fontId="77" fillId="0" borderId="73" xfId="0" applyNumberFormat="1" applyFont="1" applyBorder="1" applyAlignment="1">
      <alignment horizontal="center" vertical="center"/>
    </xf>
    <xf numFmtId="0" fontId="8" fillId="0" borderId="82" xfId="0" applyFont="1" applyBorder="1" applyAlignment="1">
      <alignment horizontal="center" vertical="center"/>
    </xf>
    <xf numFmtId="9" fontId="8" fillId="0" borderId="82" xfId="0" applyNumberFormat="1" applyFont="1" applyBorder="1" applyAlignment="1">
      <alignment horizontal="center" vertical="center"/>
    </xf>
    <xf numFmtId="0" fontId="77" fillId="0" borderId="73" xfId="0" applyFont="1" applyBorder="1" applyAlignment="1">
      <alignment horizontal="center" vertical="center"/>
    </xf>
    <xf numFmtId="9" fontId="8" fillId="5" borderId="82" xfId="5" applyFont="1" applyFill="1" applyBorder="1" applyAlignment="1">
      <alignment horizontal="center" vertical="center"/>
    </xf>
    <xf numFmtId="0" fontId="10" fillId="6" borderId="95" xfId="0" applyFont="1" applyFill="1" applyBorder="1" applyAlignment="1">
      <alignment horizontal="center" vertical="center"/>
    </xf>
    <xf numFmtId="0" fontId="5" fillId="6" borderId="99" xfId="0" applyFont="1" applyFill="1" applyBorder="1" applyAlignment="1">
      <alignment horizontal="center" vertical="center" wrapText="1"/>
    </xf>
    <xf numFmtId="0" fontId="0" fillId="0" borderId="102" xfId="0" applyBorder="1"/>
    <xf numFmtId="0" fontId="0" fillId="0" borderId="103" xfId="0" applyBorder="1"/>
    <xf numFmtId="0" fontId="0" fillId="0" borderId="104" xfId="0" applyBorder="1"/>
    <xf numFmtId="0" fontId="16" fillId="0" borderId="102" xfId="0" applyFont="1" applyBorder="1"/>
    <xf numFmtId="0" fontId="16" fillId="0" borderId="103" xfId="0" applyFont="1" applyBorder="1"/>
    <xf numFmtId="0" fontId="5" fillId="6" borderId="96" xfId="0" applyFont="1" applyFill="1" applyBorder="1" applyAlignment="1">
      <alignment vertical="center" wrapText="1"/>
    </xf>
    <xf numFmtId="9" fontId="0" fillId="0" borderId="100" xfId="5" applyFont="1" applyBorder="1" applyAlignment="1">
      <alignment horizontal="center" vertical="center"/>
    </xf>
    <xf numFmtId="0" fontId="5" fillId="6" borderId="101" xfId="0" applyFont="1" applyFill="1" applyBorder="1" applyAlignment="1">
      <alignment horizontal="center" vertical="center" wrapText="1"/>
    </xf>
    <xf numFmtId="0" fontId="0" fillId="0" borderId="105" xfId="0" applyBorder="1" applyAlignment="1">
      <alignment horizontal="center"/>
    </xf>
    <xf numFmtId="0" fontId="0" fillId="0" borderId="106" xfId="0" applyBorder="1" applyAlignment="1">
      <alignment horizontal="center"/>
    </xf>
    <xf numFmtId="0" fontId="0" fillId="0" borderId="107" xfId="0" applyBorder="1" applyAlignment="1">
      <alignment horizontal="center"/>
    </xf>
    <xf numFmtId="0" fontId="10" fillId="6" borderId="83" xfId="0" applyFont="1" applyFill="1" applyBorder="1" applyAlignment="1">
      <alignment vertical="center"/>
    </xf>
    <xf numFmtId="0" fontId="10" fillId="6" borderId="85" xfId="0" applyFont="1" applyFill="1" applyBorder="1" applyAlignment="1">
      <alignment vertical="center"/>
    </xf>
    <xf numFmtId="0" fontId="16" fillId="0" borderId="0" xfId="0" applyFont="1" applyAlignment="1">
      <alignment horizontal="center"/>
    </xf>
    <xf numFmtId="1" fontId="8" fillId="0" borderId="108" xfId="0" applyNumberFormat="1" applyFont="1" applyBorder="1" applyAlignment="1">
      <alignment horizontal="center"/>
    </xf>
    <xf numFmtId="0" fontId="16" fillId="0" borderId="101" xfId="0" applyFont="1" applyBorder="1" applyAlignment="1">
      <alignment horizontal="center"/>
    </xf>
    <xf numFmtId="0" fontId="16" fillId="0" borderId="96" xfId="0" applyFont="1" applyBorder="1" applyAlignment="1">
      <alignment horizontal="center"/>
    </xf>
    <xf numFmtId="9" fontId="8" fillId="5" borderId="109" xfId="0" applyNumberFormat="1" applyFont="1" applyFill="1" applyBorder="1" applyAlignment="1">
      <alignment horizontal="center"/>
    </xf>
    <xf numFmtId="9" fontId="8" fillId="5" borderId="110" xfId="0" applyNumberFormat="1" applyFont="1" applyFill="1" applyBorder="1" applyAlignment="1">
      <alignment horizontal="center"/>
    </xf>
    <xf numFmtId="9" fontId="8" fillId="5" borderId="111" xfId="0" applyNumberFormat="1" applyFont="1" applyFill="1" applyBorder="1" applyAlignment="1">
      <alignment horizontal="center"/>
    </xf>
    <xf numFmtId="9" fontId="8" fillId="5" borderId="112" xfId="0" applyNumberFormat="1" applyFont="1" applyFill="1" applyBorder="1" applyAlignment="1">
      <alignment horizontal="center"/>
    </xf>
    <xf numFmtId="9" fontId="8" fillId="5" borderId="108" xfId="0" applyNumberFormat="1" applyFont="1" applyFill="1" applyBorder="1" applyAlignment="1">
      <alignment horizontal="center"/>
    </xf>
    <xf numFmtId="0" fontId="16" fillId="0" borderId="101" xfId="0" applyFont="1" applyBorder="1"/>
    <xf numFmtId="9" fontId="8" fillId="5" borderId="113" xfId="0" applyNumberFormat="1" applyFont="1" applyFill="1" applyBorder="1" applyAlignment="1">
      <alignment horizontal="center"/>
    </xf>
    <xf numFmtId="9" fontId="8" fillId="5" borderId="114" xfId="0" applyNumberFormat="1" applyFont="1" applyFill="1" applyBorder="1" applyAlignment="1">
      <alignment horizontal="center"/>
    </xf>
    <xf numFmtId="0" fontId="16" fillId="0" borderId="106" xfId="0" applyFont="1" applyBorder="1"/>
    <xf numFmtId="0" fontId="8" fillId="0" borderId="57" xfId="0" applyFont="1" applyBorder="1" applyAlignment="1">
      <alignment horizontal="left"/>
    </xf>
    <xf numFmtId="0" fontId="8" fillId="9" borderId="1" xfId="0" applyFont="1" applyFill="1" applyBorder="1" applyAlignment="1">
      <alignment horizontal="center" vertical="center"/>
    </xf>
    <xf numFmtId="9" fontId="9" fillId="9" borderId="1" xfId="0" applyNumberFormat="1" applyFont="1" applyFill="1" applyBorder="1" applyAlignment="1">
      <alignment horizontal="center" vertical="center"/>
    </xf>
    <xf numFmtId="9" fontId="8" fillId="5" borderId="86" xfId="0" applyNumberFormat="1" applyFont="1" applyFill="1" applyBorder="1" applyAlignment="1">
      <alignment horizontal="center"/>
    </xf>
    <xf numFmtId="0" fontId="16" fillId="0" borderId="100" xfId="0" applyFont="1" applyBorder="1"/>
    <xf numFmtId="9" fontId="8" fillId="5" borderId="115" xfId="0" applyNumberFormat="1" applyFont="1" applyFill="1" applyBorder="1" applyAlignment="1">
      <alignment horizontal="center"/>
    </xf>
    <xf numFmtId="9" fontId="8" fillId="5" borderId="116" xfId="0" applyNumberFormat="1" applyFont="1" applyFill="1" applyBorder="1" applyAlignment="1">
      <alignment horizontal="center"/>
    </xf>
    <xf numFmtId="9" fontId="8" fillId="5" borderId="117" xfId="0" applyNumberFormat="1" applyFont="1" applyFill="1" applyBorder="1" applyAlignment="1">
      <alignment horizontal="center"/>
    </xf>
    <xf numFmtId="0" fontId="4" fillId="0" borderId="40" xfId="4" applyBorder="1"/>
    <xf numFmtId="0" fontId="4" fillId="0" borderId="40" xfId="4" applyBorder="1" applyAlignment="1">
      <alignment horizontal="center" vertical="center"/>
    </xf>
    <xf numFmtId="0" fontId="58" fillId="0" borderId="42" xfId="3" applyFont="1" applyBorder="1" applyAlignment="1">
      <alignment horizontal="left" vertical="center"/>
    </xf>
    <xf numFmtId="0" fontId="58" fillId="0" borderId="120" xfId="3" applyFont="1" applyBorder="1" applyAlignment="1">
      <alignment horizontal="left" vertical="center"/>
    </xf>
    <xf numFmtId="0" fontId="4" fillId="0" borderId="42" xfId="4" applyBorder="1" applyAlignment="1">
      <alignment horizontal="center" vertical="center"/>
    </xf>
    <xf numFmtId="0" fontId="54" fillId="2" borderId="45" xfId="0" applyFont="1" applyFill="1" applyBorder="1" applyAlignment="1">
      <alignment horizontal="center" vertical="center"/>
    </xf>
    <xf numFmtId="0" fontId="5" fillId="2" borderId="57" xfId="0" applyFont="1" applyFill="1" applyBorder="1" applyAlignment="1">
      <alignment horizontal="center" vertical="center"/>
    </xf>
    <xf numFmtId="0" fontId="76" fillId="2" borderId="73" xfId="0" applyFont="1" applyFill="1" applyBorder="1" applyAlignment="1">
      <alignment horizontal="center" vertical="center"/>
    </xf>
    <xf numFmtId="0" fontId="5" fillId="2" borderId="82" xfId="0" applyFont="1" applyFill="1" applyBorder="1" applyAlignment="1">
      <alignment horizontal="center" vertical="center"/>
    </xf>
    <xf numFmtId="0" fontId="53" fillId="3" borderId="45"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82" xfId="0" applyFont="1" applyFill="1" applyBorder="1" applyAlignment="1">
      <alignment horizontal="center" vertical="center"/>
    </xf>
    <xf numFmtId="0" fontId="53" fillId="5" borderId="45" xfId="0" applyFont="1" applyFill="1" applyBorder="1" applyAlignment="1">
      <alignment horizontal="center" vertical="center"/>
    </xf>
    <xf numFmtId="0" fontId="77" fillId="4" borderId="73" xfId="0" applyFont="1" applyFill="1" applyBorder="1" applyAlignment="1">
      <alignment horizontal="center" vertical="center"/>
    </xf>
    <xf numFmtId="0" fontId="53" fillId="0" borderId="45" xfId="0" applyFont="1" applyBorder="1" applyAlignment="1">
      <alignment horizontal="center" vertical="center"/>
    </xf>
    <xf numFmtId="0" fontId="53" fillId="0" borderId="57" xfId="0" applyFont="1" applyBorder="1" applyAlignment="1">
      <alignment horizontal="center" vertical="center"/>
    </xf>
    <xf numFmtId="0" fontId="53" fillId="0" borderId="0" xfId="0" applyFont="1" applyAlignment="1">
      <alignment horizontal="center" vertical="center"/>
    </xf>
    <xf numFmtId="0" fontId="8" fillId="0" borderId="4" xfId="0" applyFont="1" applyBorder="1" applyAlignment="1">
      <alignment horizontal="center" vertical="center"/>
    </xf>
    <xf numFmtId="0" fontId="20" fillId="9" borderId="40" xfId="1" applyFont="1" applyFill="1" applyBorder="1" applyAlignment="1">
      <alignment horizontal="center" vertical="center" wrapText="1"/>
    </xf>
    <xf numFmtId="2" fontId="4" fillId="0" borderId="40" xfId="4" applyNumberFormat="1" applyBorder="1"/>
    <xf numFmtId="2" fontId="4" fillId="0" borderId="0" xfId="4" applyNumberFormat="1"/>
    <xf numFmtId="164" fontId="4" fillId="0" borderId="121" xfId="4" applyNumberFormat="1" applyBorder="1"/>
    <xf numFmtId="164" fontId="4" fillId="0" borderId="40" xfId="4" applyNumberFormat="1" applyBorder="1" applyAlignment="1">
      <alignment horizontal="center" vertical="center"/>
    </xf>
    <xf numFmtId="164" fontId="4" fillId="0" borderId="40" xfId="4" applyNumberFormat="1" applyBorder="1"/>
    <xf numFmtId="164" fontId="4" fillId="0" borderId="119" xfId="4" applyNumberFormat="1" applyBorder="1" applyAlignment="1">
      <alignment horizontal="center" vertical="center"/>
    </xf>
    <xf numFmtId="0" fontId="10" fillId="6" borderId="50" xfId="0" applyFont="1" applyFill="1" applyBorder="1" applyAlignment="1">
      <alignment vertical="center"/>
    </xf>
    <xf numFmtId="0" fontId="10" fillId="6" borderId="47" xfId="0" applyFont="1" applyFill="1" applyBorder="1" applyAlignment="1">
      <alignment vertical="center"/>
    </xf>
    <xf numFmtId="0" fontId="10" fillId="6" borderId="48" xfId="0" applyFont="1" applyFill="1" applyBorder="1" applyAlignment="1">
      <alignment vertical="center"/>
    </xf>
    <xf numFmtId="0" fontId="23" fillId="9" borderId="46" xfId="1" applyFont="1" applyFill="1" applyBorder="1" applyAlignment="1">
      <alignment horizontal="center" vertical="top" wrapText="1"/>
    </xf>
    <xf numFmtId="0" fontId="23" fillId="14" borderId="46" xfId="1" applyFont="1" applyFill="1" applyBorder="1" applyAlignment="1">
      <alignment horizontal="center" vertical="top" wrapText="1"/>
    </xf>
    <xf numFmtId="0" fontId="23" fillId="15" borderId="46" xfId="1" applyFont="1" applyFill="1" applyBorder="1" applyAlignment="1">
      <alignment horizontal="center" vertical="top" wrapText="1"/>
    </xf>
    <xf numFmtId="0" fontId="23" fillId="11" borderId="46" xfId="1" applyFont="1" applyFill="1" applyBorder="1" applyAlignment="1">
      <alignment horizontal="center" vertical="top" wrapText="1"/>
    </xf>
    <xf numFmtId="0" fontId="23" fillId="0" borderId="46" xfId="1" applyFont="1" applyBorder="1" applyAlignment="1">
      <alignment horizontal="center" vertical="top" wrapText="1"/>
    </xf>
    <xf numFmtId="0" fontId="10" fillId="6" borderId="15" xfId="0" applyFont="1" applyFill="1" applyBorder="1" applyAlignment="1">
      <alignment vertical="center"/>
    </xf>
    <xf numFmtId="0" fontId="10" fillId="6" borderId="19" xfId="0" applyFont="1" applyFill="1" applyBorder="1" applyAlignment="1">
      <alignment vertical="center"/>
    </xf>
    <xf numFmtId="0" fontId="23" fillId="9" borderId="2" xfId="1" applyFont="1" applyFill="1" applyBorder="1" applyAlignment="1">
      <alignment horizontal="center" wrapText="1"/>
    </xf>
    <xf numFmtId="0" fontId="23" fillId="11" borderId="2" xfId="1" applyFont="1" applyFill="1" applyBorder="1" applyAlignment="1">
      <alignment horizontal="center" wrapText="1"/>
    </xf>
    <xf numFmtId="0" fontId="23" fillId="15" borderId="2" xfId="1" applyFont="1" applyFill="1" applyBorder="1" applyAlignment="1">
      <alignment horizontal="center" wrapText="1"/>
    </xf>
    <xf numFmtId="0" fontId="23" fillId="14" borderId="2" xfId="1" applyFont="1" applyFill="1" applyBorder="1" applyAlignment="1">
      <alignment horizontal="center" wrapText="1"/>
    </xf>
    <xf numFmtId="0" fontId="4" fillId="0" borderId="119" xfId="4" applyBorder="1" applyAlignment="1">
      <alignment horizontal="center" vertical="center"/>
    </xf>
    <xf numFmtId="0" fontId="3" fillId="0" borderId="40" xfId="4" applyFont="1" applyBorder="1" applyAlignment="1">
      <alignment horizontal="center" vertical="center"/>
    </xf>
    <xf numFmtId="0" fontId="17" fillId="0" borderId="0" xfId="0" applyFont="1" applyAlignment="1">
      <alignment horizontal="center"/>
    </xf>
    <xf numFmtId="0" fontId="8" fillId="0" borderId="82" xfId="0" applyFont="1" applyBorder="1" applyAlignment="1">
      <alignment horizontal="right"/>
    </xf>
    <xf numFmtId="1" fontId="8" fillId="0" borderId="57" xfId="0" applyNumberFormat="1" applyFont="1" applyBorder="1" applyAlignment="1">
      <alignment horizontal="right"/>
    </xf>
    <xf numFmtId="0" fontId="53" fillId="0" borderId="1" xfId="0" applyFont="1" applyBorder="1" applyAlignment="1">
      <alignment horizontal="right"/>
    </xf>
    <xf numFmtId="0" fontId="0" fillId="0" borderId="1" xfId="0" applyBorder="1" applyAlignment="1">
      <alignment horizontal="center" vertical="center"/>
    </xf>
    <xf numFmtId="0" fontId="9" fillId="0" borderId="82" xfId="0" applyFont="1" applyBorder="1" applyAlignment="1">
      <alignment horizontal="center" vertical="center"/>
    </xf>
    <xf numFmtId="0" fontId="0" fillId="0" borderId="45" xfId="0" applyBorder="1" applyAlignment="1">
      <alignment horizontal="center" vertical="center"/>
    </xf>
    <xf numFmtId="0" fontId="53" fillId="0" borderId="82" xfId="0" applyFont="1" applyBorder="1" applyAlignment="1">
      <alignment horizontal="center" vertical="center"/>
    </xf>
    <xf numFmtId="0" fontId="0" fillId="0" borderId="57" xfId="0" applyBorder="1" applyAlignment="1">
      <alignment horizontal="center" vertical="center"/>
    </xf>
    <xf numFmtId="0" fontId="8" fillId="0" borderId="73" xfId="0" applyFont="1" applyBorder="1" applyAlignment="1">
      <alignment horizontal="center" vertical="center"/>
    </xf>
    <xf numFmtId="0" fontId="77" fillId="0" borderId="82" xfId="0" applyFont="1" applyBorder="1" applyAlignment="1">
      <alignment horizontal="center" vertical="center"/>
    </xf>
    <xf numFmtId="0" fontId="0" fillId="0" borderId="73" xfId="0" applyBorder="1" applyAlignment="1">
      <alignment horizontal="center" vertical="center"/>
    </xf>
    <xf numFmtId="0" fontId="77" fillId="0" borderId="0" xfId="0" applyFont="1" applyAlignment="1">
      <alignment horizontal="center" vertical="center"/>
    </xf>
    <xf numFmtId="0" fontId="0" fillId="0" borderId="82" xfId="0" applyBorder="1" applyAlignment="1">
      <alignment horizontal="center" vertical="center"/>
    </xf>
    <xf numFmtId="0" fontId="9" fillId="0" borderId="82" xfId="0" applyFont="1" applyBorder="1" applyAlignment="1">
      <alignment horizontal="right"/>
    </xf>
    <xf numFmtId="0" fontId="4" fillId="0" borderId="124" xfId="4" applyBorder="1"/>
    <xf numFmtId="0" fontId="0" fillId="20" borderId="124" xfId="0" applyFill="1" applyBorder="1"/>
    <xf numFmtId="0" fontId="0" fillId="0" borderId="124" xfId="0" applyBorder="1"/>
    <xf numFmtId="0" fontId="4" fillId="20" borderId="124" xfId="4" applyFill="1" applyBorder="1"/>
    <xf numFmtId="164" fontId="4" fillId="0" borderId="124" xfId="4" applyNumberFormat="1" applyBorder="1"/>
    <xf numFmtId="0" fontId="16" fillId="21" borderId="124" xfId="3" applyFill="1" applyBorder="1" applyAlignment="1">
      <alignment horizontal="center"/>
    </xf>
    <xf numFmtId="1" fontId="4" fillId="0" borderId="124" xfId="4" applyNumberFormat="1" applyBorder="1" applyAlignment="1">
      <alignment horizontal="center"/>
    </xf>
    <xf numFmtId="0" fontId="58" fillId="0" borderId="124" xfId="3" applyFont="1" applyBorder="1" applyAlignment="1">
      <alignment horizontal="left" vertical="center"/>
    </xf>
    <xf numFmtId="0" fontId="0" fillId="7" borderId="124" xfId="0" applyFill="1" applyBorder="1"/>
    <xf numFmtId="0" fontId="0" fillId="20" borderId="26" xfId="0" applyFill="1" applyBorder="1"/>
    <xf numFmtId="0" fontId="0" fillId="7" borderId="26" xfId="0" applyFill="1" applyBorder="1"/>
    <xf numFmtId="0" fontId="0" fillId="18" borderId="26" xfId="0" applyFill="1" applyBorder="1"/>
    <xf numFmtId="0" fontId="4" fillId="7" borderId="124" xfId="4" applyFill="1" applyBorder="1"/>
    <xf numFmtId="0" fontId="14" fillId="7" borderId="124" xfId="4" applyFont="1" applyFill="1" applyBorder="1" applyAlignment="1">
      <alignment horizontal="center"/>
    </xf>
    <xf numFmtId="0" fontId="16" fillId="7" borderId="124" xfId="3" applyFill="1" applyBorder="1" applyAlignment="1">
      <alignment horizontal="center"/>
    </xf>
    <xf numFmtId="0" fontId="4" fillId="0" borderId="55" xfId="4" applyBorder="1"/>
    <xf numFmtId="0" fontId="58" fillId="7" borderId="124" xfId="3" applyFont="1" applyFill="1" applyBorder="1" applyAlignment="1">
      <alignment horizontal="center" vertical="center"/>
    </xf>
    <xf numFmtId="0" fontId="0" fillId="21" borderId="0" xfId="0" applyFill="1" applyAlignment="1">
      <alignment horizontal="center"/>
    </xf>
    <xf numFmtId="0" fontId="8" fillId="0" borderId="82" xfId="0" applyFont="1" applyBorder="1" applyAlignment="1">
      <alignment horizontal="left"/>
    </xf>
    <xf numFmtId="9" fontId="9" fillId="0" borderId="82" xfId="0" applyNumberFormat="1" applyFont="1" applyBorder="1" applyAlignment="1">
      <alignment horizontal="center"/>
    </xf>
    <xf numFmtId="0" fontId="9" fillId="0" borderId="82" xfId="0" applyFont="1" applyBorder="1" applyAlignment="1">
      <alignment horizontal="center"/>
    </xf>
    <xf numFmtId="0" fontId="53" fillId="0" borderId="82" xfId="0" applyFont="1" applyBorder="1" applyAlignment="1">
      <alignment horizontal="center"/>
    </xf>
    <xf numFmtId="9" fontId="53" fillId="0" borderId="82" xfId="0" applyNumberFormat="1" applyFont="1" applyBorder="1" applyAlignment="1">
      <alignment horizontal="center"/>
    </xf>
    <xf numFmtId="0" fontId="77" fillId="0" borderId="82" xfId="0" applyFont="1" applyBorder="1" applyAlignment="1">
      <alignment horizontal="center"/>
    </xf>
    <xf numFmtId="9" fontId="77" fillId="0" borderId="82" xfId="0" applyNumberFormat="1" applyFont="1" applyBorder="1" applyAlignment="1">
      <alignment horizontal="center"/>
    </xf>
    <xf numFmtId="0" fontId="9" fillId="0" borderId="82" xfId="0" applyFont="1" applyBorder="1" applyAlignment="1">
      <alignment horizontal="left"/>
    </xf>
    <xf numFmtId="0" fontId="53" fillId="0" borderId="1" xfId="0" applyFont="1" applyBorder="1" applyAlignment="1">
      <alignment horizontal="left"/>
    </xf>
    <xf numFmtId="0" fontId="8" fillId="0" borderId="45" xfId="0" applyFont="1" applyBorder="1" applyAlignment="1">
      <alignment horizontal="left"/>
    </xf>
    <xf numFmtId="0" fontId="0" fillId="0" borderId="45" xfId="0" applyBorder="1"/>
    <xf numFmtId="0" fontId="53" fillId="0" borderId="0" xfId="0" applyFont="1" applyAlignment="1">
      <alignment horizontal="center"/>
    </xf>
    <xf numFmtId="9" fontId="53" fillId="0" borderId="0" xfId="0" applyNumberFormat="1" applyFont="1" applyAlignment="1">
      <alignment horizontal="center"/>
    </xf>
    <xf numFmtId="0" fontId="0" fillId="0" borderId="57" xfId="0" applyBorder="1"/>
    <xf numFmtId="0" fontId="0" fillId="0" borderId="82" xfId="0" applyBorder="1"/>
    <xf numFmtId="0" fontId="0" fillId="0" borderId="73" xfId="0" applyBorder="1"/>
    <xf numFmtId="0" fontId="77" fillId="0" borderId="0" xfId="0" applyFont="1" applyAlignment="1">
      <alignment horizontal="center"/>
    </xf>
    <xf numFmtId="9" fontId="77" fillId="0" borderId="0" xfId="0" applyNumberFormat="1" applyFont="1" applyAlignment="1">
      <alignment horizontal="center"/>
    </xf>
    <xf numFmtId="0" fontId="8" fillId="0" borderId="73" xfId="0" applyFont="1" applyBorder="1" applyAlignment="1">
      <alignment horizontal="center"/>
    </xf>
    <xf numFmtId="9" fontId="8" fillId="0" borderId="73" xfId="0" applyNumberFormat="1" applyFont="1" applyBorder="1" applyAlignment="1">
      <alignment horizontal="center"/>
    </xf>
    <xf numFmtId="9" fontId="9" fillId="0" borderId="82" xfId="0" applyNumberFormat="1" applyFont="1" applyBorder="1" applyAlignment="1">
      <alignment horizontal="center" vertical="center"/>
    </xf>
    <xf numFmtId="0" fontId="53" fillId="0" borderId="1" xfId="0" applyFont="1" applyBorder="1" applyAlignment="1">
      <alignment horizontal="center"/>
    </xf>
    <xf numFmtId="9" fontId="77" fillId="0" borderId="82" xfId="0" applyNumberFormat="1" applyFont="1" applyBorder="1" applyAlignment="1">
      <alignment horizontal="center" vertical="center"/>
    </xf>
    <xf numFmtId="0" fontId="9" fillId="0" borderId="4" xfId="0" applyFont="1" applyBorder="1" applyAlignment="1">
      <alignment horizontal="right"/>
    </xf>
    <xf numFmtId="0" fontId="0" fillId="0" borderId="73" xfId="0" applyBorder="1" applyAlignment="1">
      <alignment vertical="center"/>
    </xf>
    <xf numFmtId="9" fontId="77" fillId="0" borderId="0" xfId="0" applyNumberFormat="1" applyFont="1" applyAlignment="1">
      <alignment horizontal="center" vertical="center"/>
    </xf>
    <xf numFmtId="0" fontId="0" fillId="0" borderId="82" xfId="0" applyBorder="1" applyAlignment="1">
      <alignment vertical="center"/>
    </xf>
    <xf numFmtId="9" fontId="8" fillId="0" borderId="73" xfId="0" applyNumberFormat="1" applyFont="1" applyBorder="1" applyAlignment="1">
      <alignment horizontal="center" vertical="center"/>
    </xf>
    <xf numFmtId="9" fontId="8" fillId="0" borderId="0" xfId="0" applyNumberFormat="1" applyFont="1" applyAlignment="1">
      <alignment horizontal="center" vertical="center"/>
    </xf>
    <xf numFmtId="9" fontId="76" fillId="2" borderId="73" xfId="0" applyNumberFormat="1" applyFont="1" applyFill="1" applyBorder="1" applyAlignment="1">
      <alignment horizontal="center" vertical="center"/>
    </xf>
    <xf numFmtId="0" fontId="5" fillId="6" borderId="98" xfId="0" applyFont="1" applyFill="1" applyBorder="1" applyAlignment="1">
      <alignment horizontal="center" vertical="center" wrapText="1"/>
    </xf>
    <xf numFmtId="1" fontId="8" fillId="0" borderId="82" xfId="0" applyNumberFormat="1" applyFont="1" applyBorder="1" applyAlignment="1">
      <alignment horizontal="center" vertical="center"/>
    </xf>
    <xf numFmtId="1" fontId="8" fillId="0" borderId="127" xfId="0" applyNumberFormat="1" applyFont="1" applyBorder="1" applyAlignment="1">
      <alignment horizontal="center"/>
    </xf>
    <xf numFmtId="0" fontId="8" fillId="4" borderId="127" xfId="0" applyFont="1" applyFill="1" applyBorder="1" applyAlignment="1">
      <alignment horizontal="center"/>
    </xf>
    <xf numFmtId="1" fontId="4" fillId="0" borderId="23" xfId="4" applyNumberFormat="1" applyBorder="1" applyAlignment="1">
      <alignment horizontal="left"/>
    </xf>
    <xf numFmtId="0" fontId="80" fillId="0" borderId="40" xfId="0" applyFont="1" applyBorder="1" applyAlignment="1">
      <alignment horizontal="center"/>
    </xf>
    <xf numFmtId="1" fontId="80" fillId="0" borderId="23" xfId="0" applyNumberFormat="1" applyFont="1" applyBorder="1" applyAlignment="1">
      <alignment horizontal="center"/>
    </xf>
    <xf numFmtId="0" fontId="4" fillId="0" borderId="58" xfId="4" applyBorder="1" applyAlignment="1">
      <alignment horizontal="left"/>
    </xf>
    <xf numFmtId="0" fontId="0" fillId="18" borderId="0" xfId="0" applyFill="1"/>
    <xf numFmtId="0" fontId="0" fillId="7" borderId="53" xfId="0" applyFill="1" applyBorder="1"/>
    <xf numFmtId="0" fontId="58" fillId="0" borderId="0" xfId="3" applyFont="1" applyAlignment="1">
      <alignment horizontal="left" vertical="center"/>
    </xf>
    <xf numFmtId="0" fontId="0" fillId="20" borderId="120" xfId="0" applyFill="1" applyBorder="1"/>
    <xf numFmtId="0" fontId="0" fillId="0" borderId="120" xfId="0" applyBorder="1"/>
    <xf numFmtId="0" fontId="0" fillId="7" borderId="54" xfId="0" applyFill="1" applyBorder="1"/>
    <xf numFmtId="0" fontId="0" fillId="7" borderId="60" xfId="0" applyFill="1" applyBorder="1"/>
    <xf numFmtId="0" fontId="4" fillId="7" borderId="0" xfId="4" applyFill="1"/>
    <xf numFmtId="0" fontId="4" fillId="7" borderId="53" xfId="4" applyFill="1" applyBorder="1"/>
    <xf numFmtId="0" fontId="4" fillId="20" borderId="120" xfId="4" applyFill="1" applyBorder="1"/>
    <xf numFmtId="1" fontId="4" fillId="0" borderId="23" xfId="4" applyNumberFormat="1" applyBorder="1"/>
    <xf numFmtId="0" fontId="4" fillId="0" borderId="120" xfId="4" applyBorder="1"/>
    <xf numFmtId="164" fontId="4" fillId="0" borderId="120" xfId="4" applyNumberFormat="1" applyBorder="1"/>
    <xf numFmtId="0" fontId="14" fillId="7" borderId="0" xfId="4" applyFont="1" applyFill="1" applyAlignment="1">
      <alignment horizontal="center"/>
    </xf>
    <xf numFmtId="0" fontId="41" fillId="20" borderId="120" xfId="3" applyFont="1" applyFill="1" applyBorder="1" applyAlignment="1">
      <alignment horizontal="center"/>
    </xf>
    <xf numFmtId="0" fontId="14" fillId="21" borderId="124" xfId="4" applyFont="1" applyFill="1" applyBorder="1" applyAlignment="1">
      <alignment horizontal="center"/>
    </xf>
    <xf numFmtId="0" fontId="41" fillId="21" borderId="58" xfId="3" applyFont="1" applyFill="1" applyBorder="1" applyAlignment="1">
      <alignment horizontal="center"/>
    </xf>
    <xf numFmtId="0" fontId="41" fillId="7" borderId="53" xfId="3" applyFont="1" applyFill="1" applyBorder="1" applyAlignment="1">
      <alignment horizontal="center"/>
    </xf>
    <xf numFmtId="0" fontId="16" fillId="7" borderId="0" xfId="3" applyFill="1" applyAlignment="1">
      <alignment horizontal="center"/>
    </xf>
    <xf numFmtId="0" fontId="16" fillId="20" borderId="120" xfId="3" applyFill="1" applyBorder="1" applyAlignment="1">
      <alignment horizontal="center"/>
    </xf>
    <xf numFmtId="0" fontId="4" fillId="18" borderId="0" xfId="4" applyFill="1"/>
    <xf numFmtId="0" fontId="4" fillId="7" borderId="0" xfId="4" applyFill="1" applyAlignment="1">
      <alignment horizontal="center"/>
    </xf>
    <xf numFmtId="0" fontId="4" fillId="7" borderId="53" xfId="4" applyFill="1" applyBorder="1" applyAlignment="1">
      <alignment horizontal="center"/>
    </xf>
    <xf numFmtId="0" fontId="4" fillId="20" borderId="120" xfId="4" applyFill="1" applyBorder="1" applyAlignment="1">
      <alignment horizontal="center"/>
    </xf>
    <xf numFmtId="1" fontId="4" fillId="0" borderId="0" xfId="4" applyNumberFormat="1" applyAlignment="1">
      <alignment horizontal="center"/>
    </xf>
    <xf numFmtId="1" fontId="4" fillId="0" borderId="120" xfId="4" applyNumberFormat="1" applyBorder="1" applyAlignment="1">
      <alignment horizontal="center"/>
    </xf>
    <xf numFmtId="0" fontId="0" fillId="0" borderId="55" xfId="0" applyBorder="1"/>
    <xf numFmtId="0" fontId="4" fillId="20" borderId="0" xfId="4" applyFill="1" applyAlignment="1">
      <alignment horizontal="center"/>
    </xf>
    <xf numFmtId="0" fontId="4" fillId="21" borderId="0" xfId="4" applyFill="1" applyAlignment="1">
      <alignment horizontal="center"/>
    </xf>
    <xf numFmtId="0" fontId="58" fillId="7" borderId="0" xfId="3" applyFont="1" applyFill="1" applyAlignment="1">
      <alignment horizontal="center" vertical="center"/>
    </xf>
    <xf numFmtId="0" fontId="58" fillId="20" borderId="0" xfId="3" applyFont="1" applyFill="1" applyAlignment="1">
      <alignment horizontal="center" vertical="center"/>
    </xf>
    <xf numFmtId="0" fontId="58" fillId="20" borderId="120" xfId="3" applyFont="1" applyFill="1" applyBorder="1" applyAlignment="1">
      <alignment horizontal="center" vertical="center"/>
    </xf>
    <xf numFmtId="0" fontId="58" fillId="21" borderId="0" xfId="3" applyFont="1" applyFill="1" applyAlignment="1">
      <alignment horizontal="center" vertical="center"/>
    </xf>
    <xf numFmtId="0" fontId="0" fillId="20" borderId="0" xfId="0" applyFill="1" applyAlignment="1">
      <alignment horizontal="center"/>
    </xf>
    <xf numFmtId="0" fontId="0" fillId="7" borderId="0" xfId="0" applyFill="1" applyAlignment="1">
      <alignment horizontal="center"/>
    </xf>
    <xf numFmtId="0" fontId="78" fillId="18" borderId="0" xfId="0" applyFont="1" applyFill="1" applyAlignment="1">
      <alignment horizontal="center"/>
    </xf>
    <xf numFmtId="0" fontId="0" fillId="0" borderId="40" xfId="0" applyBorder="1" applyAlignment="1">
      <alignment horizontal="center"/>
    </xf>
    <xf numFmtId="0" fontId="4" fillId="0" borderId="0" xfId="4" applyAlignment="1">
      <alignment horizontal="right"/>
    </xf>
    <xf numFmtId="0" fontId="17" fillId="17" borderId="34" xfId="4" applyFont="1" applyFill="1" applyBorder="1" applyAlignment="1">
      <alignment horizontal="right" vertical="center" wrapText="1"/>
    </xf>
    <xf numFmtId="0" fontId="8" fillId="0" borderId="0" xfId="0" applyFont="1" applyAlignment="1">
      <alignment horizontal="left"/>
    </xf>
    <xf numFmtId="1" fontId="9" fillId="0" borderId="82" xfId="0" applyNumberFormat="1" applyFont="1" applyBorder="1" applyAlignment="1">
      <alignment horizontal="center" vertical="center"/>
    </xf>
    <xf numFmtId="164" fontId="0" fillId="0" borderId="124" xfId="0" applyNumberFormat="1" applyBorder="1"/>
    <xf numFmtId="0" fontId="0" fillId="0" borderId="125" xfId="0" applyBorder="1"/>
    <xf numFmtId="0" fontId="0" fillId="12" borderId="125" xfId="0" applyFill="1" applyBorder="1" applyAlignment="1">
      <alignment horizontal="center"/>
    </xf>
    <xf numFmtId="0" fontId="4" fillId="0" borderId="125" xfId="4" applyBorder="1"/>
    <xf numFmtId="0" fontId="0" fillId="7" borderId="125" xfId="0" applyFill="1" applyBorder="1" applyAlignment="1">
      <alignment horizontal="center"/>
    </xf>
    <xf numFmtId="0" fontId="0" fillId="21" borderId="125" xfId="0" applyFill="1" applyBorder="1" applyAlignment="1">
      <alignment horizontal="center"/>
    </xf>
    <xf numFmtId="0" fontId="0" fillId="20" borderId="125" xfId="0" applyFill="1" applyBorder="1" applyAlignment="1">
      <alignment horizontal="center"/>
    </xf>
    <xf numFmtId="0" fontId="78" fillId="18" borderId="125" xfId="0" applyFont="1" applyFill="1" applyBorder="1" applyAlignment="1">
      <alignment horizontal="center"/>
    </xf>
    <xf numFmtId="0" fontId="8" fillId="7" borderId="1" xfId="0" applyFont="1" applyFill="1" applyBorder="1"/>
    <xf numFmtId="0" fontId="1" fillId="0" borderId="23" xfId="4" applyFont="1" applyBorder="1"/>
    <xf numFmtId="0" fontId="4" fillId="0" borderId="129" xfId="4" applyBorder="1" applyAlignment="1">
      <alignment horizontal="center" vertical="center"/>
    </xf>
    <xf numFmtId="0" fontId="4" fillId="0" borderId="130" xfId="4" applyBorder="1" applyAlignment="1">
      <alignment horizontal="center" vertical="center"/>
    </xf>
    <xf numFmtId="164" fontId="4" fillId="0" borderId="130" xfId="4" applyNumberFormat="1" applyBorder="1" applyAlignment="1">
      <alignment horizontal="center" vertical="center"/>
    </xf>
    <xf numFmtId="0" fontId="4" fillId="0" borderId="131" xfId="4" applyBorder="1"/>
    <xf numFmtId="0" fontId="0" fillId="0" borderId="131" xfId="0" applyBorder="1"/>
    <xf numFmtId="164" fontId="0" fillId="0" borderId="131" xfId="0" applyNumberFormat="1" applyBorder="1"/>
    <xf numFmtId="0" fontId="4" fillId="0" borderId="131" xfId="4" applyBorder="1" applyAlignment="1">
      <alignment horizontal="center" vertical="center"/>
    </xf>
    <xf numFmtId="164" fontId="4" fillId="0" borderId="131" xfId="4" applyNumberFormat="1" applyBorder="1" applyAlignment="1">
      <alignment horizontal="center" vertical="center"/>
    </xf>
    <xf numFmtId="0" fontId="58" fillId="0" borderId="40" xfId="3" applyFont="1" applyBorder="1" applyAlignment="1">
      <alignment horizontal="left" vertical="center"/>
    </xf>
    <xf numFmtId="0" fontId="16" fillId="0" borderId="40" xfId="0" applyFont="1" applyBorder="1" applyAlignment="1">
      <alignment horizontal="center"/>
    </xf>
    <xf numFmtId="0" fontId="4" fillId="0" borderId="132" xfId="4" applyBorder="1"/>
    <xf numFmtId="0" fontId="0" fillId="0" borderId="133" xfId="0" applyBorder="1"/>
    <xf numFmtId="0" fontId="58" fillId="0" borderId="132" xfId="3" applyFont="1" applyBorder="1" applyAlignment="1">
      <alignment horizontal="left" vertical="center"/>
    </xf>
    <xf numFmtId="0" fontId="9" fillId="0" borderId="45" xfId="0" applyFont="1" applyBorder="1" applyAlignment="1">
      <alignment horizontal="left"/>
    </xf>
    <xf numFmtId="0" fontId="8" fillId="0" borderId="134" xfId="0" applyFont="1" applyBorder="1" applyAlignment="1">
      <alignment horizontal="center"/>
    </xf>
    <xf numFmtId="0" fontId="8" fillId="0" borderId="134" xfId="0" applyFont="1" applyBorder="1" applyAlignment="1">
      <alignment horizontal="center" vertical="center"/>
    </xf>
    <xf numFmtId="0" fontId="9" fillId="0" borderId="134" xfId="0" applyFont="1" applyBorder="1" applyAlignment="1">
      <alignment horizontal="center" vertical="center"/>
    </xf>
    <xf numFmtId="0" fontId="53" fillId="0" borderId="134" xfId="0" applyFont="1" applyBorder="1" applyAlignment="1">
      <alignment horizontal="center" vertical="center"/>
    </xf>
    <xf numFmtId="0" fontId="8" fillId="7" borderId="57" xfId="0" applyFont="1" applyFill="1" applyBorder="1"/>
    <xf numFmtId="0" fontId="8" fillId="7" borderId="57" xfId="0" applyFont="1" applyFill="1" applyBorder="1" applyAlignment="1">
      <alignment horizontal="left"/>
    </xf>
    <xf numFmtId="0" fontId="4" fillId="0" borderId="135" xfId="4" applyBorder="1"/>
    <xf numFmtId="0" fontId="0" fillId="20" borderId="135" xfId="0" applyFill="1" applyBorder="1"/>
    <xf numFmtId="0" fontId="0" fillId="0" borderId="135" xfId="0" applyBorder="1"/>
    <xf numFmtId="0" fontId="0" fillId="7" borderId="135" xfId="0" applyFill="1" applyBorder="1"/>
    <xf numFmtId="0" fontId="4" fillId="7" borderId="135" xfId="4" applyFill="1" applyBorder="1"/>
    <xf numFmtId="164" fontId="4" fillId="0" borderId="135" xfId="4" applyNumberFormat="1" applyBorder="1"/>
    <xf numFmtId="0" fontId="14" fillId="7" borderId="135" xfId="4" applyFont="1" applyFill="1" applyBorder="1" applyAlignment="1">
      <alignment horizontal="center"/>
    </xf>
    <xf numFmtId="0" fontId="16" fillId="7" borderId="135" xfId="3" applyFill="1" applyBorder="1" applyAlignment="1">
      <alignment horizontal="center"/>
    </xf>
    <xf numFmtId="0" fontId="4" fillId="20" borderId="135" xfId="4" applyFill="1" applyBorder="1" applyAlignment="1">
      <alignment horizontal="center"/>
    </xf>
    <xf numFmtId="1" fontId="4" fillId="0" borderId="135" xfId="4" applyNumberFormat="1" applyBorder="1" applyAlignment="1">
      <alignment horizontal="center"/>
    </xf>
    <xf numFmtId="0" fontId="58" fillId="20" borderId="135" xfId="3" applyFont="1" applyFill="1" applyBorder="1" applyAlignment="1">
      <alignment horizontal="center" vertical="center"/>
    </xf>
    <xf numFmtId="0" fontId="58" fillId="0" borderId="135" xfId="3" applyFont="1" applyBorder="1" applyAlignment="1">
      <alignment horizontal="left" vertical="center"/>
    </xf>
    <xf numFmtId="164" fontId="0" fillId="0" borderId="135" xfId="0" applyNumberFormat="1" applyBorder="1"/>
    <xf numFmtId="0" fontId="4" fillId="0" borderId="135" xfId="4" applyBorder="1" applyAlignment="1">
      <alignment horizontal="center" vertical="center"/>
    </xf>
    <xf numFmtId="164" fontId="4" fillId="0" borderId="135" xfId="4" applyNumberFormat="1" applyBorder="1" applyAlignment="1">
      <alignment horizontal="center" vertical="center"/>
    </xf>
    <xf numFmtId="0" fontId="0" fillId="20" borderId="135" xfId="0" applyFill="1" applyBorder="1" applyAlignment="1">
      <alignment horizontal="center"/>
    </xf>
    <xf numFmtId="0" fontId="0" fillId="0" borderId="0" xfId="0" applyAlignment="1">
      <alignment horizontal="left"/>
    </xf>
    <xf numFmtId="0" fontId="5" fillId="6" borderId="2" xfId="0" applyFont="1" applyFill="1" applyBorder="1" applyAlignment="1">
      <alignment horizontal="left" vertical="center" wrapText="1"/>
    </xf>
    <xf numFmtId="49" fontId="8" fillId="0" borderId="57" xfId="0" applyNumberFormat="1" applyFont="1" applyBorder="1" applyAlignment="1">
      <alignment horizontal="left"/>
    </xf>
    <xf numFmtId="49" fontId="8" fillId="0" borderId="1" xfId="0" applyNumberFormat="1" applyFont="1" applyBorder="1" applyAlignment="1">
      <alignment horizontal="left"/>
    </xf>
    <xf numFmtId="0" fontId="4" fillId="7" borderId="135" xfId="4" applyFill="1" applyBorder="1" applyAlignment="1">
      <alignment horizontal="center"/>
    </xf>
    <xf numFmtId="0" fontId="58" fillId="7" borderId="135" xfId="3" applyFont="1" applyFill="1" applyBorder="1" applyAlignment="1">
      <alignment horizontal="center" vertical="center"/>
    </xf>
    <xf numFmtId="0" fontId="9" fillId="7" borderId="1" xfId="0" applyFont="1" applyFill="1" applyBorder="1" applyAlignment="1">
      <alignment horizontal="left"/>
    </xf>
    <xf numFmtId="0" fontId="9" fillId="7" borderId="45" xfId="0" applyFont="1" applyFill="1" applyBorder="1" applyAlignment="1">
      <alignment horizontal="left"/>
    </xf>
    <xf numFmtId="0" fontId="0" fillId="18" borderId="135" xfId="0" applyFill="1" applyBorder="1"/>
    <xf numFmtId="0" fontId="0" fillId="12" borderId="58" xfId="0" applyFill="1" applyBorder="1"/>
    <xf numFmtId="0" fontId="4" fillId="20" borderId="135" xfId="4" applyFill="1" applyBorder="1"/>
    <xf numFmtId="0" fontId="4" fillId="12" borderId="58" xfId="4" applyFill="1" applyBorder="1"/>
    <xf numFmtId="0" fontId="14" fillId="21" borderId="135" xfId="4" applyFont="1" applyFill="1" applyBorder="1" applyAlignment="1">
      <alignment horizontal="center"/>
    </xf>
    <xf numFmtId="0" fontId="14" fillId="20" borderId="135" xfId="4" applyFont="1" applyFill="1" applyBorder="1" applyAlignment="1">
      <alignment horizontal="center"/>
    </xf>
    <xf numFmtId="0" fontId="14" fillId="12" borderId="58" xfId="4" applyFont="1" applyFill="1" applyBorder="1" applyAlignment="1">
      <alignment horizontal="center"/>
    </xf>
    <xf numFmtId="0" fontId="16" fillId="21" borderId="135" xfId="3" applyFill="1" applyBorder="1" applyAlignment="1">
      <alignment horizontal="center"/>
    </xf>
    <xf numFmtId="0" fontId="4" fillId="21" borderId="135" xfId="4" applyFill="1" applyBorder="1"/>
    <xf numFmtId="0" fontId="4" fillId="18" borderId="135" xfId="4" applyFill="1" applyBorder="1" applyAlignment="1">
      <alignment horizontal="center"/>
    </xf>
    <xf numFmtId="0" fontId="4" fillId="20" borderId="124" xfId="4" applyFill="1" applyBorder="1" applyAlignment="1">
      <alignment horizontal="center"/>
    </xf>
    <xf numFmtId="0" fontId="4" fillId="21" borderId="135" xfId="4" applyFill="1" applyBorder="1" applyAlignment="1">
      <alignment horizontal="center"/>
    </xf>
    <xf numFmtId="0" fontId="4" fillId="7" borderId="124" xfId="4" applyFill="1" applyBorder="1" applyAlignment="1">
      <alignment horizontal="center"/>
    </xf>
    <xf numFmtId="0" fontId="4" fillId="20" borderId="125" xfId="4" applyFill="1" applyBorder="1" applyAlignment="1">
      <alignment horizontal="center"/>
    </xf>
    <xf numFmtId="0" fontId="4" fillId="7" borderId="125" xfId="4" applyFill="1" applyBorder="1" applyAlignment="1">
      <alignment horizontal="center"/>
    </xf>
    <xf numFmtId="0" fontId="4" fillId="0" borderId="59" xfId="4" applyBorder="1"/>
    <xf numFmtId="0" fontId="58" fillId="20" borderId="124" xfId="3" applyFont="1" applyFill="1" applyBorder="1" applyAlignment="1">
      <alignment horizontal="center" vertical="center"/>
    </xf>
    <xf numFmtId="0" fontId="58" fillId="21" borderId="135" xfId="3" applyFont="1" applyFill="1" applyBorder="1" applyAlignment="1">
      <alignment horizontal="center" vertical="center"/>
    </xf>
    <xf numFmtId="0" fontId="58" fillId="12" borderId="135" xfId="3" applyFont="1" applyFill="1" applyBorder="1" applyAlignment="1">
      <alignment horizontal="center" vertical="center"/>
    </xf>
    <xf numFmtId="0" fontId="4" fillId="0" borderId="42" xfId="4" applyBorder="1"/>
    <xf numFmtId="0" fontId="0" fillId="7" borderId="135" xfId="0" applyFill="1" applyBorder="1" applyAlignment="1">
      <alignment horizontal="center"/>
    </xf>
    <xf numFmtId="0" fontId="0" fillId="21" borderId="135" xfId="0" applyFill="1" applyBorder="1" applyAlignment="1">
      <alignment horizontal="center"/>
    </xf>
    <xf numFmtId="0" fontId="4" fillId="0" borderId="128" xfId="4" applyBorder="1"/>
    <xf numFmtId="0" fontId="0" fillId="12" borderId="135" xfId="0" applyFill="1" applyBorder="1" applyAlignment="1">
      <alignment horizontal="center"/>
    </xf>
    <xf numFmtId="0" fontId="0" fillId="20" borderId="126" xfId="0" applyFill="1" applyBorder="1" applyAlignment="1">
      <alignment horizontal="center"/>
    </xf>
    <xf numFmtId="2" fontId="4" fillId="0" borderId="119" xfId="4" applyNumberFormat="1" applyBorder="1"/>
    <xf numFmtId="0" fontId="4" fillId="0" borderId="118" xfId="4" applyBorder="1" applyAlignment="1">
      <alignment horizontal="center" vertical="center"/>
    </xf>
    <xf numFmtId="2" fontId="4" fillId="0" borderId="135" xfId="4" applyNumberFormat="1" applyBorder="1"/>
    <xf numFmtId="0" fontId="4" fillId="0" borderId="119" xfId="4" applyBorder="1"/>
    <xf numFmtId="164" fontId="4" fillId="0" borderId="119" xfId="4" applyNumberFormat="1" applyBorder="1"/>
    <xf numFmtId="164" fontId="4" fillId="0" borderId="118" xfId="4" applyNumberFormat="1" applyBorder="1" applyAlignment="1">
      <alignment horizontal="center" vertical="center"/>
    </xf>
    <xf numFmtId="0" fontId="4" fillId="0" borderId="23" xfId="4" applyBorder="1" applyAlignment="1">
      <alignment horizontal="left"/>
    </xf>
    <xf numFmtId="9" fontId="8" fillId="0" borderId="134" xfId="0" applyNumberFormat="1" applyFont="1" applyBorder="1" applyAlignment="1">
      <alignment horizontal="center"/>
    </xf>
    <xf numFmtId="9" fontId="9" fillId="0" borderId="134" xfId="0" applyNumberFormat="1" applyFont="1" applyBorder="1" applyAlignment="1">
      <alignment horizontal="center" vertical="center"/>
    </xf>
    <xf numFmtId="9" fontId="8" fillId="0" borderId="134" xfId="0" applyNumberFormat="1" applyFont="1" applyBorder="1" applyAlignment="1">
      <alignment horizontal="center" vertical="center"/>
    </xf>
    <xf numFmtId="0" fontId="9" fillId="0" borderId="134" xfId="0" applyFont="1" applyBorder="1" applyAlignment="1">
      <alignment horizontal="center"/>
    </xf>
    <xf numFmtId="9" fontId="9" fillId="0" borderId="134" xfId="0" applyNumberFormat="1" applyFont="1" applyBorder="1" applyAlignment="1">
      <alignment horizontal="center"/>
    </xf>
    <xf numFmtId="0" fontId="53" fillId="0" borderId="134" xfId="0" applyFont="1" applyBorder="1" applyAlignment="1">
      <alignment horizontal="center"/>
    </xf>
    <xf numFmtId="9" fontId="53" fillId="0" borderId="134" xfId="0" applyNumberFormat="1" applyFont="1" applyBorder="1" applyAlignment="1">
      <alignment horizontal="center"/>
    </xf>
    <xf numFmtId="0" fontId="8" fillId="9" borderId="1" xfId="0" applyFont="1" applyFill="1" applyBorder="1" applyAlignment="1">
      <alignment horizontal="left"/>
    </xf>
    <xf numFmtId="0" fontId="8" fillId="9" borderId="57" xfId="0" applyFont="1" applyFill="1" applyBorder="1" applyAlignment="1">
      <alignment horizontal="left"/>
    </xf>
    <xf numFmtId="49" fontId="8" fillId="9" borderId="1" xfId="0" applyNumberFormat="1" applyFont="1" applyFill="1" applyBorder="1" applyAlignment="1">
      <alignment horizontal="left"/>
    </xf>
    <xf numFmtId="0" fontId="53" fillId="9" borderId="1" xfId="0" applyFont="1" applyFill="1" applyBorder="1" applyAlignment="1">
      <alignment horizontal="left"/>
    </xf>
    <xf numFmtId="0" fontId="8" fillId="9" borderId="45" xfId="0" applyFont="1" applyFill="1" applyBorder="1" applyAlignment="1">
      <alignment horizontal="left"/>
    </xf>
    <xf numFmtId="0" fontId="9" fillId="9" borderId="57" xfId="0" applyFont="1" applyFill="1" applyBorder="1" applyAlignment="1">
      <alignment horizontal="left"/>
    </xf>
    <xf numFmtId="0" fontId="9" fillId="9" borderId="1" xfId="0" applyFont="1" applyFill="1" applyBorder="1" applyAlignment="1">
      <alignment horizontal="left"/>
    </xf>
    <xf numFmtId="0" fontId="9" fillId="9" borderId="82" xfId="0" applyFont="1" applyFill="1" applyBorder="1" applyAlignment="1">
      <alignment horizontal="left"/>
    </xf>
    <xf numFmtId="0" fontId="8" fillId="9" borderId="82" xfId="0" applyFont="1" applyFill="1" applyBorder="1" applyAlignment="1">
      <alignment horizontal="left"/>
    </xf>
    <xf numFmtId="0" fontId="8" fillId="0" borderId="136" xfId="0" applyFont="1" applyBorder="1" applyAlignment="1">
      <alignment horizontal="center" vertical="center"/>
    </xf>
    <xf numFmtId="0" fontId="8" fillId="0" borderId="136" xfId="0" applyFont="1" applyBorder="1" applyAlignment="1">
      <alignment horizontal="center"/>
    </xf>
    <xf numFmtId="0" fontId="8" fillId="0" borderId="136" xfId="0" applyFont="1" applyBorder="1" applyAlignment="1">
      <alignment horizontal="right"/>
    </xf>
    <xf numFmtId="49" fontId="8" fillId="0" borderId="136" xfId="0" applyNumberFormat="1" applyFont="1" applyBorder="1" applyAlignment="1">
      <alignment horizontal="left"/>
    </xf>
    <xf numFmtId="0" fontId="60" fillId="9" borderId="0" xfId="1" applyFont="1" applyFill="1" applyAlignment="1">
      <alignment horizontal="left" vertical="center" wrapText="1"/>
    </xf>
    <xf numFmtId="0" fontId="59" fillId="9" borderId="0" xfId="1" applyFont="1" applyFill="1" applyAlignment="1">
      <alignment horizontal="left" vertical="center" wrapText="1"/>
    </xf>
    <xf numFmtId="0" fontId="66" fillId="9" borderId="0" xfId="1" applyFont="1" applyFill="1" applyAlignment="1">
      <alignment horizontal="left" vertical="center" wrapText="1"/>
    </xf>
    <xf numFmtId="0" fontId="31" fillId="9" borderId="0" xfId="1" applyFont="1" applyFill="1" applyAlignment="1">
      <alignment horizontal="left" vertical="center" wrapText="1"/>
    </xf>
    <xf numFmtId="0" fontId="64" fillId="9" borderId="0" xfId="1" applyFont="1" applyFill="1" applyAlignment="1">
      <alignment horizontal="left" vertical="center" wrapText="1"/>
    </xf>
    <xf numFmtId="0" fontId="14" fillId="9" borderId="0" xfId="1" applyFill="1" applyAlignment="1">
      <alignment horizontal="center"/>
    </xf>
    <xf numFmtId="0" fontId="26" fillId="9" borderId="0" xfId="1" applyFont="1" applyFill="1" applyAlignment="1">
      <alignment horizontal="center" vertical="center" wrapText="1"/>
    </xf>
    <xf numFmtId="0" fontId="51" fillId="9" borderId="0" xfId="1" applyFont="1" applyFill="1" applyAlignment="1">
      <alignment horizontal="left" vertical="center" wrapText="1"/>
    </xf>
    <xf numFmtId="0" fontId="34" fillId="9" borderId="0" xfId="1" applyFont="1" applyFill="1" applyAlignment="1">
      <alignment horizontal="center"/>
    </xf>
    <xf numFmtId="0" fontId="34" fillId="9" borderId="0" xfId="1" applyFont="1" applyFill="1" applyAlignment="1">
      <alignment horizontal="center" vertical="center"/>
    </xf>
    <xf numFmtId="0" fontId="63" fillId="9" borderId="0" xfId="1" applyFont="1" applyFill="1" applyAlignment="1">
      <alignment horizontal="left" vertical="center" wrapText="1"/>
    </xf>
    <xf numFmtId="0" fontId="5" fillId="6"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8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0" borderId="0" xfId="0" applyFont="1" applyAlignment="1">
      <alignment horizontal="center" vertical="center" wrapText="1"/>
    </xf>
    <xf numFmtId="0" fontId="5" fillId="6" borderId="7" xfId="0" applyFont="1" applyFill="1" applyBorder="1" applyAlignment="1">
      <alignment horizontal="center" vertical="center" wrapText="1"/>
    </xf>
    <xf numFmtId="0" fontId="0" fillId="0" borderId="0" xfId="0"/>
    <xf numFmtId="0" fontId="5" fillId="6" borderId="50"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5" fillId="6" borderId="85"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22" xfId="0" applyFont="1" applyFill="1" applyBorder="1" applyAlignment="1">
      <alignment horizontal="center" vertical="center" wrapText="1"/>
    </xf>
    <xf numFmtId="0" fontId="5" fillId="6" borderId="12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7" fillId="17" borderId="28" xfId="4" applyFont="1" applyFill="1" applyBorder="1" applyAlignment="1">
      <alignment horizontal="center"/>
    </xf>
    <xf numFmtId="0" fontId="17" fillId="17" borderId="29" xfId="4" applyFont="1" applyFill="1" applyBorder="1" applyAlignment="1">
      <alignment horizontal="center"/>
    </xf>
    <xf numFmtId="164" fontId="17" fillId="17" borderId="29" xfId="4" applyNumberFormat="1" applyFont="1" applyFill="1" applyBorder="1" applyAlignment="1">
      <alignment horizontal="center"/>
    </xf>
    <xf numFmtId="164" fontId="17" fillId="17" borderId="30" xfId="4" applyNumberFormat="1" applyFont="1" applyFill="1" applyBorder="1" applyAlignment="1">
      <alignment horizontal="center"/>
    </xf>
    <xf numFmtId="0" fontId="17" fillId="17" borderId="36" xfId="4" applyFont="1" applyFill="1" applyBorder="1" applyAlignment="1">
      <alignment horizontal="center"/>
    </xf>
    <xf numFmtId="0" fontId="17" fillId="17" borderId="37" xfId="4" applyFont="1" applyFill="1" applyBorder="1" applyAlignment="1">
      <alignment horizontal="center"/>
    </xf>
    <xf numFmtId="0" fontId="17" fillId="17" borderId="35" xfId="4" applyFont="1" applyFill="1" applyBorder="1" applyAlignment="1">
      <alignment horizontal="center"/>
    </xf>
    <xf numFmtId="0" fontId="17" fillId="17" borderId="30" xfId="4" applyFont="1" applyFill="1" applyBorder="1" applyAlignment="1">
      <alignment horizontal="center"/>
    </xf>
    <xf numFmtId="0" fontId="26" fillId="11" borderId="24" xfId="1" applyFont="1" applyFill="1" applyBorder="1" applyAlignment="1">
      <alignment horizontal="center" vertical="center" wrapText="1"/>
    </xf>
    <xf numFmtId="0" fontId="26" fillId="11" borderId="25" xfId="1" applyFont="1" applyFill="1" applyBorder="1" applyAlignment="1">
      <alignment horizontal="center" vertical="center" wrapText="1"/>
    </xf>
    <xf numFmtId="0" fontId="26" fillId="11" borderId="26" xfId="1" applyFont="1" applyFill="1" applyBorder="1" applyAlignment="1">
      <alignment horizontal="center" vertical="center" wrapText="1"/>
    </xf>
    <xf numFmtId="0" fontId="34" fillId="9" borderId="0" xfId="1" applyFont="1" applyFill="1" applyAlignment="1">
      <alignment horizontal="center" vertical="center" wrapText="1"/>
    </xf>
    <xf numFmtId="0" fontId="34" fillId="9" borderId="0" xfId="1" applyFont="1" applyFill="1" applyAlignment="1">
      <alignment horizontal="left" vertical="center"/>
    </xf>
    <xf numFmtId="0" fontId="44" fillId="11" borderId="40" xfId="1" applyFont="1" applyFill="1" applyBorder="1" applyAlignment="1">
      <alignment horizontal="center" vertical="center" wrapText="1"/>
    </xf>
    <xf numFmtId="0" fontId="34" fillId="16" borderId="125" xfId="1" applyFont="1" applyFill="1" applyBorder="1" applyAlignment="1" applyProtection="1">
      <alignment horizontal="center" vertical="center"/>
      <protection locked="0"/>
    </xf>
    <xf numFmtId="0" fontId="34" fillId="16" borderId="137" xfId="1" applyFont="1" applyFill="1" applyBorder="1" applyAlignment="1" applyProtection="1">
      <alignment horizontal="center" vertical="center"/>
      <protection locked="0"/>
    </xf>
    <xf numFmtId="0" fontId="34" fillId="16" borderId="138" xfId="1" applyFont="1" applyFill="1" applyBorder="1" applyAlignment="1" applyProtection="1">
      <alignment horizontal="center" vertical="center"/>
      <protection locked="0"/>
    </xf>
    <xf numFmtId="0" fontId="59" fillId="9" borderId="0" xfId="1" applyFont="1" applyFill="1" applyAlignment="1">
      <alignment horizontal="center" vertical="top" wrapText="1"/>
    </xf>
    <xf numFmtId="0" fontId="40" fillId="9" borderId="40" xfId="1" applyFont="1" applyFill="1" applyBorder="1" applyAlignment="1">
      <alignment horizontal="center" vertical="center" wrapText="1"/>
    </xf>
    <xf numFmtId="0" fontId="17" fillId="15" borderId="40" xfId="1" applyFont="1" applyFill="1" applyBorder="1" applyAlignment="1">
      <alignment horizontal="center" vertical="center" wrapText="1"/>
    </xf>
    <xf numFmtId="1" fontId="43" fillId="9" borderId="40" xfId="1" applyNumberFormat="1" applyFont="1" applyFill="1" applyBorder="1" applyAlignment="1">
      <alignment horizontal="center" vertical="center" wrapText="1"/>
    </xf>
    <xf numFmtId="0" fontId="20" fillId="11" borderId="40" xfId="1" applyFont="1" applyFill="1" applyBorder="1" applyAlignment="1">
      <alignment horizontal="center" vertical="center" wrapText="1"/>
    </xf>
    <xf numFmtId="0" fontId="40" fillId="11" borderId="42" xfId="2" applyFont="1" applyFill="1" applyBorder="1" applyAlignment="1">
      <alignment horizontal="center" vertical="center" wrapText="1"/>
    </xf>
    <xf numFmtId="0" fontId="40" fillId="11" borderId="43" xfId="2" applyFont="1" applyFill="1" applyBorder="1" applyAlignment="1">
      <alignment horizontal="center" vertical="center" wrapText="1"/>
    </xf>
    <xf numFmtId="0" fontId="40" fillId="11" borderId="44" xfId="2" applyFont="1" applyFill="1" applyBorder="1" applyAlignment="1">
      <alignment horizontal="center" vertical="center" wrapText="1"/>
    </xf>
    <xf numFmtId="0" fontId="17" fillId="11" borderId="31" xfId="2" applyFont="1" applyFill="1" applyBorder="1" applyAlignment="1">
      <alignment horizontal="center" vertical="center" wrapText="1"/>
    </xf>
    <xf numFmtId="0" fontId="17" fillId="11" borderId="56" xfId="2" applyFont="1" applyFill="1" applyBorder="1" applyAlignment="1">
      <alignment horizontal="center" vertical="center" wrapText="1"/>
    </xf>
    <xf numFmtId="0" fontId="17" fillId="9" borderId="0" xfId="2" applyFont="1" applyFill="1" applyAlignment="1">
      <alignment horizontal="center" vertical="center" wrapText="1"/>
    </xf>
    <xf numFmtId="0" fontId="17" fillId="11" borderId="40" xfId="2" applyFont="1" applyFill="1" applyBorder="1" applyAlignment="1">
      <alignment horizontal="center" vertical="center" wrapText="1"/>
    </xf>
    <xf numFmtId="0" fontId="37" fillId="27" borderId="59" xfId="0" applyFont="1" applyFill="1" applyBorder="1" applyAlignment="1">
      <alignment horizontal="center" vertical="center" wrapText="1"/>
    </xf>
    <xf numFmtId="0" fontId="37" fillId="27" borderId="70" xfId="0" applyFont="1" applyFill="1" applyBorder="1" applyAlignment="1">
      <alignment horizontal="center" vertical="center" wrapText="1"/>
    </xf>
    <xf numFmtId="0" fontId="37" fillId="27" borderId="60" xfId="0" applyFont="1" applyFill="1" applyBorder="1" applyAlignment="1">
      <alignment horizontal="center" vertical="center" wrapText="1"/>
    </xf>
    <xf numFmtId="1" fontId="43" fillId="9" borderId="42" xfId="1" applyNumberFormat="1" applyFont="1" applyFill="1" applyBorder="1" applyAlignment="1">
      <alignment horizontal="center" vertical="center" wrapText="1"/>
    </xf>
    <xf numFmtId="1" fontId="43" fillId="9" borderId="44" xfId="1" applyNumberFormat="1" applyFont="1" applyFill="1" applyBorder="1" applyAlignment="1">
      <alignment horizontal="center" vertical="center" wrapText="1"/>
    </xf>
    <xf numFmtId="0" fontId="40" fillId="11" borderId="40" xfId="1" applyFont="1" applyFill="1" applyBorder="1" applyAlignment="1">
      <alignment horizontal="center" vertical="center" wrapText="1"/>
    </xf>
    <xf numFmtId="0" fontId="38" fillId="27" borderId="40" xfId="0" applyFont="1" applyFill="1" applyBorder="1" applyAlignment="1">
      <alignment horizontal="center" vertical="center" wrapText="1"/>
    </xf>
    <xf numFmtId="0" fontId="59" fillId="26" borderId="40" xfId="1" applyFont="1" applyFill="1" applyBorder="1" applyAlignment="1">
      <alignment horizontal="left" vertical="center" wrapText="1"/>
    </xf>
    <xf numFmtId="0" fontId="40" fillId="26" borderId="40" xfId="0" applyFont="1" applyFill="1" applyBorder="1" applyAlignment="1">
      <alignment horizontal="center" vertical="center" wrapText="1"/>
    </xf>
    <xf numFmtId="0" fontId="41" fillId="26" borderId="61" xfId="1" applyFont="1" applyFill="1" applyBorder="1" applyAlignment="1">
      <alignment horizontal="left" vertical="center" wrapText="1"/>
    </xf>
    <xf numFmtId="0" fontId="41" fillId="26" borderId="65" xfId="1" applyFont="1" applyFill="1" applyBorder="1" applyAlignment="1">
      <alignment horizontal="left" vertical="center" wrapText="1"/>
    </xf>
    <xf numFmtId="0" fontId="41" fillId="26" borderId="62" xfId="1" applyFont="1" applyFill="1" applyBorder="1" applyAlignment="1">
      <alignment horizontal="left" vertical="center" wrapText="1"/>
    </xf>
    <xf numFmtId="0" fontId="41" fillId="26" borderId="63" xfId="1" applyFont="1" applyFill="1" applyBorder="1" applyAlignment="1">
      <alignment horizontal="left" vertical="center" wrapText="1"/>
    </xf>
    <xf numFmtId="0" fontId="41" fillId="26" borderId="0" xfId="1" applyFont="1" applyFill="1" applyAlignment="1">
      <alignment horizontal="left" vertical="center" wrapText="1"/>
    </xf>
    <xf numFmtId="0" fontId="41" fillId="26" borderId="64" xfId="1" applyFont="1" applyFill="1" applyBorder="1" applyAlignment="1">
      <alignment horizontal="left" vertical="center" wrapText="1"/>
    </xf>
    <xf numFmtId="0" fontId="41" fillId="26" borderId="66" xfId="1" applyFont="1" applyFill="1" applyBorder="1" applyAlignment="1">
      <alignment horizontal="left" vertical="center" wrapText="1"/>
    </xf>
    <xf numFmtId="0" fontId="41" fillId="26" borderId="67" xfId="1" applyFont="1" applyFill="1" applyBorder="1" applyAlignment="1">
      <alignment horizontal="left" vertical="center" wrapText="1"/>
    </xf>
    <xf numFmtId="0" fontId="41" fillId="26" borderId="69" xfId="1" applyFont="1" applyFill="1" applyBorder="1" applyAlignment="1">
      <alignment horizontal="left" vertical="center" wrapText="1"/>
    </xf>
    <xf numFmtId="0" fontId="59" fillId="0" borderId="40" xfId="1" applyFont="1" applyBorder="1" applyAlignment="1">
      <alignment horizontal="left" vertical="center" wrapText="1"/>
    </xf>
    <xf numFmtId="0" fontId="40" fillId="0" borderId="40" xfId="0" applyFont="1" applyBorder="1" applyAlignment="1">
      <alignment horizontal="center" vertical="center" wrapText="1"/>
    </xf>
    <xf numFmtId="0" fontId="40" fillId="11" borderId="40" xfId="2" applyFont="1" applyFill="1" applyBorder="1" applyAlignment="1">
      <alignment horizontal="center" vertical="center" wrapText="1"/>
    </xf>
    <xf numFmtId="0" fontId="20" fillId="11" borderId="31" xfId="1" applyFont="1" applyFill="1" applyBorder="1" applyAlignment="1">
      <alignment horizontal="center" vertical="center" wrapText="1"/>
    </xf>
    <xf numFmtId="0" fontId="20" fillId="11" borderId="41" xfId="1" applyFont="1" applyFill="1" applyBorder="1" applyAlignment="1">
      <alignment horizontal="center" vertical="center" wrapText="1"/>
    </xf>
    <xf numFmtId="0" fontId="20" fillId="11" borderId="56" xfId="1" applyFont="1" applyFill="1" applyBorder="1" applyAlignment="1">
      <alignment horizontal="center" vertical="center" wrapText="1"/>
    </xf>
    <xf numFmtId="0" fontId="41" fillId="0" borderId="61" xfId="1" applyFont="1" applyBorder="1" applyAlignment="1">
      <alignment horizontal="left" vertical="center" wrapText="1"/>
    </xf>
    <xf numFmtId="0" fontId="41" fillId="0" borderId="65" xfId="1" applyFont="1" applyBorder="1" applyAlignment="1">
      <alignment horizontal="left" vertical="center" wrapText="1"/>
    </xf>
    <xf numFmtId="0" fontId="41" fillId="0" borderId="62" xfId="1" applyFont="1" applyBorder="1" applyAlignment="1">
      <alignment horizontal="left" vertical="center" wrapText="1"/>
    </xf>
    <xf numFmtId="0" fontId="41" fillId="0" borderId="63" xfId="1" applyFont="1" applyBorder="1" applyAlignment="1">
      <alignment horizontal="left" vertical="center" wrapText="1"/>
    </xf>
    <xf numFmtId="0" fontId="41" fillId="0" borderId="0" xfId="1" applyFont="1" applyAlignment="1">
      <alignment horizontal="left" vertical="center" wrapText="1"/>
    </xf>
    <xf numFmtId="0" fontId="41" fillId="0" borderId="64" xfId="1" applyFont="1" applyBorder="1" applyAlignment="1">
      <alignment horizontal="left" vertical="center" wrapText="1"/>
    </xf>
    <xf numFmtId="0" fontId="41" fillId="0" borderId="66" xfId="1" applyFont="1" applyBorder="1" applyAlignment="1">
      <alignment horizontal="left" vertical="center" wrapText="1"/>
    </xf>
    <xf numFmtId="0" fontId="41" fillId="0" borderId="67" xfId="1" applyFont="1" applyBorder="1" applyAlignment="1">
      <alignment horizontal="left" vertical="center" wrapText="1"/>
    </xf>
    <xf numFmtId="0" fontId="41" fillId="0" borderId="69" xfId="1" applyFont="1" applyBorder="1" applyAlignment="1">
      <alignment horizontal="left" vertical="center" wrapText="1"/>
    </xf>
    <xf numFmtId="0" fontId="41" fillId="0" borderId="31"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68"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68" xfId="0" applyFont="1" applyBorder="1" applyAlignment="1">
      <alignment horizontal="center" vertical="center" wrapText="1"/>
    </xf>
    <xf numFmtId="0" fontId="59" fillId="0" borderId="61" xfId="1" applyFont="1" applyBorder="1" applyAlignment="1">
      <alignment horizontal="left" vertical="center" wrapText="1"/>
    </xf>
    <xf numFmtId="0" fontId="59" fillId="0" borderId="65" xfId="1" applyFont="1" applyBorder="1" applyAlignment="1">
      <alignment horizontal="left" vertical="center" wrapText="1"/>
    </xf>
    <xf numFmtId="0" fontId="59" fillId="0" borderId="62" xfId="1" applyFont="1" applyBorder="1" applyAlignment="1">
      <alignment horizontal="left" vertical="center" wrapText="1"/>
    </xf>
    <xf numFmtId="0" fontId="59" fillId="0" borderId="63" xfId="1" applyFont="1" applyBorder="1" applyAlignment="1">
      <alignment horizontal="left" vertical="center" wrapText="1"/>
    </xf>
    <xf numFmtId="0" fontId="59" fillId="0" borderId="0" xfId="1" applyFont="1" applyAlignment="1">
      <alignment horizontal="left" vertical="center" wrapText="1"/>
    </xf>
    <xf numFmtId="0" fontId="59" fillId="0" borderId="64" xfId="1" applyFont="1" applyBorder="1" applyAlignment="1">
      <alignment horizontal="left" vertical="center" wrapText="1"/>
    </xf>
    <xf numFmtId="0" fontId="59" fillId="0" borderId="66" xfId="1" applyFont="1" applyBorder="1" applyAlignment="1">
      <alignment horizontal="left" vertical="center" wrapText="1"/>
    </xf>
    <xf numFmtId="0" fontId="59" fillId="0" borderId="67" xfId="1" applyFont="1" applyBorder="1" applyAlignment="1">
      <alignment horizontal="left" vertical="center" wrapText="1"/>
    </xf>
    <xf numFmtId="0" fontId="59" fillId="0" borderId="69" xfId="1" applyFont="1" applyBorder="1" applyAlignment="1">
      <alignment horizontal="left" vertical="center" wrapText="1"/>
    </xf>
    <xf numFmtId="0" fontId="59" fillId="26" borderId="61" xfId="1" applyFont="1" applyFill="1" applyBorder="1" applyAlignment="1">
      <alignment horizontal="left" vertical="center" wrapText="1"/>
    </xf>
    <xf numFmtId="0" fontId="59" fillId="26" borderId="65" xfId="1" applyFont="1" applyFill="1" applyBorder="1" applyAlignment="1">
      <alignment horizontal="left" vertical="center" wrapText="1"/>
    </xf>
    <xf numFmtId="0" fontId="59" fillId="26" borderId="62" xfId="1" applyFont="1" applyFill="1" applyBorder="1" applyAlignment="1">
      <alignment horizontal="left" vertical="center" wrapText="1"/>
    </xf>
    <xf numFmtId="0" fontId="59" fillId="26" borderId="63" xfId="1" applyFont="1" applyFill="1" applyBorder="1" applyAlignment="1">
      <alignment horizontal="left" vertical="center" wrapText="1"/>
    </xf>
    <xf numFmtId="0" fontId="59" fillId="26" borderId="0" xfId="1" applyFont="1" applyFill="1" applyAlignment="1">
      <alignment horizontal="left" vertical="center" wrapText="1"/>
    </xf>
    <xf numFmtId="0" fontId="59" fillId="26" borderId="64" xfId="1" applyFont="1" applyFill="1" applyBorder="1" applyAlignment="1">
      <alignment horizontal="left" vertical="center" wrapText="1"/>
    </xf>
    <xf numFmtId="0" fontId="59" fillId="26" borderId="66" xfId="1" applyFont="1" applyFill="1" applyBorder="1" applyAlignment="1">
      <alignment horizontal="left" vertical="center" wrapText="1"/>
    </xf>
    <xf numFmtId="0" fontId="59" fillId="26" borderId="67" xfId="1" applyFont="1" applyFill="1" applyBorder="1" applyAlignment="1">
      <alignment horizontal="left" vertical="center" wrapText="1"/>
    </xf>
    <xf numFmtId="0" fontId="59" fillId="26" borderId="69" xfId="1" applyFont="1" applyFill="1" applyBorder="1" applyAlignment="1">
      <alignment horizontal="left" vertical="center" wrapText="1"/>
    </xf>
    <xf numFmtId="0" fontId="40" fillId="26" borderId="31" xfId="0" applyFont="1" applyFill="1" applyBorder="1" applyAlignment="1">
      <alignment horizontal="center" vertical="center" wrapText="1"/>
    </xf>
    <xf numFmtId="0" fontId="40" fillId="26" borderId="41"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41" fillId="0" borderId="40" xfId="0" applyFont="1" applyBorder="1" applyAlignment="1">
      <alignment horizontal="center" vertical="center" wrapText="1"/>
    </xf>
    <xf numFmtId="0" fontId="41" fillId="0" borderId="40" xfId="1" applyFont="1" applyBorder="1" applyAlignment="1">
      <alignment horizontal="left" vertical="center" wrapText="1"/>
    </xf>
    <xf numFmtId="0" fontId="20" fillId="10" borderId="31" xfId="1" applyFont="1" applyFill="1" applyBorder="1" applyAlignment="1">
      <alignment horizontal="center" vertical="center" wrapText="1"/>
    </xf>
    <xf numFmtId="0" fontId="20" fillId="10" borderId="41"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37" fillId="27" borderId="40" xfId="0" applyFont="1" applyFill="1" applyBorder="1" applyAlignment="1">
      <alignment horizontal="center" vertical="center" wrapText="1"/>
    </xf>
    <xf numFmtId="0" fontId="17" fillId="15" borderId="42" xfId="1" applyFont="1" applyFill="1" applyBorder="1" applyAlignment="1">
      <alignment horizontal="center" vertical="center" wrapText="1"/>
    </xf>
    <xf numFmtId="0" fontId="17" fillId="15" borderId="44" xfId="1" applyFont="1" applyFill="1" applyBorder="1" applyAlignment="1">
      <alignment horizontal="center" vertical="center" wrapText="1"/>
    </xf>
    <xf numFmtId="0" fontId="40" fillId="11" borderId="42" xfId="1" applyFont="1" applyFill="1" applyBorder="1" applyAlignment="1">
      <alignment horizontal="center" vertical="center" wrapText="1"/>
    </xf>
    <xf numFmtId="0" fontId="40" fillId="11" borderId="43" xfId="1" applyFont="1" applyFill="1" applyBorder="1" applyAlignment="1">
      <alignment horizontal="center" vertical="center" wrapText="1"/>
    </xf>
    <xf numFmtId="0" fontId="40" fillId="11" borderId="44" xfId="1" applyFont="1" applyFill="1" applyBorder="1" applyAlignment="1">
      <alignment horizontal="center" vertical="center" wrapText="1"/>
    </xf>
    <xf numFmtId="0" fontId="20" fillId="9" borderId="0" xfId="1" applyFont="1" applyFill="1" applyAlignment="1">
      <alignment horizontal="center" vertical="center" wrapText="1"/>
    </xf>
    <xf numFmtId="0" fontId="34" fillId="16" borderId="40" xfId="1" applyFont="1" applyFill="1" applyBorder="1" applyAlignment="1" applyProtection="1">
      <alignment horizontal="left" vertical="center"/>
      <protection locked="0"/>
    </xf>
    <xf numFmtId="0" fontId="41" fillId="0" borderId="40" xfId="1" applyFont="1" applyBorder="1" applyAlignment="1">
      <alignment horizontal="left" vertical="center"/>
    </xf>
    <xf numFmtId="0" fontId="41" fillId="26" borderId="40" xfId="1" applyFont="1" applyFill="1" applyBorder="1" applyAlignment="1">
      <alignment horizontal="left" vertical="center" wrapText="1"/>
    </xf>
    <xf numFmtId="0" fontId="41" fillId="26" borderId="40" xfId="1" applyFont="1" applyFill="1" applyBorder="1" applyAlignment="1">
      <alignment horizontal="left" vertical="center"/>
    </xf>
    <xf numFmtId="0" fontId="40" fillId="10" borderId="40" xfId="2" applyFont="1" applyFill="1" applyBorder="1" applyAlignment="1">
      <alignment horizontal="center" vertical="center" wrapText="1"/>
    </xf>
    <xf numFmtId="0" fontId="0" fillId="0" borderId="0" xfId="0" applyAlignment="1">
      <alignment horizontal="center"/>
    </xf>
    <xf numFmtId="0" fontId="0" fillId="0" borderId="64" xfId="0" applyBorder="1" applyAlignment="1">
      <alignment horizontal="center"/>
    </xf>
    <xf numFmtId="0" fontId="12" fillId="6" borderId="7" xfId="0" applyFont="1" applyFill="1" applyBorder="1" applyAlignment="1">
      <alignment horizontal="center" vertical="center" wrapText="1"/>
    </xf>
    <xf numFmtId="0" fontId="12" fillId="6" borderId="83"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90" xfId="0" applyBorder="1" applyAlignment="1">
      <alignment horizontal="center"/>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0" fillId="0" borderId="0" xfId="0" applyAlignment="1">
      <alignment vertical="center"/>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96"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0" xfId="0" applyFont="1" applyFill="1" applyAlignment="1">
      <alignment horizontal="center" vertical="center" wrapText="1"/>
      <extLst>
        <ext xmlns:xfpb="http://schemas.microsoft.com/office/spreadsheetml/2022/featurepropertybag" uri="{C7286773-470A-42A8-94C5-96B5CB345126}">
          <xfpb:xfComplement i="0"/>
        </ext>
      </extLst>
    </xf>
    <xf numFmtId="0" fontId="10" fillId="6" borderId="83" xfId="0" applyFont="1" applyFill="1" applyBorder="1" applyAlignment="1">
      <alignment horizontal="center" vertical="center" wrapText="1"/>
    </xf>
    <xf numFmtId="0" fontId="10" fillId="6" borderId="85"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0" fillId="0" borderId="100" xfId="0" applyBorder="1" applyAlignment="1">
      <alignment horizontal="center"/>
    </xf>
    <xf numFmtId="0" fontId="0" fillId="0" borderId="100" xfId="0" applyBorder="1" applyAlignment="1">
      <alignment horizontal="center" vertical="center"/>
    </xf>
    <xf numFmtId="0" fontId="0" fillId="0" borderId="102" xfId="0" applyBorder="1" applyAlignment="1">
      <alignment horizontal="center"/>
    </xf>
    <xf numFmtId="0" fontId="5" fillId="6" borderId="98" xfId="0" applyFont="1" applyFill="1" applyBorder="1" applyAlignment="1">
      <alignment horizontal="center" vertical="center"/>
    </xf>
    <xf numFmtId="0" fontId="5" fillId="6" borderId="0" xfId="0" applyFont="1" applyFill="1" applyAlignment="1">
      <alignment horizontal="center" vertical="center"/>
    </xf>
    <xf numFmtId="0" fontId="5" fillId="6" borderId="94" xfId="0" applyFont="1" applyFill="1" applyBorder="1" applyAlignment="1">
      <alignment horizontal="center" vertical="center" wrapText="1"/>
    </xf>
    <xf numFmtId="0" fontId="5" fillId="6" borderId="95"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0"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48" xfId="0" applyFont="1" applyFill="1" applyBorder="1" applyAlignment="1">
      <alignment horizontal="center" vertical="center"/>
    </xf>
    <xf numFmtId="0" fontId="10" fillId="6" borderId="98"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50" xfId="0" applyFont="1" applyFill="1" applyBorder="1" applyAlignment="1">
      <alignment horizontal="left" vertical="center"/>
    </xf>
    <xf numFmtId="0" fontId="10" fillId="6" borderId="47" xfId="0" applyFont="1" applyFill="1" applyBorder="1" applyAlignment="1">
      <alignment horizontal="left" vertical="center"/>
    </xf>
    <xf numFmtId="0" fontId="10" fillId="6" borderId="48" xfId="0" applyFont="1" applyFill="1" applyBorder="1" applyAlignment="1">
      <alignment horizontal="left" vertical="center"/>
    </xf>
    <xf numFmtId="0" fontId="5" fillId="6" borderId="21" xfId="0" applyFont="1" applyFill="1" applyBorder="1" applyAlignment="1">
      <alignment horizontal="center" vertical="center" wrapText="1"/>
    </xf>
    <xf numFmtId="0" fontId="11" fillId="8" borderId="0" xfId="0" applyFont="1" applyFill="1" applyAlignment="1">
      <alignment horizontal="center"/>
    </xf>
    <xf numFmtId="0" fontId="10" fillId="6" borderId="5" xfId="0" applyFont="1" applyFill="1" applyBorder="1" applyAlignment="1">
      <alignment horizontal="center" vertical="center" wrapText="1"/>
    </xf>
    <xf numFmtId="0" fontId="5" fillId="6" borderId="71" xfId="0" applyFont="1" applyFill="1" applyBorder="1" applyAlignment="1">
      <alignment horizontal="center" vertical="center"/>
    </xf>
    <xf numFmtId="0" fontId="5" fillId="6" borderId="71" xfId="0" applyFont="1" applyFill="1" applyBorder="1" applyAlignment="1">
      <alignment horizontal="left" vertical="center"/>
    </xf>
    <xf numFmtId="0" fontId="10" fillId="6" borderId="94" xfId="0" applyFont="1" applyFill="1" applyBorder="1" applyAlignment="1">
      <alignment horizontal="left" vertical="center"/>
    </xf>
    <xf numFmtId="0" fontId="10" fillId="6" borderId="95" xfId="0" applyFont="1" applyFill="1" applyBorder="1" applyAlignment="1">
      <alignment horizontal="left" vertical="center"/>
    </xf>
    <xf numFmtId="0" fontId="0" fillId="0" borderId="103" xfId="0" applyBorder="1" applyAlignment="1">
      <alignment horizontal="center"/>
    </xf>
    <xf numFmtId="0" fontId="0" fillId="0" borderId="104" xfId="0" applyBorder="1" applyAlignment="1">
      <alignment horizontal="center"/>
    </xf>
    <xf numFmtId="0" fontId="68" fillId="29" borderId="0" xfId="0" applyFont="1" applyFill="1" applyAlignment="1">
      <alignment horizontal="left" vertical="center" wrapText="1"/>
    </xf>
    <xf numFmtId="0" fontId="40" fillId="11" borderId="23" xfId="2" applyFont="1" applyFill="1" applyBorder="1" applyAlignment="1">
      <alignment horizontal="center" vertical="center" wrapText="1"/>
    </xf>
    <xf numFmtId="0" fontId="50" fillId="9" borderId="0" xfId="1" applyFont="1" applyFill="1" applyAlignment="1">
      <alignment horizontal="left"/>
    </xf>
    <xf numFmtId="0" fontId="17" fillId="11" borderId="23" xfId="2" applyFont="1" applyFill="1" applyBorder="1" applyAlignment="1">
      <alignment horizontal="center" vertical="center" wrapText="1"/>
    </xf>
    <xf numFmtId="0" fontId="17" fillId="11" borderId="24" xfId="2" applyFont="1" applyFill="1" applyBorder="1" applyAlignment="1">
      <alignment horizontal="center" vertical="center" wrapText="1"/>
    </xf>
    <xf numFmtId="0" fontId="17" fillId="11" borderId="25" xfId="2" applyFont="1" applyFill="1" applyBorder="1" applyAlignment="1">
      <alignment horizontal="center" vertical="center" wrapText="1"/>
    </xf>
    <xf numFmtId="0" fontId="17" fillId="11" borderId="26" xfId="2" applyFont="1" applyFill="1" applyBorder="1" applyAlignment="1">
      <alignment horizontal="center" vertical="center" wrapText="1"/>
    </xf>
    <xf numFmtId="0" fontId="17" fillId="9" borderId="24" xfId="2" applyFont="1" applyFill="1" applyBorder="1" applyAlignment="1">
      <alignment horizontal="center" vertical="center" wrapText="1"/>
    </xf>
    <xf numFmtId="0" fontId="17" fillId="9" borderId="26" xfId="2" applyFont="1" applyFill="1" applyBorder="1" applyAlignment="1">
      <alignment horizontal="center" vertical="center" wrapText="1"/>
    </xf>
    <xf numFmtId="9" fontId="22" fillId="13" borderId="0" xfId="1" applyNumberFormat="1" applyFont="1" applyFill="1" applyAlignment="1">
      <alignment horizontal="center"/>
    </xf>
    <xf numFmtId="0" fontId="68" fillId="29" borderId="0" xfId="0" applyFont="1" applyFill="1" applyAlignment="1">
      <alignment horizontal="left" vertical="top" wrapText="1"/>
    </xf>
    <xf numFmtId="0" fontId="74" fillId="29" borderId="0" xfId="1" applyFont="1" applyFill="1" applyAlignment="1">
      <alignment horizontal="left" vertical="top" wrapText="1"/>
    </xf>
    <xf numFmtId="0" fontId="70" fillId="28" borderId="0" xfId="1" applyFont="1" applyFill="1" applyAlignment="1">
      <alignment horizontal="left"/>
    </xf>
    <xf numFmtId="0" fontId="73" fillId="11" borderId="79" xfId="2" applyFont="1" applyFill="1" applyBorder="1" applyAlignment="1">
      <alignment horizontal="center" vertical="center" wrapText="1"/>
    </xf>
    <xf numFmtId="0" fontId="73" fillId="11" borderId="80" xfId="2" applyFont="1" applyFill="1" applyBorder="1" applyAlignment="1">
      <alignment horizontal="center" vertical="center" wrapText="1"/>
    </xf>
    <xf numFmtId="0" fontId="73" fillId="11" borderId="81" xfId="2" applyFont="1" applyFill="1" applyBorder="1" applyAlignment="1">
      <alignment horizontal="center" vertical="center" wrapText="1"/>
    </xf>
    <xf numFmtId="0" fontId="40" fillId="10" borderId="76" xfId="2" applyFont="1" applyFill="1" applyBorder="1" applyAlignment="1">
      <alignment horizontal="center" vertical="center" wrapText="1"/>
    </xf>
    <xf numFmtId="0" fontId="40" fillId="10" borderId="77" xfId="2" applyFont="1" applyFill="1" applyBorder="1" applyAlignment="1">
      <alignment horizontal="center" vertical="center" wrapText="1"/>
    </xf>
    <xf numFmtId="0" fontId="40" fillId="10" borderId="78" xfId="2" applyFont="1" applyFill="1" applyBorder="1" applyAlignment="1">
      <alignment horizontal="center" vertical="center" wrapText="1"/>
    </xf>
    <xf numFmtId="0" fontId="40" fillId="10" borderId="75" xfId="2" applyFont="1" applyFill="1" applyBorder="1" applyAlignment="1">
      <alignment horizontal="center" vertical="center" wrapText="1"/>
    </xf>
    <xf numFmtId="0" fontId="70" fillId="28" borderId="0" xfId="1" applyFont="1" applyFill="1" applyAlignment="1">
      <alignment horizontal="left" vertical="center"/>
    </xf>
    <xf numFmtId="0" fontId="70" fillId="28" borderId="0" xfId="1" applyFont="1" applyFill="1" applyAlignment="1">
      <alignment horizontal="center" vertical="center"/>
    </xf>
    <xf numFmtId="9" fontId="22" fillId="13" borderId="0" xfId="1" applyNumberFormat="1" applyFont="1" applyFill="1" applyAlignment="1">
      <alignment horizontal="center" vertical="center"/>
    </xf>
    <xf numFmtId="0" fontId="74" fillId="29" borderId="0" xfId="1" applyFont="1" applyFill="1" applyAlignment="1">
      <alignment horizontal="left" vertical="center" wrapText="1"/>
    </xf>
    <xf numFmtId="0" fontId="73" fillId="11" borderId="40" xfId="2" applyFont="1" applyFill="1" applyBorder="1" applyAlignment="1">
      <alignment horizontal="center" vertical="center" wrapText="1"/>
    </xf>
    <xf numFmtId="0" fontId="34" fillId="9" borderId="0" xfId="1" applyFont="1" applyFill="1" applyAlignment="1">
      <alignment horizontal="left"/>
    </xf>
  </cellXfs>
  <cellStyles count="8">
    <cellStyle name="Normal" xfId="0" builtinId="0"/>
    <cellStyle name="Normal 11" xfId="2" xr:uid="{45BFA088-3ABE-42EF-B51C-B3B1B621AD59}"/>
    <cellStyle name="Normal 2" xfId="1" xr:uid="{1CCBB801-4212-4F36-BA13-6E6A4154977C}"/>
    <cellStyle name="Normal 2 2 2" xfId="3" xr:uid="{4A7F107A-7E01-474F-B03C-2DBB1E15986C}"/>
    <cellStyle name="Normal 3" xfId="4" xr:uid="{0EFF2F0B-E8F9-46BD-9EBC-1B6C905323B0}"/>
    <cellStyle name="Normal 3 2" xfId="6" xr:uid="{DF2141B6-5DA5-4602-A3CA-265D75C3A292}"/>
    <cellStyle name="Porcentaje" xfId="5" builtinId="5"/>
    <cellStyle name="Porcentaje 2" xfId="7" xr:uid="{77983FF5-E1BE-486B-A5E5-663D55CCCFAF}"/>
  </cellStyles>
  <dxfs count="98">
    <dxf>
      <fill>
        <patternFill>
          <bgColor rgb="FFFF0000"/>
        </patternFill>
      </fill>
    </dxf>
    <dxf>
      <fill>
        <patternFill>
          <bgColor rgb="FF00B050"/>
        </patternFill>
      </fill>
    </dxf>
    <dxf>
      <fill>
        <patternFill>
          <bgColor rgb="FFFFFF00"/>
        </patternFill>
      </fill>
    </dxf>
    <dxf>
      <fill>
        <patternFill>
          <bgColor rgb="FFFF66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rgb="FFFF66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rgb="FFFF66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rgb="FFFF66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rgb="FFFF6600"/>
        </patternFill>
      </fill>
    </dxf>
    <dxf>
      <fill>
        <patternFill patternType="none">
          <bgColor auto="1"/>
        </patternFill>
      </fill>
    </dxf>
    <dxf>
      <fill>
        <patternFill>
          <bgColor rgb="FF00B050"/>
        </patternFill>
      </fill>
    </dxf>
    <dxf>
      <fill>
        <patternFill>
          <bgColor rgb="FFFFFF00"/>
        </patternFill>
      </fill>
    </dxf>
    <dxf>
      <fill>
        <patternFill>
          <bgColor rgb="FFFF66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6600"/>
        </patternFill>
      </fill>
    </dxf>
    <dxf>
      <fill>
        <patternFill>
          <bgColor rgb="FFFF00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color indexed="54"/>
      </font>
      <numFmt numFmtId="1" formatCode="0"/>
      <fill>
        <patternFill patternType="solid">
          <fgColor indexed="64"/>
          <bgColor indexed="13"/>
        </patternFill>
      </fill>
      <alignment horizontal="center" vertical="bottom" textRotation="0" wrapText="0" indent="0" justifyLastLine="0" shrinkToFit="0" readingOrder="0"/>
      <border diagonalUp="0" diagonalDown="0" outline="0">
        <left style="thin">
          <color indexed="49"/>
        </left>
        <right style="thin">
          <color indexed="49"/>
        </right>
        <top style="thin">
          <color indexed="49"/>
        </top>
        <bottom style="thin">
          <color indexed="49"/>
        </bottom>
      </border>
    </dxf>
    <dxf>
      <font>
        <b/>
        <color indexed="54"/>
      </font>
      <numFmt numFmtId="19" formatCode="d/mm/yyyy"/>
      <fill>
        <patternFill patternType="solid">
          <fgColor indexed="64"/>
          <bgColor indexed="13"/>
        </patternFill>
      </fill>
      <alignment horizontal="left" vertical="bottom" textRotation="0" wrapText="0" indent="0" justifyLastLine="0" shrinkToFit="0" readingOrder="0"/>
      <border diagonalUp="0" diagonalDown="0" outline="0">
        <left style="thin">
          <color indexed="49"/>
        </left>
        <right style="thin">
          <color indexed="49"/>
        </right>
        <top style="thin">
          <color indexed="49"/>
        </top>
        <bottom style="thin">
          <color indexed="49"/>
        </bottom>
      </border>
    </dxf>
    <dxf>
      <font>
        <b/>
        <color indexed="54"/>
      </font>
      <fill>
        <patternFill patternType="solid">
          <fgColor indexed="64"/>
          <bgColor indexed="13"/>
        </patternFill>
      </fill>
      <alignment horizontal="center" vertical="bottom" textRotation="0" wrapText="0" indent="0" justifyLastLine="0" shrinkToFit="0" readingOrder="0"/>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left style="thin">
          <color indexed="49"/>
        </left>
        <right style="thin">
          <color indexed="49"/>
        </right>
        <top style="thin">
          <color indexed="49"/>
        </top>
        <bottom style="thin">
          <color indexed="49"/>
        </bottom>
        <vertical/>
        <horizontal/>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border diagonalUp="0" diagonalDown="0" outline="0">
        <left style="thin">
          <color indexed="49"/>
        </left>
        <right style="thin">
          <color indexed="49"/>
        </right>
        <top style="thin">
          <color indexed="49"/>
        </top>
        <bottom style="thin">
          <color indexed="49"/>
        </bottom>
      </border>
    </dxf>
    <dxf>
      <font>
        <b/>
        <color indexed="54"/>
      </font>
      <numFmt numFmtId="19" formatCode="d/mm/yyyy"/>
      <fill>
        <patternFill patternType="solid">
          <fgColor indexed="64"/>
          <bgColor indexed="13"/>
        </patternFill>
      </fill>
      <alignment horizontal="left" vertical="bottom" textRotation="0" wrapText="0" indent="0" justifyLastLine="0" shrinkToFit="0" readingOrder="0"/>
      <border diagonalUp="0" diagonalDown="0" outline="0">
        <left style="thin">
          <color indexed="49"/>
        </left>
        <right style="thin">
          <color indexed="49"/>
        </right>
        <top style="thin">
          <color indexed="49"/>
        </top>
        <bottom style="thin">
          <color indexed="49"/>
        </bottom>
      </border>
    </dxf>
    <dxf>
      <font>
        <b/>
        <i val="0"/>
        <strike val="0"/>
        <condense val="0"/>
        <extend val="0"/>
        <outline val="0"/>
        <shadow val="0"/>
        <u val="none"/>
        <vertAlign val="baseline"/>
        <sz val="10"/>
        <color indexed="54"/>
        <name val="Arial"/>
        <scheme val="none"/>
      </font>
      <fill>
        <patternFill patternType="solid">
          <fgColor indexed="64"/>
          <bgColor indexed="13"/>
        </patternFill>
      </fill>
      <alignment horizontal="center"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1F497D"/>
      <rgbColor rgb="00EEECE1"/>
      <rgbColor rgb="00FF00FF"/>
      <rgbColor rgb="0000FFFF"/>
      <rgbColor rgb="00800000"/>
      <rgbColor rgb="00008000"/>
      <rgbColor rgb="00000080"/>
      <rgbColor rgb="00808000"/>
      <rgbColor rgb="00800080"/>
      <rgbColor rgb="00008080"/>
      <rgbColor rgb="00DCE6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8DB4E2"/>
      <rgbColor rgb="0099CC00"/>
      <rgbColor rgb="00FFCC00"/>
      <rgbColor rgb="00FF9900"/>
      <rgbColor rgb="00FF6600"/>
      <rgbColor rgb="0016365C"/>
      <rgbColor rgb="0095B3D7"/>
      <rgbColor rgb="00003366"/>
      <rgbColor rgb="00339966"/>
      <rgbColor rgb="00003300"/>
      <rgbColor rgb="00333300"/>
      <rgbColor rgb="00993300"/>
      <rgbColor rgb="00993366"/>
      <rgbColor rgb="00333399"/>
      <rgbColor rgb="00366092"/>
    </indexedColors>
    <mruColors>
      <color rgb="FF666699"/>
      <color rgb="FF80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2.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4.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5.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6.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7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7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7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7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Promedio Puntaje Global por Comunas 2016-2024</a:t>
            </a:r>
          </a:p>
        </c:rich>
      </c:tx>
      <c:overlay val="0"/>
    </c:title>
    <c:autoTitleDeleted val="0"/>
    <c:plotArea>
      <c:layout/>
      <c:radarChart>
        <c:radarStyle val="marker"/>
        <c:varyColors val="0"/>
        <c:ser>
          <c:idx val="0"/>
          <c:order val="0"/>
          <c:tx>
            <c:strRef>
              <c:f>PGLOBAL!$AC$177</c:f>
              <c:strCache>
                <c:ptCount val="1"/>
                <c:pt idx="0">
                  <c:v>2016</c:v>
                </c:pt>
              </c:strCache>
            </c:strRef>
          </c:tx>
          <c:spPr>
            <a:ln>
              <a:prstDash val="dashDot"/>
            </a:ln>
          </c:spPr>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PGLOBAL!$AC$178:$AC$184</c:f>
              <c:numCache>
                <c:formatCode>0</c:formatCode>
                <c:ptCount val="7"/>
                <c:pt idx="0">
                  <c:v>266</c:v>
                </c:pt>
                <c:pt idx="1">
                  <c:v>260.94117647058823</c:v>
                </c:pt>
                <c:pt idx="2">
                  <c:v>268.45</c:v>
                </c:pt>
                <c:pt idx="3">
                  <c:v>269.4375</c:v>
                </c:pt>
                <c:pt idx="4">
                  <c:v>248.28571428571428</c:v>
                </c:pt>
                <c:pt idx="5">
                  <c:v>276.1764705882353</c:v>
                </c:pt>
                <c:pt idx="6">
                  <c:v>267.13333333333333</c:v>
                </c:pt>
              </c:numCache>
            </c:numRef>
          </c:val>
          <c:extLst>
            <c:ext xmlns:c16="http://schemas.microsoft.com/office/drawing/2014/chart" uri="{C3380CC4-5D6E-409C-BE32-E72D297353CC}">
              <c16:uniqueId val="{00000000-FE33-473D-824A-749E389BE177}"/>
            </c:ext>
          </c:extLst>
        </c:ser>
        <c:ser>
          <c:idx val="1"/>
          <c:order val="1"/>
          <c:tx>
            <c:strRef>
              <c:f>PGLOBAL!$AD$177</c:f>
              <c:strCache>
                <c:ptCount val="1"/>
                <c:pt idx="0">
                  <c:v>2017</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PGLOBAL!$AD$178:$AD$184</c:f>
              <c:numCache>
                <c:formatCode>0</c:formatCode>
                <c:ptCount val="7"/>
                <c:pt idx="0">
                  <c:v>263</c:v>
                </c:pt>
                <c:pt idx="1">
                  <c:v>260.375</c:v>
                </c:pt>
                <c:pt idx="2">
                  <c:v>265.63157894736844</c:v>
                </c:pt>
                <c:pt idx="3">
                  <c:v>265.64705882352939</c:v>
                </c:pt>
                <c:pt idx="4">
                  <c:v>255.13333333333333</c:v>
                </c:pt>
                <c:pt idx="5">
                  <c:v>275.47058823529414</c:v>
                </c:pt>
                <c:pt idx="6">
                  <c:v>258.86666666666667</c:v>
                </c:pt>
              </c:numCache>
            </c:numRef>
          </c:val>
          <c:extLst>
            <c:ext xmlns:c16="http://schemas.microsoft.com/office/drawing/2014/chart" uri="{C3380CC4-5D6E-409C-BE32-E72D297353CC}">
              <c16:uniqueId val="{00000001-FE33-473D-824A-749E389BE177}"/>
            </c:ext>
          </c:extLst>
        </c:ser>
        <c:ser>
          <c:idx val="2"/>
          <c:order val="2"/>
          <c:tx>
            <c:strRef>
              <c:f>PGLOBAL!$AE$177</c:f>
              <c:strCache>
                <c:ptCount val="1"/>
                <c:pt idx="0">
                  <c:v>2018</c:v>
                </c:pt>
              </c:strCache>
            </c:strRef>
          </c:tx>
          <c:spPr>
            <a:ln>
              <a:prstDash val="sysDot"/>
            </a:ln>
          </c:spPr>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PGLOBAL!$AE$178:$AE$184</c:f>
              <c:numCache>
                <c:formatCode>0</c:formatCode>
                <c:ptCount val="7"/>
                <c:pt idx="0">
                  <c:v>260</c:v>
                </c:pt>
                <c:pt idx="1">
                  <c:v>257.1764705882353</c:v>
                </c:pt>
                <c:pt idx="2">
                  <c:v>262.89473684210526</c:v>
                </c:pt>
                <c:pt idx="3">
                  <c:v>265.11764705882354</c:v>
                </c:pt>
                <c:pt idx="4">
                  <c:v>251.46666666666667</c:v>
                </c:pt>
                <c:pt idx="5">
                  <c:v>271.5</c:v>
                </c:pt>
                <c:pt idx="6">
                  <c:v>260.07142857142856</c:v>
                </c:pt>
              </c:numCache>
            </c:numRef>
          </c:val>
          <c:extLst>
            <c:ext xmlns:c16="http://schemas.microsoft.com/office/drawing/2014/chart" uri="{C3380CC4-5D6E-409C-BE32-E72D297353CC}">
              <c16:uniqueId val="{00000002-FE33-473D-824A-749E389BE177}"/>
            </c:ext>
          </c:extLst>
        </c:ser>
        <c:ser>
          <c:idx val="3"/>
          <c:order val="3"/>
          <c:tx>
            <c:strRef>
              <c:f>PGLOBAL!$AF$177</c:f>
              <c:strCache>
                <c:ptCount val="1"/>
                <c:pt idx="0">
                  <c:v>2019</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PGLOBAL!$AF$178:$AF$184</c:f>
              <c:numCache>
                <c:formatCode>0</c:formatCode>
                <c:ptCount val="7"/>
                <c:pt idx="0">
                  <c:v>257</c:v>
                </c:pt>
                <c:pt idx="1">
                  <c:v>252.8235294117647</c:v>
                </c:pt>
                <c:pt idx="2">
                  <c:v>262.64999999999998</c:v>
                </c:pt>
                <c:pt idx="3">
                  <c:v>259.41176470588238</c:v>
                </c:pt>
                <c:pt idx="4">
                  <c:v>244.78571428571428</c:v>
                </c:pt>
                <c:pt idx="5">
                  <c:v>268.31578947368422</c:v>
                </c:pt>
                <c:pt idx="6">
                  <c:v>259</c:v>
                </c:pt>
              </c:numCache>
            </c:numRef>
          </c:val>
          <c:extLst>
            <c:ext xmlns:c16="http://schemas.microsoft.com/office/drawing/2014/chart" uri="{C3380CC4-5D6E-409C-BE32-E72D297353CC}">
              <c16:uniqueId val="{00000003-FE33-473D-824A-749E389BE177}"/>
            </c:ext>
          </c:extLst>
        </c:ser>
        <c:ser>
          <c:idx val="4"/>
          <c:order val="4"/>
          <c:tx>
            <c:strRef>
              <c:f>PGLOBAL!$AG$177</c:f>
              <c:strCache>
                <c:ptCount val="1"/>
                <c:pt idx="0">
                  <c:v>2020</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PGLOBAL!$AG$178:$AG$184</c:f>
              <c:numCache>
                <c:formatCode>0</c:formatCode>
                <c:ptCount val="7"/>
                <c:pt idx="0" formatCode="General">
                  <c:v>258</c:v>
                </c:pt>
                <c:pt idx="1">
                  <c:v>257.29411764705884</c:v>
                </c:pt>
                <c:pt idx="2">
                  <c:v>259.125</c:v>
                </c:pt>
                <c:pt idx="3">
                  <c:v>262.78947368421052</c:v>
                </c:pt>
                <c:pt idx="4">
                  <c:v>241.84615384615384</c:v>
                </c:pt>
                <c:pt idx="5">
                  <c:v>272</c:v>
                </c:pt>
                <c:pt idx="6">
                  <c:v>252.94117647058823</c:v>
                </c:pt>
              </c:numCache>
            </c:numRef>
          </c:val>
          <c:extLst>
            <c:ext xmlns:c16="http://schemas.microsoft.com/office/drawing/2014/chart" uri="{C3380CC4-5D6E-409C-BE32-E72D297353CC}">
              <c16:uniqueId val="{00000001-851D-49E8-81AE-DA536DFCA90B}"/>
            </c:ext>
          </c:extLst>
        </c:ser>
        <c:ser>
          <c:idx val="5"/>
          <c:order val="5"/>
          <c:tx>
            <c:strRef>
              <c:f>PGLOBAL!$AH$177</c:f>
              <c:strCache>
                <c:ptCount val="1"/>
                <c:pt idx="0">
                  <c:v>2021</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PGLOBAL!$AH$178:$AH$184</c:f>
              <c:numCache>
                <c:formatCode>0</c:formatCode>
                <c:ptCount val="7"/>
                <c:pt idx="0">
                  <c:v>257</c:v>
                </c:pt>
                <c:pt idx="1">
                  <c:v>257.29411764705884</c:v>
                </c:pt>
                <c:pt idx="2">
                  <c:v>257.45454545454544</c:v>
                </c:pt>
                <c:pt idx="3">
                  <c:v>261.60000000000002</c:v>
                </c:pt>
                <c:pt idx="4">
                  <c:v>243.85714285714286</c:v>
                </c:pt>
                <c:pt idx="5">
                  <c:v>270.44444444444446</c:v>
                </c:pt>
                <c:pt idx="6">
                  <c:v>255.58823529411765</c:v>
                </c:pt>
              </c:numCache>
            </c:numRef>
          </c:val>
          <c:extLst>
            <c:ext xmlns:c16="http://schemas.microsoft.com/office/drawing/2014/chart" uri="{C3380CC4-5D6E-409C-BE32-E72D297353CC}">
              <c16:uniqueId val="{00000001-EB06-4A89-995C-D1A7722C1C2A}"/>
            </c:ext>
          </c:extLst>
        </c:ser>
        <c:ser>
          <c:idx val="6"/>
          <c:order val="6"/>
          <c:tx>
            <c:strRef>
              <c:f>PGLOBAL!$AI$177</c:f>
              <c:strCache>
                <c:ptCount val="1"/>
                <c:pt idx="0">
                  <c:v>2022</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PGLOBAL!$AI$178:$AI$184</c:f>
              <c:numCache>
                <c:formatCode>0</c:formatCode>
                <c:ptCount val="7"/>
                <c:pt idx="0">
                  <c:v>262</c:v>
                </c:pt>
                <c:pt idx="1">
                  <c:v>258.83333333333331</c:v>
                </c:pt>
                <c:pt idx="2">
                  <c:v>266.72000000000003</c:v>
                </c:pt>
                <c:pt idx="3">
                  <c:v>267.13636363636363</c:v>
                </c:pt>
                <c:pt idx="4">
                  <c:v>249.64285714285714</c:v>
                </c:pt>
                <c:pt idx="5">
                  <c:v>276.64705882352939</c:v>
                </c:pt>
                <c:pt idx="6">
                  <c:v>258.31578947368422</c:v>
                </c:pt>
              </c:numCache>
            </c:numRef>
          </c:val>
          <c:extLst>
            <c:ext xmlns:c16="http://schemas.microsoft.com/office/drawing/2014/chart" uri="{C3380CC4-5D6E-409C-BE32-E72D297353CC}">
              <c16:uniqueId val="{00000000-D799-4AFB-B91F-EEA4CAF16724}"/>
            </c:ext>
          </c:extLst>
        </c:ser>
        <c:ser>
          <c:idx val="7"/>
          <c:order val="7"/>
          <c:tx>
            <c:strRef>
              <c:f>PGLOBAL!$AJ$177</c:f>
              <c:strCache>
                <c:ptCount val="1"/>
                <c:pt idx="0">
                  <c:v>2023</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PGLOBAL!$AJ$178:$AJ$184</c:f>
              <c:numCache>
                <c:formatCode>0</c:formatCode>
                <c:ptCount val="7"/>
                <c:pt idx="0">
                  <c:v>262</c:v>
                </c:pt>
                <c:pt idx="1">
                  <c:v>262.29411764705884</c:v>
                </c:pt>
                <c:pt idx="2">
                  <c:v>265.03846153846155</c:v>
                </c:pt>
                <c:pt idx="3">
                  <c:v>267.09090909090907</c:v>
                </c:pt>
                <c:pt idx="4">
                  <c:v>245.2</c:v>
                </c:pt>
                <c:pt idx="5">
                  <c:v>278.11764705882354</c:v>
                </c:pt>
                <c:pt idx="6">
                  <c:v>264.3</c:v>
                </c:pt>
              </c:numCache>
            </c:numRef>
          </c:val>
          <c:extLst>
            <c:ext xmlns:c16="http://schemas.microsoft.com/office/drawing/2014/chart" uri="{C3380CC4-5D6E-409C-BE32-E72D297353CC}">
              <c16:uniqueId val="{00000000-08DF-4324-8B4B-F72D2332CE4B}"/>
            </c:ext>
          </c:extLst>
        </c:ser>
        <c:ser>
          <c:idx val="8"/>
          <c:order val="8"/>
          <c:tx>
            <c:strRef>
              <c:f>PGLOBAL!$AK$177</c:f>
              <c:strCache>
                <c:ptCount val="1"/>
                <c:pt idx="0">
                  <c:v>2024</c:v>
                </c:pt>
              </c:strCache>
            </c:strRef>
          </c:tx>
          <c:cat>
            <c:strRef>
              <c:f>PGLOBAL!$AB$178:$AB$184</c:f>
              <c:strCache>
                <c:ptCount val="7"/>
                <c:pt idx="0">
                  <c:v>SOACHA GENERAL</c:v>
                </c:pt>
                <c:pt idx="1">
                  <c:v>COMUNA 1</c:v>
                </c:pt>
                <c:pt idx="2">
                  <c:v>COMUNA 2</c:v>
                </c:pt>
                <c:pt idx="3">
                  <c:v>COMUNA 3</c:v>
                </c:pt>
                <c:pt idx="4">
                  <c:v>COMUNA 4</c:v>
                </c:pt>
                <c:pt idx="5">
                  <c:v>COMUNA 5</c:v>
                </c:pt>
                <c:pt idx="6">
                  <c:v>COMUNA 6</c:v>
                </c:pt>
              </c:strCache>
            </c:strRef>
          </c:cat>
          <c:val>
            <c:numRef>
              <c:f>PGLOBAL!$AK$178:$AK$184</c:f>
              <c:numCache>
                <c:formatCode>0</c:formatCode>
                <c:ptCount val="7"/>
                <c:pt idx="0">
                  <c:v>265</c:v>
                </c:pt>
                <c:pt idx="1">
                  <c:v>263.22222222222223</c:v>
                </c:pt>
                <c:pt idx="2">
                  <c:v>270.91666666666669</c:v>
                </c:pt>
                <c:pt idx="3">
                  <c:v>269.31818181818181</c:v>
                </c:pt>
                <c:pt idx="4">
                  <c:v>254</c:v>
                </c:pt>
                <c:pt idx="5">
                  <c:v>273.66666666666669</c:v>
                </c:pt>
                <c:pt idx="6">
                  <c:v>264.83333333333331</c:v>
                </c:pt>
              </c:numCache>
            </c:numRef>
          </c:val>
          <c:extLst>
            <c:ext xmlns:c16="http://schemas.microsoft.com/office/drawing/2014/chart" uri="{C3380CC4-5D6E-409C-BE32-E72D297353CC}">
              <c16:uniqueId val="{00000001-08DF-4324-8B4B-F72D2332CE4B}"/>
            </c:ext>
          </c:extLst>
        </c:ser>
        <c:dLbls>
          <c:showLegendKey val="0"/>
          <c:showVal val="0"/>
          <c:showCatName val="0"/>
          <c:showSerName val="0"/>
          <c:showPercent val="0"/>
          <c:showBubbleSize val="0"/>
        </c:dLbls>
        <c:axId val="95953664"/>
        <c:axId val="95955200"/>
      </c:radarChart>
      <c:catAx>
        <c:axId val="95953664"/>
        <c:scaling>
          <c:orientation val="minMax"/>
        </c:scaling>
        <c:delete val="0"/>
        <c:axPos val="b"/>
        <c:majorGridlines/>
        <c:numFmt formatCode="General" sourceLinked="0"/>
        <c:majorTickMark val="none"/>
        <c:minorTickMark val="none"/>
        <c:tickLblPos val="nextTo"/>
        <c:spPr>
          <a:ln w="9525">
            <a:noFill/>
          </a:ln>
        </c:spPr>
        <c:crossAx val="95955200"/>
        <c:crosses val="autoZero"/>
        <c:auto val="1"/>
        <c:lblAlgn val="ctr"/>
        <c:lblOffset val="100"/>
        <c:noMultiLvlLbl val="0"/>
      </c:catAx>
      <c:valAx>
        <c:axId val="95955200"/>
        <c:scaling>
          <c:orientation val="minMax"/>
          <c:max val="280"/>
          <c:min val="240"/>
        </c:scaling>
        <c:delete val="0"/>
        <c:axPos val="l"/>
        <c:majorGridlines/>
        <c:numFmt formatCode="0" sourceLinked="1"/>
        <c:majorTickMark val="out"/>
        <c:minorTickMark val="none"/>
        <c:tickLblPos val="nextTo"/>
        <c:crossAx val="95953664"/>
        <c:crosses val="autoZero"/>
        <c:crossBetween val="between"/>
      </c:valAx>
    </c:plotArea>
    <c:legend>
      <c:legendPos val="r"/>
      <c:overlay val="0"/>
    </c:legend>
    <c:plotVisOnly val="1"/>
    <c:dispBlanksAs val="gap"/>
    <c:showDLblsOverMax val="0"/>
  </c:chart>
  <c:txPr>
    <a:bodyPr/>
    <a:lstStyle/>
    <a:p>
      <a:pPr>
        <a:defRPr>
          <a:latin typeface="+mn-lt"/>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Promedio Puntaje Global Instituciones Oficiales por Comunas 2016-2024</a:t>
            </a:r>
          </a:p>
        </c:rich>
      </c:tx>
      <c:overlay val="0"/>
    </c:title>
    <c:autoTitleDeleted val="0"/>
    <c:plotArea>
      <c:layout/>
      <c:radarChart>
        <c:radarStyle val="marker"/>
        <c:varyColors val="0"/>
        <c:ser>
          <c:idx val="0"/>
          <c:order val="0"/>
          <c:tx>
            <c:strRef>
              <c:f>PGLOBAL!$I$232</c:f>
              <c:strCache>
                <c:ptCount val="1"/>
                <c:pt idx="0">
                  <c:v>2016</c:v>
                </c:pt>
              </c:strCache>
            </c:strRef>
          </c:tx>
          <c:spPr>
            <a:ln>
              <a:prstDash val="dashDot"/>
            </a:ln>
          </c:spPr>
          <c:cat>
            <c:strRef>
              <c:f>PGLOBAL!$H$234:$H$239</c:f>
              <c:strCache>
                <c:ptCount val="6"/>
                <c:pt idx="0">
                  <c:v>COMUNA 1</c:v>
                </c:pt>
                <c:pt idx="1">
                  <c:v>COMUNA 2</c:v>
                </c:pt>
                <c:pt idx="2">
                  <c:v>COMUNA 3</c:v>
                </c:pt>
                <c:pt idx="3">
                  <c:v>COMUNA 4</c:v>
                </c:pt>
                <c:pt idx="4">
                  <c:v>COMUNA 5</c:v>
                </c:pt>
                <c:pt idx="5">
                  <c:v>COMUNA 6</c:v>
                </c:pt>
              </c:strCache>
            </c:strRef>
          </c:cat>
          <c:val>
            <c:numRef>
              <c:f>PGLOBAL!$I$234:$I$239</c:f>
              <c:numCache>
                <c:formatCode>0</c:formatCode>
                <c:ptCount val="6"/>
                <c:pt idx="0">
                  <c:v>262.5</c:v>
                </c:pt>
                <c:pt idx="1">
                  <c:v>264.5</c:v>
                </c:pt>
                <c:pt idx="2">
                  <c:v>259</c:v>
                </c:pt>
                <c:pt idx="3">
                  <c:v>243.83333333333334</c:v>
                </c:pt>
                <c:pt idx="4">
                  <c:v>264.5</c:v>
                </c:pt>
                <c:pt idx="5">
                  <c:v>259.33333333333331</c:v>
                </c:pt>
              </c:numCache>
            </c:numRef>
          </c:val>
          <c:extLst>
            <c:ext xmlns:c16="http://schemas.microsoft.com/office/drawing/2014/chart" uri="{C3380CC4-5D6E-409C-BE32-E72D297353CC}">
              <c16:uniqueId val="{00000000-A093-4265-9E01-CFF1436F20BA}"/>
            </c:ext>
          </c:extLst>
        </c:ser>
        <c:ser>
          <c:idx val="1"/>
          <c:order val="1"/>
          <c:tx>
            <c:strRef>
              <c:f>PGLOBAL!$J$232</c:f>
              <c:strCache>
                <c:ptCount val="1"/>
                <c:pt idx="0">
                  <c:v>2017</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PGLOBAL!$J$234:$J$239</c:f>
              <c:numCache>
                <c:formatCode>0</c:formatCode>
                <c:ptCount val="6"/>
                <c:pt idx="0">
                  <c:v>263</c:v>
                </c:pt>
                <c:pt idx="1">
                  <c:v>261.5</c:v>
                </c:pt>
                <c:pt idx="2">
                  <c:v>256.66666666666669</c:v>
                </c:pt>
                <c:pt idx="3">
                  <c:v>244.33333333333334</c:v>
                </c:pt>
                <c:pt idx="4">
                  <c:v>257.5</c:v>
                </c:pt>
                <c:pt idx="5">
                  <c:v>257</c:v>
                </c:pt>
              </c:numCache>
            </c:numRef>
          </c:val>
          <c:extLst>
            <c:ext xmlns:c16="http://schemas.microsoft.com/office/drawing/2014/chart" uri="{C3380CC4-5D6E-409C-BE32-E72D297353CC}">
              <c16:uniqueId val="{00000001-A093-4265-9E01-CFF1436F20BA}"/>
            </c:ext>
          </c:extLst>
        </c:ser>
        <c:ser>
          <c:idx val="2"/>
          <c:order val="2"/>
          <c:tx>
            <c:strRef>
              <c:f>PGLOBAL!$K$232</c:f>
              <c:strCache>
                <c:ptCount val="1"/>
                <c:pt idx="0">
                  <c:v>2018</c:v>
                </c:pt>
              </c:strCache>
            </c:strRef>
          </c:tx>
          <c:spPr>
            <a:ln>
              <a:prstDash val="sysDot"/>
            </a:ln>
          </c:spPr>
          <c:cat>
            <c:strRef>
              <c:f>PGLOBAL!$H$234:$H$239</c:f>
              <c:strCache>
                <c:ptCount val="6"/>
                <c:pt idx="0">
                  <c:v>COMUNA 1</c:v>
                </c:pt>
                <c:pt idx="1">
                  <c:v>COMUNA 2</c:v>
                </c:pt>
                <c:pt idx="2">
                  <c:v>COMUNA 3</c:v>
                </c:pt>
                <c:pt idx="3">
                  <c:v>COMUNA 4</c:v>
                </c:pt>
                <c:pt idx="4">
                  <c:v>COMUNA 5</c:v>
                </c:pt>
                <c:pt idx="5">
                  <c:v>COMUNA 6</c:v>
                </c:pt>
              </c:strCache>
            </c:strRef>
          </c:cat>
          <c:val>
            <c:numRef>
              <c:f>PGLOBAL!$K$234:$K$239</c:f>
              <c:numCache>
                <c:formatCode>0</c:formatCode>
                <c:ptCount val="6"/>
                <c:pt idx="0">
                  <c:v>255.75</c:v>
                </c:pt>
                <c:pt idx="1">
                  <c:v>257.5</c:v>
                </c:pt>
                <c:pt idx="2">
                  <c:v>257</c:v>
                </c:pt>
                <c:pt idx="3">
                  <c:v>237</c:v>
                </c:pt>
                <c:pt idx="4">
                  <c:v>251</c:v>
                </c:pt>
                <c:pt idx="5">
                  <c:v>252.33333333333334</c:v>
                </c:pt>
              </c:numCache>
            </c:numRef>
          </c:val>
          <c:extLst>
            <c:ext xmlns:c16="http://schemas.microsoft.com/office/drawing/2014/chart" uri="{C3380CC4-5D6E-409C-BE32-E72D297353CC}">
              <c16:uniqueId val="{00000002-A093-4265-9E01-CFF1436F20BA}"/>
            </c:ext>
          </c:extLst>
        </c:ser>
        <c:ser>
          <c:idx val="3"/>
          <c:order val="3"/>
          <c:tx>
            <c:strRef>
              <c:f>PGLOBAL!$L$232</c:f>
              <c:strCache>
                <c:ptCount val="1"/>
                <c:pt idx="0">
                  <c:v>2019</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PGLOBAL!$L$234:$L$239</c:f>
              <c:numCache>
                <c:formatCode>0</c:formatCode>
                <c:ptCount val="6"/>
                <c:pt idx="0">
                  <c:v>253.75</c:v>
                </c:pt>
                <c:pt idx="1">
                  <c:v>253.5</c:v>
                </c:pt>
                <c:pt idx="2">
                  <c:v>250</c:v>
                </c:pt>
                <c:pt idx="3">
                  <c:v>232.5</c:v>
                </c:pt>
                <c:pt idx="4">
                  <c:v>252.5</c:v>
                </c:pt>
                <c:pt idx="5">
                  <c:v>250</c:v>
                </c:pt>
              </c:numCache>
            </c:numRef>
          </c:val>
          <c:extLst>
            <c:ext xmlns:c16="http://schemas.microsoft.com/office/drawing/2014/chart" uri="{C3380CC4-5D6E-409C-BE32-E72D297353CC}">
              <c16:uniqueId val="{00000003-A093-4265-9E01-CFF1436F20BA}"/>
            </c:ext>
          </c:extLst>
        </c:ser>
        <c:ser>
          <c:idx val="4"/>
          <c:order val="4"/>
          <c:tx>
            <c:strRef>
              <c:f>PGLOBAL!$M$232</c:f>
              <c:strCache>
                <c:ptCount val="1"/>
                <c:pt idx="0">
                  <c:v>2020</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PGLOBAL!$M$234:$M$239</c:f>
              <c:numCache>
                <c:formatCode>0</c:formatCode>
                <c:ptCount val="6"/>
                <c:pt idx="0">
                  <c:v>255.5</c:v>
                </c:pt>
                <c:pt idx="1">
                  <c:v>255.5</c:v>
                </c:pt>
                <c:pt idx="2">
                  <c:v>252.75</c:v>
                </c:pt>
                <c:pt idx="3">
                  <c:v>234.5</c:v>
                </c:pt>
                <c:pt idx="4">
                  <c:v>252.5</c:v>
                </c:pt>
                <c:pt idx="5">
                  <c:v>251.33333333333334</c:v>
                </c:pt>
              </c:numCache>
            </c:numRef>
          </c:val>
          <c:extLst>
            <c:ext xmlns:c16="http://schemas.microsoft.com/office/drawing/2014/chart" uri="{C3380CC4-5D6E-409C-BE32-E72D297353CC}">
              <c16:uniqueId val="{00000002-CA36-43E4-8330-B78367BCEA89}"/>
            </c:ext>
          </c:extLst>
        </c:ser>
        <c:ser>
          <c:idx val="5"/>
          <c:order val="5"/>
          <c:tx>
            <c:strRef>
              <c:f>PGLOBAL!$N$232</c:f>
              <c:strCache>
                <c:ptCount val="1"/>
                <c:pt idx="0">
                  <c:v>2021</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PGLOBAL!$N$234:$N$239</c:f>
              <c:numCache>
                <c:formatCode>0</c:formatCode>
                <c:ptCount val="6"/>
                <c:pt idx="0">
                  <c:v>251.5</c:v>
                </c:pt>
                <c:pt idx="1">
                  <c:v>250.5</c:v>
                </c:pt>
                <c:pt idx="2">
                  <c:v>250.4</c:v>
                </c:pt>
                <c:pt idx="3">
                  <c:v>233.66666666666666</c:v>
                </c:pt>
                <c:pt idx="4">
                  <c:v>251</c:v>
                </c:pt>
                <c:pt idx="5">
                  <c:v>246.33333333333334</c:v>
                </c:pt>
              </c:numCache>
            </c:numRef>
          </c:val>
          <c:extLst>
            <c:ext xmlns:c16="http://schemas.microsoft.com/office/drawing/2014/chart" uri="{C3380CC4-5D6E-409C-BE32-E72D297353CC}">
              <c16:uniqueId val="{00000001-CA54-4446-90A4-8D5787BFC3EC}"/>
            </c:ext>
          </c:extLst>
        </c:ser>
        <c:ser>
          <c:idx val="6"/>
          <c:order val="6"/>
          <c:tx>
            <c:strRef>
              <c:f>PGLOBAL!$O$232</c:f>
              <c:strCache>
                <c:ptCount val="1"/>
                <c:pt idx="0">
                  <c:v>2022</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PGLOBAL!$O$234:$O$239</c:f>
              <c:numCache>
                <c:formatCode>0</c:formatCode>
                <c:ptCount val="6"/>
                <c:pt idx="0">
                  <c:v>252.8</c:v>
                </c:pt>
                <c:pt idx="1">
                  <c:v>253.25</c:v>
                </c:pt>
                <c:pt idx="2">
                  <c:v>257</c:v>
                </c:pt>
                <c:pt idx="3">
                  <c:v>238.33333333333334</c:v>
                </c:pt>
                <c:pt idx="4">
                  <c:v>259.5</c:v>
                </c:pt>
                <c:pt idx="5">
                  <c:v>251</c:v>
                </c:pt>
              </c:numCache>
            </c:numRef>
          </c:val>
          <c:extLst>
            <c:ext xmlns:c16="http://schemas.microsoft.com/office/drawing/2014/chart" uri="{C3380CC4-5D6E-409C-BE32-E72D297353CC}">
              <c16:uniqueId val="{00000000-F3DD-46A2-A84A-1C6AEA5C9F17}"/>
            </c:ext>
          </c:extLst>
        </c:ser>
        <c:ser>
          <c:idx val="7"/>
          <c:order val="7"/>
          <c:tx>
            <c:strRef>
              <c:f>PGLOBAL!$P$232</c:f>
              <c:strCache>
                <c:ptCount val="1"/>
                <c:pt idx="0">
                  <c:v>2023</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PGLOBAL!$P$234:$P$239</c:f>
              <c:numCache>
                <c:formatCode>0</c:formatCode>
                <c:ptCount val="6"/>
                <c:pt idx="0">
                  <c:v>253.6</c:v>
                </c:pt>
                <c:pt idx="1">
                  <c:v>255.5</c:v>
                </c:pt>
                <c:pt idx="2">
                  <c:v>257</c:v>
                </c:pt>
                <c:pt idx="3">
                  <c:v>237.66666666666666</c:v>
                </c:pt>
                <c:pt idx="4">
                  <c:v>256.5</c:v>
                </c:pt>
                <c:pt idx="5">
                  <c:v>249.33333333333334</c:v>
                </c:pt>
              </c:numCache>
            </c:numRef>
          </c:val>
          <c:extLst>
            <c:ext xmlns:c16="http://schemas.microsoft.com/office/drawing/2014/chart" uri="{C3380CC4-5D6E-409C-BE32-E72D297353CC}">
              <c16:uniqueId val="{00000001-F3DD-46A2-A84A-1C6AEA5C9F17}"/>
            </c:ext>
          </c:extLst>
        </c:ser>
        <c:ser>
          <c:idx val="8"/>
          <c:order val="8"/>
          <c:tx>
            <c:strRef>
              <c:f>PGLOBAL!$Q$232</c:f>
              <c:strCache>
                <c:ptCount val="1"/>
                <c:pt idx="0">
                  <c:v>2024</c:v>
                </c:pt>
              </c:strCache>
            </c:strRef>
          </c:tx>
          <c:cat>
            <c:strRef>
              <c:f>PGLOBAL!$H$234:$H$239</c:f>
              <c:strCache>
                <c:ptCount val="6"/>
                <c:pt idx="0">
                  <c:v>COMUNA 1</c:v>
                </c:pt>
                <c:pt idx="1">
                  <c:v>COMUNA 2</c:v>
                </c:pt>
                <c:pt idx="2">
                  <c:v>COMUNA 3</c:v>
                </c:pt>
                <c:pt idx="3">
                  <c:v>COMUNA 4</c:v>
                </c:pt>
                <c:pt idx="4">
                  <c:v>COMUNA 5</c:v>
                </c:pt>
                <c:pt idx="5">
                  <c:v>COMUNA 6</c:v>
                </c:pt>
              </c:strCache>
            </c:strRef>
          </c:cat>
          <c:val>
            <c:numRef>
              <c:f>PGLOBAL!$Q$234:$Q$239</c:f>
              <c:numCache>
                <c:formatCode>0</c:formatCode>
                <c:ptCount val="6"/>
                <c:pt idx="0">
                  <c:v>255.4</c:v>
                </c:pt>
                <c:pt idx="1">
                  <c:v>262</c:v>
                </c:pt>
                <c:pt idx="2">
                  <c:v>259</c:v>
                </c:pt>
                <c:pt idx="3">
                  <c:v>238.16666666666666</c:v>
                </c:pt>
                <c:pt idx="4">
                  <c:v>270.66666666666669</c:v>
                </c:pt>
                <c:pt idx="5">
                  <c:v>253.5</c:v>
                </c:pt>
              </c:numCache>
            </c:numRef>
          </c:val>
          <c:extLst>
            <c:ext xmlns:c16="http://schemas.microsoft.com/office/drawing/2014/chart" uri="{C3380CC4-5D6E-409C-BE32-E72D297353CC}">
              <c16:uniqueId val="{00000000-38B7-4AF7-AFF6-E0A28C324A9B}"/>
            </c:ext>
          </c:extLst>
        </c:ser>
        <c:dLbls>
          <c:showLegendKey val="0"/>
          <c:showVal val="0"/>
          <c:showCatName val="0"/>
          <c:showSerName val="0"/>
          <c:showPercent val="0"/>
          <c:showBubbleSize val="0"/>
        </c:dLbls>
        <c:axId val="95994624"/>
        <c:axId val="95996160"/>
      </c:radarChart>
      <c:catAx>
        <c:axId val="95994624"/>
        <c:scaling>
          <c:orientation val="minMax"/>
        </c:scaling>
        <c:delete val="0"/>
        <c:axPos val="b"/>
        <c:majorGridlines/>
        <c:numFmt formatCode="General" sourceLinked="0"/>
        <c:majorTickMark val="none"/>
        <c:minorTickMark val="none"/>
        <c:tickLblPos val="nextTo"/>
        <c:spPr>
          <a:ln w="9525">
            <a:noFill/>
          </a:ln>
        </c:spPr>
        <c:crossAx val="95996160"/>
        <c:crosses val="autoZero"/>
        <c:auto val="1"/>
        <c:lblAlgn val="ctr"/>
        <c:lblOffset val="100"/>
        <c:noMultiLvlLbl val="0"/>
      </c:catAx>
      <c:valAx>
        <c:axId val="95996160"/>
        <c:scaling>
          <c:orientation val="minMax"/>
          <c:max val="270"/>
          <c:min val="233"/>
        </c:scaling>
        <c:delete val="0"/>
        <c:axPos val="l"/>
        <c:majorGridlines/>
        <c:numFmt formatCode="0" sourceLinked="1"/>
        <c:majorTickMark val="none"/>
        <c:minorTickMark val="none"/>
        <c:tickLblPos val="nextTo"/>
        <c:crossAx val="95994624"/>
        <c:crosses val="autoZero"/>
        <c:crossBetween val="between"/>
      </c:valAx>
    </c:plotArea>
    <c:legend>
      <c:legendPos val="r"/>
      <c:overlay val="0"/>
    </c:legend>
    <c:plotVisOnly val="1"/>
    <c:dispBlanksAs val="gap"/>
    <c:showDLblsOverMax val="0"/>
  </c:chart>
  <c:txPr>
    <a:bodyPr/>
    <a:lstStyle/>
    <a:p>
      <a:pPr>
        <a:defRPr>
          <a:latin typeface="+mn-lt"/>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s-CO" sz="1400"/>
              <a:t>Promedio Puntaje Global Instituciones No Oficiales por Comunas 2016-2024</a:t>
            </a:r>
          </a:p>
        </c:rich>
      </c:tx>
      <c:overlay val="0"/>
    </c:title>
    <c:autoTitleDeleted val="0"/>
    <c:plotArea>
      <c:layout/>
      <c:radarChart>
        <c:radarStyle val="marker"/>
        <c:varyColors val="0"/>
        <c:ser>
          <c:idx val="0"/>
          <c:order val="0"/>
          <c:tx>
            <c:strRef>
              <c:f>PGLOBAL!$W$232</c:f>
              <c:strCache>
                <c:ptCount val="1"/>
                <c:pt idx="0">
                  <c:v>2016</c:v>
                </c:pt>
              </c:strCache>
            </c:strRef>
          </c:tx>
          <c:spPr>
            <a:ln>
              <a:prstDash val="dashDot"/>
            </a:ln>
          </c:spPr>
          <c:cat>
            <c:strRef>
              <c:f>PGLOBAL!$V$234:$V$239</c:f>
              <c:strCache>
                <c:ptCount val="6"/>
                <c:pt idx="0">
                  <c:v>COMUNA 1</c:v>
                </c:pt>
                <c:pt idx="1">
                  <c:v>COMUNA 2</c:v>
                </c:pt>
                <c:pt idx="2">
                  <c:v>COMUNA 3</c:v>
                </c:pt>
                <c:pt idx="3">
                  <c:v>COMUNA 4</c:v>
                </c:pt>
                <c:pt idx="4">
                  <c:v>COMUNA 5</c:v>
                </c:pt>
                <c:pt idx="5">
                  <c:v>COMUNA 6</c:v>
                </c:pt>
              </c:strCache>
            </c:strRef>
          </c:cat>
          <c:val>
            <c:numRef>
              <c:f>PGLOBAL!$W$234:$W$239</c:f>
              <c:numCache>
                <c:formatCode>0</c:formatCode>
                <c:ptCount val="6"/>
                <c:pt idx="0">
                  <c:v>260.46153846153845</c:v>
                </c:pt>
                <c:pt idx="1">
                  <c:v>268.88888888888891</c:v>
                </c:pt>
                <c:pt idx="2">
                  <c:v>271.61538461538464</c:v>
                </c:pt>
                <c:pt idx="3">
                  <c:v>251.625</c:v>
                </c:pt>
                <c:pt idx="4">
                  <c:v>277.73333333333335</c:v>
                </c:pt>
                <c:pt idx="5">
                  <c:v>269.08333333333331</c:v>
                </c:pt>
              </c:numCache>
            </c:numRef>
          </c:val>
          <c:extLst>
            <c:ext xmlns:c16="http://schemas.microsoft.com/office/drawing/2014/chart" uri="{C3380CC4-5D6E-409C-BE32-E72D297353CC}">
              <c16:uniqueId val="{00000000-7315-4922-B741-14218619375B}"/>
            </c:ext>
          </c:extLst>
        </c:ser>
        <c:ser>
          <c:idx val="1"/>
          <c:order val="1"/>
          <c:tx>
            <c:strRef>
              <c:f>PGLOBAL!$X$232</c:f>
              <c:strCache>
                <c:ptCount val="1"/>
                <c:pt idx="0">
                  <c:v>2017</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PGLOBAL!$X$234:$X$239</c:f>
              <c:numCache>
                <c:formatCode>0</c:formatCode>
                <c:ptCount val="6"/>
                <c:pt idx="0">
                  <c:v>259.5</c:v>
                </c:pt>
                <c:pt idx="1">
                  <c:v>266.11764705882354</c:v>
                </c:pt>
                <c:pt idx="2">
                  <c:v>267.57142857142856</c:v>
                </c:pt>
                <c:pt idx="3">
                  <c:v>262.33333333333331</c:v>
                </c:pt>
                <c:pt idx="4">
                  <c:v>277.86666666666667</c:v>
                </c:pt>
                <c:pt idx="5">
                  <c:v>259.33333333333331</c:v>
                </c:pt>
              </c:numCache>
            </c:numRef>
          </c:val>
          <c:extLst>
            <c:ext xmlns:c16="http://schemas.microsoft.com/office/drawing/2014/chart" uri="{C3380CC4-5D6E-409C-BE32-E72D297353CC}">
              <c16:uniqueId val="{00000001-7315-4922-B741-14218619375B}"/>
            </c:ext>
          </c:extLst>
        </c:ser>
        <c:ser>
          <c:idx val="2"/>
          <c:order val="2"/>
          <c:tx>
            <c:strRef>
              <c:f>PGLOBAL!$Y$232</c:f>
              <c:strCache>
                <c:ptCount val="1"/>
                <c:pt idx="0">
                  <c:v>2018</c:v>
                </c:pt>
              </c:strCache>
            </c:strRef>
          </c:tx>
          <c:spPr>
            <a:ln>
              <a:prstDash val="sysDot"/>
            </a:ln>
          </c:spPr>
          <c:cat>
            <c:strRef>
              <c:f>PGLOBAL!$V$234:$V$239</c:f>
              <c:strCache>
                <c:ptCount val="6"/>
                <c:pt idx="0">
                  <c:v>COMUNA 1</c:v>
                </c:pt>
                <c:pt idx="1">
                  <c:v>COMUNA 2</c:v>
                </c:pt>
                <c:pt idx="2">
                  <c:v>COMUNA 3</c:v>
                </c:pt>
                <c:pt idx="3">
                  <c:v>COMUNA 4</c:v>
                </c:pt>
                <c:pt idx="4">
                  <c:v>COMUNA 5</c:v>
                </c:pt>
                <c:pt idx="5">
                  <c:v>COMUNA 6</c:v>
                </c:pt>
              </c:strCache>
            </c:strRef>
          </c:cat>
          <c:val>
            <c:numRef>
              <c:f>PGLOBAL!$Y$234:$Y$239</c:f>
              <c:numCache>
                <c:formatCode>0</c:formatCode>
                <c:ptCount val="6"/>
                <c:pt idx="0">
                  <c:v>257.61538461538464</c:v>
                </c:pt>
                <c:pt idx="1">
                  <c:v>263.52941176470586</c:v>
                </c:pt>
                <c:pt idx="2">
                  <c:v>267.07142857142856</c:v>
                </c:pt>
                <c:pt idx="3">
                  <c:v>261.11111111111109</c:v>
                </c:pt>
                <c:pt idx="4">
                  <c:v>274.0625</c:v>
                </c:pt>
                <c:pt idx="5">
                  <c:v>262.18181818181819</c:v>
                </c:pt>
              </c:numCache>
            </c:numRef>
          </c:val>
          <c:extLst>
            <c:ext xmlns:c16="http://schemas.microsoft.com/office/drawing/2014/chart" uri="{C3380CC4-5D6E-409C-BE32-E72D297353CC}">
              <c16:uniqueId val="{00000002-7315-4922-B741-14218619375B}"/>
            </c:ext>
          </c:extLst>
        </c:ser>
        <c:ser>
          <c:idx val="3"/>
          <c:order val="3"/>
          <c:tx>
            <c:strRef>
              <c:f>PGLOBAL!$Z$232</c:f>
              <c:strCache>
                <c:ptCount val="1"/>
                <c:pt idx="0">
                  <c:v>2019</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PGLOBAL!$Z$234:$Z$239</c:f>
              <c:numCache>
                <c:formatCode>0</c:formatCode>
                <c:ptCount val="6"/>
                <c:pt idx="0">
                  <c:v>252.53846153846155</c:v>
                </c:pt>
                <c:pt idx="1">
                  <c:v>263.66666666666669</c:v>
                </c:pt>
                <c:pt idx="2">
                  <c:v>261.71428571428572</c:v>
                </c:pt>
                <c:pt idx="3">
                  <c:v>254</c:v>
                </c:pt>
                <c:pt idx="4">
                  <c:v>270.1764705882353</c:v>
                </c:pt>
                <c:pt idx="5">
                  <c:v>261.25</c:v>
                </c:pt>
              </c:numCache>
            </c:numRef>
          </c:val>
          <c:extLst>
            <c:ext xmlns:c16="http://schemas.microsoft.com/office/drawing/2014/chart" uri="{C3380CC4-5D6E-409C-BE32-E72D297353CC}">
              <c16:uniqueId val="{00000003-7315-4922-B741-14218619375B}"/>
            </c:ext>
          </c:extLst>
        </c:ser>
        <c:ser>
          <c:idx val="4"/>
          <c:order val="4"/>
          <c:tx>
            <c:strRef>
              <c:f>PGLOBAL!$AA$232</c:f>
              <c:strCache>
                <c:ptCount val="1"/>
                <c:pt idx="0">
                  <c:v>2020</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PGLOBAL!$AA$234:$AA$239</c:f>
              <c:numCache>
                <c:formatCode>0</c:formatCode>
                <c:ptCount val="6"/>
                <c:pt idx="0">
                  <c:v>257.84615384615387</c:v>
                </c:pt>
                <c:pt idx="1">
                  <c:v>259.45454545454544</c:v>
                </c:pt>
                <c:pt idx="2">
                  <c:v>265.46666666666664</c:v>
                </c:pt>
                <c:pt idx="3">
                  <c:v>248.14285714285714</c:v>
                </c:pt>
                <c:pt idx="4">
                  <c:v>274.4375</c:v>
                </c:pt>
                <c:pt idx="5">
                  <c:v>253.28571428571428</c:v>
                </c:pt>
              </c:numCache>
            </c:numRef>
          </c:val>
          <c:extLst>
            <c:ext xmlns:c16="http://schemas.microsoft.com/office/drawing/2014/chart" uri="{C3380CC4-5D6E-409C-BE32-E72D297353CC}">
              <c16:uniqueId val="{00000001-CDE1-4D8A-AC40-BB45AF577C9D}"/>
            </c:ext>
          </c:extLst>
        </c:ser>
        <c:ser>
          <c:idx val="5"/>
          <c:order val="5"/>
          <c:tx>
            <c:strRef>
              <c:f>PGLOBAL!$AB$232</c:f>
              <c:strCache>
                <c:ptCount val="1"/>
                <c:pt idx="0">
                  <c:v>2021</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PGLOBAL!$AB$234:$AB$239</c:f>
              <c:numCache>
                <c:formatCode>0</c:formatCode>
                <c:ptCount val="6"/>
                <c:pt idx="0">
                  <c:v>259.07692307692309</c:v>
                </c:pt>
                <c:pt idx="1">
                  <c:v>258.14999999999998</c:v>
                </c:pt>
                <c:pt idx="2">
                  <c:v>265.33333333333331</c:v>
                </c:pt>
                <c:pt idx="3">
                  <c:v>251.5</c:v>
                </c:pt>
                <c:pt idx="4">
                  <c:v>272.875</c:v>
                </c:pt>
                <c:pt idx="5">
                  <c:v>257.57142857142856</c:v>
                </c:pt>
              </c:numCache>
            </c:numRef>
          </c:val>
          <c:extLst>
            <c:ext xmlns:c16="http://schemas.microsoft.com/office/drawing/2014/chart" uri="{C3380CC4-5D6E-409C-BE32-E72D297353CC}">
              <c16:uniqueId val="{00000001-AD2A-4798-87E0-3AF512D1B880}"/>
            </c:ext>
          </c:extLst>
        </c:ser>
        <c:ser>
          <c:idx val="6"/>
          <c:order val="6"/>
          <c:tx>
            <c:strRef>
              <c:f>PGLOBAL!$AC$232</c:f>
              <c:strCache>
                <c:ptCount val="1"/>
                <c:pt idx="0">
                  <c:v>2022</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PGLOBAL!$AC$234:$AC$239</c:f>
              <c:numCache>
                <c:formatCode>0</c:formatCode>
                <c:ptCount val="6"/>
                <c:pt idx="0">
                  <c:v>261.15384615384613</c:v>
                </c:pt>
                <c:pt idx="1">
                  <c:v>269.28571428571428</c:v>
                </c:pt>
                <c:pt idx="2">
                  <c:v>270.9375</c:v>
                </c:pt>
                <c:pt idx="3">
                  <c:v>258.125</c:v>
                </c:pt>
                <c:pt idx="4">
                  <c:v>278.93333333333334</c:v>
                </c:pt>
                <c:pt idx="5">
                  <c:v>259.6875</c:v>
                </c:pt>
              </c:numCache>
            </c:numRef>
          </c:val>
          <c:extLst>
            <c:ext xmlns:c16="http://schemas.microsoft.com/office/drawing/2014/chart" uri="{C3380CC4-5D6E-409C-BE32-E72D297353CC}">
              <c16:uniqueId val="{00000000-208F-4E90-ACB7-0786FAC81CE8}"/>
            </c:ext>
          </c:extLst>
        </c:ser>
        <c:ser>
          <c:idx val="7"/>
          <c:order val="7"/>
          <c:tx>
            <c:strRef>
              <c:f>PGLOBAL!$AD$232</c:f>
              <c:strCache>
                <c:ptCount val="1"/>
                <c:pt idx="0">
                  <c:v>2023</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PGLOBAL!$AD$234:$AD$239</c:f>
              <c:numCache>
                <c:formatCode>0</c:formatCode>
                <c:ptCount val="6"/>
                <c:pt idx="0">
                  <c:v>252.53846153846155</c:v>
                </c:pt>
                <c:pt idx="1">
                  <c:v>263.66666666666669</c:v>
                </c:pt>
                <c:pt idx="2">
                  <c:v>261.71428571428572</c:v>
                </c:pt>
                <c:pt idx="3">
                  <c:v>254</c:v>
                </c:pt>
                <c:pt idx="4">
                  <c:v>270.1764705882353</c:v>
                </c:pt>
                <c:pt idx="5">
                  <c:v>261.25</c:v>
                </c:pt>
              </c:numCache>
            </c:numRef>
          </c:val>
          <c:extLst>
            <c:ext xmlns:c16="http://schemas.microsoft.com/office/drawing/2014/chart" uri="{C3380CC4-5D6E-409C-BE32-E72D297353CC}">
              <c16:uniqueId val="{00000001-208F-4E90-ACB7-0786FAC81CE8}"/>
            </c:ext>
          </c:extLst>
        </c:ser>
        <c:ser>
          <c:idx val="8"/>
          <c:order val="8"/>
          <c:tx>
            <c:strRef>
              <c:f>PGLOBAL!$AE$232</c:f>
              <c:strCache>
                <c:ptCount val="1"/>
                <c:pt idx="0">
                  <c:v>2024</c:v>
                </c:pt>
              </c:strCache>
            </c:strRef>
          </c:tx>
          <c:cat>
            <c:strRef>
              <c:f>PGLOBAL!$V$234:$V$239</c:f>
              <c:strCache>
                <c:ptCount val="6"/>
                <c:pt idx="0">
                  <c:v>COMUNA 1</c:v>
                </c:pt>
                <c:pt idx="1">
                  <c:v>COMUNA 2</c:v>
                </c:pt>
                <c:pt idx="2">
                  <c:v>COMUNA 3</c:v>
                </c:pt>
                <c:pt idx="3">
                  <c:v>COMUNA 4</c:v>
                </c:pt>
                <c:pt idx="4">
                  <c:v>COMUNA 5</c:v>
                </c:pt>
                <c:pt idx="5">
                  <c:v>COMUNA 6</c:v>
                </c:pt>
              </c:strCache>
            </c:strRef>
          </c:cat>
          <c:val>
            <c:numRef>
              <c:f>PGLOBAL!$AE$234:$AE$239</c:f>
              <c:numCache>
                <c:formatCode>0</c:formatCode>
                <c:ptCount val="6"/>
                <c:pt idx="0">
                  <c:v>266.23076923076923</c:v>
                </c:pt>
                <c:pt idx="1">
                  <c:v>272.7</c:v>
                </c:pt>
                <c:pt idx="2">
                  <c:v>274.13333333333333</c:v>
                </c:pt>
                <c:pt idx="3">
                  <c:v>267.57142857142856</c:v>
                </c:pt>
                <c:pt idx="4">
                  <c:v>274.26666666666665</c:v>
                </c:pt>
                <c:pt idx="5">
                  <c:v>268.07142857142856</c:v>
                </c:pt>
              </c:numCache>
            </c:numRef>
          </c:val>
          <c:extLst>
            <c:ext xmlns:c16="http://schemas.microsoft.com/office/drawing/2014/chart" uri="{C3380CC4-5D6E-409C-BE32-E72D297353CC}">
              <c16:uniqueId val="{00000000-FC14-4111-8195-2CBE5B17675C}"/>
            </c:ext>
          </c:extLst>
        </c:ser>
        <c:dLbls>
          <c:showLegendKey val="0"/>
          <c:showVal val="0"/>
          <c:showCatName val="0"/>
          <c:showSerName val="0"/>
          <c:showPercent val="0"/>
          <c:showBubbleSize val="0"/>
        </c:dLbls>
        <c:axId val="100987648"/>
        <c:axId val="100989184"/>
      </c:radarChart>
      <c:catAx>
        <c:axId val="100987648"/>
        <c:scaling>
          <c:orientation val="minMax"/>
        </c:scaling>
        <c:delete val="0"/>
        <c:axPos val="b"/>
        <c:majorGridlines/>
        <c:numFmt formatCode="General" sourceLinked="0"/>
        <c:majorTickMark val="none"/>
        <c:minorTickMark val="none"/>
        <c:tickLblPos val="nextTo"/>
        <c:spPr>
          <a:ln w="9525">
            <a:noFill/>
          </a:ln>
        </c:spPr>
        <c:crossAx val="100989184"/>
        <c:crosses val="autoZero"/>
        <c:auto val="1"/>
        <c:lblAlgn val="ctr"/>
        <c:lblOffset val="100"/>
        <c:noMultiLvlLbl val="0"/>
      </c:catAx>
      <c:valAx>
        <c:axId val="100989184"/>
        <c:scaling>
          <c:orientation val="minMax"/>
          <c:max val="280"/>
          <c:min val="240"/>
        </c:scaling>
        <c:delete val="0"/>
        <c:axPos val="l"/>
        <c:majorGridlines/>
        <c:numFmt formatCode="0" sourceLinked="1"/>
        <c:majorTickMark val="none"/>
        <c:minorTickMark val="none"/>
        <c:tickLblPos val="nextTo"/>
        <c:crossAx val="100987648"/>
        <c:crosses val="autoZero"/>
        <c:crossBetween val="between"/>
      </c:valAx>
    </c:plotArea>
    <c:legend>
      <c:legendPos val="r"/>
      <c:overlay val="0"/>
    </c:legend>
    <c:plotVisOnly val="1"/>
    <c:dispBlanksAs val="gap"/>
    <c:showDLblsOverMax val="0"/>
  </c:chart>
  <c:txPr>
    <a:bodyPr/>
    <a:lstStyle/>
    <a:p>
      <a:pPr>
        <a:defRPr>
          <a:latin typeface="+mn-lt"/>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latin typeface="Arial" panose="020B0604020202020204" pitchFamily="34" charset="0"/>
                <a:cs typeface="Arial" panose="020B0604020202020204" pitchFamily="34" charset="0"/>
              </a:rPr>
              <a:t>Resultados</a:t>
            </a:r>
            <a:r>
              <a:rPr lang="es-CO" sz="1200" baseline="0">
                <a:latin typeface="Arial" panose="020B0604020202020204" pitchFamily="34" charset="0"/>
                <a:cs typeface="Arial" panose="020B0604020202020204" pitchFamily="34" charset="0"/>
              </a:rPr>
              <a:t> Saber 11 por prueba Soacha 2016-2024 </a:t>
            </a:r>
            <a:endParaRPr lang="es-CO" sz="1200">
              <a:latin typeface="Arial" panose="020B0604020202020204" pitchFamily="34" charset="0"/>
              <a:cs typeface="Arial" panose="020B0604020202020204" pitchFamily="34" charset="0"/>
            </a:endParaRPr>
          </a:p>
        </c:rich>
      </c:tx>
      <c:overlay val="0"/>
    </c:title>
    <c:autoTitleDeleted val="0"/>
    <c:plotArea>
      <c:layout/>
      <c:radarChart>
        <c:radarStyle val="marker"/>
        <c:varyColors val="0"/>
        <c:ser>
          <c:idx val="0"/>
          <c:order val="0"/>
          <c:tx>
            <c:strRef>
              <c:f>PGLOBAL!$S$278</c:f>
              <c:strCache>
                <c:ptCount val="1"/>
                <c:pt idx="0">
                  <c:v>2016</c:v>
                </c:pt>
              </c:strCache>
            </c:strRef>
          </c:tx>
          <c:spPr>
            <a:ln>
              <a:prstDash val="lgDashDot"/>
            </a:ln>
          </c:spPr>
          <c:cat>
            <c:strRef>
              <c:f>PGLOBAL!$R$279:$R$283</c:f>
              <c:strCache>
                <c:ptCount val="5"/>
                <c:pt idx="0">
                  <c:v>LECTURA CRÍTICA</c:v>
                </c:pt>
                <c:pt idx="1">
                  <c:v>MATEMATICAS</c:v>
                </c:pt>
                <c:pt idx="2">
                  <c:v>SOCIALES Y CIUDADANAS </c:v>
                </c:pt>
                <c:pt idx="3">
                  <c:v>CIENCIAS NATURALES</c:v>
                </c:pt>
                <c:pt idx="4">
                  <c:v>INGLÉS</c:v>
                </c:pt>
              </c:strCache>
            </c:strRef>
          </c:cat>
          <c:val>
            <c:numRef>
              <c:f>PGLOBAL!$S$279:$S$283</c:f>
              <c:numCache>
                <c:formatCode>General</c:formatCode>
                <c:ptCount val="5"/>
                <c:pt idx="0">
                  <c:v>54</c:v>
                </c:pt>
                <c:pt idx="1">
                  <c:v>52</c:v>
                </c:pt>
                <c:pt idx="2">
                  <c:v>52</c:v>
                </c:pt>
                <c:pt idx="3">
                  <c:v>54</c:v>
                </c:pt>
                <c:pt idx="4">
                  <c:v>54</c:v>
                </c:pt>
              </c:numCache>
            </c:numRef>
          </c:val>
          <c:extLst>
            <c:ext xmlns:c16="http://schemas.microsoft.com/office/drawing/2014/chart" uri="{C3380CC4-5D6E-409C-BE32-E72D297353CC}">
              <c16:uniqueId val="{00000000-045C-4993-AAF0-32CD2CF7F245}"/>
            </c:ext>
          </c:extLst>
        </c:ser>
        <c:ser>
          <c:idx val="1"/>
          <c:order val="1"/>
          <c:tx>
            <c:strRef>
              <c:f>PGLOBAL!$T$278</c:f>
              <c:strCache>
                <c:ptCount val="1"/>
                <c:pt idx="0">
                  <c:v>2017</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PGLOBAL!$T$279:$T$283</c:f>
              <c:numCache>
                <c:formatCode>General</c:formatCode>
                <c:ptCount val="5"/>
                <c:pt idx="0">
                  <c:v>55</c:v>
                </c:pt>
                <c:pt idx="1">
                  <c:v>52</c:v>
                </c:pt>
                <c:pt idx="2">
                  <c:v>52</c:v>
                </c:pt>
                <c:pt idx="3">
                  <c:v>53</c:v>
                </c:pt>
                <c:pt idx="4">
                  <c:v>53</c:v>
                </c:pt>
              </c:numCache>
            </c:numRef>
          </c:val>
          <c:extLst>
            <c:ext xmlns:c16="http://schemas.microsoft.com/office/drawing/2014/chart" uri="{C3380CC4-5D6E-409C-BE32-E72D297353CC}">
              <c16:uniqueId val="{00000001-045C-4993-AAF0-32CD2CF7F245}"/>
            </c:ext>
          </c:extLst>
        </c:ser>
        <c:ser>
          <c:idx val="2"/>
          <c:order val="2"/>
          <c:tx>
            <c:strRef>
              <c:f>PGLOBAL!$U$278</c:f>
              <c:strCache>
                <c:ptCount val="1"/>
                <c:pt idx="0">
                  <c:v>2018</c:v>
                </c:pt>
              </c:strCache>
            </c:strRef>
          </c:tx>
          <c:spPr>
            <a:ln>
              <a:prstDash val="sysDash"/>
            </a:ln>
          </c:spPr>
          <c:cat>
            <c:strRef>
              <c:f>PGLOBAL!$R$279:$R$283</c:f>
              <c:strCache>
                <c:ptCount val="5"/>
                <c:pt idx="0">
                  <c:v>LECTURA CRÍTICA</c:v>
                </c:pt>
                <c:pt idx="1">
                  <c:v>MATEMATICAS</c:v>
                </c:pt>
                <c:pt idx="2">
                  <c:v>SOCIALES Y CIUDADANAS </c:v>
                </c:pt>
                <c:pt idx="3">
                  <c:v>CIENCIAS NATURALES</c:v>
                </c:pt>
                <c:pt idx="4">
                  <c:v>INGLÉS</c:v>
                </c:pt>
              </c:strCache>
            </c:strRef>
          </c:cat>
          <c:val>
            <c:numRef>
              <c:f>PGLOBAL!$U$279:$U$283</c:f>
              <c:numCache>
                <c:formatCode>General</c:formatCode>
                <c:ptCount val="5"/>
                <c:pt idx="0">
                  <c:v>54</c:v>
                </c:pt>
                <c:pt idx="1">
                  <c:v>52</c:v>
                </c:pt>
                <c:pt idx="2">
                  <c:v>50</c:v>
                </c:pt>
                <c:pt idx="3">
                  <c:v>51</c:v>
                </c:pt>
                <c:pt idx="4">
                  <c:v>51</c:v>
                </c:pt>
              </c:numCache>
            </c:numRef>
          </c:val>
          <c:extLst>
            <c:ext xmlns:c16="http://schemas.microsoft.com/office/drawing/2014/chart" uri="{C3380CC4-5D6E-409C-BE32-E72D297353CC}">
              <c16:uniqueId val="{00000002-045C-4993-AAF0-32CD2CF7F245}"/>
            </c:ext>
          </c:extLst>
        </c:ser>
        <c:ser>
          <c:idx val="3"/>
          <c:order val="3"/>
          <c:tx>
            <c:strRef>
              <c:f>PGLOBAL!$V$278</c:f>
              <c:strCache>
                <c:ptCount val="1"/>
                <c:pt idx="0">
                  <c:v>2019</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PGLOBAL!$V$279:$V$283</c:f>
              <c:numCache>
                <c:formatCode>General</c:formatCode>
                <c:ptCount val="5"/>
                <c:pt idx="0">
                  <c:v>54</c:v>
                </c:pt>
                <c:pt idx="1">
                  <c:v>53</c:v>
                </c:pt>
                <c:pt idx="2">
                  <c:v>48</c:v>
                </c:pt>
                <c:pt idx="3">
                  <c:v>50</c:v>
                </c:pt>
                <c:pt idx="4">
                  <c:v>50</c:v>
                </c:pt>
              </c:numCache>
            </c:numRef>
          </c:val>
          <c:extLst>
            <c:ext xmlns:c16="http://schemas.microsoft.com/office/drawing/2014/chart" uri="{C3380CC4-5D6E-409C-BE32-E72D297353CC}">
              <c16:uniqueId val="{00000003-045C-4993-AAF0-32CD2CF7F245}"/>
            </c:ext>
          </c:extLst>
        </c:ser>
        <c:ser>
          <c:idx val="4"/>
          <c:order val="4"/>
          <c:tx>
            <c:strRef>
              <c:f>PGLOBAL!$W$278</c:f>
              <c:strCache>
                <c:ptCount val="1"/>
                <c:pt idx="0">
                  <c:v>2020</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PGLOBAL!$W$279:$W$283</c:f>
              <c:numCache>
                <c:formatCode>General</c:formatCode>
                <c:ptCount val="5"/>
                <c:pt idx="0">
                  <c:v>54</c:v>
                </c:pt>
                <c:pt idx="1">
                  <c:v>53</c:v>
                </c:pt>
                <c:pt idx="2">
                  <c:v>50</c:v>
                </c:pt>
                <c:pt idx="3">
                  <c:v>50</c:v>
                </c:pt>
                <c:pt idx="4">
                  <c:v>48</c:v>
                </c:pt>
              </c:numCache>
            </c:numRef>
          </c:val>
          <c:extLst>
            <c:ext xmlns:c16="http://schemas.microsoft.com/office/drawing/2014/chart" uri="{C3380CC4-5D6E-409C-BE32-E72D297353CC}">
              <c16:uniqueId val="{00000001-61DB-47A0-95EA-498307C2A18A}"/>
            </c:ext>
          </c:extLst>
        </c:ser>
        <c:ser>
          <c:idx val="5"/>
          <c:order val="5"/>
          <c:tx>
            <c:strRef>
              <c:f>PGLOBAL!$X$278</c:f>
              <c:strCache>
                <c:ptCount val="1"/>
                <c:pt idx="0">
                  <c:v>2021</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PGLOBAL!$X$279:$X$283</c:f>
              <c:numCache>
                <c:formatCode>General</c:formatCode>
                <c:ptCount val="5"/>
                <c:pt idx="0">
                  <c:v>55</c:v>
                </c:pt>
                <c:pt idx="1">
                  <c:v>52</c:v>
                </c:pt>
                <c:pt idx="2">
                  <c:v>49</c:v>
                </c:pt>
                <c:pt idx="3">
                  <c:v>50</c:v>
                </c:pt>
                <c:pt idx="4">
                  <c:v>52</c:v>
                </c:pt>
              </c:numCache>
            </c:numRef>
          </c:val>
          <c:extLst>
            <c:ext xmlns:c16="http://schemas.microsoft.com/office/drawing/2014/chart" uri="{C3380CC4-5D6E-409C-BE32-E72D297353CC}">
              <c16:uniqueId val="{00000001-B8AB-43FA-AC10-8905BF6DFE1B}"/>
            </c:ext>
          </c:extLst>
        </c:ser>
        <c:ser>
          <c:idx val="6"/>
          <c:order val="6"/>
          <c:tx>
            <c:strRef>
              <c:f>PGLOBAL!$Y$278</c:f>
              <c:strCache>
                <c:ptCount val="1"/>
                <c:pt idx="0">
                  <c:v>2022</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PGLOBAL!$Y$279:$Y$283</c:f>
              <c:numCache>
                <c:formatCode>General</c:formatCode>
                <c:ptCount val="5"/>
                <c:pt idx="0">
                  <c:v>55</c:v>
                </c:pt>
                <c:pt idx="1">
                  <c:v>53</c:v>
                </c:pt>
                <c:pt idx="2">
                  <c:v>50</c:v>
                </c:pt>
                <c:pt idx="3">
                  <c:v>51</c:v>
                </c:pt>
                <c:pt idx="4">
                  <c:v>53</c:v>
                </c:pt>
              </c:numCache>
            </c:numRef>
          </c:val>
          <c:extLst>
            <c:ext xmlns:c16="http://schemas.microsoft.com/office/drawing/2014/chart" uri="{C3380CC4-5D6E-409C-BE32-E72D297353CC}">
              <c16:uniqueId val="{00000000-1CAF-44A1-B25C-3701C7389E91}"/>
            </c:ext>
          </c:extLst>
        </c:ser>
        <c:ser>
          <c:idx val="7"/>
          <c:order val="7"/>
          <c:tx>
            <c:strRef>
              <c:f>PGLOBAL!$Z$278</c:f>
              <c:strCache>
                <c:ptCount val="1"/>
                <c:pt idx="0">
                  <c:v>2023</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PGLOBAL!$Z$279:$Z$283</c:f>
              <c:numCache>
                <c:formatCode>General</c:formatCode>
                <c:ptCount val="5"/>
                <c:pt idx="0">
                  <c:v>55</c:v>
                </c:pt>
                <c:pt idx="1">
                  <c:v>53</c:v>
                </c:pt>
                <c:pt idx="2">
                  <c:v>50</c:v>
                </c:pt>
                <c:pt idx="3">
                  <c:v>51</c:v>
                </c:pt>
                <c:pt idx="4">
                  <c:v>53</c:v>
                </c:pt>
              </c:numCache>
            </c:numRef>
          </c:val>
          <c:extLst>
            <c:ext xmlns:c16="http://schemas.microsoft.com/office/drawing/2014/chart" uri="{C3380CC4-5D6E-409C-BE32-E72D297353CC}">
              <c16:uniqueId val="{00000001-1CAF-44A1-B25C-3701C7389E91}"/>
            </c:ext>
          </c:extLst>
        </c:ser>
        <c:ser>
          <c:idx val="8"/>
          <c:order val="8"/>
          <c:tx>
            <c:strRef>
              <c:f>PGLOBAL!$AA$278</c:f>
              <c:strCache>
                <c:ptCount val="1"/>
                <c:pt idx="0">
                  <c:v>2024</c:v>
                </c:pt>
              </c:strCache>
            </c:strRef>
          </c:tx>
          <c:cat>
            <c:strRef>
              <c:f>PGLOBAL!$R$279:$R$283</c:f>
              <c:strCache>
                <c:ptCount val="5"/>
                <c:pt idx="0">
                  <c:v>LECTURA CRÍTICA</c:v>
                </c:pt>
                <c:pt idx="1">
                  <c:v>MATEMATICAS</c:v>
                </c:pt>
                <c:pt idx="2">
                  <c:v>SOCIALES Y CIUDADANAS </c:v>
                </c:pt>
                <c:pt idx="3">
                  <c:v>CIENCIAS NATURALES</c:v>
                </c:pt>
                <c:pt idx="4">
                  <c:v>INGLÉS</c:v>
                </c:pt>
              </c:strCache>
            </c:strRef>
          </c:cat>
          <c:val>
            <c:numRef>
              <c:f>PGLOBAL!$AA$279:$AA$283</c:f>
              <c:numCache>
                <c:formatCode>General</c:formatCode>
                <c:ptCount val="5"/>
                <c:pt idx="0">
                  <c:v>56</c:v>
                </c:pt>
                <c:pt idx="1">
                  <c:v>54</c:v>
                </c:pt>
                <c:pt idx="2">
                  <c:v>50</c:v>
                </c:pt>
                <c:pt idx="3">
                  <c:v>52</c:v>
                </c:pt>
                <c:pt idx="4">
                  <c:v>54</c:v>
                </c:pt>
              </c:numCache>
            </c:numRef>
          </c:val>
          <c:extLst>
            <c:ext xmlns:c16="http://schemas.microsoft.com/office/drawing/2014/chart" uri="{C3380CC4-5D6E-409C-BE32-E72D297353CC}">
              <c16:uniqueId val="{00000000-A2F8-4B83-ADF3-3BFDD4FEDF9F}"/>
            </c:ext>
          </c:extLst>
        </c:ser>
        <c:dLbls>
          <c:showLegendKey val="0"/>
          <c:showVal val="0"/>
          <c:showCatName val="0"/>
          <c:showSerName val="0"/>
          <c:showPercent val="0"/>
          <c:showBubbleSize val="0"/>
        </c:dLbls>
        <c:axId val="38646528"/>
        <c:axId val="38648064"/>
      </c:radarChart>
      <c:catAx>
        <c:axId val="38646528"/>
        <c:scaling>
          <c:orientation val="minMax"/>
        </c:scaling>
        <c:delete val="0"/>
        <c:axPos val="b"/>
        <c:majorGridlines/>
        <c:numFmt formatCode="General" sourceLinked="0"/>
        <c:majorTickMark val="none"/>
        <c:minorTickMark val="none"/>
        <c:tickLblPos val="nextTo"/>
        <c:spPr>
          <a:ln w="9525">
            <a:noFill/>
          </a:ln>
        </c:spPr>
        <c:txPr>
          <a:bodyPr/>
          <a:lstStyle/>
          <a:p>
            <a:pPr>
              <a:defRPr>
                <a:latin typeface="Arial" panose="020B0604020202020204" pitchFamily="34" charset="0"/>
                <a:cs typeface="Arial" panose="020B0604020202020204" pitchFamily="34" charset="0"/>
              </a:defRPr>
            </a:pPr>
            <a:endParaRPr lang="es-CO"/>
          </a:p>
        </c:txPr>
        <c:crossAx val="38648064"/>
        <c:crosses val="autoZero"/>
        <c:auto val="1"/>
        <c:lblAlgn val="ctr"/>
        <c:lblOffset val="100"/>
        <c:noMultiLvlLbl val="0"/>
      </c:catAx>
      <c:valAx>
        <c:axId val="38648064"/>
        <c:scaling>
          <c:orientation val="minMax"/>
          <c:max val="56"/>
          <c:min val="46"/>
        </c:scaling>
        <c:delete val="0"/>
        <c:axPos val="l"/>
        <c:majorGridlines/>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s-CO"/>
          </a:p>
        </c:txPr>
        <c:crossAx val="38646528"/>
        <c:crosses val="autoZero"/>
        <c:crossBetween val="between"/>
        <c:majorUnit val="2"/>
      </c:valAx>
    </c:plotArea>
    <c:legend>
      <c:legendPos val="r"/>
      <c:overlay val="0"/>
      <c:txPr>
        <a:bodyPr/>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s-CO" sz="1800"/>
              <a:t>PROMEDIO PUNTAJE GLOBAL 2016-2024</a:t>
            </a:r>
          </a:p>
        </c:rich>
      </c:tx>
      <c:layout>
        <c:manualLayout>
          <c:xMode val="edge"/>
          <c:yMode val="edge"/>
          <c:x val="0.23147230635708871"/>
          <c:y val="0.10899028895299441"/>
        </c:manualLayout>
      </c:layout>
      <c:overlay val="0"/>
      <c:spPr>
        <a:noFill/>
        <a:ln>
          <a:noFill/>
        </a:ln>
        <a:effectLst/>
      </c:spPr>
      <c:txPr>
        <a:bodyPr rot="0" spcFirstLastPara="1" vertOverflow="ellipsis" vert="horz" wrap="square" anchor="ctr" anchorCtr="1"/>
        <a:lstStyle/>
        <a:p>
          <a:pPr>
            <a:defRPr sz="12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s-CO"/>
        </a:p>
      </c:txPr>
    </c:title>
    <c:autoTitleDeleted val="0"/>
    <c:plotArea>
      <c:layout>
        <c:manualLayout>
          <c:layoutTarget val="inner"/>
          <c:xMode val="edge"/>
          <c:yMode val="edge"/>
          <c:x val="1.8844351591086474E-2"/>
          <c:y val="0.2231186915280586"/>
          <c:w val="0.96231129681782701"/>
          <c:h val="0.5159261906484125"/>
        </c:manualLayout>
      </c:layout>
      <c:lineChart>
        <c:grouping val="standard"/>
        <c:varyColors val="0"/>
        <c:ser>
          <c:idx val="0"/>
          <c:order val="0"/>
          <c:tx>
            <c:strRef>
              <c:f>PGLOBAL!$G$352</c:f>
              <c:strCache>
                <c:ptCount val="1"/>
                <c:pt idx="0">
                  <c:v>COLOMBIA</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PGLOBAL!$H$352:$P$352</c:f>
              <c:numCache>
                <c:formatCode>General</c:formatCode>
                <c:ptCount val="9"/>
                <c:pt idx="0">
                  <c:v>264</c:v>
                </c:pt>
                <c:pt idx="1">
                  <c:v>262</c:v>
                </c:pt>
                <c:pt idx="2">
                  <c:v>258</c:v>
                </c:pt>
                <c:pt idx="3">
                  <c:v>253</c:v>
                </c:pt>
                <c:pt idx="4">
                  <c:v>252</c:v>
                </c:pt>
                <c:pt idx="5">
                  <c:v>250</c:v>
                </c:pt>
                <c:pt idx="6">
                  <c:v>254</c:v>
                </c:pt>
                <c:pt idx="7">
                  <c:v>257</c:v>
                </c:pt>
                <c:pt idx="8">
                  <c:v>260</c:v>
                </c:pt>
              </c:numCache>
            </c:numRef>
          </c:val>
          <c:smooth val="0"/>
          <c:extLst>
            <c:ext xmlns:c16="http://schemas.microsoft.com/office/drawing/2014/chart" uri="{C3380CC4-5D6E-409C-BE32-E72D297353CC}">
              <c16:uniqueId val="{00000000-F7F8-4B5A-B3E0-61B53F0BFD04}"/>
            </c:ext>
          </c:extLst>
        </c:ser>
        <c:ser>
          <c:idx val="1"/>
          <c:order val="1"/>
          <c:tx>
            <c:strRef>
              <c:f>PGLOBAL!$G$353</c:f>
              <c:strCache>
                <c:ptCount val="1"/>
                <c:pt idx="0">
                  <c:v>SOACHA</c:v>
                </c:pt>
              </c:strCache>
            </c:strRef>
          </c:tx>
          <c:spPr>
            <a:ln w="19050" cap="rnd" cmpd="sng" algn="ctr">
              <a:solidFill>
                <a:schemeClr val="accent6"/>
              </a:solidFill>
              <a:round/>
            </a:ln>
            <a:effectLst/>
          </c:spPr>
          <c:marker>
            <c:symbol val="circle"/>
            <c:size val="17"/>
            <c:spPr>
              <a:solidFill>
                <a:schemeClr val="lt1"/>
              </a:solidFill>
              <a:ln>
                <a:noFill/>
              </a:ln>
              <a:effectLst/>
            </c:spPr>
          </c:marker>
          <c:dLbls>
            <c:dLbl>
              <c:idx val="6"/>
              <c:layout>
                <c:manualLayout>
                  <c:x val="-3.4554309891635833E-2"/>
                  <c:y val="3.43050856614196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F8-4B5A-B3E0-61B53F0BFD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PGLOBAL!$H$353:$P$353</c:f>
              <c:numCache>
                <c:formatCode>General</c:formatCode>
                <c:ptCount val="9"/>
                <c:pt idx="0">
                  <c:v>266</c:v>
                </c:pt>
                <c:pt idx="1">
                  <c:v>263</c:v>
                </c:pt>
                <c:pt idx="2">
                  <c:v>260</c:v>
                </c:pt>
                <c:pt idx="3">
                  <c:v>257</c:v>
                </c:pt>
                <c:pt idx="4">
                  <c:v>258</c:v>
                </c:pt>
                <c:pt idx="5">
                  <c:v>257</c:v>
                </c:pt>
                <c:pt idx="6">
                  <c:v>262</c:v>
                </c:pt>
                <c:pt idx="7">
                  <c:v>262</c:v>
                </c:pt>
                <c:pt idx="8">
                  <c:v>265</c:v>
                </c:pt>
              </c:numCache>
            </c:numRef>
          </c:val>
          <c:smooth val="0"/>
          <c:extLst>
            <c:ext xmlns:c16="http://schemas.microsoft.com/office/drawing/2014/chart" uri="{C3380CC4-5D6E-409C-BE32-E72D297353CC}">
              <c16:uniqueId val="{00000001-F7F8-4B5A-B3E0-61B53F0BFD04}"/>
            </c:ext>
          </c:extLst>
        </c:ser>
        <c:ser>
          <c:idx val="2"/>
          <c:order val="2"/>
          <c:tx>
            <c:strRef>
              <c:f>PGLOBAL!$G$354</c:f>
              <c:strCache>
                <c:ptCount val="1"/>
                <c:pt idx="0">
                  <c:v>OFICIALES URBANOS DE SOACHA</c:v>
                </c:pt>
              </c:strCache>
            </c:strRef>
          </c:tx>
          <c:spPr>
            <a:ln w="19050" cap="rnd" cmpd="sng" algn="ctr">
              <a:solidFill>
                <a:srgbClr val="FFC000"/>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PGLOBAL!$H$354:$P$354</c:f>
              <c:numCache>
                <c:formatCode>General</c:formatCode>
                <c:ptCount val="9"/>
                <c:pt idx="0">
                  <c:v>260</c:v>
                </c:pt>
                <c:pt idx="1">
                  <c:v>257</c:v>
                </c:pt>
                <c:pt idx="2">
                  <c:v>252</c:v>
                </c:pt>
                <c:pt idx="3">
                  <c:v>249</c:v>
                </c:pt>
                <c:pt idx="4">
                  <c:v>251</c:v>
                </c:pt>
                <c:pt idx="5">
                  <c:v>248</c:v>
                </c:pt>
                <c:pt idx="6">
                  <c:v>252</c:v>
                </c:pt>
                <c:pt idx="7">
                  <c:v>253</c:v>
                </c:pt>
                <c:pt idx="8">
                  <c:v>257</c:v>
                </c:pt>
              </c:numCache>
            </c:numRef>
          </c:val>
          <c:smooth val="0"/>
          <c:extLst>
            <c:ext xmlns:c16="http://schemas.microsoft.com/office/drawing/2014/chart" uri="{C3380CC4-5D6E-409C-BE32-E72D297353CC}">
              <c16:uniqueId val="{00000002-F7F8-4B5A-B3E0-61B53F0BFD04}"/>
            </c:ext>
          </c:extLst>
        </c:ser>
        <c:ser>
          <c:idx val="3"/>
          <c:order val="3"/>
          <c:tx>
            <c:strRef>
              <c:f>PGLOBAL!$G$355</c:f>
              <c:strCache>
                <c:ptCount val="1"/>
                <c:pt idx="0">
                  <c:v>OFICIALES RURALES DE SOACHA</c:v>
                </c:pt>
              </c:strCache>
            </c:strRef>
          </c:tx>
          <c:spPr>
            <a:ln w="19050" cap="rnd" cmpd="sng" algn="ctr">
              <a:solidFill>
                <a:srgbClr val="92D050"/>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2D05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PGLOBAL!$H$355:$P$355</c:f>
              <c:numCache>
                <c:formatCode>General</c:formatCode>
                <c:ptCount val="9"/>
                <c:pt idx="0">
                  <c:v>260</c:v>
                </c:pt>
                <c:pt idx="1">
                  <c:v>249</c:v>
                </c:pt>
                <c:pt idx="2">
                  <c:v>248</c:v>
                </c:pt>
                <c:pt idx="3">
                  <c:v>249</c:v>
                </c:pt>
                <c:pt idx="4">
                  <c:v>248</c:v>
                </c:pt>
                <c:pt idx="5">
                  <c:v>244</c:v>
                </c:pt>
                <c:pt idx="6">
                  <c:v>249</c:v>
                </c:pt>
                <c:pt idx="7">
                  <c:v>240</c:v>
                </c:pt>
                <c:pt idx="8">
                  <c:v>244</c:v>
                </c:pt>
              </c:numCache>
            </c:numRef>
          </c:val>
          <c:smooth val="0"/>
          <c:extLst>
            <c:ext xmlns:c16="http://schemas.microsoft.com/office/drawing/2014/chart" uri="{C3380CC4-5D6E-409C-BE32-E72D297353CC}">
              <c16:uniqueId val="{00000003-F7F8-4B5A-B3E0-61B53F0BFD04}"/>
            </c:ext>
          </c:extLst>
        </c:ser>
        <c:ser>
          <c:idx val="4"/>
          <c:order val="4"/>
          <c:tx>
            <c:strRef>
              <c:f>PGLOBAL!$G$356</c:f>
              <c:strCache>
                <c:ptCount val="1"/>
                <c:pt idx="0">
                  <c:v>PRIVADOS DE SOACHA</c:v>
                </c:pt>
              </c:strCache>
            </c:strRef>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dLbl>
              <c:idx val="3"/>
              <c:layout>
                <c:manualLayout>
                  <c:x val="-3.6253145186209798E-2"/>
                  <c:y val="1.0291525698425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F8-4B5A-B3E0-61B53F0BFD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PGLOBAL!$H$356:$P$356</c:f>
              <c:numCache>
                <c:formatCode>General</c:formatCode>
                <c:ptCount val="9"/>
                <c:pt idx="0">
                  <c:v>272</c:v>
                </c:pt>
                <c:pt idx="1">
                  <c:v>270</c:v>
                </c:pt>
                <c:pt idx="2">
                  <c:v>269</c:v>
                </c:pt>
                <c:pt idx="3">
                  <c:v>266</c:v>
                </c:pt>
                <c:pt idx="4">
                  <c:v>265</c:v>
                </c:pt>
                <c:pt idx="5">
                  <c:v>266</c:v>
                </c:pt>
                <c:pt idx="6">
                  <c:v>272</c:v>
                </c:pt>
                <c:pt idx="7">
                  <c:v>273</c:v>
                </c:pt>
                <c:pt idx="8">
                  <c:v>276</c:v>
                </c:pt>
              </c:numCache>
            </c:numRef>
          </c:val>
          <c:smooth val="0"/>
          <c:extLst>
            <c:ext xmlns:c16="http://schemas.microsoft.com/office/drawing/2014/chart" uri="{C3380CC4-5D6E-409C-BE32-E72D297353CC}">
              <c16:uniqueId val="{00000004-F7F8-4B5A-B3E0-61B53F0BFD04}"/>
            </c:ext>
          </c:extLst>
        </c:ser>
        <c:ser>
          <c:idx val="5"/>
          <c:order val="5"/>
          <c:tx>
            <c:strRef>
              <c:f>PGLOBAL!$G$357</c:f>
              <c:strCache>
                <c:ptCount val="1"/>
                <c:pt idx="0">
                  <c:v>GC 2 DE SOACHA</c:v>
                </c:pt>
              </c:strCache>
            </c:strRef>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O"/>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PGLOBAL!$H$357:$P$357</c:f>
              <c:numCache>
                <c:formatCode>General</c:formatCode>
                <c:ptCount val="9"/>
                <c:pt idx="0">
                  <c:v>256</c:v>
                </c:pt>
                <c:pt idx="1">
                  <c:v>256</c:v>
                </c:pt>
                <c:pt idx="2">
                  <c:v>251</c:v>
                </c:pt>
                <c:pt idx="3">
                  <c:v>248</c:v>
                </c:pt>
                <c:pt idx="4">
                  <c:v>247</c:v>
                </c:pt>
                <c:pt idx="5">
                  <c:v>244</c:v>
                </c:pt>
                <c:pt idx="7">
                  <c:v>250</c:v>
                </c:pt>
                <c:pt idx="8">
                  <c:v>248</c:v>
                </c:pt>
              </c:numCache>
            </c:numRef>
          </c:val>
          <c:smooth val="0"/>
          <c:extLst xmlns:c15="http://schemas.microsoft.com/office/drawing/2012/chart">
            <c:ext xmlns:c16="http://schemas.microsoft.com/office/drawing/2014/chart" uri="{C3380CC4-5D6E-409C-BE32-E72D297353CC}">
              <c16:uniqueId val="{00000001-5915-420E-8214-AB8AFC634811}"/>
            </c:ext>
          </c:extLst>
        </c:ser>
        <c:ser>
          <c:idx val="6"/>
          <c:order val="6"/>
          <c:tx>
            <c:strRef>
              <c:f>PGLOBAL!$G$358</c:f>
              <c:strCache>
                <c:ptCount val="1"/>
                <c:pt idx="0">
                  <c:v>GC 3 DE SOACHA</c:v>
                </c:pt>
              </c:strCache>
            </c:strRef>
          </c:tx>
          <c:spPr>
            <a:ln w="19050" cap="rnd" cmpd="sng" algn="ctr">
              <a:solidFill>
                <a:schemeClr val="accent1">
                  <a:lumMod val="60000"/>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60000"/>
                      </a:schemeClr>
                    </a:solidFill>
                    <a:latin typeface="+mn-lt"/>
                    <a:ea typeface="+mn-ea"/>
                    <a:cs typeface="+mn-cs"/>
                  </a:defRPr>
                </a:pPr>
                <a:endParaRPr lang="es-CO"/>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PGLOBAL!$H$358:$P$358</c:f>
              <c:numCache>
                <c:formatCode>General</c:formatCode>
                <c:ptCount val="9"/>
                <c:pt idx="0">
                  <c:v>270</c:v>
                </c:pt>
                <c:pt idx="1">
                  <c:v>269</c:v>
                </c:pt>
                <c:pt idx="2">
                  <c:v>265</c:v>
                </c:pt>
                <c:pt idx="3">
                  <c:v>262</c:v>
                </c:pt>
                <c:pt idx="4">
                  <c:v>262</c:v>
                </c:pt>
                <c:pt idx="5">
                  <c:v>261</c:v>
                </c:pt>
                <c:pt idx="7">
                  <c:v>269</c:v>
                </c:pt>
                <c:pt idx="8">
                  <c:v>267</c:v>
                </c:pt>
              </c:numCache>
            </c:numRef>
          </c:val>
          <c:smooth val="0"/>
          <c:extLst xmlns:c15="http://schemas.microsoft.com/office/drawing/2012/chart">
            <c:ext xmlns:c16="http://schemas.microsoft.com/office/drawing/2014/chart" uri="{C3380CC4-5D6E-409C-BE32-E72D297353CC}">
              <c16:uniqueId val="{00000000-FF6B-4603-9752-38C93226C5B3}"/>
            </c:ext>
          </c:extLst>
        </c:ser>
        <c:ser>
          <c:idx val="7"/>
          <c:order val="7"/>
          <c:tx>
            <c:strRef>
              <c:f>PGLOBAL!$G$359</c:f>
              <c:strCache>
                <c:ptCount val="1"/>
                <c:pt idx="0">
                  <c:v>GC 4 DE SOACHA</c:v>
                </c:pt>
              </c:strCache>
            </c:strRef>
          </c:tx>
          <c:spPr>
            <a:ln w="19050" cap="rnd" cmpd="sng" algn="ctr">
              <a:solidFill>
                <a:schemeClr val="accent2">
                  <a:lumMod val="60000"/>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60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PGLOBAL!$H$350:$P$351</c:f>
              <c:strCache>
                <c:ptCount val="9"/>
                <c:pt idx="0">
                  <c:v>2016</c:v>
                </c:pt>
                <c:pt idx="1">
                  <c:v>2017</c:v>
                </c:pt>
                <c:pt idx="2">
                  <c:v>2018</c:v>
                </c:pt>
                <c:pt idx="3">
                  <c:v>2019</c:v>
                </c:pt>
                <c:pt idx="4">
                  <c:v>2020</c:v>
                </c:pt>
                <c:pt idx="5">
                  <c:v>2021</c:v>
                </c:pt>
                <c:pt idx="6">
                  <c:v>2022</c:v>
                </c:pt>
                <c:pt idx="7">
                  <c:v>2023</c:v>
                </c:pt>
                <c:pt idx="8">
                  <c:v>2024</c:v>
                </c:pt>
              </c:strCache>
            </c:strRef>
          </c:cat>
          <c:val>
            <c:numRef>
              <c:f>PGLOBAL!$H$359:$P$359</c:f>
              <c:numCache>
                <c:formatCode>General</c:formatCode>
                <c:ptCount val="9"/>
                <c:pt idx="0">
                  <c:v>281</c:v>
                </c:pt>
                <c:pt idx="8">
                  <c:v>309</c:v>
                </c:pt>
              </c:numCache>
            </c:numRef>
          </c:val>
          <c:smooth val="0"/>
          <c:extLst>
            <c:ext xmlns:c16="http://schemas.microsoft.com/office/drawing/2014/chart" uri="{C3380CC4-5D6E-409C-BE32-E72D297353CC}">
              <c16:uniqueId val="{00000009-A361-419E-B476-A57D33B80DF9}"/>
            </c:ext>
          </c:extLst>
        </c:ser>
        <c:dLbls>
          <c:dLblPos val="ctr"/>
          <c:showLegendKey val="0"/>
          <c:showVal val="1"/>
          <c:showCatName val="0"/>
          <c:showSerName val="0"/>
          <c:showPercent val="0"/>
          <c:showBubbleSize val="0"/>
        </c:dLbls>
        <c:marker val="1"/>
        <c:smooth val="0"/>
        <c:axId val="1095091279"/>
        <c:axId val="1419091247"/>
        <c:extLst/>
      </c:lineChart>
      <c:catAx>
        <c:axId val="1095091279"/>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CO"/>
          </a:p>
        </c:txPr>
        <c:crossAx val="1419091247"/>
        <c:crosses val="autoZero"/>
        <c:auto val="1"/>
        <c:lblAlgn val="ctr"/>
        <c:lblOffset val="100"/>
        <c:noMultiLvlLbl val="0"/>
      </c:catAx>
      <c:valAx>
        <c:axId val="1419091247"/>
        <c:scaling>
          <c:orientation val="minMax"/>
          <c:max val="280"/>
          <c:min val="235"/>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095091279"/>
        <c:crosses val="autoZero"/>
        <c:crossBetween val="between"/>
        <c:majorUnit val="3"/>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Promedio por Prueba y Sector Instituciones Oficiales </a:t>
            </a:r>
          </a:p>
          <a:p>
            <a:pPr>
              <a:defRPr/>
            </a:pPr>
            <a:r>
              <a:rPr lang="es-CO"/>
              <a:t>2016-2024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radarChart>
        <c:radarStyle val="marker"/>
        <c:varyColors val="0"/>
        <c:ser>
          <c:idx val="0"/>
          <c:order val="0"/>
          <c:tx>
            <c:strRef>
              <c:f>PGLOBAL!$E$396</c:f>
              <c:strCache>
                <c:ptCount val="1"/>
                <c:pt idx="0">
                  <c:v>2016</c:v>
                </c:pt>
              </c:strCache>
            </c:strRef>
          </c:tx>
          <c:spPr>
            <a:ln w="28575" cap="rnd">
              <a:solidFill>
                <a:schemeClr val="accent1"/>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PGLOBAL!$E$397:$E$401</c:f>
              <c:numCache>
                <c:formatCode>General</c:formatCode>
                <c:ptCount val="5"/>
                <c:pt idx="0">
                  <c:v>53</c:v>
                </c:pt>
                <c:pt idx="1">
                  <c:v>51</c:v>
                </c:pt>
                <c:pt idx="2">
                  <c:v>51</c:v>
                </c:pt>
                <c:pt idx="3">
                  <c:v>53</c:v>
                </c:pt>
                <c:pt idx="4">
                  <c:v>52</c:v>
                </c:pt>
              </c:numCache>
            </c:numRef>
          </c:val>
          <c:extLst>
            <c:ext xmlns:c16="http://schemas.microsoft.com/office/drawing/2014/chart" uri="{C3380CC4-5D6E-409C-BE32-E72D297353CC}">
              <c16:uniqueId val="{00000000-8781-49DC-AFDA-ADB706527C94}"/>
            </c:ext>
          </c:extLst>
        </c:ser>
        <c:ser>
          <c:idx val="1"/>
          <c:order val="1"/>
          <c:tx>
            <c:strRef>
              <c:f>PGLOBAL!$F$396</c:f>
              <c:strCache>
                <c:ptCount val="1"/>
                <c:pt idx="0">
                  <c:v>2017</c:v>
                </c:pt>
              </c:strCache>
            </c:strRef>
          </c:tx>
          <c:spPr>
            <a:ln w="28575" cap="rnd">
              <a:solidFill>
                <a:schemeClr val="accent2"/>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PGLOBAL!$F$397:$F$401</c:f>
              <c:numCache>
                <c:formatCode>General</c:formatCode>
                <c:ptCount val="5"/>
                <c:pt idx="0">
                  <c:v>54</c:v>
                </c:pt>
                <c:pt idx="1">
                  <c:v>51</c:v>
                </c:pt>
                <c:pt idx="2">
                  <c:v>50</c:v>
                </c:pt>
                <c:pt idx="3">
                  <c:v>52</c:v>
                </c:pt>
                <c:pt idx="4">
                  <c:v>49</c:v>
                </c:pt>
              </c:numCache>
            </c:numRef>
          </c:val>
          <c:extLst>
            <c:ext xmlns:c16="http://schemas.microsoft.com/office/drawing/2014/chart" uri="{C3380CC4-5D6E-409C-BE32-E72D297353CC}">
              <c16:uniqueId val="{00000001-8781-49DC-AFDA-ADB706527C94}"/>
            </c:ext>
          </c:extLst>
        </c:ser>
        <c:ser>
          <c:idx val="2"/>
          <c:order val="2"/>
          <c:tx>
            <c:strRef>
              <c:f>PGLOBAL!$G$396</c:f>
              <c:strCache>
                <c:ptCount val="1"/>
                <c:pt idx="0">
                  <c:v>2018</c:v>
                </c:pt>
              </c:strCache>
            </c:strRef>
          </c:tx>
          <c:spPr>
            <a:ln w="28575" cap="rnd">
              <a:solidFill>
                <a:schemeClr val="accent3"/>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PGLOBAL!$G$397:$G$401</c:f>
              <c:numCache>
                <c:formatCode>General</c:formatCode>
                <c:ptCount val="5"/>
                <c:pt idx="0">
                  <c:v>53</c:v>
                </c:pt>
                <c:pt idx="1">
                  <c:v>51</c:v>
                </c:pt>
                <c:pt idx="2">
                  <c:v>48</c:v>
                </c:pt>
                <c:pt idx="3">
                  <c:v>50</c:v>
                </c:pt>
                <c:pt idx="4">
                  <c:v>50</c:v>
                </c:pt>
              </c:numCache>
            </c:numRef>
          </c:val>
          <c:extLst>
            <c:ext xmlns:c16="http://schemas.microsoft.com/office/drawing/2014/chart" uri="{C3380CC4-5D6E-409C-BE32-E72D297353CC}">
              <c16:uniqueId val="{00000002-8781-49DC-AFDA-ADB706527C94}"/>
            </c:ext>
          </c:extLst>
        </c:ser>
        <c:ser>
          <c:idx val="3"/>
          <c:order val="3"/>
          <c:tx>
            <c:strRef>
              <c:f>PGLOBAL!$H$396</c:f>
              <c:strCache>
                <c:ptCount val="1"/>
                <c:pt idx="0">
                  <c:v>2019</c:v>
                </c:pt>
              </c:strCache>
            </c:strRef>
          </c:tx>
          <c:spPr>
            <a:ln w="28575" cap="rnd">
              <a:solidFill>
                <a:schemeClr val="accent4"/>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PGLOBAL!$H$397:$H$401</c:f>
              <c:numCache>
                <c:formatCode>General</c:formatCode>
                <c:ptCount val="5"/>
                <c:pt idx="0">
                  <c:v>53</c:v>
                </c:pt>
                <c:pt idx="1">
                  <c:v>51</c:v>
                </c:pt>
                <c:pt idx="2">
                  <c:v>47</c:v>
                </c:pt>
                <c:pt idx="3">
                  <c:v>49</c:v>
                </c:pt>
                <c:pt idx="4">
                  <c:v>49</c:v>
                </c:pt>
              </c:numCache>
            </c:numRef>
          </c:val>
          <c:extLst>
            <c:ext xmlns:c16="http://schemas.microsoft.com/office/drawing/2014/chart" uri="{C3380CC4-5D6E-409C-BE32-E72D297353CC}">
              <c16:uniqueId val="{00000003-8781-49DC-AFDA-ADB706527C94}"/>
            </c:ext>
          </c:extLst>
        </c:ser>
        <c:ser>
          <c:idx val="4"/>
          <c:order val="4"/>
          <c:tx>
            <c:strRef>
              <c:f>PGLOBAL!$I$396</c:f>
              <c:strCache>
                <c:ptCount val="1"/>
                <c:pt idx="0">
                  <c:v>2020</c:v>
                </c:pt>
              </c:strCache>
            </c:strRef>
          </c:tx>
          <c:spPr>
            <a:ln w="28575" cap="rnd">
              <a:solidFill>
                <a:schemeClr val="accent5"/>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PGLOBAL!$I$397:$I$401</c:f>
              <c:numCache>
                <c:formatCode>General</c:formatCode>
                <c:ptCount val="5"/>
                <c:pt idx="0">
                  <c:v>53</c:v>
                </c:pt>
                <c:pt idx="1">
                  <c:v>52</c:v>
                </c:pt>
                <c:pt idx="2">
                  <c:v>49</c:v>
                </c:pt>
                <c:pt idx="3">
                  <c:v>49</c:v>
                </c:pt>
                <c:pt idx="4">
                  <c:v>46</c:v>
                </c:pt>
              </c:numCache>
            </c:numRef>
          </c:val>
          <c:extLst>
            <c:ext xmlns:c16="http://schemas.microsoft.com/office/drawing/2014/chart" uri="{C3380CC4-5D6E-409C-BE32-E72D297353CC}">
              <c16:uniqueId val="{00000004-8781-49DC-AFDA-ADB706527C94}"/>
            </c:ext>
          </c:extLst>
        </c:ser>
        <c:ser>
          <c:idx val="5"/>
          <c:order val="5"/>
          <c:tx>
            <c:strRef>
              <c:f>PGLOBAL!$J$396</c:f>
              <c:strCache>
                <c:ptCount val="1"/>
                <c:pt idx="0">
                  <c:v>2021</c:v>
                </c:pt>
              </c:strCache>
            </c:strRef>
          </c:tx>
          <c:spPr>
            <a:ln w="28575" cap="rnd">
              <a:solidFill>
                <a:schemeClr val="accent6"/>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PGLOBAL!$J$397:$J$401</c:f>
              <c:numCache>
                <c:formatCode>General</c:formatCode>
                <c:ptCount val="5"/>
                <c:pt idx="0">
                  <c:v>53</c:v>
                </c:pt>
                <c:pt idx="1">
                  <c:v>50</c:v>
                </c:pt>
                <c:pt idx="2">
                  <c:v>47</c:v>
                </c:pt>
                <c:pt idx="3">
                  <c:v>48</c:v>
                </c:pt>
                <c:pt idx="4">
                  <c:v>49</c:v>
                </c:pt>
              </c:numCache>
            </c:numRef>
          </c:val>
          <c:extLst>
            <c:ext xmlns:c16="http://schemas.microsoft.com/office/drawing/2014/chart" uri="{C3380CC4-5D6E-409C-BE32-E72D297353CC}">
              <c16:uniqueId val="{00000002-E9DF-43EB-A9B1-2DC09DC70C50}"/>
            </c:ext>
          </c:extLst>
        </c:ser>
        <c:ser>
          <c:idx val="6"/>
          <c:order val="6"/>
          <c:tx>
            <c:strRef>
              <c:f>PGLOBAL!$K$396</c:f>
              <c:strCache>
                <c:ptCount val="1"/>
                <c:pt idx="0">
                  <c:v>2022</c:v>
                </c:pt>
              </c:strCache>
            </c:strRef>
          </c:tx>
          <c:spPr>
            <a:ln w="28575" cap="rnd">
              <a:solidFill>
                <a:schemeClr val="accent1">
                  <a:lumMod val="60000"/>
                </a:schemeClr>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PGLOBAL!$K$397:$K$401</c:f>
              <c:numCache>
                <c:formatCode>General</c:formatCode>
                <c:ptCount val="5"/>
                <c:pt idx="0">
                  <c:v>53</c:v>
                </c:pt>
                <c:pt idx="1">
                  <c:v>51</c:v>
                </c:pt>
                <c:pt idx="2">
                  <c:v>48</c:v>
                </c:pt>
                <c:pt idx="3">
                  <c:v>49</c:v>
                </c:pt>
                <c:pt idx="4">
                  <c:v>51</c:v>
                </c:pt>
              </c:numCache>
            </c:numRef>
          </c:val>
          <c:extLst>
            <c:ext xmlns:c16="http://schemas.microsoft.com/office/drawing/2014/chart" uri="{C3380CC4-5D6E-409C-BE32-E72D297353CC}">
              <c16:uniqueId val="{00000003-E9DF-43EB-A9B1-2DC09DC70C50}"/>
            </c:ext>
          </c:extLst>
        </c:ser>
        <c:ser>
          <c:idx val="7"/>
          <c:order val="7"/>
          <c:tx>
            <c:strRef>
              <c:f>PGLOBAL!$L$396</c:f>
              <c:strCache>
                <c:ptCount val="1"/>
                <c:pt idx="0">
                  <c:v>2023</c:v>
                </c:pt>
              </c:strCache>
            </c:strRef>
          </c:tx>
          <c:spPr>
            <a:ln w="28575" cap="rnd">
              <a:solidFill>
                <a:schemeClr val="accent2">
                  <a:lumMod val="60000"/>
                </a:schemeClr>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PGLOBAL!$L$397:$L$401</c:f>
              <c:numCache>
                <c:formatCode>General</c:formatCode>
                <c:ptCount val="5"/>
                <c:pt idx="0">
                  <c:v>54</c:v>
                </c:pt>
                <c:pt idx="1">
                  <c:v>52</c:v>
                </c:pt>
                <c:pt idx="2">
                  <c:v>49</c:v>
                </c:pt>
                <c:pt idx="3">
                  <c:v>50</c:v>
                </c:pt>
                <c:pt idx="4">
                  <c:v>52</c:v>
                </c:pt>
              </c:numCache>
            </c:numRef>
          </c:val>
          <c:extLst>
            <c:ext xmlns:c16="http://schemas.microsoft.com/office/drawing/2014/chart" uri="{C3380CC4-5D6E-409C-BE32-E72D297353CC}">
              <c16:uniqueId val="{00000004-E9DF-43EB-A9B1-2DC09DC70C50}"/>
            </c:ext>
          </c:extLst>
        </c:ser>
        <c:ser>
          <c:idx val="8"/>
          <c:order val="8"/>
          <c:tx>
            <c:strRef>
              <c:f>PGLOBAL!$M$396</c:f>
              <c:strCache>
                <c:ptCount val="1"/>
                <c:pt idx="0">
                  <c:v>2024</c:v>
                </c:pt>
              </c:strCache>
            </c:strRef>
          </c:tx>
          <c:spPr>
            <a:ln w="28575" cap="rnd">
              <a:solidFill>
                <a:schemeClr val="accent3">
                  <a:lumMod val="60000"/>
                </a:schemeClr>
              </a:solidFill>
              <a:round/>
            </a:ln>
            <a:effectLst/>
          </c:spPr>
          <c:marker>
            <c:symbol val="none"/>
          </c:marker>
          <c:cat>
            <c:strRef>
              <c:f>PGLOBAL!$D$397:$D$401</c:f>
              <c:strCache>
                <c:ptCount val="5"/>
                <c:pt idx="0">
                  <c:v>LECTURA CRÍTICA</c:v>
                </c:pt>
                <c:pt idx="1">
                  <c:v>MATEMÁTICAS</c:v>
                </c:pt>
                <c:pt idx="2">
                  <c:v>SOCIALES Y CIUDADANAS</c:v>
                </c:pt>
                <c:pt idx="3">
                  <c:v>CIENCIAS NATURALES</c:v>
                </c:pt>
                <c:pt idx="4">
                  <c:v>INGLES</c:v>
                </c:pt>
              </c:strCache>
            </c:strRef>
          </c:cat>
          <c:val>
            <c:numRef>
              <c:f>PGLOBAL!$M$397:$M$401</c:f>
              <c:numCache>
                <c:formatCode>General</c:formatCode>
                <c:ptCount val="5"/>
                <c:pt idx="0">
                  <c:v>54</c:v>
                </c:pt>
                <c:pt idx="1">
                  <c:v>52</c:v>
                </c:pt>
                <c:pt idx="2">
                  <c:v>49</c:v>
                </c:pt>
                <c:pt idx="3">
                  <c:v>50</c:v>
                </c:pt>
                <c:pt idx="4">
                  <c:v>52</c:v>
                </c:pt>
              </c:numCache>
            </c:numRef>
          </c:val>
          <c:extLst>
            <c:ext xmlns:c16="http://schemas.microsoft.com/office/drawing/2014/chart" uri="{C3380CC4-5D6E-409C-BE32-E72D297353CC}">
              <c16:uniqueId val="{00000005-E9DF-43EB-A9B1-2DC09DC70C50}"/>
            </c:ext>
          </c:extLst>
        </c:ser>
        <c:dLbls>
          <c:showLegendKey val="0"/>
          <c:showVal val="0"/>
          <c:showCatName val="0"/>
          <c:showSerName val="0"/>
          <c:showPercent val="0"/>
          <c:showBubbleSize val="0"/>
        </c:dLbls>
        <c:axId val="256971231"/>
        <c:axId val="186988671"/>
      </c:radarChart>
      <c:catAx>
        <c:axId val="256971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988671"/>
        <c:crosses val="autoZero"/>
        <c:auto val="1"/>
        <c:lblAlgn val="ctr"/>
        <c:lblOffset val="100"/>
        <c:noMultiLvlLbl val="0"/>
      </c:catAx>
      <c:valAx>
        <c:axId val="186988671"/>
        <c:scaling>
          <c:orientation val="minMax"/>
          <c:max val="55"/>
          <c:min val="4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9712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b="0" i="0" baseline="0">
                <a:effectLst/>
              </a:rPr>
              <a:t>Promedio por Prueba y Sector Instituciones No Oficiales </a:t>
            </a:r>
          </a:p>
          <a:p>
            <a:pPr>
              <a:defRPr sz="1100"/>
            </a:pPr>
            <a:r>
              <a:rPr lang="es-CO" sz="1100" b="0" i="0" baseline="0">
                <a:effectLst/>
              </a:rPr>
              <a:t>2016-2024</a:t>
            </a:r>
            <a:endParaRPr lang="es-CO" sz="1100">
              <a:effectLs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radarChart>
        <c:radarStyle val="marker"/>
        <c:varyColors val="0"/>
        <c:ser>
          <c:idx val="0"/>
          <c:order val="0"/>
          <c:tx>
            <c:strRef>
              <c:f>PGLOBAL!$P$396</c:f>
              <c:strCache>
                <c:ptCount val="1"/>
                <c:pt idx="0">
                  <c:v>2016</c:v>
                </c:pt>
              </c:strCache>
            </c:strRef>
          </c:tx>
          <c:spPr>
            <a:ln w="28575" cap="rnd">
              <a:solidFill>
                <a:schemeClr val="accent1"/>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PGLOBAL!$P$397:$P$401</c:f>
              <c:numCache>
                <c:formatCode>General</c:formatCode>
                <c:ptCount val="5"/>
                <c:pt idx="0">
                  <c:v>55</c:v>
                </c:pt>
                <c:pt idx="1">
                  <c:v>54</c:v>
                </c:pt>
                <c:pt idx="2">
                  <c:v>53</c:v>
                </c:pt>
                <c:pt idx="3">
                  <c:v>55</c:v>
                </c:pt>
                <c:pt idx="4">
                  <c:v>56</c:v>
                </c:pt>
              </c:numCache>
            </c:numRef>
          </c:val>
          <c:extLst>
            <c:ext xmlns:c16="http://schemas.microsoft.com/office/drawing/2014/chart" uri="{C3380CC4-5D6E-409C-BE32-E72D297353CC}">
              <c16:uniqueId val="{00000000-3416-4D36-A2BF-75BF50D85281}"/>
            </c:ext>
          </c:extLst>
        </c:ser>
        <c:ser>
          <c:idx val="1"/>
          <c:order val="1"/>
          <c:tx>
            <c:strRef>
              <c:f>PGLOBAL!$Q$396</c:f>
              <c:strCache>
                <c:ptCount val="1"/>
                <c:pt idx="0">
                  <c:v>2017</c:v>
                </c:pt>
              </c:strCache>
            </c:strRef>
          </c:tx>
          <c:spPr>
            <a:ln w="28575" cap="rnd">
              <a:solidFill>
                <a:schemeClr val="accent2"/>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PGLOBAL!$Q$397:$Q$401</c:f>
              <c:numCache>
                <c:formatCode>General</c:formatCode>
                <c:ptCount val="5"/>
                <c:pt idx="0">
                  <c:v>56</c:v>
                </c:pt>
                <c:pt idx="1">
                  <c:v>53</c:v>
                </c:pt>
                <c:pt idx="2">
                  <c:v>53</c:v>
                </c:pt>
                <c:pt idx="3">
                  <c:v>54</c:v>
                </c:pt>
                <c:pt idx="4">
                  <c:v>53</c:v>
                </c:pt>
              </c:numCache>
            </c:numRef>
          </c:val>
          <c:extLst>
            <c:ext xmlns:c16="http://schemas.microsoft.com/office/drawing/2014/chart" uri="{C3380CC4-5D6E-409C-BE32-E72D297353CC}">
              <c16:uniqueId val="{00000001-3416-4D36-A2BF-75BF50D85281}"/>
            </c:ext>
          </c:extLst>
        </c:ser>
        <c:ser>
          <c:idx val="2"/>
          <c:order val="2"/>
          <c:tx>
            <c:strRef>
              <c:f>PGLOBAL!$R$396</c:f>
              <c:strCache>
                <c:ptCount val="1"/>
                <c:pt idx="0">
                  <c:v>2018</c:v>
                </c:pt>
              </c:strCache>
            </c:strRef>
          </c:tx>
          <c:spPr>
            <a:ln w="28575" cap="rnd">
              <a:solidFill>
                <a:schemeClr val="accent3"/>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PGLOBAL!$R$397:$R$401</c:f>
              <c:numCache>
                <c:formatCode>General</c:formatCode>
                <c:ptCount val="5"/>
                <c:pt idx="0">
                  <c:v>56</c:v>
                </c:pt>
                <c:pt idx="1">
                  <c:v>54</c:v>
                </c:pt>
                <c:pt idx="2">
                  <c:v>52</c:v>
                </c:pt>
                <c:pt idx="3">
                  <c:v>53</c:v>
                </c:pt>
                <c:pt idx="4">
                  <c:v>55</c:v>
                </c:pt>
              </c:numCache>
            </c:numRef>
          </c:val>
          <c:extLst>
            <c:ext xmlns:c16="http://schemas.microsoft.com/office/drawing/2014/chart" uri="{C3380CC4-5D6E-409C-BE32-E72D297353CC}">
              <c16:uniqueId val="{00000002-3416-4D36-A2BF-75BF50D85281}"/>
            </c:ext>
          </c:extLst>
        </c:ser>
        <c:ser>
          <c:idx val="3"/>
          <c:order val="3"/>
          <c:tx>
            <c:strRef>
              <c:f>PGLOBAL!$S$396</c:f>
              <c:strCache>
                <c:ptCount val="1"/>
                <c:pt idx="0">
                  <c:v>2019</c:v>
                </c:pt>
              </c:strCache>
            </c:strRef>
          </c:tx>
          <c:spPr>
            <a:ln w="28575" cap="rnd">
              <a:solidFill>
                <a:schemeClr val="accent4"/>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PGLOBAL!$S$397:$S$401</c:f>
              <c:numCache>
                <c:formatCode>General</c:formatCode>
                <c:ptCount val="5"/>
                <c:pt idx="0">
                  <c:v>56</c:v>
                </c:pt>
                <c:pt idx="1">
                  <c:v>55</c:v>
                </c:pt>
                <c:pt idx="2">
                  <c:v>50</c:v>
                </c:pt>
                <c:pt idx="3">
                  <c:v>52</c:v>
                </c:pt>
                <c:pt idx="4">
                  <c:v>54</c:v>
                </c:pt>
              </c:numCache>
            </c:numRef>
          </c:val>
          <c:extLst>
            <c:ext xmlns:c16="http://schemas.microsoft.com/office/drawing/2014/chart" uri="{C3380CC4-5D6E-409C-BE32-E72D297353CC}">
              <c16:uniqueId val="{00000003-3416-4D36-A2BF-75BF50D85281}"/>
            </c:ext>
          </c:extLst>
        </c:ser>
        <c:ser>
          <c:idx val="4"/>
          <c:order val="4"/>
          <c:tx>
            <c:strRef>
              <c:f>PGLOBAL!$T$396</c:f>
              <c:strCache>
                <c:ptCount val="1"/>
                <c:pt idx="0">
                  <c:v>2020</c:v>
                </c:pt>
              </c:strCache>
            </c:strRef>
          </c:tx>
          <c:spPr>
            <a:ln w="28575" cap="rnd">
              <a:solidFill>
                <a:schemeClr val="accent5"/>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PGLOBAL!$T$397:$T$401</c:f>
              <c:numCache>
                <c:formatCode>General</c:formatCode>
                <c:ptCount val="5"/>
                <c:pt idx="0">
                  <c:v>55</c:v>
                </c:pt>
                <c:pt idx="1">
                  <c:v>55</c:v>
                </c:pt>
                <c:pt idx="2">
                  <c:v>52</c:v>
                </c:pt>
                <c:pt idx="3">
                  <c:v>51</c:v>
                </c:pt>
                <c:pt idx="4">
                  <c:v>50</c:v>
                </c:pt>
              </c:numCache>
            </c:numRef>
          </c:val>
          <c:extLst>
            <c:ext xmlns:c16="http://schemas.microsoft.com/office/drawing/2014/chart" uri="{C3380CC4-5D6E-409C-BE32-E72D297353CC}">
              <c16:uniqueId val="{00000004-3416-4D36-A2BF-75BF50D85281}"/>
            </c:ext>
          </c:extLst>
        </c:ser>
        <c:ser>
          <c:idx val="5"/>
          <c:order val="5"/>
          <c:tx>
            <c:strRef>
              <c:f>PGLOBAL!$U$396</c:f>
              <c:strCache>
                <c:ptCount val="1"/>
                <c:pt idx="0">
                  <c:v>2021</c:v>
                </c:pt>
              </c:strCache>
            </c:strRef>
          </c:tx>
          <c:spPr>
            <a:ln w="28575" cap="rnd">
              <a:solidFill>
                <a:schemeClr val="accent6"/>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PGLOBAL!$U$397:$U$401</c:f>
              <c:numCache>
                <c:formatCode>General</c:formatCode>
                <c:ptCount val="5"/>
                <c:pt idx="0">
                  <c:v>56</c:v>
                </c:pt>
                <c:pt idx="1">
                  <c:v>54</c:v>
                </c:pt>
                <c:pt idx="2">
                  <c:v>51</c:v>
                </c:pt>
                <c:pt idx="3">
                  <c:v>51</c:v>
                </c:pt>
                <c:pt idx="4">
                  <c:v>55</c:v>
                </c:pt>
              </c:numCache>
            </c:numRef>
          </c:val>
          <c:extLst>
            <c:ext xmlns:c16="http://schemas.microsoft.com/office/drawing/2014/chart" uri="{C3380CC4-5D6E-409C-BE32-E72D297353CC}">
              <c16:uniqueId val="{00000005-3416-4D36-A2BF-75BF50D85281}"/>
            </c:ext>
          </c:extLst>
        </c:ser>
        <c:ser>
          <c:idx val="6"/>
          <c:order val="6"/>
          <c:tx>
            <c:strRef>
              <c:f>PGLOBAL!$V$396</c:f>
              <c:strCache>
                <c:ptCount val="1"/>
                <c:pt idx="0">
                  <c:v>2022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dLbl>
              <c:idx val="0"/>
              <c:layout>
                <c:manualLayout>
                  <c:x val="6.9494629943831557E-3"/>
                  <c:y val="3.14328037194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16-4D36-A2BF-75BF50D85281}"/>
                </c:ext>
              </c:extLst>
            </c:dLbl>
            <c:dLbl>
              <c:idx val="4"/>
              <c:layout>
                <c:manualLayout>
                  <c:x val="1.389892598876627E-2"/>
                  <c:y val="-5.76261411169212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16-4D36-A2BF-75BF50D852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PGLOBAL!$O$397:$O$401</c:f>
              <c:strCache>
                <c:ptCount val="5"/>
                <c:pt idx="0">
                  <c:v>LECTURA CRÍTICA</c:v>
                </c:pt>
                <c:pt idx="1">
                  <c:v>MATEMÁTICAS</c:v>
                </c:pt>
                <c:pt idx="2">
                  <c:v>SOCIALES Y CIUDADANAS</c:v>
                </c:pt>
                <c:pt idx="3">
                  <c:v>CIENCIAS NATURALES</c:v>
                </c:pt>
                <c:pt idx="4">
                  <c:v>INGLÉS</c:v>
                </c:pt>
              </c:strCache>
            </c:strRef>
          </c:cat>
          <c:val>
            <c:numRef>
              <c:f>PGLOBAL!$V$397:$V$401</c:f>
              <c:numCache>
                <c:formatCode>General</c:formatCode>
                <c:ptCount val="5"/>
                <c:pt idx="0">
                  <c:v>57</c:v>
                </c:pt>
                <c:pt idx="1">
                  <c:v>55</c:v>
                </c:pt>
                <c:pt idx="2">
                  <c:v>52</c:v>
                </c:pt>
                <c:pt idx="3">
                  <c:v>52</c:v>
                </c:pt>
                <c:pt idx="4">
                  <c:v>56</c:v>
                </c:pt>
              </c:numCache>
            </c:numRef>
          </c:val>
          <c:extLst>
            <c:ext xmlns:c16="http://schemas.microsoft.com/office/drawing/2014/chart" uri="{C3380CC4-5D6E-409C-BE32-E72D297353CC}">
              <c16:uniqueId val="{00000006-3416-4D36-A2BF-75BF50D85281}"/>
            </c:ext>
          </c:extLst>
        </c:ser>
        <c:ser>
          <c:idx val="7"/>
          <c:order val="7"/>
          <c:tx>
            <c:strRef>
              <c:f>PGLOBAL!$W$396</c:f>
              <c:strCache>
                <c:ptCount val="1"/>
                <c:pt idx="0">
                  <c:v>2023</c:v>
                </c:pt>
              </c:strCache>
            </c:strRef>
          </c:tx>
          <c:spPr>
            <a:ln w="28575" cap="rnd">
              <a:solidFill>
                <a:schemeClr val="accent2">
                  <a:lumMod val="60000"/>
                </a:schemeClr>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PGLOBAL!$W$397:$W$401</c:f>
              <c:numCache>
                <c:formatCode>0</c:formatCode>
                <c:ptCount val="5"/>
                <c:pt idx="0">
                  <c:v>57</c:v>
                </c:pt>
                <c:pt idx="1">
                  <c:v>55</c:v>
                </c:pt>
                <c:pt idx="2">
                  <c:v>53</c:v>
                </c:pt>
                <c:pt idx="3">
                  <c:v>53</c:v>
                </c:pt>
                <c:pt idx="4">
                  <c:v>56</c:v>
                </c:pt>
              </c:numCache>
            </c:numRef>
          </c:val>
          <c:extLst>
            <c:ext xmlns:c16="http://schemas.microsoft.com/office/drawing/2014/chart" uri="{C3380CC4-5D6E-409C-BE32-E72D297353CC}">
              <c16:uniqueId val="{00000000-9342-48E9-84AC-9D12AE2A2884}"/>
            </c:ext>
          </c:extLst>
        </c:ser>
        <c:ser>
          <c:idx val="8"/>
          <c:order val="8"/>
          <c:tx>
            <c:strRef>
              <c:f>PGLOBAL!$X$396</c:f>
              <c:strCache>
                <c:ptCount val="1"/>
                <c:pt idx="0">
                  <c:v>2024</c:v>
                </c:pt>
              </c:strCache>
            </c:strRef>
          </c:tx>
          <c:spPr>
            <a:ln w="28575" cap="rnd">
              <a:solidFill>
                <a:schemeClr val="accent3">
                  <a:lumMod val="60000"/>
                </a:schemeClr>
              </a:solidFill>
              <a:round/>
            </a:ln>
            <a:effectLst/>
          </c:spPr>
          <c:marker>
            <c:symbol val="none"/>
          </c:marker>
          <c:cat>
            <c:strRef>
              <c:f>PGLOBAL!$O$397:$O$401</c:f>
              <c:strCache>
                <c:ptCount val="5"/>
                <c:pt idx="0">
                  <c:v>LECTURA CRÍTICA</c:v>
                </c:pt>
                <c:pt idx="1">
                  <c:v>MATEMÁTICAS</c:v>
                </c:pt>
                <c:pt idx="2">
                  <c:v>SOCIALES Y CIUDADANAS</c:v>
                </c:pt>
                <c:pt idx="3">
                  <c:v>CIENCIAS NATURALES</c:v>
                </c:pt>
                <c:pt idx="4">
                  <c:v>INGLÉS</c:v>
                </c:pt>
              </c:strCache>
            </c:strRef>
          </c:cat>
          <c:val>
            <c:numRef>
              <c:f>PGLOBAL!$X$397:$X$401</c:f>
              <c:numCache>
                <c:formatCode>General</c:formatCode>
                <c:ptCount val="5"/>
                <c:pt idx="0">
                  <c:v>58</c:v>
                </c:pt>
                <c:pt idx="1">
                  <c:v>56</c:v>
                </c:pt>
                <c:pt idx="2">
                  <c:v>53</c:v>
                </c:pt>
                <c:pt idx="3">
                  <c:v>54</c:v>
                </c:pt>
                <c:pt idx="4">
                  <c:v>57</c:v>
                </c:pt>
              </c:numCache>
            </c:numRef>
          </c:val>
          <c:extLst>
            <c:ext xmlns:c16="http://schemas.microsoft.com/office/drawing/2014/chart" uri="{C3380CC4-5D6E-409C-BE32-E72D297353CC}">
              <c16:uniqueId val="{00000001-9342-48E9-84AC-9D12AE2A2884}"/>
            </c:ext>
          </c:extLst>
        </c:ser>
        <c:dLbls>
          <c:showLegendKey val="0"/>
          <c:showVal val="0"/>
          <c:showCatName val="0"/>
          <c:showSerName val="0"/>
          <c:showPercent val="0"/>
          <c:showBubbleSize val="0"/>
        </c:dLbls>
        <c:axId val="257008031"/>
        <c:axId val="122873423"/>
      </c:radarChart>
      <c:catAx>
        <c:axId val="25700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873423"/>
        <c:crosses val="autoZero"/>
        <c:auto val="1"/>
        <c:lblAlgn val="ctr"/>
        <c:lblOffset val="100"/>
        <c:noMultiLvlLbl val="0"/>
      </c:catAx>
      <c:valAx>
        <c:axId val="1228734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08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s-CO"/>
              <a:t>PROMEDIO POR PRUEBA OFICIALES 2016-2024</a:t>
            </a:r>
          </a:p>
        </c:rich>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s-CO"/>
        </a:p>
      </c:txPr>
    </c:title>
    <c:autoTitleDeleted val="0"/>
    <c:plotArea>
      <c:layout>
        <c:manualLayout>
          <c:layoutTarget val="inner"/>
          <c:xMode val="edge"/>
          <c:yMode val="edge"/>
          <c:x val="1.5240991426492293E-2"/>
          <c:y val="0.12787989227285518"/>
          <c:w val="0.95808727357714618"/>
          <c:h val="0.70900995538166767"/>
        </c:manualLayout>
      </c:layout>
      <c:lineChart>
        <c:grouping val="standard"/>
        <c:varyColors val="0"/>
        <c:ser>
          <c:idx val="0"/>
          <c:order val="0"/>
          <c:tx>
            <c:strRef>
              <c:f>PGLOBAL!$D$397</c:f>
              <c:strCache>
                <c:ptCount val="1"/>
                <c:pt idx="0">
                  <c:v>LECTURA CRÍTICA</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PGLOBAL!$E$396:$M$396</c:f>
              <c:strCache>
                <c:ptCount val="9"/>
                <c:pt idx="0">
                  <c:v>2016</c:v>
                </c:pt>
                <c:pt idx="1">
                  <c:v>2017</c:v>
                </c:pt>
                <c:pt idx="2">
                  <c:v>2018</c:v>
                </c:pt>
                <c:pt idx="3">
                  <c:v>2019</c:v>
                </c:pt>
                <c:pt idx="4">
                  <c:v>2020</c:v>
                </c:pt>
                <c:pt idx="5">
                  <c:v>2021</c:v>
                </c:pt>
                <c:pt idx="6">
                  <c:v>2022</c:v>
                </c:pt>
                <c:pt idx="7">
                  <c:v>2023</c:v>
                </c:pt>
                <c:pt idx="8">
                  <c:v>2024</c:v>
                </c:pt>
              </c:strCache>
            </c:strRef>
          </c:cat>
          <c:val>
            <c:numRef>
              <c:f>PGLOBAL!$E$397:$M$397</c:f>
              <c:numCache>
                <c:formatCode>General</c:formatCode>
                <c:ptCount val="9"/>
                <c:pt idx="0">
                  <c:v>53</c:v>
                </c:pt>
                <c:pt idx="1">
                  <c:v>54</c:v>
                </c:pt>
                <c:pt idx="2">
                  <c:v>53</c:v>
                </c:pt>
                <c:pt idx="3">
                  <c:v>53</c:v>
                </c:pt>
                <c:pt idx="4">
                  <c:v>53</c:v>
                </c:pt>
                <c:pt idx="5">
                  <c:v>53</c:v>
                </c:pt>
                <c:pt idx="6">
                  <c:v>53</c:v>
                </c:pt>
                <c:pt idx="7">
                  <c:v>54</c:v>
                </c:pt>
                <c:pt idx="8">
                  <c:v>54</c:v>
                </c:pt>
              </c:numCache>
            </c:numRef>
          </c:val>
          <c:smooth val="0"/>
          <c:extLst>
            <c:ext xmlns:c16="http://schemas.microsoft.com/office/drawing/2014/chart" uri="{C3380CC4-5D6E-409C-BE32-E72D297353CC}">
              <c16:uniqueId val="{00000000-69F9-4002-9BD2-9C39050CF672}"/>
            </c:ext>
          </c:extLst>
        </c:ser>
        <c:ser>
          <c:idx val="1"/>
          <c:order val="1"/>
          <c:tx>
            <c:strRef>
              <c:f>PGLOBAL!$D$398</c:f>
              <c:strCache>
                <c:ptCount val="1"/>
                <c:pt idx="0">
                  <c:v>MATEMÁTICAS</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PGLOBAL!$E$396:$M$396</c:f>
              <c:strCache>
                <c:ptCount val="9"/>
                <c:pt idx="0">
                  <c:v>2016</c:v>
                </c:pt>
                <c:pt idx="1">
                  <c:v>2017</c:v>
                </c:pt>
                <c:pt idx="2">
                  <c:v>2018</c:v>
                </c:pt>
                <c:pt idx="3">
                  <c:v>2019</c:v>
                </c:pt>
                <c:pt idx="4">
                  <c:v>2020</c:v>
                </c:pt>
                <c:pt idx="5">
                  <c:v>2021</c:v>
                </c:pt>
                <c:pt idx="6">
                  <c:v>2022</c:v>
                </c:pt>
                <c:pt idx="7">
                  <c:v>2023</c:v>
                </c:pt>
                <c:pt idx="8">
                  <c:v>2024</c:v>
                </c:pt>
              </c:strCache>
            </c:strRef>
          </c:cat>
          <c:val>
            <c:numRef>
              <c:f>PGLOBAL!$E$398:$M$398</c:f>
              <c:numCache>
                <c:formatCode>General</c:formatCode>
                <c:ptCount val="9"/>
                <c:pt idx="0">
                  <c:v>51</c:v>
                </c:pt>
                <c:pt idx="1">
                  <c:v>51</c:v>
                </c:pt>
                <c:pt idx="2">
                  <c:v>51</c:v>
                </c:pt>
                <c:pt idx="3">
                  <c:v>51</c:v>
                </c:pt>
                <c:pt idx="4">
                  <c:v>52</c:v>
                </c:pt>
                <c:pt idx="5">
                  <c:v>50</c:v>
                </c:pt>
                <c:pt idx="6">
                  <c:v>51</c:v>
                </c:pt>
                <c:pt idx="7">
                  <c:v>52</c:v>
                </c:pt>
                <c:pt idx="8">
                  <c:v>52</c:v>
                </c:pt>
              </c:numCache>
            </c:numRef>
          </c:val>
          <c:smooth val="0"/>
          <c:extLst>
            <c:ext xmlns:c16="http://schemas.microsoft.com/office/drawing/2014/chart" uri="{C3380CC4-5D6E-409C-BE32-E72D297353CC}">
              <c16:uniqueId val="{00000001-69F9-4002-9BD2-9C39050CF672}"/>
            </c:ext>
          </c:extLst>
        </c:ser>
        <c:ser>
          <c:idx val="2"/>
          <c:order val="2"/>
          <c:tx>
            <c:strRef>
              <c:f>PGLOBAL!$D$399</c:f>
              <c:strCache>
                <c:ptCount val="1"/>
                <c:pt idx="0">
                  <c:v>SOCIALES Y CIUDADANAS</c:v>
                </c:pt>
              </c:strCache>
            </c:strRef>
          </c:tx>
          <c:spPr>
            <a:ln w="19050" cap="rnd" cmpd="sng" algn="ctr">
              <a:solidFill>
                <a:srgbClr val="FFC000"/>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PGLOBAL!$E$396:$M$396</c:f>
              <c:strCache>
                <c:ptCount val="9"/>
                <c:pt idx="0">
                  <c:v>2016</c:v>
                </c:pt>
                <c:pt idx="1">
                  <c:v>2017</c:v>
                </c:pt>
                <c:pt idx="2">
                  <c:v>2018</c:v>
                </c:pt>
                <c:pt idx="3">
                  <c:v>2019</c:v>
                </c:pt>
                <c:pt idx="4">
                  <c:v>2020</c:v>
                </c:pt>
                <c:pt idx="5">
                  <c:v>2021</c:v>
                </c:pt>
                <c:pt idx="6">
                  <c:v>2022</c:v>
                </c:pt>
                <c:pt idx="7">
                  <c:v>2023</c:v>
                </c:pt>
                <c:pt idx="8">
                  <c:v>2024</c:v>
                </c:pt>
              </c:strCache>
            </c:strRef>
          </c:cat>
          <c:val>
            <c:numRef>
              <c:f>PGLOBAL!$E$399:$M$399</c:f>
              <c:numCache>
                <c:formatCode>General</c:formatCode>
                <c:ptCount val="9"/>
                <c:pt idx="0">
                  <c:v>51</c:v>
                </c:pt>
                <c:pt idx="1">
                  <c:v>50</c:v>
                </c:pt>
                <c:pt idx="2">
                  <c:v>48</c:v>
                </c:pt>
                <c:pt idx="3">
                  <c:v>47</c:v>
                </c:pt>
                <c:pt idx="4">
                  <c:v>49</c:v>
                </c:pt>
                <c:pt idx="5">
                  <c:v>47</c:v>
                </c:pt>
                <c:pt idx="6">
                  <c:v>48</c:v>
                </c:pt>
                <c:pt idx="7">
                  <c:v>49</c:v>
                </c:pt>
                <c:pt idx="8">
                  <c:v>49</c:v>
                </c:pt>
              </c:numCache>
            </c:numRef>
          </c:val>
          <c:smooth val="0"/>
          <c:extLst>
            <c:ext xmlns:c16="http://schemas.microsoft.com/office/drawing/2014/chart" uri="{C3380CC4-5D6E-409C-BE32-E72D297353CC}">
              <c16:uniqueId val="{00000002-69F9-4002-9BD2-9C39050CF672}"/>
            </c:ext>
          </c:extLst>
        </c:ser>
        <c:ser>
          <c:idx val="3"/>
          <c:order val="3"/>
          <c:tx>
            <c:strRef>
              <c:f>PGLOBAL!$D$400</c:f>
              <c:strCache>
                <c:ptCount val="1"/>
                <c:pt idx="0">
                  <c:v>CIENCIAS NATURALES</c:v>
                </c:pt>
              </c:strCache>
            </c:strRef>
          </c:tx>
          <c:spPr>
            <a:ln w="19050" cap="rnd" cmpd="sng" algn="ctr">
              <a:solidFill>
                <a:schemeClr val="accent3"/>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PGLOBAL!$E$396:$M$396</c:f>
              <c:strCache>
                <c:ptCount val="9"/>
                <c:pt idx="0">
                  <c:v>2016</c:v>
                </c:pt>
                <c:pt idx="1">
                  <c:v>2017</c:v>
                </c:pt>
                <c:pt idx="2">
                  <c:v>2018</c:v>
                </c:pt>
                <c:pt idx="3">
                  <c:v>2019</c:v>
                </c:pt>
                <c:pt idx="4">
                  <c:v>2020</c:v>
                </c:pt>
                <c:pt idx="5">
                  <c:v>2021</c:v>
                </c:pt>
                <c:pt idx="6">
                  <c:v>2022</c:v>
                </c:pt>
                <c:pt idx="7">
                  <c:v>2023</c:v>
                </c:pt>
                <c:pt idx="8">
                  <c:v>2024</c:v>
                </c:pt>
              </c:strCache>
            </c:strRef>
          </c:cat>
          <c:val>
            <c:numRef>
              <c:f>PGLOBAL!$E$400:$M$400</c:f>
              <c:numCache>
                <c:formatCode>General</c:formatCode>
                <c:ptCount val="9"/>
                <c:pt idx="0">
                  <c:v>53</c:v>
                </c:pt>
                <c:pt idx="1">
                  <c:v>52</c:v>
                </c:pt>
                <c:pt idx="2">
                  <c:v>50</c:v>
                </c:pt>
                <c:pt idx="3">
                  <c:v>49</c:v>
                </c:pt>
                <c:pt idx="4">
                  <c:v>49</c:v>
                </c:pt>
                <c:pt idx="5">
                  <c:v>48</c:v>
                </c:pt>
                <c:pt idx="6">
                  <c:v>49</c:v>
                </c:pt>
                <c:pt idx="7">
                  <c:v>50</c:v>
                </c:pt>
                <c:pt idx="8">
                  <c:v>50</c:v>
                </c:pt>
              </c:numCache>
            </c:numRef>
          </c:val>
          <c:smooth val="0"/>
          <c:extLst>
            <c:ext xmlns:c16="http://schemas.microsoft.com/office/drawing/2014/chart" uri="{C3380CC4-5D6E-409C-BE32-E72D297353CC}">
              <c16:uniqueId val="{00000003-69F9-4002-9BD2-9C39050CF672}"/>
            </c:ext>
          </c:extLst>
        </c:ser>
        <c:ser>
          <c:idx val="4"/>
          <c:order val="4"/>
          <c:tx>
            <c:strRef>
              <c:f>PGLOBAL!$D$401</c:f>
              <c:strCache>
                <c:ptCount val="1"/>
                <c:pt idx="0">
                  <c:v>INGLES</c:v>
                </c:pt>
              </c:strCache>
            </c:strRef>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PGLOBAL!$E$396:$M$396</c:f>
              <c:strCache>
                <c:ptCount val="9"/>
                <c:pt idx="0">
                  <c:v>2016</c:v>
                </c:pt>
                <c:pt idx="1">
                  <c:v>2017</c:v>
                </c:pt>
                <c:pt idx="2">
                  <c:v>2018</c:v>
                </c:pt>
                <c:pt idx="3">
                  <c:v>2019</c:v>
                </c:pt>
                <c:pt idx="4">
                  <c:v>2020</c:v>
                </c:pt>
                <c:pt idx="5">
                  <c:v>2021</c:v>
                </c:pt>
                <c:pt idx="6">
                  <c:v>2022</c:v>
                </c:pt>
                <c:pt idx="7">
                  <c:v>2023</c:v>
                </c:pt>
                <c:pt idx="8">
                  <c:v>2024</c:v>
                </c:pt>
              </c:strCache>
            </c:strRef>
          </c:cat>
          <c:val>
            <c:numRef>
              <c:f>PGLOBAL!$E$401:$M$401</c:f>
              <c:numCache>
                <c:formatCode>General</c:formatCode>
                <c:ptCount val="9"/>
                <c:pt idx="0">
                  <c:v>52</c:v>
                </c:pt>
                <c:pt idx="1">
                  <c:v>49</c:v>
                </c:pt>
                <c:pt idx="2">
                  <c:v>50</c:v>
                </c:pt>
                <c:pt idx="3">
                  <c:v>49</c:v>
                </c:pt>
                <c:pt idx="4">
                  <c:v>46</c:v>
                </c:pt>
                <c:pt idx="5">
                  <c:v>49</c:v>
                </c:pt>
                <c:pt idx="6">
                  <c:v>51</c:v>
                </c:pt>
                <c:pt idx="7">
                  <c:v>52</c:v>
                </c:pt>
                <c:pt idx="8">
                  <c:v>52</c:v>
                </c:pt>
              </c:numCache>
            </c:numRef>
          </c:val>
          <c:smooth val="0"/>
          <c:extLst>
            <c:ext xmlns:c16="http://schemas.microsoft.com/office/drawing/2014/chart" uri="{C3380CC4-5D6E-409C-BE32-E72D297353CC}">
              <c16:uniqueId val="{00000004-69F9-4002-9BD2-9C39050CF672}"/>
            </c:ext>
          </c:extLst>
        </c:ser>
        <c:dLbls>
          <c:dLblPos val="ctr"/>
          <c:showLegendKey val="0"/>
          <c:showVal val="1"/>
          <c:showCatName val="0"/>
          <c:showSerName val="0"/>
          <c:showPercent val="0"/>
          <c:showBubbleSize val="0"/>
        </c:dLbls>
        <c:marker val="1"/>
        <c:smooth val="0"/>
        <c:axId val="1902223727"/>
        <c:axId val="1895645535"/>
      </c:lineChart>
      <c:catAx>
        <c:axId val="190222372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CO"/>
          </a:p>
        </c:txPr>
        <c:crossAx val="1895645535"/>
        <c:crosses val="autoZero"/>
        <c:auto val="1"/>
        <c:lblAlgn val="ctr"/>
        <c:lblOffset val="100"/>
        <c:noMultiLvlLbl val="0"/>
      </c:catAx>
      <c:valAx>
        <c:axId val="1895645535"/>
        <c:scaling>
          <c:orientation val="minMax"/>
        </c:scaling>
        <c:delete val="1"/>
        <c:axPos val="l"/>
        <c:numFmt formatCode="General" sourceLinked="1"/>
        <c:majorTickMark val="none"/>
        <c:minorTickMark val="none"/>
        <c:tickLblPos val="nextTo"/>
        <c:crossAx val="190222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s-CO"/>
              <a:t>PROMEDIO POR PRUEBA NO OFICIALES 2016-2024</a:t>
            </a:r>
          </a:p>
        </c:rich>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s-CO"/>
        </a:p>
      </c:txPr>
    </c:title>
    <c:autoTitleDeleted val="0"/>
    <c:plotArea>
      <c:layout>
        <c:manualLayout>
          <c:layoutTarget val="inner"/>
          <c:xMode val="edge"/>
          <c:yMode val="edge"/>
          <c:x val="1.5240991426492293E-2"/>
          <c:y val="0.12787989227285518"/>
          <c:w val="0.95808727357714618"/>
          <c:h val="0.70900995538166767"/>
        </c:manualLayout>
      </c:layout>
      <c:lineChart>
        <c:grouping val="standard"/>
        <c:varyColors val="0"/>
        <c:ser>
          <c:idx val="0"/>
          <c:order val="0"/>
          <c:tx>
            <c:strRef>
              <c:f>PGLOBAL!$O$397</c:f>
              <c:strCache>
                <c:ptCount val="1"/>
                <c:pt idx="0">
                  <c:v>LECTURA CRÍTICA</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PGLOBAL!$P$396:$X$396</c:f>
              <c:strCache>
                <c:ptCount val="9"/>
                <c:pt idx="0">
                  <c:v>2016</c:v>
                </c:pt>
                <c:pt idx="1">
                  <c:v>2017</c:v>
                </c:pt>
                <c:pt idx="2">
                  <c:v>2018</c:v>
                </c:pt>
                <c:pt idx="3">
                  <c:v>2019</c:v>
                </c:pt>
                <c:pt idx="4">
                  <c:v>2020</c:v>
                </c:pt>
                <c:pt idx="5">
                  <c:v>2021</c:v>
                </c:pt>
                <c:pt idx="6">
                  <c:v>2022</c:v>
                </c:pt>
                <c:pt idx="7">
                  <c:v>2023</c:v>
                </c:pt>
                <c:pt idx="8">
                  <c:v>2024</c:v>
                </c:pt>
              </c:strCache>
            </c:strRef>
          </c:cat>
          <c:val>
            <c:numRef>
              <c:f>PGLOBAL!$P$397:$X$397</c:f>
              <c:numCache>
                <c:formatCode>General</c:formatCode>
                <c:ptCount val="9"/>
                <c:pt idx="0">
                  <c:v>55</c:v>
                </c:pt>
                <c:pt idx="1">
                  <c:v>56</c:v>
                </c:pt>
                <c:pt idx="2">
                  <c:v>56</c:v>
                </c:pt>
                <c:pt idx="3">
                  <c:v>56</c:v>
                </c:pt>
                <c:pt idx="4">
                  <c:v>55</c:v>
                </c:pt>
                <c:pt idx="5">
                  <c:v>56</c:v>
                </c:pt>
                <c:pt idx="6">
                  <c:v>57</c:v>
                </c:pt>
                <c:pt idx="7" formatCode="0">
                  <c:v>57</c:v>
                </c:pt>
                <c:pt idx="8">
                  <c:v>58</c:v>
                </c:pt>
              </c:numCache>
            </c:numRef>
          </c:val>
          <c:smooth val="0"/>
          <c:extLst>
            <c:ext xmlns:c16="http://schemas.microsoft.com/office/drawing/2014/chart" uri="{C3380CC4-5D6E-409C-BE32-E72D297353CC}">
              <c16:uniqueId val="{00000000-17B9-44C3-B712-45E782E54357}"/>
            </c:ext>
          </c:extLst>
        </c:ser>
        <c:ser>
          <c:idx val="1"/>
          <c:order val="1"/>
          <c:tx>
            <c:strRef>
              <c:f>PGLOBAL!$D$398</c:f>
              <c:strCache>
                <c:ptCount val="1"/>
                <c:pt idx="0">
                  <c:v>MATEMÁTICAS</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PGLOBAL!$P$396:$X$396</c:f>
              <c:strCache>
                <c:ptCount val="9"/>
                <c:pt idx="0">
                  <c:v>2016</c:v>
                </c:pt>
                <c:pt idx="1">
                  <c:v>2017</c:v>
                </c:pt>
                <c:pt idx="2">
                  <c:v>2018</c:v>
                </c:pt>
                <c:pt idx="3">
                  <c:v>2019</c:v>
                </c:pt>
                <c:pt idx="4">
                  <c:v>2020</c:v>
                </c:pt>
                <c:pt idx="5">
                  <c:v>2021</c:v>
                </c:pt>
                <c:pt idx="6">
                  <c:v>2022</c:v>
                </c:pt>
                <c:pt idx="7">
                  <c:v>2023</c:v>
                </c:pt>
                <c:pt idx="8">
                  <c:v>2024</c:v>
                </c:pt>
              </c:strCache>
            </c:strRef>
          </c:cat>
          <c:val>
            <c:numRef>
              <c:f>PGLOBAL!$P$398:$X$398</c:f>
              <c:numCache>
                <c:formatCode>General</c:formatCode>
                <c:ptCount val="9"/>
                <c:pt idx="0">
                  <c:v>54</c:v>
                </c:pt>
                <c:pt idx="1">
                  <c:v>53</c:v>
                </c:pt>
                <c:pt idx="2">
                  <c:v>54</c:v>
                </c:pt>
                <c:pt idx="3">
                  <c:v>55</c:v>
                </c:pt>
                <c:pt idx="4">
                  <c:v>55</c:v>
                </c:pt>
                <c:pt idx="5">
                  <c:v>54</c:v>
                </c:pt>
                <c:pt idx="6">
                  <c:v>55</c:v>
                </c:pt>
                <c:pt idx="7" formatCode="0">
                  <c:v>55</c:v>
                </c:pt>
                <c:pt idx="8">
                  <c:v>56</c:v>
                </c:pt>
              </c:numCache>
            </c:numRef>
          </c:val>
          <c:smooth val="0"/>
          <c:extLst>
            <c:ext xmlns:c16="http://schemas.microsoft.com/office/drawing/2014/chart" uri="{C3380CC4-5D6E-409C-BE32-E72D297353CC}">
              <c16:uniqueId val="{00000001-17B9-44C3-B712-45E782E54357}"/>
            </c:ext>
          </c:extLst>
        </c:ser>
        <c:ser>
          <c:idx val="2"/>
          <c:order val="2"/>
          <c:tx>
            <c:strRef>
              <c:f>PGLOBAL!$D$399</c:f>
              <c:strCache>
                <c:ptCount val="1"/>
                <c:pt idx="0">
                  <c:v>SOCIALES Y CIUDADANAS</c:v>
                </c:pt>
              </c:strCache>
            </c:strRef>
          </c:tx>
          <c:spPr>
            <a:ln w="19050" cap="rnd" cmpd="sng" algn="ctr">
              <a:solidFill>
                <a:srgbClr val="FFC000"/>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PGLOBAL!$P$396:$X$396</c:f>
              <c:strCache>
                <c:ptCount val="9"/>
                <c:pt idx="0">
                  <c:v>2016</c:v>
                </c:pt>
                <c:pt idx="1">
                  <c:v>2017</c:v>
                </c:pt>
                <c:pt idx="2">
                  <c:v>2018</c:v>
                </c:pt>
                <c:pt idx="3">
                  <c:v>2019</c:v>
                </c:pt>
                <c:pt idx="4">
                  <c:v>2020</c:v>
                </c:pt>
                <c:pt idx="5">
                  <c:v>2021</c:v>
                </c:pt>
                <c:pt idx="6">
                  <c:v>2022</c:v>
                </c:pt>
                <c:pt idx="7">
                  <c:v>2023</c:v>
                </c:pt>
                <c:pt idx="8">
                  <c:v>2024</c:v>
                </c:pt>
              </c:strCache>
            </c:strRef>
          </c:cat>
          <c:val>
            <c:numRef>
              <c:f>PGLOBAL!$P$399:$X$399</c:f>
              <c:numCache>
                <c:formatCode>General</c:formatCode>
                <c:ptCount val="9"/>
                <c:pt idx="0">
                  <c:v>53</c:v>
                </c:pt>
                <c:pt idx="1">
                  <c:v>53</c:v>
                </c:pt>
                <c:pt idx="2">
                  <c:v>52</c:v>
                </c:pt>
                <c:pt idx="3">
                  <c:v>50</c:v>
                </c:pt>
                <c:pt idx="4">
                  <c:v>52</c:v>
                </c:pt>
                <c:pt idx="5">
                  <c:v>51</c:v>
                </c:pt>
                <c:pt idx="6">
                  <c:v>52</c:v>
                </c:pt>
                <c:pt idx="7" formatCode="0">
                  <c:v>53</c:v>
                </c:pt>
                <c:pt idx="8">
                  <c:v>53</c:v>
                </c:pt>
              </c:numCache>
            </c:numRef>
          </c:val>
          <c:smooth val="0"/>
          <c:extLst>
            <c:ext xmlns:c16="http://schemas.microsoft.com/office/drawing/2014/chart" uri="{C3380CC4-5D6E-409C-BE32-E72D297353CC}">
              <c16:uniqueId val="{00000002-17B9-44C3-B712-45E782E54357}"/>
            </c:ext>
          </c:extLst>
        </c:ser>
        <c:ser>
          <c:idx val="3"/>
          <c:order val="3"/>
          <c:tx>
            <c:strRef>
              <c:f>PGLOBAL!$D$400</c:f>
              <c:strCache>
                <c:ptCount val="1"/>
                <c:pt idx="0">
                  <c:v>CIENCIAS NATURALES</c:v>
                </c:pt>
              </c:strCache>
            </c:strRef>
          </c:tx>
          <c:spPr>
            <a:ln w="19050" cap="rnd" cmpd="sng" algn="ctr">
              <a:solidFill>
                <a:schemeClr val="accent3"/>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PGLOBAL!$P$396:$X$396</c:f>
              <c:strCache>
                <c:ptCount val="9"/>
                <c:pt idx="0">
                  <c:v>2016</c:v>
                </c:pt>
                <c:pt idx="1">
                  <c:v>2017</c:v>
                </c:pt>
                <c:pt idx="2">
                  <c:v>2018</c:v>
                </c:pt>
                <c:pt idx="3">
                  <c:v>2019</c:v>
                </c:pt>
                <c:pt idx="4">
                  <c:v>2020</c:v>
                </c:pt>
                <c:pt idx="5">
                  <c:v>2021</c:v>
                </c:pt>
                <c:pt idx="6">
                  <c:v>2022</c:v>
                </c:pt>
                <c:pt idx="7">
                  <c:v>2023</c:v>
                </c:pt>
                <c:pt idx="8">
                  <c:v>2024</c:v>
                </c:pt>
              </c:strCache>
            </c:strRef>
          </c:cat>
          <c:val>
            <c:numRef>
              <c:f>PGLOBAL!$P$400:$X$400</c:f>
              <c:numCache>
                <c:formatCode>General</c:formatCode>
                <c:ptCount val="9"/>
                <c:pt idx="0">
                  <c:v>55</c:v>
                </c:pt>
                <c:pt idx="1">
                  <c:v>54</c:v>
                </c:pt>
                <c:pt idx="2">
                  <c:v>53</c:v>
                </c:pt>
                <c:pt idx="3">
                  <c:v>52</c:v>
                </c:pt>
                <c:pt idx="4">
                  <c:v>51</c:v>
                </c:pt>
                <c:pt idx="5">
                  <c:v>51</c:v>
                </c:pt>
                <c:pt idx="6">
                  <c:v>52</c:v>
                </c:pt>
                <c:pt idx="7" formatCode="0">
                  <c:v>53</c:v>
                </c:pt>
                <c:pt idx="8">
                  <c:v>54</c:v>
                </c:pt>
              </c:numCache>
            </c:numRef>
          </c:val>
          <c:smooth val="0"/>
          <c:extLst>
            <c:ext xmlns:c16="http://schemas.microsoft.com/office/drawing/2014/chart" uri="{C3380CC4-5D6E-409C-BE32-E72D297353CC}">
              <c16:uniqueId val="{00000003-17B9-44C3-B712-45E782E54357}"/>
            </c:ext>
          </c:extLst>
        </c:ser>
        <c:ser>
          <c:idx val="4"/>
          <c:order val="4"/>
          <c:tx>
            <c:strRef>
              <c:f>PGLOBAL!$D$401</c:f>
              <c:strCache>
                <c:ptCount val="1"/>
                <c:pt idx="0">
                  <c:v>INGLES</c:v>
                </c:pt>
              </c:strCache>
            </c:strRef>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PGLOBAL!$P$396:$X$396</c:f>
              <c:strCache>
                <c:ptCount val="9"/>
                <c:pt idx="0">
                  <c:v>2016</c:v>
                </c:pt>
                <c:pt idx="1">
                  <c:v>2017</c:v>
                </c:pt>
                <c:pt idx="2">
                  <c:v>2018</c:v>
                </c:pt>
                <c:pt idx="3">
                  <c:v>2019</c:v>
                </c:pt>
                <c:pt idx="4">
                  <c:v>2020</c:v>
                </c:pt>
                <c:pt idx="5">
                  <c:v>2021</c:v>
                </c:pt>
                <c:pt idx="6">
                  <c:v>2022</c:v>
                </c:pt>
                <c:pt idx="7">
                  <c:v>2023</c:v>
                </c:pt>
                <c:pt idx="8">
                  <c:v>2024</c:v>
                </c:pt>
              </c:strCache>
            </c:strRef>
          </c:cat>
          <c:val>
            <c:numRef>
              <c:f>PGLOBAL!$P$401:$X$401</c:f>
              <c:numCache>
                <c:formatCode>General</c:formatCode>
                <c:ptCount val="9"/>
                <c:pt idx="0">
                  <c:v>56</c:v>
                </c:pt>
                <c:pt idx="1">
                  <c:v>53</c:v>
                </c:pt>
                <c:pt idx="2">
                  <c:v>55</c:v>
                </c:pt>
                <c:pt idx="3">
                  <c:v>54</c:v>
                </c:pt>
                <c:pt idx="4">
                  <c:v>50</c:v>
                </c:pt>
                <c:pt idx="5">
                  <c:v>55</c:v>
                </c:pt>
                <c:pt idx="6">
                  <c:v>56</c:v>
                </c:pt>
                <c:pt idx="7" formatCode="0">
                  <c:v>56</c:v>
                </c:pt>
                <c:pt idx="8">
                  <c:v>57</c:v>
                </c:pt>
              </c:numCache>
            </c:numRef>
          </c:val>
          <c:smooth val="0"/>
          <c:extLst>
            <c:ext xmlns:c16="http://schemas.microsoft.com/office/drawing/2014/chart" uri="{C3380CC4-5D6E-409C-BE32-E72D297353CC}">
              <c16:uniqueId val="{00000004-17B9-44C3-B712-45E782E54357}"/>
            </c:ext>
          </c:extLst>
        </c:ser>
        <c:dLbls>
          <c:dLblPos val="ctr"/>
          <c:showLegendKey val="0"/>
          <c:showVal val="1"/>
          <c:showCatName val="0"/>
          <c:showSerName val="0"/>
          <c:showPercent val="0"/>
          <c:showBubbleSize val="0"/>
        </c:dLbls>
        <c:marker val="1"/>
        <c:smooth val="0"/>
        <c:axId val="1902223727"/>
        <c:axId val="1895645535"/>
      </c:lineChart>
      <c:catAx>
        <c:axId val="1902223727"/>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CO"/>
          </a:p>
        </c:txPr>
        <c:crossAx val="1895645535"/>
        <c:crosses val="autoZero"/>
        <c:auto val="1"/>
        <c:lblAlgn val="ctr"/>
        <c:lblOffset val="100"/>
        <c:noMultiLvlLbl val="0"/>
      </c:catAx>
      <c:valAx>
        <c:axId val="1895645535"/>
        <c:scaling>
          <c:orientation val="minMax"/>
        </c:scaling>
        <c:delete val="1"/>
        <c:axPos val="l"/>
        <c:numFmt formatCode="General" sourceLinked="1"/>
        <c:majorTickMark val="none"/>
        <c:minorTickMark val="none"/>
        <c:tickLblPos val="nextTo"/>
        <c:crossAx val="1902223727"/>
        <c:crosses val="autoZero"/>
        <c:crossBetween val="between"/>
      </c:valAx>
      <c:spPr>
        <a:noFill/>
        <a:ln>
          <a:noFill/>
        </a:ln>
        <a:effectLst/>
      </c:spPr>
    </c:plotArea>
    <c:legend>
      <c:legendPos val="b"/>
      <c:layout>
        <c:manualLayout>
          <c:xMode val="edge"/>
          <c:yMode val="edge"/>
          <c:x val="0"/>
          <c:y val="0.88770490440104455"/>
          <c:w val="1"/>
          <c:h val="0.1122950955989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ÍNDICE GLOBAL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PuntajeGlobal'!$K$27:$K$35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'2 PuntajeGlobal'!$L$27:$L$35</c:f>
              <c:numCache>
                <c:formatCode>0.0000</c:formatCode>
                <c:ptCount val="9"/>
                <c:pt idx="0">
                  <c:v>0.67659999999999998</c:v>
                </c:pt>
                <c:pt idx="1">
                  <c:v>0.69920000000000004</c:v>
                </c:pt>
                <c:pt idx="2">
                  <c:v>0.70020000000000004</c:v>
                </c:pt>
                <c:pt idx="3">
                  <c:v>0.69620000000000004</c:v>
                </c:pt>
                <c:pt idx="4">
                  <c:v>0.67889999999999995</c:v>
                </c:pt>
                <c:pt idx="5">
                  <c:v>0.67900000000000005</c:v>
                </c:pt>
                <c:pt idx="6">
                  <c:v>0.69840000000000002</c:v>
                </c:pt>
                <c:pt idx="7">
                  <c:v>0.72409999999999997</c:v>
                </c:pt>
                <c:pt idx="8">
                  <c:v>0.72599999999999998</c:v>
                </c:pt>
              </c:numCache>
            </c:numRef>
          </c:val>
          <c:extLst>
            <c:ext xmlns:c16="http://schemas.microsoft.com/office/drawing/2014/chart" uri="{C3380CC4-5D6E-409C-BE32-E72D297353CC}">
              <c16:uniqueId val="{00000000-B40D-4746-88DD-E17EAEF8F182}"/>
            </c:ext>
          </c:extLst>
        </c:ser>
        <c:dLbls>
          <c:showLegendKey val="0"/>
          <c:showVal val="1"/>
          <c:showCatName val="0"/>
          <c:showSerName val="0"/>
          <c:showPercent val="0"/>
          <c:showBubbleSize val="0"/>
        </c:dLbls>
        <c:gapWidth val="150"/>
        <c:overlap val="-25"/>
        <c:axId val="-2045503552"/>
        <c:axId val="-2045505728"/>
      </c:barChart>
      <c:catAx>
        <c:axId val="-204550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45505728"/>
        <c:crosses val="autoZero"/>
        <c:auto val="1"/>
        <c:lblAlgn val="ctr"/>
        <c:lblOffset val="100"/>
        <c:noMultiLvlLbl val="0"/>
      </c:catAx>
      <c:valAx>
        <c:axId val="-2045505728"/>
        <c:scaling>
          <c:orientation val="minMax"/>
        </c:scaling>
        <c:delete val="1"/>
        <c:axPos val="l"/>
        <c:numFmt formatCode="0.0000" sourceLinked="1"/>
        <c:majorTickMark val="none"/>
        <c:minorTickMark val="none"/>
        <c:tickLblPos val="nextTo"/>
        <c:crossAx val="-2045503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latin typeface="Arial" panose="020B0604020202020204" pitchFamily="34" charset="0"/>
                <a:cs typeface="Arial" panose="020B0604020202020204" pitchFamily="34" charset="0"/>
              </a:rPr>
              <a:t>PUNTAJE GLOBAL</a:t>
            </a:r>
            <a:endParaRPr lang="es-CO" sz="18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tx>
            <c:strRef>
              <c:f>'2 PuntajeGlobal'!$C$14</c:f>
              <c:strCache>
                <c:ptCount val="1"/>
                <c:pt idx="0">
                  <c:v>LICEO SATELITE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 PuntajeGlobal'!$B$15:$B$23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'2 PuntajeGlobal'!$C$15:$C$23</c:f>
              <c:numCache>
                <c:formatCode>0</c:formatCode>
                <c:ptCount val="9"/>
                <c:pt idx="0">
                  <c:v>256</c:v>
                </c:pt>
                <c:pt idx="1">
                  <c:v>262</c:v>
                </c:pt>
                <c:pt idx="2">
                  <c:v>256</c:v>
                </c:pt>
                <c:pt idx="3">
                  <c:v>253</c:v>
                </c:pt>
                <c:pt idx="4">
                  <c:v>244</c:v>
                </c:pt>
                <c:pt idx="5">
                  <c:v>253</c:v>
                </c:pt>
                <c:pt idx="6">
                  <c:v>272</c:v>
                </c:pt>
                <c:pt idx="7">
                  <c:v>276</c:v>
                </c:pt>
                <c:pt idx="8">
                  <c:v>260</c:v>
                </c:pt>
              </c:numCache>
            </c:numRef>
          </c:val>
          <c:smooth val="0"/>
          <c:extLst>
            <c:ext xmlns:c16="http://schemas.microsoft.com/office/drawing/2014/chart" uri="{C3380CC4-5D6E-409C-BE32-E72D297353CC}">
              <c16:uniqueId val="{00000000-B73B-4880-B21F-EE4FD7B6C452}"/>
            </c:ext>
          </c:extLst>
        </c:ser>
        <c:ser>
          <c:idx val="1"/>
          <c:order val="1"/>
          <c:tx>
            <c:strRef>
              <c:f>'2 PuntajeGlobal'!$D$14</c:f>
              <c:strCache>
                <c:ptCount val="1"/>
                <c:pt idx="0">
                  <c:v>LICEO SAN MATEO</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PuntajeGlobal'!$B$15:$B$23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'2 PuntajeGlobal'!$D$15:$D$23</c:f>
              <c:numCache>
                <c:formatCode>0</c:formatCode>
                <c:ptCount val="9"/>
                <c:pt idx="0">
                  <c:v>287</c:v>
                </c:pt>
                <c:pt idx="1">
                  <c:v>277</c:v>
                </c:pt>
                <c:pt idx="2">
                  <c:v>274</c:v>
                </c:pt>
                <c:pt idx="3">
                  <c:v>278</c:v>
                </c:pt>
                <c:pt idx="4">
                  <c:v>287</c:v>
                </c:pt>
                <c:pt idx="5">
                  <c:v>264</c:v>
                </c:pt>
                <c:pt idx="6">
                  <c:v>290</c:v>
                </c:pt>
                <c:pt idx="7">
                  <c:v>282</c:v>
                </c:pt>
                <c:pt idx="8">
                  <c:v>273</c:v>
                </c:pt>
              </c:numCache>
            </c:numRef>
          </c:val>
          <c:smooth val="0"/>
          <c:extLst>
            <c:ext xmlns:c16="http://schemas.microsoft.com/office/drawing/2014/chart" uri="{C3380CC4-5D6E-409C-BE32-E72D297353CC}">
              <c16:uniqueId val="{00000001-D076-43B3-B34B-5E925A812424}"/>
            </c:ext>
          </c:extLst>
        </c:ser>
        <c:ser>
          <c:idx val="2"/>
          <c:order val="2"/>
          <c:tx>
            <c:strRef>
              <c:f>'2 PuntajeGlobal'!$E$14</c:f>
              <c:strCache>
                <c:ptCount val="1"/>
                <c:pt idx="0">
                  <c:v>LICEO SAN MATEO</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PuntajeGlobal'!$B$15:$B$23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'2 PuntajeGlobal'!$E$15:$E$23</c:f>
              <c:numCache>
                <c:formatCode>0</c:formatCode>
                <c:ptCount val="9"/>
                <c:pt idx="0">
                  <c:v>287</c:v>
                </c:pt>
                <c:pt idx="1">
                  <c:v>277</c:v>
                </c:pt>
                <c:pt idx="2">
                  <c:v>274</c:v>
                </c:pt>
                <c:pt idx="3">
                  <c:v>278</c:v>
                </c:pt>
                <c:pt idx="4">
                  <c:v>287</c:v>
                </c:pt>
                <c:pt idx="5">
                  <c:v>264</c:v>
                </c:pt>
                <c:pt idx="6">
                  <c:v>290</c:v>
                </c:pt>
                <c:pt idx="7">
                  <c:v>282</c:v>
                </c:pt>
                <c:pt idx="8">
                  <c:v>273</c:v>
                </c:pt>
              </c:numCache>
            </c:numRef>
          </c:val>
          <c:smooth val="0"/>
          <c:extLst>
            <c:ext xmlns:c16="http://schemas.microsoft.com/office/drawing/2014/chart" uri="{C3380CC4-5D6E-409C-BE32-E72D297353CC}">
              <c16:uniqueId val="{00000002-D076-43B3-B34B-5E925A812424}"/>
            </c:ext>
          </c:extLst>
        </c:ser>
        <c:dLbls>
          <c:showLegendKey val="0"/>
          <c:showVal val="0"/>
          <c:showCatName val="0"/>
          <c:showSerName val="0"/>
          <c:showPercent val="0"/>
          <c:showBubbleSize val="0"/>
        </c:dLbls>
        <c:smooth val="0"/>
        <c:axId val="248937647"/>
        <c:axId val="248929743"/>
      </c:lineChart>
      <c:catAx>
        <c:axId val="24893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48929743"/>
        <c:crosses val="autoZero"/>
        <c:auto val="1"/>
        <c:lblAlgn val="ctr"/>
        <c:lblOffset val="100"/>
        <c:noMultiLvlLbl val="0"/>
      </c:catAx>
      <c:valAx>
        <c:axId val="248929743"/>
        <c:scaling>
          <c:orientation val="minMax"/>
          <c:max val="315"/>
          <c:min val="190"/>
        </c:scaling>
        <c:delete val="1"/>
        <c:axPos val="l"/>
        <c:majorGridlines>
          <c:spPr>
            <a:ln w="9525" cap="flat" cmpd="sng" algn="ctr">
              <a:solidFill>
                <a:schemeClr val="bg1"/>
              </a:solidFill>
              <a:round/>
            </a:ln>
            <a:effectLst>
              <a:glow rad="127000">
                <a:schemeClr val="bg1"/>
              </a:glow>
              <a:outerShdw blurRad="50800" dist="50800" dir="5400000" algn="ctr" rotWithShape="0">
                <a:schemeClr val="bg1"/>
              </a:outerShdw>
              <a:softEdge rad="12700"/>
            </a:effectLst>
          </c:spPr>
        </c:majorGridlines>
        <c:numFmt formatCode="0" sourceLinked="1"/>
        <c:majorTickMark val="out"/>
        <c:minorTickMark val="none"/>
        <c:tickLblPos val="nextTo"/>
        <c:crossAx val="248937647"/>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600" b="1"/>
              <a:t>PROMEDIO ÁREA</a:t>
            </a:r>
          </a:p>
          <a:p>
            <a:pPr>
              <a:defRPr sz="1600" b="1"/>
            </a:pPr>
            <a:r>
              <a:rPr lang="es-CO" sz="1600" b="1"/>
              <a:t>Lectura Crítica</a:t>
            </a:r>
          </a:p>
        </c:rich>
      </c:tx>
      <c:layout>
        <c:manualLayout>
          <c:xMode val="edge"/>
          <c:yMode val="edge"/>
          <c:x val="0.3993045713191683"/>
          <c:y val="3.112530134238835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'3 Promediosyniveles'!$C$13</c:f>
              <c:strCache>
                <c:ptCount val="1"/>
                <c:pt idx="0">
                  <c:v>GIMNASIO NUEVO BOLIVAR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Promediosyniveles'!$B$14:$B$22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Promediosyniveles'!$C$14:$C$22</c:f>
              <c:numCache>
                <c:formatCode>0</c:formatCode>
                <c:ptCount val="9"/>
                <c:pt idx="0">
                  <c:v>56</c:v>
                </c:pt>
                <c:pt idx="1">
                  <c:v>57</c:v>
                </c:pt>
                <c:pt idx="2">
                  <c:v>54</c:v>
                </c:pt>
                <c:pt idx="3">
                  <c:v>54</c:v>
                </c:pt>
                <c:pt idx="4">
                  <c:v>56</c:v>
                </c:pt>
                <c:pt idx="5">
                  <c:v>58</c:v>
                </c:pt>
                <c:pt idx="6">
                  <c:v>60</c:v>
                </c:pt>
                <c:pt idx="7">
                  <c:v>58</c:v>
                </c:pt>
                <c:pt idx="8">
                  <c:v>57</c:v>
                </c:pt>
              </c:numCache>
            </c:numRef>
          </c:val>
          <c:smooth val="0"/>
          <c:extLst>
            <c:ext xmlns:c16="http://schemas.microsoft.com/office/drawing/2014/chart" uri="{C3380CC4-5D6E-409C-BE32-E72D297353CC}">
              <c16:uniqueId val="{00000000-1EB9-4DBB-8045-E59C47A66172}"/>
            </c:ext>
          </c:extLst>
        </c:ser>
        <c:ser>
          <c:idx val="1"/>
          <c:order val="1"/>
          <c:tx>
            <c:strRef>
              <c:f>'3 Promediosyniveles'!$D$13</c:f>
              <c:strCache>
                <c:ptCount val="1"/>
                <c:pt idx="0">
                  <c:v>COMUNA 1</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Promediosyniveles'!$B$14:$B$22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Promediosyniveles'!$D$14:$D$22</c:f>
              <c:numCache>
                <c:formatCode>0</c:formatCode>
                <c:ptCount val="9"/>
                <c:pt idx="0">
                  <c:v>53.117647058823529</c:v>
                </c:pt>
                <c:pt idx="1">
                  <c:v>53.75</c:v>
                </c:pt>
                <c:pt idx="2">
                  <c:v>53.823529411764703</c:v>
                </c:pt>
                <c:pt idx="3">
                  <c:v>53.705882352941174</c:v>
                </c:pt>
                <c:pt idx="4">
                  <c:v>53.823529411764703</c:v>
                </c:pt>
                <c:pt idx="5">
                  <c:v>54.588235294117645</c:v>
                </c:pt>
                <c:pt idx="6">
                  <c:v>54.722222222222221</c:v>
                </c:pt>
                <c:pt idx="7">
                  <c:v>54.529411764705884</c:v>
                </c:pt>
                <c:pt idx="8">
                  <c:v>55.333333333333336</c:v>
                </c:pt>
              </c:numCache>
            </c:numRef>
          </c:val>
          <c:smooth val="0"/>
          <c:extLst>
            <c:ext xmlns:c16="http://schemas.microsoft.com/office/drawing/2014/chart" uri="{C3380CC4-5D6E-409C-BE32-E72D297353CC}">
              <c16:uniqueId val="{00000001-1EB9-4DBB-8045-E59C47A66172}"/>
            </c:ext>
          </c:extLst>
        </c:ser>
        <c:ser>
          <c:idx val="2"/>
          <c:order val="2"/>
          <c:tx>
            <c:strRef>
              <c:f>'3 Promediosyniveles'!$F$13</c:f>
              <c:strCache>
                <c:ptCount val="1"/>
                <c:pt idx="0">
                  <c:v>COMUNA 6 OFICIAL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Promediosyniveles'!$B$14:$B$22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Promediosyniveles'!$F$14:$F$22</c:f>
              <c:numCache>
                <c:formatCode>0</c:formatCode>
                <c:ptCount val="9"/>
                <c:pt idx="0">
                  <c:v>52.666666666666664</c:v>
                </c:pt>
                <c:pt idx="1">
                  <c:v>52.666666666666664</c:v>
                </c:pt>
                <c:pt idx="2">
                  <c:v>52.666666666666664</c:v>
                </c:pt>
                <c:pt idx="3">
                  <c:v>52.666666666666664</c:v>
                </c:pt>
                <c:pt idx="4">
                  <c:v>53</c:v>
                </c:pt>
                <c:pt idx="5">
                  <c:v>52.333333333333336</c:v>
                </c:pt>
                <c:pt idx="6">
                  <c:v>52.75</c:v>
                </c:pt>
                <c:pt idx="7">
                  <c:v>52.5</c:v>
                </c:pt>
                <c:pt idx="8">
                  <c:v>54</c:v>
                </c:pt>
              </c:numCache>
            </c:numRef>
          </c:val>
          <c:smooth val="0"/>
          <c:extLst>
            <c:ext xmlns:c16="http://schemas.microsoft.com/office/drawing/2014/chart" uri="{C3380CC4-5D6E-409C-BE32-E72D297353CC}">
              <c16:uniqueId val="{00000002-1EB9-4DBB-8045-E59C47A66172}"/>
            </c:ext>
          </c:extLst>
        </c:ser>
        <c:dLbls>
          <c:showLegendKey val="0"/>
          <c:showVal val="1"/>
          <c:showCatName val="0"/>
          <c:showSerName val="0"/>
          <c:showPercent val="0"/>
          <c:showBubbleSize val="0"/>
        </c:dLbls>
        <c:smooth val="0"/>
        <c:axId val="-2045508992"/>
        <c:axId val="-2045508448"/>
      </c:lineChart>
      <c:catAx>
        <c:axId val="-204550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45508448"/>
        <c:crosses val="autoZero"/>
        <c:auto val="1"/>
        <c:lblAlgn val="ctr"/>
        <c:lblOffset val="100"/>
        <c:noMultiLvlLbl val="0"/>
      </c:catAx>
      <c:valAx>
        <c:axId val="-2045508448"/>
        <c:scaling>
          <c:orientation val="minMax"/>
        </c:scaling>
        <c:delete val="1"/>
        <c:axPos val="l"/>
        <c:numFmt formatCode="0" sourceLinked="1"/>
        <c:majorTickMark val="none"/>
        <c:minorTickMark val="none"/>
        <c:tickLblPos val="nextTo"/>
        <c:crossAx val="-2045508992"/>
        <c:crosses val="autoZero"/>
        <c:crossBetween val="between"/>
      </c:valAx>
      <c:spPr>
        <a:noFill/>
        <a:ln>
          <a:noFill/>
        </a:ln>
        <a:effectLst/>
      </c:spPr>
    </c:plotArea>
    <c:legend>
      <c:legendPos val="b"/>
      <c:layout>
        <c:manualLayout>
          <c:xMode val="edge"/>
          <c:yMode val="edge"/>
          <c:x val="4.0123729018175007E-2"/>
          <c:y val="0.92367959759959806"/>
          <c:w val="0.84219918351659451"/>
          <c:h val="5.28296581990829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600" b="1"/>
              <a:t>PROMEDIO ÁREA</a:t>
            </a:r>
          </a:p>
          <a:p>
            <a:pPr>
              <a:defRPr sz="1600" b="1"/>
            </a:pPr>
            <a:r>
              <a:rPr lang="es-CO" sz="1600" b="1"/>
              <a:t>Matemáticas</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'3 Promediosyniveles'!$C$72</c:f>
              <c:strCache>
                <c:ptCount val="1"/>
                <c:pt idx="0">
                  <c:v>GIMNASIO NUEVO BOLIVAR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Promediosyniveles'!$B$73:$B$81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Promediosyniveles'!$C$73:$C$81</c:f>
              <c:numCache>
                <c:formatCode>0</c:formatCode>
                <c:ptCount val="9"/>
                <c:pt idx="0">
                  <c:v>55</c:v>
                </c:pt>
                <c:pt idx="1">
                  <c:v>54</c:v>
                </c:pt>
                <c:pt idx="2">
                  <c:v>54</c:v>
                </c:pt>
                <c:pt idx="3">
                  <c:v>53</c:v>
                </c:pt>
                <c:pt idx="4">
                  <c:v>55</c:v>
                </c:pt>
                <c:pt idx="5">
                  <c:v>56</c:v>
                </c:pt>
                <c:pt idx="6">
                  <c:v>56</c:v>
                </c:pt>
                <c:pt idx="7">
                  <c:v>55</c:v>
                </c:pt>
                <c:pt idx="8">
                  <c:v>54</c:v>
                </c:pt>
              </c:numCache>
            </c:numRef>
          </c:val>
          <c:smooth val="0"/>
          <c:extLst>
            <c:ext xmlns:c16="http://schemas.microsoft.com/office/drawing/2014/chart" uri="{C3380CC4-5D6E-409C-BE32-E72D297353CC}">
              <c16:uniqueId val="{00000000-3E05-4733-A7DB-5B236E7F4F9D}"/>
            </c:ext>
          </c:extLst>
        </c:ser>
        <c:ser>
          <c:idx val="1"/>
          <c:order val="1"/>
          <c:tx>
            <c:strRef>
              <c:f>'3 Promediosyniveles'!$D$72</c:f>
              <c:strCache>
                <c:ptCount val="1"/>
                <c:pt idx="0">
                  <c:v>COMUNA 1</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Promediosyniveles'!$B$73:$B$81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Promediosyniveles'!$D$73:$D$81</c:f>
              <c:numCache>
                <c:formatCode>0</c:formatCode>
                <c:ptCount val="9"/>
                <c:pt idx="0">
                  <c:v>51.823529411764703</c:v>
                </c:pt>
                <c:pt idx="1">
                  <c:v>51.625</c:v>
                </c:pt>
                <c:pt idx="2">
                  <c:v>51.823529411764703</c:v>
                </c:pt>
                <c:pt idx="3">
                  <c:v>52.647058823529413</c:v>
                </c:pt>
                <c:pt idx="4">
                  <c:v>53.294117647058826</c:v>
                </c:pt>
                <c:pt idx="5">
                  <c:v>52.470588235294116</c:v>
                </c:pt>
                <c:pt idx="6">
                  <c:v>52.444444444444443</c:v>
                </c:pt>
                <c:pt idx="7">
                  <c:v>53.647058823529413</c:v>
                </c:pt>
                <c:pt idx="8">
                  <c:v>53.833333333333336</c:v>
                </c:pt>
              </c:numCache>
            </c:numRef>
          </c:val>
          <c:smooth val="0"/>
          <c:extLst>
            <c:ext xmlns:c16="http://schemas.microsoft.com/office/drawing/2014/chart" uri="{C3380CC4-5D6E-409C-BE32-E72D297353CC}">
              <c16:uniqueId val="{00000001-3E05-4733-A7DB-5B236E7F4F9D}"/>
            </c:ext>
          </c:extLst>
        </c:ser>
        <c:ser>
          <c:idx val="2"/>
          <c:order val="2"/>
          <c:tx>
            <c:strRef>
              <c:f>'3 Promediosyniveles'!$F$72</c:f>
              <c:strCache>
                <c:ptCount val="1"/>
                <c:pt idx="0">
                  <c:v>COMUNA 6 OFICIAL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Promediosyniveles'!$B$73:$B$81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Promediosyniveles'!$F$73:$F$81</c:f>
              <c:numCache>
                <c:formatCode>0</c:formatCode>
                <c:ptCount val="9"/>
                <c:pt idx="0">
                  <c:v>50.75</c:v>
                </c:pt>
                <c:pt idx="1">
                  <c:v>50.75</c:v>
                </c:pt>
                <c:pt idx="2">
                  <c:v>50.5</c:v>
                </c:pt>
                <c:pt idx="3">
                  <c:v>51.75</c:v>
                </c:pt>
                <c:pt idx="4">
                  <c:v>52.25</c:v>
                </c:pt>
                <c:pt idx="5">
                  <c:v>49.75</c:v>
                </c:pt>
                <c:pt idx="6">
                  <c:v>50.25</c:v>
                </c:pt>
                <c:pt idx="7">
                  <c:v>50.5</c:v>
                </c:pt>
                <c:pt idx="8">
                  <c:v>51.25</c:v>
                </c:pt>
              </c:numCache>
            </c:numRef>
          </c:val>
          <c:smooth val="0"/>
          <c:extLst>
            <c:ext xmlns:c16="http://schemas.microsoft.com/office/drawing/2014/chart" uri="{C3380CC4-5D6E-409C-BE32-E72D297353CC}">
              <c16:uniqueId val="{00000002-3E05-4733-A7DB-5B236E7F4F9D}"/>
            </c:ext>
          </c:extLst>
        </c:ser>
        <c:dLbls>
          <c:showLegendKey val="0"/>
          <c:showVal val="1"/>
          <c:showCatName val="0"/>
          <c:showSerName val="0"/>
          <c:showPercent val="0"/>
          <c:showBubbleSize val="0"/>
        </c:dLbls>
        <c:smooth val="0"/>
        <c:axId val="-2045506816"/>
        <c:axId val="-2031623600"/>
      </c:lineChart>
      <c:catAx>
        <c:axId val="-204550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623600"/>
        <c:crosses val="autoZero"/>
        <c:auto val="1"/>
        <c:lblAlgn val="ctr"/>
        <c:lblOffset val="100"/>
        <c:noMultiLvlLbl val="0"/>
      </c:catAx>
      <c:valAx>
        <c:axId val="-2031623600"/>
        <c:scaling>
          <c:orientation val="minMax"/>
        </c:scaling>
        <c:delete val="1"/>
        <c:axPos val="l"/>
        <c:numFmt formatCode="0" sourceLinked="1"/>
        <c:majorTickMark val="none"/>
        <c:minorTickMark val="none"/>
        <c:tickLblPos val="nextTo"/>
        <c:crossAx val="-2045506816"/>
        <c:crosses val="autoZero"/>
        <c:crossBetween val="between"/>
      </c:valAx>
      <c:spPr>
        <a:noFill/>
        <a:ln>
          <a:noFill/>
        </a:ln>
        <a:effectLst/>
      </c:spPr>
    </c:plotArea>
    <c:legend>
      <c:legendPos val="b"/>
      <c:layout>
        <c:manualLayout>
          <c:xMode val="edge"/>
          <c:yMode val="edge"/>
          <c:x val="8.3327960707545515E-2"/>
          <c:y val="0.93916837429182387"/>
          <c:w val="0.8348027464863027"/>
          <c:h val="4.805207375042878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600" b="1"/>
              <a:t>PROMEDIO ÁREA</a:t>
            </a:r>
          </a:p>
          <a:p>
            <a:pPr>
              <a:defRPr sz="1600" b="1"/>
            </a:pPr>
            <a:r>
              <a:rPr lang="es-CO" sz="1600" b="1"/>
              <a:t>Sociales y Ciudadanas</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6668358956510618E-2"/>
          <c:y val="0.1690448063879702"/>
          <c:w val="0.97423980888539274"/>
          <c:h val="0.60480105435066112"/>
        </c:manualLayout>
      </c:layout>
      <c:lineChart>
        <c:grouping val="standard"/>
        <c:varyColors val="0"/>
        <c:ser>
          <c:idx val="0"/>
          <c:order val="0"/>
          <c:tx>
            <c:strRef>
              <c:f>'3 Promediosyniveles'!$C$136</c:f>
              <c:strCache>
                <c:ptCount val="1"/>
                <c:pt idx="0">
                  <c:v>GIMNASIO NUEVO BOLIVAR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Promediosyniveles'!$B$137:$B$145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Promediosyniveles'!$C$137:$C$145</c:f>
              <c:numCache>
                <c:formatCode>0</c:formatCode>
                <c:ptCount val="9"/>
                <c:pt idx="0">
                  <c:v>55</c:v>
                </c:pt>
                <c:pt idx="1">
                  <c:v>54</c:v>
                </c:pt>
                <c:pt idx="2">
                  <c:v>50</c:v>
                </c:pt>
                <c:pt idx="3">
                  <c:v>50</c:v>
                </c:pt>
                <c:pt idx="4">
                  <c:v>52</c:v>
                </c:pt>
                <c:pt idx="5">
                  <c:v>52</c:v>
                </c:pt>
                <c:pt idx="6">
                  <c:v>54</c:v>
                </c:pt>
                <c:pt idx="7">
                  <c:v>53</c:v>
                </c:pt>
                <c:pt idx="8">
                  <c:v>53</c:v>
                </c:pt>
              </c:numCache>
            </c:numRef>
          </c:val>
          <c:smooth val="0"/>
          <c:extLst>
            <c:ext xmlns:c16="http://schemas.microsoft.com/office/drawing/2014/chart" uri="{C3380CC4-5D6E-409C-BE32-E72D297353CC}">
              <c16:uniqueId val="{00000000-D9C2-4282-984C-811A90F945E5}"/>
            </c:ext>
          </c:extLst>
        </c:ser>
        <c:ser>
          <c:idx val="1"/>
          <c:order val="1"/>
          <c:tx>
            <c:strRef>
              <c:f>'3 Promediosyniveles'!$D$136</c:f>
              <c:strCache>
                <c:ptCount val="1"/>
                <c:pt idx="0">
                  <c:v>COMUNA 1</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Promediosyniveles'!$B$137:$B$145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Promediosyniveles'!$D$137:$D$145</c:f>
              <c:numCache>
                <c:formatCode>0</c:formatCode>
                <c:ptCount val="9"/>
                <c:pt idx="0">
                  <c:v>50.588235294117645</c:v>
                </c:pt>
                <c:pt idx="1">
                  <c:v>50.8125</c:v>
                </c:pt>
                <c:pt idx="2">
                  <c:v>48.882352941176471</c:v>
                </c:pt>
                <c:pt idx="3">
                  <c:v>46.941176470588232</c:v>
                </c:pt>
                <c:pt idx="4">
                  <c:v>50.058823529411768</c:v>
                </c:pt>
                <c:pt idx="5">
                  <c:v>48.823529411764703</c:v>
                </c:pt>
                <c:pt idx="6">
                  <c:v>49.388888888888886</c:v>
                </c:pt>
                <c:pt idx="7">
                  <c:v>50.058823529411768</c:v>
                </c:pt>
                <c:pt idx="8">
                  <c:v>50.058823529411768</c:v>
                </c:pt>
              </c:numCache>
            </c:numRef>
          </c:val>
          <c:smooth val="0"/>
          <c:extLst>
            <c:ext xmlns:c16="http://schemas.microsoft.com/office/drawing/2014/chart" uri="{C3380CC4-5D6E-409C-BE32-E72D297353CC}">
              <c16:uniqueId val="{00000001-D9C2-4282-984C-811A90F945E5}"/>
            </c:ext>
          </c:extLst>
        </c:ser>
        <c:ser>
          <c:idx val="2"/>
          <c:order val="2"/>
          <c:tx>
            <c:strRef>
              <c:f>'3 Promediosyniveles'!$F$136</c:f>
              <c:strCache>
                <c:ptCount val="1"/>
                <c:pt idx="0">
                  <c:v>COMUNA 6 OFICIAL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Promediosyniveles'!$B$137:$B$145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Promediosyniveles'!$F$137:$F$145</c:f>
              <c:numCache>
                <c:formatCode>0</c:formatCode>
                <c:ptCount val="9"/>
                <c:pt idx="0">
                  <c:v>50.5</c:v>
                </c:pt>
                <c:pt idx="1">
                  <c:v>50</c:v>
                </c:pt>
                <c:pt idx="2">
                  <c:v>47.75</c:v>
                </c:pt>
                <c:pt idx="3">
                  <c:v>46.5</c:v>
                </c:pt>
                <c:pt idx="4">
                  <c:v>48.5</c:v>
                </c:pt>
                <c:pt idx="5">
                  <c:v>46.5</c:v>
                </c:pt>
                <c:pt idx="6">
                  <c:v>46.75</c:v>
                </c:pt>
                <c:pt idx="7">
                  <c:v>47.5</c:v>
                </c:pt>
                <c:pt idx="8">
                  <c:v>47.5</c:v>
                </c:pt>
              </c:numCache>
            </c:numRef>
          </c:val>
          <c:smooth val="0"/>
          <c:extLst>
            <c:ext xmlns:c16="http://schemas.microsoft.com/office/drawing/2014/chart" uri="{C3380CC4-5D6E-409C-BE32-E72D297353CC}">
              <c16:uniqueId val="{00000002-D9C2-4282-984C-811A90F945E5}"/>
            </c:ext>
          </c:extLst>
        </c:ser>
        <c:dLbls>
          <c:showLegendKey val="0"/>
          <c:showVal val="1"/>
          <c:showCatName val="0"/>
          <c:showSerName val="0"/>
          <c:showPercent val="0"/>
          <c:showBubbleSize val="0"/>
        </c:dLbls>
        <c:smooth val="0"/>
        <c:axId val="-2031619792"/>
        <c:axId val="-2031620880"/>
      </c:lineChart>
      <c:catAx>
        <c:axId val="-203161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620880"/>
        <c:crosses val="autoZero"/>
        <c:auto val="1"/>
        <c:lblAlgn val="ctr"/>
        <c:lblOffset val="100"/>
        <c:noMultiLvlLbl val="0"/>
      </c:catAx>
      <c:valAx>
        <c:axId val="-2031620880"/>
        <c:scaling>
          <c:orientation val="minMax"/>
        </c:scaling>
        <c:delete val="1"/>
        <c:axPos val="l"/>
        <c:numFmt formatCode="0" sourceLinked="1"/>
        <c:majorTickMark val="none"/>
        <c:minorTickMark val="none"/>
        <c:tickLblPos val="nextTo"/>
        <c:crossAx val="-2031619792"/>
        <c:crosses val="autoZero"/>
        <c:crossBetween val="between"/>
      </c:valAx>
      <c:spPr>
        <a:noFill/>
        <a:ln>
          <a:noFill/>
        </a:ln>
        <a:effectLst/>
      </c:spPr>
    </c:plotArea>
    <c:legend>
      <c:legendPos val="b"/>
      <c:layout>
        <c:manualLayout>
          <c:xMode val="edge"/>
          <c:yMode val="edge"/>
          <c:x val="3.7882633992069585E-2"/>
          <c:y val="0.89167128124742956"/>
          <c:w val="0.83717483918060442"/>
          <c:h val="4.622337253835251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a:t>PROMEDIO ÁREA </a:t>
            </a:r>
          </a:p>
          <a:p>
            <a:pPr>
              <a:defRPr b="1"/>
            </a:pPr>
            <a:r>
              <a:rPr lang="es-CO" sz="1400" b="1"/>
              <a:t>Ciencias Naturales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'3 Promediosyniveles'!$C$201</c:f>
              <c:strCache>
                <c:ptCount val="1"/>
                <c:pt idx="0">
                  <c:v>GIMNASIO NUEVO BOLIVAR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Promediosyniveles'!$B$202:$B$210</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Promediosyniveles'!$C$202:$C$210</c:f>
              <c:numCache>
                <c:formatCode>0</c:formatCode>
                <c:ptCount val="9"/>
                <c:pt idx="0">
                  <c:v>56</c:v>
                </c:pt>
                <c:pt idx="1">
                  <c:v>55</c:v>
                </c:pt>
                <c:pt idx="2">
                  <c:v>52</c:v>
                </c:pt>
                <c:pt idx="3">
                  <c:v>52</c:v>
                </c:pt>
                <c:pt idx="4">
                  <c:v>51</c:v>
                </c:pt>
                <c:pt idx="5">
                  <c:v>53</c:v>
                </c:pt>
                <c:pt idx="6">
                  <c:v>54</c:v>
                </c:pt>
                <c:pt idx="7">
                  <c:v>53</c:v>
                </c:pt>
                <c:pt idx="8">
                  <c:v>53</c:v>
                </c:pt>
              </c:numCache>
            </c:numRef>
          </c:val>
          <c:smooth val="0"/>
          <c:extLst>
            <c:ext xmlns:c16="http://schemas.microsoft.com/office/drawing/2014/chart" uri="{C3380CC4-5D6E-409C-BE32-E72D297353CC}">
              <c16:uniqueId val="{00000000-8417-40E4-A9E7-5964F3F51244}"/>
            </c:ext>
          </c:extLst>
        </c:ser>
        <c:ser>
          <c:idx val="1"/>
          <c:order val="1"/>
          <c:tx>
            <c:strRef>
              <c:f>'3 Promediosyniveles'!$D$201</c:f>
              <c:strCache>
                <c:ptCount val="1"/>
                <c:pt idx="0">
                  <c:v>COMUNA 1</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Promediosyniveles'!$B$202:$B$210</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Promediosyniveles'!$D$202:$D$210</c:f>
              <c:numCache>
                <c:formatCode>0</c:formatCode>
                <c:ptCount val="9"/>
                <c:pt idx="0">
                  <c:v>53.176470588235297</c:v>
                </c:pt>
                <c:pt idx="1">
                  <c:v>52.625</c:v>
                </c:pt>
                <c:pt idx="2">
                  <c:v>50.764705882352942</c:v>
                </c:pt>
                <c:pt idx="3">
                  <c:v>49.470588235294116</c:v>
                </c:pt>
                <c:pt idx="4">
                  <c:v>49.588235294117645</c:v>
                </c:pt>
                <c:pt idx="5">
                  <c:v>49.705882352941174</c:v>
                </c:pt>
                <c:pt idx="6">
                  <c:v>50.388888888888886</c:v>
                </c:pt>
                <c:pt idx="7">
                  <c:v>51.411764705882355</c:v>
                </c:pt>
                <c:pt idx="8">
                  <c:v>51.411764705882355</c:v>
                </c:pt>
              </c:numCache>
            </c:numRef>
          </c:val>
          <c:smooth val="0"/>
          <c:extLst>
            <c:ext xmlns:c16="http://schemas.microsoft.com/office/drawing/2014/chart" uri="{C3380CC4-5D6E-409C-BE32-E72D297353CC}">
              <c16:uniqueId val="{00000001-8417-40E4-A9E7-5964F3F51244}"/>
            </c:ext>
          </c:extLst>
        </c:ser>
        <c:ser>
          <c:idx val="2"/>
          <c:order val="2"/>
          <c:tx>
            <c:strRef>
              <c:f>'3 Promediosyniveles'!$F$201</c:f>
              <c:strCache>
                <c:ptCount val="1"/>
                <c:pt idx="0">
                  <c:v>COMUNA 6 OFICIAL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Promediosyniveles'!$B$202:$B$210</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Promediosyniveles'!$F$202:$F$210</c:f>
              <c:numCache>
                <c:formatCode>0</c:formatCode>
                <c:ptCount val="9"/>
                <c:pt idx="0">
                  <c:v>53</c:v>
                </c:pt>
                <c:pt idx="1">
                  <c:v>52</c:v>
                </c:pt>
                <c:pt idx="2">
                  <c:v>50.25</c:v>
                </c:pt>
                <c:pt idx="3">
                  <c:v>48.25</c:v>
                </c:pt>
                <c:pt idx="4">
                  <c:v>48.5</c:v>
                </c:pt>
                <c:pt idx="5">
                  <c:v>47.75</c:v>
                </c:pt>
                <c:pt idx="6">
                  <c:v>48.5</c:v>
                </c:pt>
                <c:pt idx="7">
                  <c:v>49</c:v>
                </c:pt>
                <c:pt idx="8">
                  <c:v>49</c:v>
                </c:pt>
              </c:numCache>
            </c:numRef>
          </c:val>
          <c:smooth val="0"/>
          <c:extLst>
            <c:ext xmlns:c16="http://schemas.microsoft.com/office/drawing/2014/chart" uri="{C3380CC4-5D6E-409C-BE32-E72D297353CC}">
              <c16:uniqueId val="{00000002-8417-40E4-A9E7-5964F3F51244}"/>
            </c:ext>
          </c:extLst>
        </c:ser>
        <c:dLbls>
          <c:showLegendKey val="0"/>
          <c:showVal val="1"/>
          <c:showCatName val="0"/>
          <c:showSerName val="0"/>
          <c:showPercent val="0"/>
          <c:showBubbleSize val="0"/>
        </c:dLbls>
        <c:smooth val="0"/>
        <c:axId val="-2031617072"/>
        <c:axId val="-2031612176"/>
      </c:lineChart>
      <c:catAx>
        <c:axId val="-2031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612176"/>
        <c:crosses val="autoZero"/>
        <c:auto val="1"/>
        <c:lblAlgn val="ctr"/>
        <c:lblOffset val="100"/>
        <c:noMultiLvlLbl val="0"/>
      </c:catAx>
      <c:valAx>
        <c:axId val="-2031612176"/>
        <c:scaling>
          <c:orientation val="minMax"/>
        </c:scaling>
        <c:delete val="1"/>
        <c:axPos val="l"/>
        <c:numFmt formatCode="0" sourceLinked="1"/>
        <c:majorTickMark val="none"/>
        <c:minorTickMark val="none"/>
        <c:tickLblPos val="nextTo"/>
        <c:crossAx val="-2031617072"/>
        <c:crosses val="autoZero"/>
        <c:crossBetween val="between"/>
      </c:valAx>
      <c:spPr>
        <a:noFill/>
        <a:ln>
          <a:noFill/>
        </a:ln>
        <a:effectLst/>
      </c:spPr>
    </c:plotArea>
    <c:legend>
      <c:legendPos val="b"/>
      <c:layout>
        <c:manualLayout>
          <c:xMode val="edge"/>
          <c:yMode val="edge"/>
          <c:x val="4.454397540291162E-2"/>
          <c:y val="0.93718189792682427"/>
          <c:w val="0.89999992558023245"/>
          <c:h val="4.811818850849507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b="1"/>
              <a:t>PROMEDIO ÁREA </a:t>
            </a:r>
          </a:p>
          <a:p>
            <a:pPr>
              <a:defRPr b="1"/>
            </a:pPr>
            <a:r>
              <a:rPr lang="es-CO" b="1"/>
              <a:t>Inglés</a:t>
            </a:r>
          </a:p>
        </c:rich>
      </c:tx>
      <c:layout>
        <c:manualLayout>
          <c:xMode val="edge"/>
          <c:yMode val="edge"/>
          <c:x val="0.3708097814047549"/>
          <c:y val="5.053146397758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547878978438005E-2"/>
          <c:y val="0.26295274014942516"/>
          <c:w val="0.93879373253622156"/>
          <c:h val="0.54126396948242828"/>
        </c:manualLayout>
      </c:layout>
      <c:lineChart>
        <c:grouping val="standard"/>
        <c:varyColors val="0"/>
        <c:ser>
          <c:idx val="0"/>
          <c:order val="0"/>
          <c:tx>
            <c:strRef>
              <c:f>'3 Promediosyniveles'!$C$262</c:f>
              <c:strCache>
                <c:ptCount val="1"/>
                <c:pt idx="0">
                  <c:v>GIMNASIO NUEVO BOLIVAR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Promediosyniveles'!$B$263:$B$271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Promediosyniveles'!$C$263:$C$271</c:f>
              <c:numCache>
                <c:formatCode>0</c:formatCode>
                <c:ptCount val="9"/>
                <c:pt idx="0">
                  <c:v>62</c:v>
                </c:pt>
                <c:pt idx="1">
                  <c:v>56</c:v>
                </c:pt>
                <c:pt idx="2">
                  <c:v>60</c:v>
                </c:pt>
                <c:pt idx="3">
                  <c:v>56</c:v>
                </c:pt>
                <c:pt idx="4">
                  <c:v>54</c:v>
                </c:pt>
                <c:pt idx="5">
                  <c:v>58</c:v>
                </c:pt>
                <c:pt idx="6">
                  <c:v>61</c:v>
                </c:pt>
                <c:pt idx="7">
                  <c:v>58</c:v>
                </c:pt>
                <c:pt idx="8">
                  <c:v>58</c:v>
                </c:pt>
              </c:numCache>
            </c:numRef>
          </c:val>
          <c:smooth val="0"/>
          <c:extLst>
            <c:ext xmlns:c16="http://schemas.microsoft.com/office/drawing/2014/chart" uri="{C3380CC4-5D6E-409C-BE32-E72D297353CC}">
              <c16:uniqueId val="{00000000-DE34-47D1-84F6-70922D336F07}"/>
            </c:ext>
          </c:extLst>
        </c:ser>
        <c:ser>
          <c:idx val="1"/>
          <c:order val="1"/>
          <c:tx>
            <c:strRef>
              <c:f>'3 Promediosyniveles'!$D$262</c:f>
              <c:strCache>
                <c:ptCount val="1"/>
                <c:pt idx="0">
                  <c:v>COMUNA 1</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Promediosyniveles'!$B$263:$B$271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Promediosyniveles'!$D$263:$D$271</c:f>
              <c:numCache>
                <c:formatCode>0</c:formatCode>
                <c:ptCount val="9"/>
                <c:pt idx="0">
                  <c:v>52.647058823529413</c:v>
                </c:pt>
                <c:pt idx="1">
                  <c:v>50.4375</c:v>
                </c:pt>
                <c:pt idx="2">
                  <c:v>52.117647058823529</c:v>
                </c:pt>
                <c:pt idx="3">
                  <c:v>50.058823529411768</c:v>
                </c:pt>
                <c:pt idx="4">
                  <c:v>48.058823529411768</c:v>
                </c:pt>
                <c:pt idx="5">
                  <c:v>52</c:v>
                </c:pt>
                <c:pt idx="6">
                  <c:v>52</c:v>
                </c:pt>
                <c:pt idx="7">
                  <c:v>53.058823529411768</c:v>
                </c:pt>
                <c:pt idx="8">
                  <c:v>54</c:v>
                </c:pt>
              </c:numCache>
            </c:numRef>
          </c:val>
          <c:smooth val="0"/>
          <c:extLst xmlns:c15="http://schemas.microsoft.com/office/drawing/2012/chart">
            <c:ext xmlns:c16="http://schemas.microsoft.com/office/drawing/2014/chart" uri="{C3380CC4-5D6E-409C-BE32-E72D297353CC}">
              <c16:uniqueId val="{00000001-DE34-47D1-84F6-70922D336F07}"/>
            </c:ext>
          </c:extLst>
        </c:ser>
        <c:ser>
          <c:idx val="2"/>
          <c:order val="2"/>
          <c:tx>
            <c:strRef>
              <c:f>'3 Promediosyniveles'!$F$262</c:f>
              <c:strCache>
                <c:ptCount val="1"/>
                <c:pt idx="0">
                  <c:v>COMUNA 6 OFICIAL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Promediosyniveles'!$B$263:$B$271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'3 Promediosyniveles'!$F$263:$F$271</c:f>
              <c:numCache>
                <c:formatCode>0</c:formatCode>
                <c:ptCount val="9"/>
                <c:pt idx="0">
                  <c:v>52.5</c:v>
                </c:pt>
                <c:pt idx="1">
                  <c:v>50</c:v>
                </c:pt>
                <c:pt idx="2">
                  <c:v>51</c:v>
                </c:pt>
                <c:pt idx="3">
                  <c:v>49.75</c:v>
                </c:pt>
                <c:pt idx="4">
                  <c:v>47.25</c:v>
                </c:pt>
                <c:pt idx="5">
                  <c:v>50.25</c:v>
                </c:pt>
                <c:pt idx="6">
                  <c:v>51.5</c:v>
                </c:pt>
                <c:pt idx="7">
                  <c:v>50.75</c:v>
                </c:pt>
                <c:pt idx="8">
                  <c:v>51.75</c:v>
                </c:pt>
              </c:numCache>
            </c:numRef>
          </c:val>
          <c:smooth val="0"/>
          <c:extLst xmlns:c15="http://schemas.microsoft.com/office/drawing/2012/chart">
            <c:ext xmlns:c16="http://schemas.microsoft.com/office/drawing/2014/chart" uri="{C3380CC4-5D6E-409C-BE32-E72D297353CC}">
              <c16:uniqueId val="{00000002-DE34-47D1-84F6-70922D336F07}"/>
            </c:ext>
          </c:extLst>
        </c:ser>
        <c:dLbls>
          <c:showLegendKey val="0"/>
          <c:showVal val="1"/>
          <c:showCatName val="0"/>
          <c:showSerName val="0"/>
          <c:showPercent val="0"/>
          <c:showBubbleSize val="0"/>
        </c:dLbls>
        <c:smooth val="0"/>
        <c:axId val="-2031621968"/>
        <c:axId val="-2031618704"/>
      </c:lineChart>
      <c:catAx>
        <c:axId val="-203162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618704"/>
        <c:crosses val="autoZero"/>
        <c:auto val="0"/>
        <c:lblAlgn val="ctr"/>
        <c:lblOffset val="100"/>
        <c:noMultiLvlLbl val="0"/>
      </c:catAx>
      <c:valAx>
        <c:axId val="-2031618704"/>
        <c:scaling>
          <c:orientation val="minMax"/>
          <c:min val="40"/>
        </c:scaling>
        <c:delete val="1"/>
        <c:axPos val="l"/>
        <c:numFmt formatCode="0" sourceLinked="1"/>
        <c:majorTickMark val="out"/>
        <c:minorTickMark val="none"/>
        <c:tickLblPos val="nextTo"/>
        <c:crossAx val="-203162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b="1"/>
          </a:p>
          <a:p>
            <a:pPr>
              <a:defRPr b="1"/>
            </a:pPr>
            <a:endParaRPr lang="es-CO" b="1"/>
          </a:p>
          <a:p>
            <a:pPr>
              <a:defRPr b="1"/>
            </a:pPr>
            <a:endParaRPr lang="es-CO" b="1"/>
          </a:p>
          <a:p>
            <a:pPr>
              <a:defRPr b="1"/>
            </a:pPr>
            <a:endParaRPr lang="es-CO" b="1"/>
          </a:p>
          <a:p>
            <a:pPr>
              <a:defRPr b="1"/>
            </a:pPr>
            <a:endParaRPr lang="es-CO" b="1"/>
          </a:p>
          <a:p>
            <a:pPr>
              <a:defRPr b="1"/>
            </a:pPr>
            <a:endParaRPr lang="es-CO" b="1"/>
          </a:p>
          <a:p>
            <a:pPr>
              <a:defRPr b="1"/>
            </a:pPr>
            <a:endParaRPr lang="es-CO" b="1"/>
          </a:p>
          <a:p>
            <a:pPr>
              <a:defRPr b="1"/>
            </a:pPr>
            <a:endParaRPr lang="es-CO" b="1"/>
          </a:p>
          <a:p>
            <a:pPr>
              <a:defRPr b="1"/>
            </a:pPr>
            <a:endParaRPr lang="es-CO" b="1"/>
          </a:p>
          <a:p>
            <a:pPr>
              <a:defRPr b="1"/>
            </a:pPr>
            <a:endParaRPr lang="es-CO" b="1"/>
          </a:p>
          <a:p>
            <a:pPr>
              <a:defRPr b="1"/>
            </a:pP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'3 Promediosyniveles'!$K$14</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Promediosyniveles'!$I$15:$J$41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Promediosyniveles'!$K$15:$K$41</c:f>
              <c:numCache>
                <c:formatCode>0%</c:formatCode>
                <c:ptCount val="27"/>
                <c:pt idx="0">
                  <c:v>0</c:v>
                </c:pt>
                <c:pt idx="1">
                  <c:v>9.4117647058823539E-3</c:v>
                </c:pt>
                <c:pt idx="2">
                  <c:v>6.6666666666666671E-3</c:v>
                </c:pt>
                <c:pt idx="3">
                  <c:v>0</c:v>
                </c:pt>
                <c:pt idx="4">
                  <c:v>1.2500000000000001E-2</c:v>
                </c:pt>
                <c:pt idx="5">
                  <c:v>6.6666666666666671E-3</c:v>
                </c:pt>
                <c:pt idx="6">
                  <c:v>0</c:v>
                </c:pt>
                <c:pt idx="8">
                  <c:v>2.6666666666666661E-2</c:v>
                </c:pt>
                <c:pt idx="9">
                  <c:v>0.05</c:v>
                </c:pt>
                <c:pt idx="10">
                  <c:v>1.6470588235294119E-2</c:v>
                </c:pt>
                <c:pt idx="11">
                  <c:v>2.3333333333333334E-2</c:v>
                </c:pt>
                <c:pt idx="12">
                  <c:v>0</c:v>
                </c:pt>
                <c:pt idx="13">
                  <c:v>2.5882352941176474E-2</c:v>
                </c:pt>
                <c:pt idx="14">
                  <c:v>0.03</c:v>
                </c:pt>
                <c:pt idx="15">
                  <c:v>0.04</c:v>
                </c:pt>
                <c:pt idx="16">
                  <c:v>1.1764705882352941E-2</c:v>
                </c:pt>
                <c:pt idx="17">
                  <c:v>3.3333333333333333E-2</c:v>
                </c:pt>
                <c:pt idx="18">
                  <c:v>0</c:v>
                </c:pt>
                <c:pt idx="19">
                  <c:v>2.0555555555555563E-2</c:v>
                </c:pt>
                <c:pt idx="20">
                  <c:v>2.7500000000000004E-2</c:v>
                </c:pt>
                <c:pt idx="21">
                  <c:v>0</c:v>
                </c:pt>
                <c:pt idx="22">
                  <c:v>1.8823529411764704E-2</c:v>
                </c:pt>
                <c:pt idx="23">
                  <c:v>2.5000000000000001E-2</c:v>
                </c:pt>
                <c:pt idx="24">
                  <c:v>0</c:v>
                </c:pt>
                <c:pt idx="25">
                  <c:v>2.1111111111111112E-2</c:v>
                </c:pt>
                <c:pt idx="26">
                  <c:v>1.7499999999999998E-2</c:v>
                </c:pt>
              </c:numCache>
            </c:numRef>
          </c:val>
          <c:extLst>
            <c:ext xmlns:c16="http://schemas.microsoft.com/office/drawing/2014/chart" uri="{C3380CC4-5D6E-409C-BE32-E72D297353CC}">
              <c16:uniqueId val="{00000000-CCA5-48CC-AD49-8F46E0412EAF}"/>
            </c:ext>
          </c:extLst>
        </c:ser>
        <c:ser>
          <c:idx val="1"/>
          <c:order val="1"/>
          <c:tx>
            <c:strRef>
              <c:f>'3 Promediosyniveles'!$L$14</c:f>
              <c:strCache>
                <c:ptCount val="1"/>
                <c:pt idx="0">
                  <c:v>2</c:v>
                </c:pt>
              </c:strCache>
            </c:strRef>
          </c:tx>
          <c:spPr>
            <a:solidFill>
              <a:srgbClr val="FF66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Promediosyniveles'!$I$15:$J$41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Promediosyniveles'!$L$15:$L$41</c:f>
              <c:numCache>
                <c:formatCode>0%</c:formatCode>
                <c:ptCount val="27"/>
                <c:pt idx="0">
                  <c:v>0.24</c:v>
                </c:pt>
                <c:pt idx="1">
                  <c:v>0.39588235294117652</c:v>
                </c:pt>
                <c:pt idx="2">
                  <c:v>0.41</c:v>
                </c:pt>
                <c:pt idx="3">
                  <c:v>0.25</c:v>
                </c:pt>
                <c:pt idx="4">
                  <c:v>0.32562500000000005</c:v>
                </c:pt>
                <c:pt idx="5">
                  <c:v>0.39999999999999997</c:v>
                </c:pt>
                <c:pt idx="6">
                  <c:v>0.3</c:v>
                </c:pt>
                <c:pt idx="8">
                  <c:v>0.41</c:v>
                </c:pt>
                <c:pt idx="9">
                  <c:v>0.24</c:v>
                </c:pt>
                <c:pt idx="10">
                  <c:v>0.35176470588235298</c:v>
                </c:pt>
                <c:pt idx="11">
                  <c:v>0.35666666666666663</c:v>
                </c:pt>
                <c:pt idx="12">
                  <c:v>0.2</c:v>
                </c:pt>
                <c:pt idx="13">
                  <c:v>0.29352941176470587</c:v>
                </c:pt>
                <c:pt idx="14">
                  <c:v>0.36000000000000004</c:v>
                </c:pt>
                <c:pt idx="15">
                  <c:v>0.19</c:v>
                </c:pt>
                <c:pt idx="16">
                  <c:v>0.31294117647058828</c:v>
                </c:pt>
                <c:pt idx="17">
                  <c:v>0.39666666666666667</c:v>
                </c:pt>
                <c:pt idx="18">
                  <c:v>0.11</c:v>
                </c:pt>
                <c:pt idx="19">
                  <c:v>0.28444444444444439</c:v>
                </c:pt>
                <c:pt idx="20">
                  <c:v>0.36999999999999994</c:v>
                </c:pt>
                <c:pt idx="21">
                  <c:v>0.26</c:v>
                </c:pt>
                <c:pt idx="22">
                  <c:v>0.28882352941176476</c:v>
                </c:pt>
                <c:pt idx="23">
                  <c:v>0.38749999999999996</c:v>
                </c:pt>
                <c:pt idx="24">
                  <c:v>0.17</c:v>
                </c:pt>
                <c:pt idx="25">
                  <c:v>0.23666666666666666</c:v>
                </c:pt>
                <c:pt idx="26">
                  <c:v>0.3125</c:v>
                </c:pt>
              </c:numCache>
            </c:numRef>
          </c:val>
          <c:extLst>
            <c:ext xmlns:c16="http://schemas.microsoft.com/office/drawing/2014/chart" uri="{C3380CC4-5D6E-409C-BE32-E72D297353CC}">
              <c16:uniqueId val="{00000001-CCA5-48CC-AD49-8F46E0412EAF}"/>
            </c:ext>
          </c:extLst>
        </c:ser>
        <c:ser>
          <c:idx val="2"/>
          <c:order val="2"/>
          <c:tx>
            <c:strRef>
              <c:f>'3 Promediosyniveles'!$M$14</c:f>
              <c:strCache>
                <c:ptCount val="1"/>
                <c:pt idx="0">
                  <c:v>3</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Promediosyniveles'!$I$15:$J$41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Promediosyniveles'!$M$15:$M$41</c:f>
              <c:numCache>
                <c:formatCode>0%</c:formatCode>
                <c:ptCount val="27"/>
                <c:pt idx="0">
                  <c:v>0.68</c:v>
                </c:pt>
                <c:pt idx="1">
                  <c:v>0.56000000000000005</c:v>
                </c:pt>
                <c:pt idx="2">
                  <c:v>0.54</c:v>
                </c:pt>
                <c:pt idx="3">
                  <c:v>0.56000000000000005</c:v>
                </c:pt>
                <c:pt idx="4">
                  <c:v>0.59625000000000006</c:v>
                </c:pt>
                <c:pt idx="5">
                  <c:v>0.54666666666666675</c:v>
                </c:pt>
                <c:pt idx="6">
                  <c:v>0.7</c:v>
                </c:pt>
                <c:pt idx="8">
                  <c:v>0.47666666666666663</c:v>
                </c:pt>
                <c:pt idx="9">
                  <c:v>0.68</c:v>
                </c:pt>
                <c:pt idx="10">
                  <c:v>0.54176470588235304</c:v>
                </c:pt>
                <c:pt idx="11">
                  <c:v>0.55000000000000004</c:v>
                </c:pt>
                <c:pt idx="12">
                  <c:v>0.71</c:v>
                </c:pt>
                <c:pt idx="13">
                  <c:v>0.6029411764705882</c:v>
                </c:pt>
                <c:pt idx="14">
                  <c:v>0.53666666666666663</c:v>
                </c:pt>
                <c:pt idx="15">
                  <c:v>0.55000000000000004</c:v>
                </c:pt>
                <c:pt idx="16">
                  <c:v>0.56647058823529406</c:v>
                </c:pt>
                <c:pt idx="17">
                  <c:v>0.5033333333333333</c:v>
                </c:pt>
                <c:pt idx="18">
                  <c:v>0.7</c:v>
                </c:pt>
                <c:pt idx="19">
                  <c:v>0.60222222222222221</c:v>
                </c:pt>
                <c:pt idx="20">
                  <c:v>0.53750000000000009</c:v>
                </c:pt>
                <c:pt idx="21">
                  <c:v>0.56000000000000005</c:v>
                </c:pt>
                <c:pt idx="22">
                  <c:v>0.59294117647058819</c:v>
                </c:pt>
                <c:pt idx="23">
                  <c:v>0.53750000000000009</c:v>
                </c:pt>
                <c:pt idx="24">
                  <c:v>0.69</c:v>
                </c:pt>
                <c:pt idx="25">
                  <c:v>0.63555555555555543</c:v>
                </c:pt>
                <c:pt idx="26">
                  <c:v>0.57500000000000007</c:v>
                </c:pt>
              </c:numCache>
            </c:numRef>
          </c:val>
          <c:extLst>
            <c:ext xmlns:c16="http://schemas.microsoft.com/office/drawing/2014/chart" uri="{C3380CC4-5D6E-409C-BE32-E72D297353CC}">
              <c16:uniqueId val="{00000002-CCA5-48CC-AD49-8F46E0412EAF}"/>
            </c:ext>
          </c:extLst>
        </c:ser>
        <c:ser>
          <c:idx val="3"/>
          <c:order val="3"/>
          <c:tx>
            <c:strRef>
              <c:f>'3 Promediosyniveles'!$N$14</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Promediosyniveles'!$I$15:$J$41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Promediosyniveles'!$N$15:$N$41</c:f>
              <c:numCache>
                <c:formatCode>0%</c:formatCode>
                <c:ptCount val="27"/>
                <c:pt idx="0">
                  <c:v>7.0000000000000007E-2</c:v>
                </c:pt>
                <c:pt idx="1">
                  <c:v>3.7647058823529415E-2</c:v>
                </c:pt>
                <c:pt idx="2">
                  <c:v>4.3333333333333335E-2</c:v>
                </c:pt>
                <c:pt idx="3">
                  <c:v>0.19</c:v>
                </c:pt>
                <c:pt idx="4">
                  <c:v>6.6250000000000003E-2</c:v>
                </c:pt>
                <c:pt idx="5">
                  <c:v>4.6666666666666669E-2</c:v>
                </c:pt>
                <c:pt idx="6">
                  <c:v>0</c:v>
                </c:pt>
                <c:pt idx="8">
                  <c:v>8.666666666666667E-2</c:v>
                </c:pt>
                <c:pt idx="9">
                  <c:v>0.03</c:v>
                </c:pt>
                <c:pt idx="10">
                  <c:v>0.09</c:v>
                </c:pt>
                <c:pt idx="11">
                  <c:v>7.3333333333333348E-2</c:v>
                </c:pt>
                <c:pt idx="12">
                  <c:v>0.08</c:v>
                </c:pt>
                <c:pt idx="13">
                  <c:v>7.7647058823529416E-2</c:v>
                </c:pt>
                <c:pt idx="14">
                  <c:v>7.6666666666666675E-2</c:v>
                </c:pt>
                <c:pt idx="15">
                  <c:v>0.23</c:v>
                </c:pt>
                <c:pt idx="16">
                  <c:v>0.10705882352941178</c:v>
                </c:pt>
                <c:pt idx="17">
                  <c:v>7.3333333333333334E-2</c:v>
                </c:pt>
                <c:pt idx="18">
                  <c:v>0.19</c:v>
                </c:pt>
                <c:pt idx="19">
                  <c:v>9.3333333333333324E-2</c:v>
                </c:pt>
                <c:pt idx="20">
                  <c:v>6.25E-2</c:v>
                </c:pt>
                <c:pt idx="21">
                  <c:v>0.18</c:v>
                </c:pt>
                <c:pt idx="22">
                  <c:v>0.10058823529411766</c:v>
                </c:pt>
                <c:pt idx="23">
                  <c:v>0.05</c:v>
                </c:pt>
                <c:pt idx="24">
                  <c:v>0.14000000000000001</c:v>
                </c:pt>
                <c:pt idx="25">
                  <c:v>0.11</c:v>
                </c:pt>
                <c:pt idx="26">
                  <c:v>0.09</c:v>
                </c:pt>
              </c:numCache>
            </c:numRef>
          </c:val>
          <c:extLst>
            <c:ext xmlns:c16="http://schemas.microsoft.com/office/drawing/2014/chart" uri="{C3380CC4-5D6E-409C-BE32-E72D297353CC}">
              <c16:uniqueId val="{00000003-CCA5-48CC-AD49-8F46E0412EAF}"/>
            </c:ext>
          </c:extLst>
        </c:ser>
        <c:dLbls>
          <c:showLegendKey val="0"/>
          <c:showVal val="0"/>
          <c:showCatName val="0"/>
          <c:showSerName val="0"/>
          <c:showPercent val="0"/>
          <c:showBubbleSize val="0"/>
        </c:dLbls>
        <c:gapWidth val="150"/>
        <c:overlap val="100"/>
        <c:axId val="419681552"/>
        <c:axId val="419681968"/>
      </c:barChart>
      <c:catAx>
        <c:axId val="419681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968"/>
        <c:crosses val="autoZero"/>
        <c:auto val="1"/>
        <c:lblAlgn val="ctr"/>
        <c:lblOffset val="100"/>
        <c:noMultiLvlLbl val="0"/>
      </c:catAx>
      <c:valAx>
        <c:axId val="419681968"/>
        <c:scaling>
          <c:orientation val="minMax"/>
          <c:max val="1"/>
        </c:scaling>
        <c:delete val="0"/>
        <c:axPos val="l"/>
        <c:majorGridlines>
          <c:spPr>
            <a:ln w="9525" cap="flat" cmpd="sng" algn="ctr">
              <a:solidFill>
                <a:schemeClr val="bg1"/>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b="1"/>
              <a:t>Porcentaje de estudiantes por niveles de desempeño</a:t>
            </a:r>
          </a:p>
          <a:p>
            <a:pPr>
              <a:defRPr b="1"/>
            </a:pPr>
            <a:r>
              <a:rPr lang="es-CO" b="1"/>
              <a:t>Matemáticas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6349913519790802E-2"/>
          <c:y val="0.11601590038758022"/>
          <c:w val="0.92597295827438564"/>
          <c:h val="0.50639522678848303"/>
        </c:manualLayout>
      </c:layout>
      <c:barChart>
        <c:barDir val="col"/>
        <c:grouping val="stacked"/>
        <c:varyColors val="0"/>
        <c:ser>
          <c:idx val="0"/>
          <c:order val="0"/>
          <c:tx>
            <c:strRef>
              <c:f>'3 Promediosyniveles'!$K$74</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Promediosyniveles'!$I$75:$J$101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Promediosyniveles'!$K$75:$K$101</c:f>
              <c:numCache>
                <c:formatCode>0%</c:formatCode>
                <c:ptCount val="27"/>
                <c:pt idx="0">
                  <c:v>0.05</c:v>
                </c:pt>
                <c:pt idx="1">
                  <c:v>5.4117647058823541E-2</c:v>
                </c:pt>
                <c:pt idx="2">
                  <c:v>0.04</c:v>
                </c:pt>
                <c:pt idx="3">
                  <c:v>0</c:v>
                </c:pt>
                <c:pt idx="4">
                  <c:v>5.7222222222222209E-2</c:v>
                </c:pt>
                <c:pt idx="5">
                  <c:v>6.25E-2</c:v>
                </c:pt>
                <c:pt idx="6">
                  <c:v>0</c:v>
                </c:pt>
                <c:pt idx="7">
                  <c:v>4.2777777777777783E-2</c:v>
                </c:pt>
                <c:pt idx="8">
                  <c:v>5.2499999999999998E-2</c:v>
                </c:pt>
                <c:pt idx="9">
                  <c:v>0.03</c:v>
                </c:pt>
                <c:pt idx="10">
                  <c:v>3.2777777777777781E-2</c:v>
                </c:pt>
                <c:pt idx="11">
                  <c:v>4.2500000000000003E-2</c:v>
                </c:pt>
                <c:pt idx="12">
                  <c:v>0.03</c:v>
                </c:pt>
                <c:pt idx="13">
                  <c:v>3.529411764705883E-2</c:v>
                </c:pt>
                <c:pt idx="14">
                  <c:v>2.7500000000000004E-2</c:v>
                </c:pt>
                <c:pt idx="15">
                  <c:v>0.04</c:v>
                </c:pt>
                <c:pt idx="16">
                  <c:v>4.3529411764705886E-2</c:v>
                </c:pt>
                <c:pt idx="17">
                  <c:v>5.2499999999999998E-2</c:v>
                </c:pt>
                <c:pt idx="18">
                  <c:v>0.03</c:v>
                </c:pt>
                <c:pt idx="19">
                  <c:v>4.9444444444444444E-2</c:v>
                </c:pt>
                <c:pt idx="20">
                  <c:v>0.09</c:v>
                </c:pt>
                <c:pt idx="21">
                  <c:v>0.03</c:v>
                </c:pt>
                <c:pt idx="22">
                  <c:v>3.5882352941176476E-2</c:v>
                </c:pt>
                <c:pt idx="23">
                  <c:v>7.2500000000000009E-2</c:v>
                </c:pt>
                <c:pt idx="24">
                  <c:v>0</c:v>
                </c:pt>
                <c:pt idx="25">
                  <c:v>4.0555555555555553E-2</c:v>
                </c:pt>
                <c:pt idx="26">
                  <c:v>6.25E-2</c:v>
                </c:pt>
              </c:numCache>
            </c:numRef>
          </c:val>
          <c:extLst>
            <c:ext xmlns:c16="http://schemas.microsoft.com/office/drawing/2014/chart" uri="{C3380CC4-5D6E-409C-BE32-E72D297353CC}">
              <c16:uniqueId val="{00000000-EA10-4777-A858-C2626BB091A8}"/>
            </c:ext>
          </c:extLst>
        </c:ser>
        <c:ser>
          <c:idx val="1"/>
          <c:order val="1"/>
          <c:tx>
            <c:strRef>
              <c:f>'3 Promediosyniveles'!$L$74</c:f>
              <c:strCache>
                <c:ptCount val="1"/>
                <c:pt idx="0">
                  <c:v>2</c:v>
                </c:pt>
              </c:strCache>
            </c:strRef>
          </c:tx>
          <c:spPr>
            <a:solidFill>
              <a:srgbClr val="FF66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Promediosyniveles'!$I$75:$J$101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Promediosyniveles'!$L$75:$L$101</c:f>
              <c:numCache>
                <c:formatCode>0%</c:formatCode>
                <c:ptCount val="27"/>
                <c:pt idx="0">
                  <c:v>0.27</c:v>
                </c:pt>
                <c:pt idx="1">
                  <c:v>0.39411764705882346</c:v>
                </c:pt>
                <c:pt idx="2">
                  <c:v>0.495</c:v>
                </c:pt>
                <c:pt idx="3">
                  <c:v>0.31</c:v>
                </c:pt>
                <c:pt idx="4">
                  <c:v>0.40166666666666667</c:v>
                </c:pt>
                <c:pt idx="5">
                  <c:v>0.42499999999999999</c:v>
                </c:pt>
                <c:pt idx="6">
                  <c:v>0.33</c:v>
                </c:pt>
                <c:pt idx="7">
                  <c:v>0.39777777777777773</c:v>
                </c:pt>
                <c:pt idx="8">
                  <c:v>0.46</c:v>
                </c:pt>
                <c:pt idx="9">
                  <c:v>0.3</c:v>
                </c:pt>
                <c:pt idx="10">
                  <c:v>0.34333333333333338</c:v>
                </c:pt>
                <c:pt idx="11">
                  <c:v>0.38</c:v>
                </c:pt>
                <c:pt idx="12">
                  <c:v>0.28999999999999998</c:v>
                </c:pt>
                <c:pt idx="13">
                  <c:v>0.36000000000000004</c:v>
                </c:pt>
                <c:pt idx="14">
                  <c:v>0.38750000000000007</c:v>
                </c:pt>
                <c:pt idx="15">
                  <c:v>0.23</c:v>
                </c:pt>
                <c:pt idx="16">
                  <c:v>0.36764705882352944</c:v>
                </c:pt>
                <c:pt idx="17">
                  <c:v>0.49</c:v>
                </c:pt>
                <c:pt idx="18">
                  <c:v>0.3</c:v>
                </c:pt>
                <c:pt idx="19">
                  <c:v>0.35777777777777781</c:v>
                </c:pt>
                <c:pt idx="20">
                  <c:v>0.41750000000000004</c:v>
                </c:pt>
                <c:pt idx="21">
                  <c:v>0.38</c:v>
                </c:pt>
                <c:pt idx="22">
                  <c:v>0.35235294117647059</c:v>
                </c:pt>
                <c:pt idx="23">
                  <c:v>0.43</c:v>
                </c:pt>
                <c:pt idx="24">
                  <c:v>0.31</c:v>
                </c:pt>
                <c:pt idx="25">
                  <c:v>0.32222222222222219</c:v>
                </c:pt>
                <c:pt idx="26">
                  <c:v>0.41000000000000003</c:v>
                </c:pt>
              </c:numCache>
            </c:numRef>
          </c:val>
          <c:extLst>
            <c:ext xmlns:c16="http://schemas.microsoft.com/office/drawing/2014/chart" uri="{C3380CC4-5D6E-409C-BE32-E72D297353CC}">
              <c16:uniqueId val="{00000001-EA10-4777-A858-C2626BB091A8}"/>
            </c:ext>
          </c:extLst>
        </c:ser>
        <c:ser>
          <c:idx val="2"/>
          <c:order val="2"/>
          <c:tx>
            <c:strRef>
              <c:f>'3 Promediosyniveles'!$M$74</c:f>
              <c:strCache>
                <c:ptCount val="1"/>
                <c:pt idx="0">
                  <c:v>3</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Promediosyniveles'!$I$75:$J$101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Promediosyniveles'!$M$75:$M$101</c:f>
              <c:numCache>
                <c:formatCode>0%</c:formatCode>
                <c:ptCount val="27"/>
                <c:pt idx="0">
                  <c:v>0.66</c:v>
                </c:pt>
                <c:pt idx="1">
                  <c:v>0.54294117647058826</c:v>
                </c:pt>
                <c:pt idx="2">
                  <c:v>0.45499999999999996</c:v>
                </c:pt>
                <c:pt idx="3">
                  <c:v>0.64</c:v>
                </c:pt>
                <c:pt idx="4">
                  <c:v>0.51555555555555566</c:v>
                </c:pt>
                <c:pt idx="5">
                  <c:v>0.49999999999999994</c:v>
                </c:pt>
                <c:pt idx="6">
                  <c:v>0.64</c:v>
                </c:pt>
                <c:pt idx="7">
                  <c:v>0.52555555555555555</c:v>
                </c:pt>
                <c:pt idx="8">
                  <c:v>0.47499999999999998</c:v>
                </c:pt>
                <c:pt idx="9">
                  <c:v>0.65</c:v>
                </c:pt>
                <c:pt idx="10">
                  <c:v>0.60055555555555562</c:v>
                </c:pt>
                <c:pt idx="11">
                  <c:v>0.57250000000000001</c:v>
                </c:pt>
                <c:pt idx="12">
                  <c:v>0.64</c:v>
                </c:pt>
                <c:pt idx="13">
                  <c:v>0.57352941176470584</c:v>
                </c:pt>
                <c:pt idx="14">
                  <c:v>0.55000000000000004</c:v>
                </c:pt>
                <c:pt idx="15">
                  <c:v>0.68</c:v>
                </c:pt>
                <c:pt idx="16">
                  <c:v>0.56176470588235294</c:v>
                </c:pt>
                <c:pt idx="17">
                  <c:v>0.44499999999999995</c:v>
                </c:pt>
                <c:pt idx="18">
                  <c:v>0.59</c:v>
                </c:pt>
                <c:pt idx="19">
                  <c:v>0.57055555555555559</c:v>
                </c:pt>
                <c:pt idx="20">
                  <c:v>0.48</c:v>
                </c:pt>
                <c:pt idx="21">
                  <c:v>0.53</c:v>
                </c:pt>
                <c:pt idx="22">
                  <c:v>0.56294117647058817</c:v>
                </c:pt>
                <c:pt idx="23">
                  <c:v>0.47</c:v>
                </c:pt>
                <c:pt idx="24">
                  <c:v>0.64</c:v>
                </c:pt>
                <c:pt idx="25">
                  <c:v>0.58444444444444466</c:v>
                </c:pt>
                <c:pt idx="26">
                  <c:v>0.49500000000000005</c:v>
                </c:pt>
              </c:numCache>
            </c:numRef>
          </c:val>
          <c:extLst>
            <c:ext xmlns:c16="http://schemas.microsoft.com/office/drawing/2014/chart" uri="{C3380CC4-5D6E-409C-BE32-E72D297353CC}">
              <c16:uniqueId val="{00000002-EA10-4777-A858-C2626BB091A8}"/>
            </c:ext>
          </c:extLst>
        </c:ser>
        <c:ser>
          <c:idx val="3"/>
          <c:order val="3"/>
          <c:tx>
            <c:strRef>
              <c:f>'3 Promediosyniveles'!$N$74</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Promediosyniveles'!$I$75:$J$101</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Promediosyniveles'!$N$75:$N$101</c:f>
              <c:numCache>
                <c:formatCode>0%</c:formatCode>
                <c:ptCount val="27"/>
                <c:pt idx="0">
                  <c:v>0.02</c:v>
                </c:pt>
                <c:pt idx="1">
                  <c:v>9.4117647058823539E-3</c:v>
                </c:pt>
                <c:pt idx="2">
                  <c:v>0.01</c:v>
                </c:pt>
                <c:pt idx="3">
                  <c:v>0.06</c:v>
                </c:pt>
                <c:pt idx="4">
                  <c:v>2.6111111111111116E-2</c:v>
                </c:pt>
                <c:pt idx="5">
                  <c:v>1.7499999999999998E-2</c:v>
                </c:pt>
                <c:pt idx="6">
                  <c:v>0.03</c:v>
                </c:pt>
                <c:pt idx="7">
                  <c:v>3.4444444444444451E-2</c:v>
                </c:pt>
                <c:pt idx="8">
                  <c:v>1.2500000000000001E-2</c:v>
                </c:pt>
                <c:pt idx="9">
                  <c:v>0.03</c:v>
                </c:pt>
                <c:pt idx="10">
                  <c:v>2.4444444444444446E-2</c:v>
                </c:pt>
                <c:pt idx="11">
                  <c:v>1.2500000000000001E-2</c:v>
                </c:pt>
                <c:pt idx="12">
                  <c:v>0.03</c:v>
                </c:pt>
                <c:pt idx="13">
                  <c:v>3.2941176470588238E-2</c:v>
                </c:pt>
                <c:pt idx="14">
                  <c:v>3.5000000000000003E-2</c:v>
                </c:pt>
                <c:pt idx="15">
                  <c:v>0.06</c:v>
                </c:pt>
                <c:pt idx="16">
                  <c:v>2.7058823529411767E-2</c:v>
                </c:pt>
                <c:pt idx="17">
                  <c:v>1.7500000000000002E-2</c:v>
                </c:pt>
                <c:pt idx="18">
                  <c:v>0.08</c:v>
                </c:pt>
                <c:pt idx="19">
                  <c:v>2.3333333333333331E-2</c:v>
                </c:pt>
                <c:pt idx="20">
                  <c:v>0.01</c:v>
                </c:pt>
                <c:pt idx="21">
                  <c:v>0.06</c:v>
                </c:pt>
                <c:pt idx="22">
                  <c:v>4.8235294117647071E-2</c:v>
                </c:pt>
                <c:pt idx="23">
                  <c:v>3.2500000000000001E-2</c:v>
                </c:pt>
                <c:pt idx="24">
                  <c:v>0.06</c:v>
                </c:pt>
                <c:pt idx="25">
                  <c:v>5.3333333333333344E-2</c:v>
                </c:pt>
                <c:pt idx="26">
                  <c:v>0.03</c:v>
                </c:pt>
              </c:numCache>
            </c:numRef>
          </c:val>
          <c:extLst>
            <c:ext xmlns:c16="http://schemas.microsoft.com/office/drawing/2014/chart" uri="{C3380CC4-5D6E-409C-BE32-E72D297353CC}">
              <c16:uniqueId val="{00000003-EA10-4777-A858-C2626BB091A8}"/>
            </c:ext>
          </c:extLst>
        </c:ser>
        <c:dLbls>
          <c:showLegendKey val="0"/>
          <c:showVal val="0"/>
          <c:showCatName val="0"/>
          <c:showSerName val="0"/>
          <c:showPercent val="0"/>
          <c:showBubbleSize val="0"/>
        </c:dLbls>
        <c:gapWidth val="150"/>
        <c:overlap val="100"/>
        <c:axId val="419681552"/>
        <c:axId val="419681968"/>
      </c:barChart>
      <c:catAx>
        <c:axId val="419681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968"/>
        <c:crosses val="autoZero"/>
        <c:auto val="1"/>
        <c:lblAlgn val="ctr"/>
        <c:lblOffset val="100"/>
        <c:noMultiLvlLbl val="0"/>
      </c:catAx>
      <c:valAx>
        <c:axId val="419681968"/>
        <c:scaling>
          <c:orientation val="minMax"/>
          <c:max val="1"/>
        </c:scaling>
        <c:delete val="0"/>
        <c:axPos val="l"/>
        <c:majorGridlines>
          <c:spPr>
            <a:ln w="9525" cap="flat" cmpd="sng" algn="ctr">
              <a:solidFill>
                <a:schemeClr val="bg1"/>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b="1"/>
              <a:t>Porcentaje de estudiantes por niveles de desempeño</a:t>
            </a:r>
          </a:p>
          <a:p>
            <a:pPr>
              <a:defRPr b="1"/>
            </a:pPr>
            <a:r>
              <a:rPr lang="es-CO" b="1"/>
              <a:t>Sociales y Ciudadanas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6349913519790802E-2"/>
          <c:y val="0.11601590038758022"/>
          <c:w val="0.91042416682974181"/>
          <c:h val="0.51189431804926688"/>
        </c:manualLayout>
      </c:layout>
      <c:barChart>
        <c:barDir val="col"/>
        <c:grouping val="stacked"/>
        <c:varyColors val="0"/>
        <c:ser>
          <c:idx val="0"/>
          <c:order val="0"/>
          <c:tx>
            <c:strRef>
              <c:f>'3 Promediosyniveles'!$K$138</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Promediosyniveles'!$I$139:$J$165</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Promediosyniveles'!$K$139:$K$165</c:f>
              <c:numCache>
                <c:formatCode>0%</c:formatCode>
                <c:ptCount val="27"/>
                <c:pt idx="0">
                  <c:v>0.1</c:v>
                </c:pt>
                <c:pt idx="1">
                  <c:v>0.1735294117647059</c:v>
                </c:pt>
                <c:pt idx="2">
                  <c:v>0.14000000000000001</c:v>
                </c:pt>
                <c:pt idx="3">
                  <c:v>0.06</c:v>
                </c:pt>
                <c:pt idx="4">
                  <c:v>0.15624999999999994</c:v>
                </c:pt>
                <c:pt idx="5">
                  <c:v>0.1575</c:v>
                </c:pt>
                <c:pt idx="6">
                  <c:v>0.21</c:v>
                </c:pt>
                <c:pt idx="7">
                  <c:v>0.23117647058823532</c:v>
                </c:pt>
                <c:pt idx="8">
                  <c:v>0.26500000000000001</c:v>
                </c:pt>
                <c:pt idx="9">
                  <c:v>0.16</c:v>
                </c:pt>
                <c:pt idx="10">
                  <c:v>0.29705882352941188</c:v>
                </c:pt>
                <c:pt idx="11">
                  <c:v>0.3125</c:v>
                </c:pt>
                <c:pt idx="12">
                  <c:v>0.08</c:v>
                </c:pt>
                <c:pt idx="13">
                  <c:v>0.20705882352941171</c:v>
                </c:pt>
                <c:pt idx="14">
                  <c:v>0.23249999999999998</c:v>
                </c:pt>
                <c:pt idx="15">
                  <c:v>0.19</c:v>
                </c:pt>
                <c:pt idx="16">
                  <c:v>0.21411764705882352</c:v>
                </c:pt>
                <c:pt idx="17">
                  <c:v>0.29500000000000004</c:v>
                </c:pt>
                <c:pt idx="18">
                  <c:v>0.08</c:v>
                </c:pt>
                <c:pt idx="19">
                  <c:v>0.2277777777777778</c:v>
                </c:pt>
                <c:pt idx="20">
                  <c:v>0.30999999999999994</c:v>
                </c:pt>
                <c:pt idx="21">
                  <c:v>0.12</c:v>
                </c:pt>
                <c:pt idx="22">
                  <c:v>0.18470588235294116</c:v>
                </c:pt>
                <c:pt idx="23">
                  <c:v>0.27</c:v>
                </c:pt>
                <c:pt idx="24">
                  <c:v>0.19</c:v>
                </c:pt>
                <c:pt idx="25">
                  <c:v>0.20111111111111113</c:v>
                </c:pt>
                <c:pt idx="26">
                  <c:v>0.26</c:v>
                </c:pt>
              </c:numCache>
            </c:numRef>
          </c:val>
          <c:extLst>
            <c:ext xmlns:c16="http://schemas.microsoft.com/office/drawing/2014/chart" uri="{C3380CC4-5D6E-409C-BE32-E72D297353CC}">
              <c16:uniqueId val="{00000000-65C9-4603-AEA2-99BA8F0A933A}"/>
            </c:ext>
          </c:extLst>
        </c:ser>
        <c:ser>
          <c:idx val="1"/>
          <c:order val="1"/>
          <c:tx>
            <c:strRef>
              <c:f>'3 Promediosyniveles'!$L$138</c:f>
              <c:strCache>
                <c:ptCount val="1"/>
                <c:pt idx="0">
                  <c:v>2</c:v>
                </c:pt>
              </c:strCache>
            </c:strRef>
          </c:tx>
          <c:spPr>
            <a:solidFill>
              <a:srgbClr val="FF66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Promediosyniveles'!$I$139:$J$165</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Promediosyniveles'!$L$139:$L$165</c:f>
              <c:numCache>
                <c:formatCode>0%</c:formatCode>
                <c:ptCount val="27"/>
                <c:pt idx="0">
                  <c:v>0.41</c:v>
                </c:pt>
                <c:pt idx="1">
                  <c:v>0.53647058823529414</c:v>
                </c:pt>
                <c:pt idx="2">
                  <c:v>0.58249999999999991</c:v>
                </c:pt>
                <c:pt idx="3">
                  <c:v>0.56000000000000005</c:v>
                </c:pt>
                <c:pt idx="4">
                  <c:v>0.51500000000000001</c:v>
                </c:pt>
                <c:pt idx="5">
                  <c:v>0.53249999999999997</c:v>
                </c:pt>
                <c:pt idx="6">
                  <c:v>0.48</c:v>
                </c:pt>
                <c:pt idx="7">
                  <c:v>0.49411764705882355</c:v>
                </c:pt>
                <c:pt idx="8">
                  <c:v>0.49249999999999999</c:v>
                </c:pt>
                <c:pt idx="9">
                  <c:v>0.51</c:v>
                </c:pt>
                <c:pt idx="10">
                  <c:v>0.48235294117647065</c:v>
                </c:pt>
                <c:pt idx="11">
                  <c:v>0.50750000000000006</c:v>
                </c:pt>
                <c:pt idx="12">
                  <c:v>0.56000000000000005</c:v>
                </c:pt>
                <c:pt idx="13">
                  <c:v>0.47764705882352937</c:v>
                </c:pt>
                <c:pt idx="14">
                  <c:v>0.50750000000000006</c:v>
                </c:pt>
                <c:pt idx="15">
                  <c:v>0.4</c:v>
                </c:pt>
                <c:pt idx="16">
                  <c:v>0.53117647058823536</c:v>
                </c:pt>
                <c:pt idx="17">
                  <c:v>0.51249999999999996</c:v>
                </c:pt>
                <c:pt idx="18">
                  <c:v>0.46</c:v>
                </c:pt>
                <c:pt idx="19">
                  <c:v>0.43555555555555553</c:v>
                </c:pt>
                <c:pt idx="20">
                  <c:v>0.46499999999999997</c:v>
                </c:pt>
                <c:pt idx="21">
                  <c:v>0.47</c:v>
                </c:pt>
                <c:pt idx="22">
                  <c:v>0.5</c:v>
                </c:pt>
                <c:pt idx="23">
                  <c:v>0.5</c:v>
                </c:pt>
                <c:pt idx="24">
                  <c:v>0.42</c:v>
                </c:pt>
                <c:pt idx="25">
                  <c:v>0.48055555555555557</c:v>
                </c:pt>
                <c:pt idx="26">
                  <c:v>0.48499999999999999</c:v>
                </c:pt>
              </c:numCache>
            </c:numRef>
          </c:val>
          <c:extLst>
            <c:ext xmlns:c16="http://schemas.microsoft.com/office/drawing/2014/chart" uri="{C3380CC4-5D6E-409C-BE32-E72D297353CC}">
              <c16:uniqueId val="{00000001-65C9-4603-AEA2-99BA8F0A933A}"/>
            </c:ext>
          </c:extLst>
        </c:ser>
        <c:ser>
          <c:idx val="2"/>
          <c:order val="2"/>
          <c:tx>
            <c:strRef>
              <c:f>'3 Promediosyniveles'!$M$138</c:f>
              <c:strCache>
                <c:ptCount val="1"/>
                <c:pt idx="0">
                  <c:v>3</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Promediosyniveles'!$I$139:$J$165</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Promediosyniveles'!$M$139:$M$165</c:f>
              <c:numCache>
                <c:formatCode>0%</c:formatCode>
                <c:ptCount val="27"/>
                <c:pt idx="0">
                  <c:v>0.44</c:v>
                </c:pt>
                <c:pt idx="1">
                  <c:v>0.28764705882352942</c:v>
                </c:pt>
                <c:pt idx="2">
                  <c:v>0.27250000000000002</c:v>
                </c:pt>
                <c:pt idx="3">
                  <c:v>0.36</c:v>
                </c:pt>
                <c:pt idx="4">
                  <c:v>0.30875000000000002</c:v>
                </c:pt>
                <c:pt idx="5">
                  <c:v>0.29749999999999999</c:v>
                </c:pt>
                <c:pt idx="6">
                  <c:v>0.3</c:v>
                </c:pt>
                <c:pt idx="7">
                  <c:v>0.25352941176470584</c:v>
                </c:pt>
                <c:pt idx="8">
                  <c:v>0.23</c:v>
                </c:pt>
                <c:pt idx="9">
                  <c:v>0.3</c:v>
                </c:pt>
                <c:pt idx="10">
                  <c:v>0.21411764705882352</c:v>
                </c:pt>
                <c:pt idx="11">
                  <c:v>0.16750000000000001</c:v>
                </c:pt>
                <c:pt idx="12">
                  <c:v>0.36</c:v>
                </c:pt>
                <c:pt idx="13">
                  <c:v>0.29647058823529415</c:v>
                </c:pt>
                <c:pt idx="14">
                  <c:v>0.24249999999999999</c:v>
                </c:pt>
                <c:pt idx="15">
                  <c:v>0.38</c:v>
                </c:pt>
                <c:pt idx="16">
                  <c:v>0.24117647058823527</c:v>
                </c:pt>
                <c:pt idx="17">
                  <c:v>0.19500000000000001</c:v>
                </c:pt>
                <c:pt idx="18">
                  <c:v>0.41</c:v>
                </c:pt>
                <c:pt idx="19">
                  <c:v>0.3255555555555556</c:v>
                </c:pt>
                <c:pt idx="20">
                  <c:v>0.2175</c:v>
                </c:pt>
                <c:pt idx="21">
                  <c:v>0.38</c:v>
                </c:pt>
                <c:pt idx="22">
                  <c:v>0.3023529411764706</c:v>
                </c:pt>
                <c:pt idx="23">
                  <c:v>0.22500000000000001</c:v>
                </c:pt>
                <c:pt idx="24">
                  <c:v>0.33</c:v>
                </c:pt>
                <c:pt idx="25">
                  <c:v>0.2961111111111111</c:v>
                </c:pt>
                <c:pt idx="26">
                  <c:v>0.24249999999999999</c:v>
                </c:pt>
              </c:numCache>
            </c:numRef>
          </c:val>
          <c:extLst>
            <c:ext xmlns:c16="http://schemas.microsoft.com/office/drawing/2014/chart" uri="{C3380CC4-5D6E-409C-BE32-E72D297353CC}">
              <c16:uniqueId val="{00000002-65C9-4603-AEA2-99BA8F0A933A}"/>
            </c:ext>
          </c:extLst>
        </c:ser>
        <c:ser>
          <c:idx val="3"/>
          <c:order val="3"/>
          <c:tx>
            <c:strRef>
              <c:f>'3 Promediosyniveles'!$N$138</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Promediosyniveles'!$I$139:$J$165</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Promediosyniveles'!$N$139:$N$165</c:f>
              <c:numCache>
                <c:formatCode>0%</c:formatCode>
                <c:ptCount val="27"/>
                <c:pt idx="0">
                  <c:v>0.05</c:v>
                </c:pt>
                <c:pt idx="1">
                  <c:v>1.764705882352941E-3</c:v>
                </c:pt>
                <c:pt idx="2">
                  <c:v>5.0000000000000001E-3</c:v>
                </c:pt>
                <c:pt idx="3">
                  <c:v>0.03</c:v>
                </c:pt>
                <c:pt idx="4">
                  <c:v>1.9374999999999996E-2</c:v>
                </c:pt>
                <c:pt idx="5">
                  <c:v>1.4999999999999999E-2</c:v>
                </c:pt>
                <c:pt idx="6">
                  <c:v>0</c:v>
                </c:pt>
                <c:pt idx="7">
                  <c:v>2.2352941176470589E-2</c:v>
                </c:pt>
                <c:pt idx="8">
                  <c:v>1.5000000000000001E-2</c:v>
                </c:pt>
                <c:pt idx="9">
                  <c:v>0.03</c:v>
                </c:pt>
                <c:pt idx="10">
                  <c:v>8.8235294117647058E-3</c:v>
                </c:pt>
                <c:pt idx="11">
                  <c:v>1.2500000000000001E-2</c:v>
                </c:pt>
                <c:pt idx="12">
                  <c:v>0</c:v>
                </c:pt>
                <c:pt idx="13">
                  <c:v>1.8823529411764708E-2</c:v>
                </c:pt>
                <c:pt idx="14">
                  <c:v>1.7499999999999998E-2</c:v>
                </c:pt>
                <c:pt idx="15">
                  <c:v>0.04</c:v>
                </c:pt>
                <c:pt idx="16">
                  <c:v>1.3529411764705882E-2</c:v>
                </c:pt>
                <c:pt idx="17">
                  <c:v>5.0000000000000001E-3</c:v>
                </c:pt>
                <c:pt idx="18">
                  <c:v>0.05</c:v>
                </c:pt>
                <c:pt idx="19">
                  <c:v>1.0000000000000002E-2</c:v>
                </c:pt>
                <c:pt idx="20">
                  <c:v>5.0000000000000001E-3</c:v>
                </c:pt>
                <c:pt idx="21">
                  <c:v>0.03</c:v>
                </c:pt>
                <c:pt idx="22">
                  <c:v>1.2941176470588235E-2</c:v>
                </c:pt>
                <c:pt idx="23">
                  <c:v>2.5000000000000001E-3</c:v>
                </c:pt>
                <c:pt idx="24">
                  <c:v>0.06</c:v>
                </c:pt>
                <c:pt idx="25">
                  <c:v>2.0000000000000004E-2</c:v>
                </c:pt>
                <c:pt idx="26">
                  <c:v>1.4999999999999999E-2</c:v>
                </c:pt>
              </c:numCache>
            </c:numRef>
          </c:val>
          <c:extLst>
            <c:ext xmlns:c16="http://schemas.microsoft.com/office/drawing/2014/chart" uri="{C3380CC4-5D6E-409C-BE32-E72D297353CC}">
              <c16:uniqueId val="{00000003-65C9-4603-AEA2-99BA8F0A933A}"/>
            </c:ext>
          </c:extLst>
        </c:ser>
        <c:dLbls>
          <c:showLegendKey val="0"/>
          <c:showVal val="0"/>
          <c:showCatName val="0"/>
          <c:showSerName val="0"/>
          <c:showPercent val="0"/>
          <c:showBubbleSize val="0"/>
        </c:dLbls>
        <c:gapWidth val="150"/>
        <c:overlap val="100"/>
        <c:axId val="419681552"/>
        <c:axId val="419681968"/>
      </c:barChart>
      <c:catAx>
        <c:axId val="419681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968"/>
        <c:crosses val="autoZero"/>
        <c:auto val="1"/>
        <c:lblAlgn val="ctr"/>
        <c:lblOffset val="100"/>
        <c:noMultiLvlLbl val="0"/>
      </c:catAx>
      <c:valAx>
        <c:axId val="419681968"/>
        <c:scaling>
          <c:orientation val="minMax"/>
          <c:max val="1"/>
        </c:scaling>
        <c:delete val="0"/>
        <c:axPos val="l"/>
        <c:majorGridlines>
          <c:spPr>
            <a:ln w="9525" cap="flat" cmpd="sng" algn="ctr">
              <a:solidFill>
                <a:schemeClr val="bg1"/>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b="1"/>
              <a:t>Porcentaje de estudiantes por niveles de desempeño</a:t>
            </a:r>
          </a:p>
          <a:p>
            <a:pPr>
              <a:defRPr b="1"/>
            </a:pPr>
            <a:r>
              <a:rPr lang="es-CO" b="1"/>
              <a:t>Ciencias</a:t>
            </a:r>
            <a:r>
              <a:rPr lang="es-CO" b="1" baseline="0"/>
              <a:t> Naturales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8824970037937116E-2"/>
          <c:y val="7.8342270887734031E-2"/>
          <c:w val="0.87882379682560963"/>
          <c:h val="0.5411602842510862"/>
        </c:manualLayout>
      </c:layout>
      <c:barChart>
        <c:barDir val="col"/>
        <c:grouping val="stacked"/>
        <c:varyColors val="0"/>
        <c:ser>
          <c:idx val="0"/>
          <c:order val="0"/>
          <c:tx>
            <c:strRef>
              <c:f>'3 Promediosyniveles'!$K$202</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Promediosyniveles'!$I$203:$J$229</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Promediosyniveles'!$K$203:$K$229</c:f>
              <c:numCache>
                <c:formatCode>0%</c:formatCode>
                <c:ptCount val="27"/>
                <c:pt idx="0">
                  <c:v>0</c:v>
                </c:pt>
                <c:pt idx="1">
                  <c:v>5.1764705882352963E-2</c:v>
                </c:pt>
                <c:pt idx="2">
                  <c:v>4.4999999999999998E-2</c:v>
                </c:pt>
                <c:pt idx="3">
                  <c:v>0.06</c:v>
                </c:pt>
                <c:pt idx="4">
                  <c:v>6.5000000000000016E-2</c:v>
                </c:pt>
                <c:pt idx="5">
                  <c:v>9.2499999999999999E-2</c:v>
                </c:pt>
                <c:pt idx="6">
                  <c:v>0.03</c:v>
                </c:pt>
                <c:pt idx="7">
                  <c:v>9.8235294117647087E-2</c:v>
                </c:pt>
                <c:pt idx="8">
                  <c:v>0.115</c:v>
                </c:pt>
                <c:pt idx="9">
                  <c:v>0.05</c:v>
                </c:pt>
                <c:pt idx="10">
                  <c:v>0.15117647058823527</c:v>
                </c:pt>
                <c:pt idx="11">
                  <c:v>0.14250000000000002</c:v>
                </c:pt>
                <c:pt idx="12">
                  <c:v>0.12</c:v>
                </c:pt>
                <c:pt idx="13">
                  <c:v>0.15411764705882353</c:v>
                </c:pt>
                <c:pt idx="14">
                  <c:v>0.20499999999999999</c:v>
                </c:pt>
                <c:pt idx="15">
                  <c:v>0.09</c:v>
                </c:pt>
                <c:pt idx="16">
                  <c:v>0.13058823529411764</c:v>
                </c:pt>
                <c:pt idx="17">
                  <c:v>0.17250000000000001</c:v>
                </c:pt>
                <c:pt idx="18">
                  <c:v>0.05</c:v>
                </c:pt>
                <c:pt idx="19">
                  <c:v>0.15166666666666667</c:v>
                </c:pt>
                <c:pt idx="20">
                  <c:v>0.1875</c:v>
                </c:pt>
                <c:pt idx="21">
                  <c:v>0.09</c:v>
                </c:pt>
                <c:pt idx="22">
                  <c:v>0.11352941176470591</c:v>
                </c:pt>
                <c:pt idx="23">
                  <c:v>0.17250000000000001</c:v>
                </c:pt>
                <c:pt idx="24">
                  <c:v>0.17</c:v>
                </c:pt>
                <c:pt idx="25">
                  <c:v>0.10555555555555557</c:v>
                </c:pt>
                <c:pt idx="26">
                  <c:v>0.16500000000000001</c:v>
                </c:pt>
              </c:numCache>
            </c:numRef>
          </c:val>
          <c:extLst>
            <c:ext xmlns:c16="http://schemas.microsoft.com/office/drawing/2014/chart" uri="{C3380CC4-5D6E-409C-BE32-E72D297353CC}">
              <c16:uniqueId val="{00000000-570D-4E79-9623-C9A2F43421E2}"/>
            </c:ext>
          </c:extLst>
        </c:ser>
        <c:ser>
          <c:idx val="1"/>
          <c:order val="1"/>
          <c:tx>
            <c:strRef>
              <c:f>'3 Promediosyniveles'!$L$202</c:f>
              <c:strCache>
                <c:ptCount val="1"/>
                <c:pt idx="0">
                  <c:v>2</c:v>
                </c:pt>
              </c:strCache>
            </c:strRef>
          </c:tx>
          <c:spPr>
            <a:solidFill>
              <a:srgbClr val="FF66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Promediosyniveles'!$I$203:$J$229</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Promediosyniveles'!$L$203:$L$229</c:f>
              <c:numCache>
                <c:formatCode>0%</c:formatCode>
                <c:ptCount val="27"/>
                <c:pt idx="0">
                  <c:v>0.51</c:v>
                </c:pt>
                <c:pt idx="1">
                  <c:v>0.59176470588235297</c:v>
                </c:pt>
                <c:pt idx="2">
                  <c:v>0.62</c:v>
                </c:pt>
                <c:pt idx="3">
                  <c:v>0.5</c:v>
                </c:pt>
                <c:pt idx="4">
                  <c:v>0.55312500000000009</c:v>
                </c:pt>
                <c:pt idx="5">
                  <c:v>0.5625</c:v>
                </c:pt>
                <c:pt idx="6">
                  <c:v>0.67</c:v>
                </c:pt>
                <c:pt idx="7">
                  <c:v>0.61823529411764711</c:v>
                </c:pt>
                <c:pt idx="8">
                  <c:v>0.62999999999999989</c:v>
                </c:pt>
                <c:pt idx="9">
                  <c:v>0.59</c:v>
                </c:pt>
                <c:pt idx="10">
                  <c:v>0.61882352941176466</c:v>
                </c:pt>
                <c:pt idx="11">
                  <c:v>0.67249999999999999</c:v>
                </c:pt>
                <c:pt idx="12">
                  <c:v>0.54</c:v>
                </c:pt>
                <c:pt idx="13">
                  <c:v>0.5776470588235294</c:v>
                </c:pt>
                <c:pt idx="14">
                  <c:v>0.59499999999999997</c:v>
                </c:pt>
                <c:pt idx="15">
                  <c:v>0.53</c:v>
                </c:pt>
                <c:pt idx="16">
                  <c:v>0.621764705882353</c:v>
                </c:pt>
                <c:pt idx="17">
                  <c:v>0.68249999999999988</c:v>
                </c:pt>
                <c:pt idx="18">
                  <c:v>0.49</c:v>
                </c:pt>
                <c:pt idx="19">
                  <c:v>0.55388888888888888</c:v>
                </c:pt>
                <c:pt idx="20">
                  <c:v>0.6</c:v>
                </c:pt>
                <c:pt idx="21">
                  <c:v>0.56000000000000005</c:v>
                </c:pt>
                <c:pt idx="22">
                  <c:v>0.57529411764705873</c:v>
                </c:pt>
                <c:pt idx="23">
                  <c:v>0.59499999999999997</c:v>
                </c:pt>
                <c:pt idx="24">
                  <c:v>0.47</c:v>
                </c:pt>
                <c:pt idx="25">
                  <c:v>0.56555555555555548</c:v>
                </c:pt>
                <c:pt idx="26">
                  <c:v>0.58499999999999996</c:v>
                </c:pt>
              </c:numCache>
            </c:numRef>
          </c:val>
          <c:extLst>
            <c:ext xmlns:c16="http://schemas.microsoft.com/office/drawing/2014/chart" uri="{C3380CC4-5D6E-409C-BE32-E72D297353CC}">
              <c16:uniqueId val="{00000001-570D-4E79-9623-C9A2F43421E2}"/>
            </c:ext>
          </c:extLst>
        </c:ser>
        <c:ser>
          <c:idx val="2"/>
          <c:order val="2"/>
          <c:tx>
            <c:strRef>
              <c:f>'3 Promediosyniveles'!$M$202</c:f>
              <c:strCache>
                <c:ptCount val="1"/>
                <c:pt idx="0">
                  <c:v>3</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Promediosyniveles'!$I$203:$J$229</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Promediosyniveles'!$M$203:$M$229</c:f>
              <c:numCache>
                <c:formatCode>0%</c:formatCode>
                <c:ptCount val="27"/>
                <c:pt idx="0">
                  <c:v>0.49</c:v>
                </c:pt>
                <c:pt idx="1">
                  <c:v>0.35235294117647054</c:v>
                </c:pt>
                <c:pt idx="2">
                  <c:v>0.33250000000000002</c:v>
                </c:pt>
                <c:pt idx="3">
                  <c:v>0.39</c:v>
                </c:pt>
                <c:pt idx="4">
                  <c:v>0.375</c:v>
                </c:pt>
                <c:pt idx="5">
                  <c:v>0.34499999999999997</c:v>
                </c:pt>
                <c:pt idx="6">
                  <c:v>0.3</c:v>
                </c:pt>
                <c:pt idx="7">
                  <c:v>0.27705882352941175</c:v>
                </c:pt>
                <c:pt idx="8">
                  <c:v>0.2525</c:v>
                </c:pt>
                <c:pt idx="9">
                  <c:v>0.32</c:v>
                </c:pt>
                <c:pt idx="10">
                  <c:v>0.2205882352941177</c:v>
                </c:pt>
                <c:pt idx="11">
                  <c:v>0.185</c:v>
                </c:pt>
                <c:pt idx="12">
                  <c:v>0.34</c:v>
                </c:pt>
                <c:pt idx="13">
                  <c:v>0.26352941176470585</c:v>
                </c:pt>
                <c:pt idx="14">
                  <c:v>0.19500000000000001</c:v>
                </c:pt>
                <c:pt idx="15">
                  <c:v>0.34</c:v>
                </c:pt>
                <c:pt idx="16">
                  <c:v>0.24176470588235291</c:v>
                </c:pt>
                <c:pt idx="17">
                  <c:v>0.14500000000000002</c:v>
                </c:pt>
                <c:pt idx="18">
                  <c:v>0.46</c:v>
                </c:pt>
                <c:pt idx="19">
                  <c:v>0.28666666666666674</c:v>
                </c:pt>
                <c:pt idx="20">
                  <c:v>0.21</c:v>
                </c:pt>
                <c:pt idx="21">
                  <c:v>0.28999999999999998</c:v>
                </c:pt>
                <c:pt idx="22">
                  <c:v>0.29647058823529404</c:v>
                </c:pt>
                <c:pt idx="23">
                  <c:v>0.2225</c:v>
                </c:pt>
                <c:pt idx="24">
                  <c:v>0.36</c:v>
                </c:pt>
                <c:pt idx="25">
                  <c:v>0.3216666666666666</c:v>
                </c:pt>
                <c:pt idx="26">
                  <c:v>0.245</c:v>
                </c:pt>
              </c:numCache>
            </c:numRef>
          </c:val>
          <c:extLst>
            <c:ext xmlns:c16="http://schemas.microsoft.com/office/drawing/2014/chart" uri="{C3380CC4-5D6E-409C-BE32-E72D297353CC}">
              <c16:uniqueId val="{00000002-570D-4E79-9623-C9A2F43421E2}"/>
            </c:ext>
          </c:extLst>
        </c:ser>
        <c:ser>
          <c:idx val="3"/>
          <c:order val="3"/>
          <c:tx>
            <c:strRef>
              <c:f>'3 Promediosyniveles'!$N$202</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Promediosyniveles'!$I$203:$J$229</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Promediosyniveles'!$N$203:$N$229</c:f>
              <c:numCache>
                <c:formatCode>0%</c:formatCode>
                <c:ptCount val="27"/>
                <c:pt idx="0">
                  <c:v>0</c:v>
                </c:pt>
                <c:pt idx="1">
                  <c:v>3.529411764705882E-3</c:v>
                </c:pt>
                <c:pt idx="2">
                  <c:v>0</c:v>
                </c:pt>
                <c:pt idx="3">
                  <c:v>0.06</c:v>
                </c:pt>
                <c:pt idx="4">
                  <c:v>6.875E-3</c:v>
                </c:pt>
                <c:pt idx="5">
                  <c:v>2.5000000000000001E-3</c:v>
                </c:pt>
                <c:pt idx="6">
                  <c:v>0</c:v>
                </c:pt>
                <c:pt idx="7">
                  <c:v>8.2352941176470577E-3</c:v>
                </c:pt>
                <c:pt idx="8">
                  <c:v>2.5000000000000001E-3</c:v>
                </c:pt>
                <c:pt idx="9">
                  <c:v>0.03</c:v>
                </c:pt>
                <c:pt idx="10">
                  <c:v>9.9999999999999985E-3</c:v>
                </c:pt>
                <c:pt idx="11">
                  <c:v>5.0000000000000001E-3</c:v>
                </c:pt>
                <c:pt idx="12">
                  <c:v>0</c:v>
                </c:pt>
                <c:pt idx="13">
                  <c:v>5.8823529411764705E-3</c:v>
                </c:pt>
                <c:pt idx="14">
                  <c:v>5.0000000000000001E-3</c:v>
                </c:pt>
                <c:pt idx="15">
                  <c:v>0.04</c:v>
                </c:pt>
                <c:pt idx="16">
                  <c:v>7.6470588235294122E-3</c:v>
                </c:pt>
                <c:pt idx="17">
                  <c:v>2.5000000000000001E-3</c:v>
                </c:pt>
                <c:pt idx="18">
                  <c:v>0</c:v>
                </c:pt>
                <c:pt idx="19">
                  <c:v>7.7777777777777767E-3</c:v>
                </c:pt>
                <c:pt idx="20">
                  <c:v>2.5000000000000001E-3</c:v>
                </c:pt>
                <c:pt idx="21">
                  <c:v>0.06</c:v>
                </c:pt>
                <c:pt idx="22">
                  <c:v>1.4117647058823528E-2</c:v>
                </c:pt>
                <c:pt idx="23">
                  <c:v>7.4999999999999997E-3</c:v>
                </c:pt>
                <c:pt idx="24">
                  <c:v>0</c:v>
                </c:pt>
                <c:pt idx="25">
                  <c:v>7.7777777777777784E-3</c:v>
                </c:pt>
                <c:pt idx="26">
                  <c:v>7.4999999999999997E-3</c:v>
                </c:pt>
              </c:numCache>
            </c:numRef>
          </c:val>
          <c:extLst>
            <c:ext xmlns:c16="http://schemas.microsoft.com/office/drawing/2014/chart" uri="{C3380CC4-5D6E-409C-BE32-E72D297353CC}">
              <c16:uniqueId val="{00000003-570D-4E79-9623-C9A2F43421E2}"/>
            </c:ext>
          </c:extLst>
        </c:ser>
        <c:dLbls>
          <c:showLegendKey val="0"/>
          <c:showVal val="0"/>
          <c:showCatName val="0"/>
          <c:showSerName val="0"/>
          <c:showPercent val="0"/>
          <c:showBubbleSize val="0"/>
        </c:dLbls>
        <c:gapWidth val="150"/>
        <c:overlap val="100"/>
        <c:axId val="419681552"/>
        <c:axId val="419681968"/>
      </c:barChart>
      <c:catAx>
        <c:axId val="419681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968"/>
        <c:crosses val="autoZero"/>
        <c:auto val="1"/>
        <c:lblAlgn val="ctr"/>
        <c:lblOffset val="100"/>
        <c:noMultiLvlLbl val="0"/>
      </c:catAx>
      <c:valAx>
        <c:axId val="419681968"/>
        <c:scaling>
          <c:orientation val="minMax"/>
          <c:max val="1"/>
        </c:scaling>
        <c:delete val="0"/>
        <c:axPos val="l"/>
        <c:majorGridlines>
          <c:spPr>
            <a:ln w="9525" cap="flat" cmpd="sng" algn="ctr">
              <a:solidFill>
                <a:schemeClr val="bg1"/>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b="1"/>
              <a:t>Porcentaje de estudiantes por niveles de desempeño</a:t>
            </a:r>
          </a:p>
          <a:p>
            <a:pPr>
              <a:defRPr b="1"/>
            </a:pPr>
            <a:r>
              <a:rPr lang="es-CO" b="1" baseline="0"/>
              <a:t>Inglés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1185934424348463E-2"/>
          <c:y val="9.1641937668466497E-2"/>
          <c:w val="0.91425089504809598"/>
          <c:h val="0.52445331967102826"/>
        </c:manualLayout>
      </c:layout>
      <c:barChart>
        <c:barDir val="col"/>
        <c:grouping val="stacked"/>
        <c:varyColors val="0"/>
        <c:ser>
          <c:idx val="0"/>
          <c:order val="0"/>
          <c:tx>
            <c:strRef>
              <c:f>'3 Promediosyniveles'!$K$263</c:f>
              <c:strCache>
                <c:ptCount val="1"/>
                <c:pt idx="0">
                  <c:v>A-</c:v>
                </c:pt>
              </c:strCache>
            </c:strRef>
          </c:tx>
          <c:spPr>
            <a:solidFill>
              <a:srgbClr val="80000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Promediosyniveles'!$I$264:$J$290</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Promediosyniveles'!$K$264:$K$290</c:f>
              <c:numCache>
                <c:formatCode>0%</c:formatCode>
                <c:ptCount val="27"/>
                <c:pt idx="0">
                  <c:v>0.02</c:v>
                </c:pt>
                <c:pt idx="1">
                  <c:v>0.29882352941176465</c:v>
                </c:pt>
                <c:pt idx="2">
                  <c:v>0.32</c:v>
                </c:pt>
                <c:pt idx="3">
                  <c:v>0.11</c:v>
                </c:pt>
                <c:pt idx="4">
                  <c:v>0.41125</c:v>
                </c:pt>
                <c:pt idx="5">
                  <c:v>0.44750000000000001</c:v>
                </c:pt>
                <c:pt idx="6">
                  <c:v>0.03</c:v>
                </c:pt>
                <c:pt idx="7">
                  <c:v>0.30294117647058827</c:v>
                </c:pt>
                <c:pt idx="8">
                  <c:v>0.33250000000000002</c:v>
                </c:pt>
                <c:pt idx="9">
                  <c:v>0.24</c:v>
                </c:pt>
                <c:pt idx="10">
                  <c:v>0.37470588235294122</c:v>
                </c:pt>
                <c:pt idx="11">
                  <c:v>0.39749999999999996</c:v>
                </c:pt>
                <c:pt idx="12">
                  <c:v>0.28999999999999998</c:v>
                </c:pt>
                <c:pt idx="13">
                  <c:v>0.52176470588235302</c:v>
                </c:pt>
                <c:pt idx="14">
                  <c:v>0.55500000000000005</c:v>
                </c:pt>
                <c:pt idx="15">
                  <c:v>0.17</c:v>
                </c:pt>
                <c:pt idx="16">
                  <c:v>0.30294117647058816</c:v>
                </c:pt>
                <c:pt idx="17">
                  <c:v>0.40249999999999997</c:v>
                </c:pt>
                <c:pt idx="18">
                  <c:v>0.03</c:v>
                </c:pt>
                <c:pt idx="19">
                  <c:v>0.3288888888888889</c:v>
                </c:pt>
                <c:pt idx="20">
                  <c:v>0.32</c:v>
                </c:pt>
                <c:pt idx="21">
                  <c:v>0.26</c:v>
                </c:pt>
                <c:pt idx="22">
                  <c:v>0.29529411764705887</c:v>
                </c:pt>
                <c:pt idx="23">
                  <c:v>0.375</c:v>
                </c:pt>
                <c:pt idx="24">
                  <c:v>0.14000000000000001</c:v>
                </c:pt>
                <c:pt idx="25">
                  <c:v>0.25722222222222224</c:v>
                </c:pt>
                <c:pt idx="26">
                  <c:v>0.35</c:v>
                </c:pt>
              </c:numCache>
            </c:numRef>
          </c:val>
          <c:extLst>
            <c:ext xmlns:c16="http://schemas.microsoft.com/office/drawing/2014/chart" uri="{C3380CC4-5D6E-409C-BE32-E72D297353CC}">
              <c16:uniqueId val="{00000000-1D1C-401A-ACCB-988B1CBF31F3}"/>
            </c:ext>
          </c:extLst>
        </c:ser>
        <c:ser>
          <c:idx val="1"/>
          <c:order val="1"/>
          <c:tx>
            <c:strRef>
              <c:f>'3 Promediosyniveles'!$L$263</c:f>
              <c:strCache>
                <c:ptCount val="1"/>
                <c:pt idx="0">
                  <c:v>A1</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Promediosyniveles'!$I$264:$J$290</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Promediosyniveles'!$L$264:$L$290</c:f>
              <c:numCache>
                <c:formatCode>0%</c:formatCode>
                <c:ptCount val="27"/>
                <c:pt idx="0">
                  <c:v>0.22</c:v>
                </c:pt>
                <c:pt idx="1">
                  <c:v>0.4611764705882353</c:v>
                </c:pt>
                <c:pt idx="2">
                  <c:v>0.39749999999999996</c:v>
                </c:pt>
                <c:pt idx="3">
                  <c:v>0.44</c:v>
                </c:pt>
                <c:pt idx="4">
                  <c:v>0.38874999999999998</c:v>
                </c:pt>
                <c:pt idx="5">
                  <c:v>0.33749999999999997</c:v>
                </c:pt>
                <c:pt idx="6">
                  <c:v>0.39</c:v>
                </c:pt>
                <c:pt idx="7">
                  <c:v>0.42352941176470588</c:v>
                </c:pt>
                <c:pt idx="8">
                  <c:v>0.45999999999999996</c:v>
                </c:pt>
                <c:pt idx="9">
                  <c:v>0.32</c:v>
                </c:pt>
                <c:pt idx="10">
                  <c:v>0.42352941176470582</c:v>
                </c:pt>
                <c:pt idx="11">
                  <c:v>0.39999999999999997</c:v>
                </c:pt>
                <c:pt idx="12">
                  <c:v>0.37</c:v>
                </c:pt>
                <c:pt idx="13">
                  <c:v>0.33882352941176475</c:v>
                </c:pt>
                <c:pt idx="14">
                  <c:v>0.33999999999999997</c:v>
                </c:pt>
                <c:pt idx="15">
                  <c:v>0.36</c:v>
                </c:pt>
                <c:pt idx="16">
                  <c:v>0.40941176470588231</c:v>
                </c:pt>
                <c:pt idx="17">
                  <c:v>0.38750000000000001</c:v>
                </c:pt>
                <c:pt idx="18">
                  <c:v>0.27</c:v>
                </c:pt>
                <c:pt idx="19">
                  <c:v>0.37388888888888883</c:v>
                </c:pt>
                <c:pt idx="20">
                  <c:v>0.42</c:v>
                </c:pt>
                <c:pt idx="21">
                  <c:v>0.26</c:v>
                </c:pt>
                <c:pt idx="22">
                  <c:v>0.40352941176470591</c:v>
                </c:pt>
                <c:pt idx="23">
                  <c:v>0.41750000000000004</c:v>
                </c:pt>
                <c:pt idx="24">
                  <c:v>0.33</c:v>
                </c:pt>
                <c:pt idx="25">
                  <c:v>0.41166666666666663</c:v>
                </c:pt>
                <c:pt idx="26">
                  <c:v>0.37</c:v>
                </c:pt>
              </c:numCache>
            </c:numRef>
          </c:val>
          <c:extLst>
            <c:ext xmlns:c16="http://schemas.microsoft.com/office/drawing/2014/chart" uri="{C3380CC4-5D6E-409C-BE32-E72D297353CC}">
              <c16:uniqueId val="{00000001-1D1C-401A-ACCB-988B1CBF31F3}"/>
            </c:ext>
          </c:extLst>
        </c:ser>
        <c:ser>
          <c:idx val="2"/>
          <c:order val="2"/>
          <c:tx>
            <c:strRef>
              <c:f>'3 Promediosyniveles'!$M$263</c:f>
              <c:strCache>
                <c:ptCount val="1"/>
                <c:pt idx="0">
                  <c:v>A2</c:v>
                </c:pt>
              </c:strCache>
            </c:strRef>
          </c:tx>
          <c:spPr>
            <a:solidFill>
              <a:srgbClr val="FF66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Promediosyniveles'!$I$264:$J$290</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Promediosyniveles'!$M$264:$M$290</c:f>
              <c:numCache>
                <c:formatCode>0%</c:formatCode>
                <c:ptCount val="27"/>
                <c:pt idx="0">
                  <c:v>0.51</c:v>
                </c:pt>
                <c:pt idx="1">
                  <c:v>0.18470588235294122</c:v>
                </c:pt>
                <c:pt idx="2">
                  <c:v>0.23</c:v>
                </c:pt>
                <c:pt idx="3">
                  <c:v>0.39</c:v>
                </c:pt>
                <c:pt idx="4">
                  <c:v>0.15812500000000004</c:v>
                </c:pt>
                <c:pt idx="5">
                  <c:v>0.16500000000000001</c:v>
                </c:pt>
                <c:pt idx="6">
                  <c:v>0.45</c:v>
                </c:pt>
                <c:pt idx="7">
                  <c:v>0.24117647058823521</c:v>
                </c:pt>
                <c:pt idx="8">
                  <c:v>0.16250000000000001</c:v>
                </c:pt>
                <c:pt idx="9">
                  <c:v>0.3</c:v>
                </c:pt>
                <c:pt idx="10">
                  <c:v>0.16705882352941182</c:v>
                </c:pt>
                <c:pt idx="11">
                  <c:v>0.17</c:v>
                </c:pt>
                <c:pt idx="12">
                  <c:v>0.17</c:v>
                </c:pt>
                <c:pt idx="13">
                  <c:v>0.10764705882352942</c:v>
                </c:pt>
                <c:pt idx="14">
                  <c:v>8.7500000000000008E-2</c:v>
                </c:pt>
                <c:pt idx="15">
                  <c:v>0.26</c:v>
                </c:pt>
                <c:pt idx="16">
                  <c:v>0.23176470588235296</c:v>
                </c:pt>
                <c:pt idx="17">
                  <c:v>0.14500000000000002</c:v>
                </c:pt>
                <c:pt idx="18">
                  <c:v>0.46</c:v>
                </c:pt>
                <c:pt idx="19">
                  <c:v>0.21944444444444444</c:v>
                </c:pt>
                <c:pt idx="20">
                  <c:v>0.19500000000000001</c:v>
                </c:pt>
                <c:pt idx="21">
                  <c:v>0.24</c:v>
                </c:pt>
                <c:pt idx="22">
                  <c:v>0.21647058823529414</c:v>
                </c:pt>
                <c:pt idx="23">
                  <c:v>0.155</c:v>
                </c:pt>
                <c:pt idx="24">
                  <c:v>0.31</c:v>
                </c:pt>
                <c:pt idx="25">
                  <c:v>0.23777777777777775</c:v>
                </c:pt>
                <c:pt idx="26">
                  <c:v>0.20249999999999999</c:v>
                </c:pt>
              </c:numCache>
            </c:numRef>
          </c:val>
          <c:extLst>
            <c:ext xmlns:c16="http://schemas.microsoft.com/office/drawing/2014/chart" uri="{C3380CC4-5D6E-409C-BE32-E72D297353CC}">
              <c16:uniqueId val="{00000002-1D1C-401A-ACCB-988B1CBF31F3}"/>
            </c:ext>
          </c:extLst>
        </c:ser>
        <c:ser>
          <c:idx val="3"/>
          <c:order val="3"/>
          <c:tx>
            <c:strRef>
              <c:f>'3 Promediosyniveles'!$N$263</c:f>
              <c:strCache>
                <c:ptCount val="1"/>
                <c:pt idx="0">
                  <c:v>B1</c:v>
                </c:pt>
              </c:strCache>
            </c:strRef>
          </c:tx>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Promediosyniveles'!$I$264:$J$290</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Promediosyniveles'!$N$264:$N$290</c:f>
              <c:numCache>
                <c:formatCode>0%</c:formatCode>
                <c:ptCount val="27"/>
                <c:pt idx="0">
                  <c:v>0.24</c:v>
                </c:pt>
                <c:pt idx="1">
                  <c:v>5.4705882352941181E-2</c:v>
                </c:pt>
                <c:pt idx="2">
                  <c:v>5.5E-2</c:v>
                </c:pt>
                <c:pt idx="3">
                  <c:v>0.06</c:v>
                </c:pt>
                <c:pt idx="4">
                  <c:v>4.2499999999999996E-2</c:v>
                </c:pt>
                <c:pt idx="5">
                  <c:v>4.4999999999999991E-2</c:v>
                </c:pt>
                <c:pt idx="6">
                  <c:v>0.12</c:v>
                </c:pt>
                <c:pt idx="7">
                  <c:v>3.2352941176470591E-2</c:v>
                </c:pt>
                <c:pt idx="8">
                  <c:v>4.4999999999999998E-2</c:v>
                </c:pt>
                <c:pt idx="9">
                  <c:v>0.14000000000000001</c:v>
                </c:pt>
                <c:pt idx="10">
                  <c:v>3.529411764705883E-2</c:v>
                </c:pt>
                <c:pt idx="11">
                  <c:v>0.04</c:v>
                </c:pt>
                <c:pt idx="12">
                  <c:v>0.17</c:v>
                </c:pt>
                <c:pt idx="13">
                  <c:v>2.9411764705882349E-2</c:v>
                </c:pt>
                <c:pt idx="14">
                  <c:v>1.4999999999999999E-2</c:v>
                </c:pt>
                <c:pt idx="15">
                  <c:v>0.21</c:v>
                </c:pt>
                <c:pt idx="16">
                  <c:v>5.2352941176470595E-2</c:v>
                </c:pt>
                <c:pt idx="17">
                  <c:v>6.5000000000000002E-2</c:v>
                </c:pt>
                <c:pt idx="18">
                  <c:v>0.22</c:v>
                </c:pt>
                <c:pt idx="19">
                  <c:v>7.0555555555555552E-2</c:v>
                </c:pt>
                <c:pt idx="20">
                  <c:v>6.0000000000000005E-2</c:v>
                </c:pt>
                <c:pt idx="21">
                  <c:v>0.21</c:v>
                </c:pt>
                <c:pt idx="22">
                  <c:v>7.7058823529411763E-2</c:v>
                </c:pt>
                <c:pt idx="23">
                  <c:v>0.05</c:v>
                </c:pt>
                <c:pt idx="24">
                  <c:v>0.22</c:v>
                </c:pt>
                <c:pt idx="25">
                  <c:v>8.4444444444444461E-2</c:v>
                </c:pt>
                <c:pt idx="26">
                  <c:v>7.0000000000000007E-2</c:v>
                </c:pt>
              </c:numCache>
            </c:numRef>
          </c:val>
          <c:extLst>
            <c:ext xmlns:c16="http://schemas.microsoft.com/office/drawing/2014/chart" uri="{C3380CC4-5D6E-409C-BE32-E72D297353CC}">
              <c16:uniqueId val="{00000003-1D1C-401A-ACCB-988B1CBF31F3}"/>
            </c:ext>
          </c:extLst>
        </c:ser>
        <c:ser>
          <c:idx val="4"/>
          <c:order val="4"/>
          <c:tx>
            <c:strRef>
              <c:f>'3 Promediosyniveles'!$O$263</c:f>
              <c:strCache>
                <c:ptCount val="1"/>
                <c:pt idx="0">
                  <c:v>B+</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Promediosyniveles'!$I$264:$J$290</c:f>
              <c:multiLvlStrCache>
                <c:ptCount val="27"/>
                <c:lvl>
                  <c:pt idx="0">
                    <c:v>GIMNASIO NUEVO BOLIVAR</c:v>
                  </c:pt>
                  <c:pt idx="1">
                    <c:v>COMUNA 1</c:v>
                  </c:pt>
                  <c:pt idx="2">
                    <c:v>COMUNA 6 OFICIAL</c:v>
                  </c:pt>
                  <c:pt idx="3">
                    <c:v>GIMNASIO NUEVO BOLIVAR</c:v>
                  </c:pt>
                  <c:pt idx="4">
                    <c:v>COMUNA 1</c:v>
                  </c:pt>
                  <c:pt idx="5">
                    <c:v>COMUNA 6 OFICIAL</c:v>
                  </c:pt>
                  <c:pt idx="6">
                    <c:v>GIMNASIO NUEVO BOLIVAR</c:v>
                  </c:pt>
                  <c:pt idx="7">
                    <c:v>COMUNA 1</c:v>
                  </c:pt>
                  <c:pt idx="8">
                    <c:v>COMUNA 6 OFICIAL</c:v>
                  </c:pt>
                  <c:pt idx="9">
                    <c:v>GIMNASIO NUEVO BOLIVAR</c:v>
                  </c:pt>
                  <c:pt idx="10">
                    <c:v>COMUNA 1</c:v>
                  </c:pt>
                  <c:pt idx="11">
                    <c:v>COMUNA 6 OFICIAL</c:v>
                  </c:pt>
                  <c:pt idx="12">
                    <c:v>GIMNASIO NUEVO BOLIVAR</c:v>
                  </c:pt>
                  <c:pt idx="13">
                    <c:v>COMUNA 1</c:v>
                  </c:pt>
                  <c:pt idx="14">
                    <c:v>COMUNA 6 OFICIAL</c:v>
                  </c:pt>
                  <c:pt idx="15">
                    <c:v>GIMNASIO NUEVO BOLIVAR</c:v>
                  </c:pt>
                  <c:pt idx="16">
                    <c:v>COMUNA 1</c:v>
                  </c:pt>
                  <c:pt idx="17">
                    <c:v>COMUNA 6 OFICIAL</c:v>
                  </c:pt>
                  <c:pt idx="18">
                    <c:v>GIMNASIO NUEVO BOLIVAR</c:v>
                  </c:pt>
                  <c:pt idx="19">
                    <c:v>COMUNA 1</c:v>
                  </c:pt>
                  <c:pt idx="20">
                    <c:v>COMUNA 6 OFICIAL</c:v>
                  </c:pt>
                  <c:pt idx="21">
                    <c:v>GIMNASIO NUEVO BOLIVAR</c:v>
                  </c:pt>
                  <c:pt idx="22">
                    <c:v>COMUNA 1</c:v>
                  </c:pt>
                  <c:pt idx="23">
                    <c:v>COMUNA 6 OFICIAL</c:v>
                  </c:pt>
                  <c:pt idx="24">
                    <c:v>GIMNASIO NUEVO BOLIVAR</c:v>
                  </c:pt>
                  <c:pt idx="25">
                    <c:v>COMUNA 1</c:v>
                  </c:pt>
                  <c:pt idx="26">
                    <c:v>COMUNA 6 OFICIAL</c:v>
                  </c:pt>
                </c:lvl>
                <c:lvl>
                  <c:pt idx="0">
                    <c:v>2016</c:v>
                  </c:pt>
                  <c:pt idx="3">
                    <c:v>2017</c:v>
                  </c:pt>
                  <c:pt idx="6">
                    <c:v>2018</c:v>
                  </c:pt>
                  <c:pt idx="9">
                    <c:v>2019</c:v>
                  </c:pt>
                  <c:pt idx="12">
                    <c:v>2020</c:v>
                  </c:pt>
                  <c:pt idx="15">
                    <c:v>2021</c:v>
                  </c:pt>
                  <c:pt idx="18">
                    <c:v>2022</c:v>
                  </c:pt>
                  <c:pt idx="21">
                    <c:v>2023</c:v>
                  </c:pt>
                  <c:pt idx="24">
                    <c:v>2024</c:v>
                  </c:pt>
                </c:lvl>
              </c:multiLvlStrCache>
            </c:multiLvlStrRef>
          </c:cat>
          <c:val>
            <c:numRef>
              <c:f>'3 Promediosyniveles'!$O$264:$O$290</c:f>
              <c:numCache>
                <c:formatCode>0%</c:formatCode>
                <c:ptCount val="27"/>
                <c:pt idx="0">
                  <c:v>0</c:v>
                </c:pt>
                <c:pt idx="1">
                  <c:v>0</c:v>
                </c:pt>
                <c:pt idx="2">
                  <c:v>0</c:v>
                </c:pt>
                <c:pt idx="3">
                  <c:v>0</c:v>
                </c:pt>
                <c:pt idx="4">
                  <c:v>6.2500000000000001E-4</c:v>
                </c:pt>
                <c:pt idx="5">
                  <c:v>5.0000000000000001E-3</c:v>
                </c:pt>
                <c:pt idx="6">
                  <c:v>0</c:v>
                </c:pt>
                <c:pt idx="7">
                  <c:v>1.1764705882352942E-3</c:v>
                </c:pt>
                <c:pt idx="8">
                  <c:v>0</c:v>
                </c:pt>
                <c:pt idx="9">
                  <c:v>0</c:v>
                </c:pt>
                <c:pt idx="10">
                  <c:v>1.764705882352941E-3</c:v>
                </c:pt>
                <c:pt idx="11">
                  <c:v>0</c:v>
                </c:pt>
                <c:pt idx="12">
                  <c:v>0</c:v>
                </c:pt>
                <c:pt idx="13">
                  <c:v>2.9411764705882353E-3</c:v>
                </c:pt>
                <c:pt idx="14">
                  <c:v>2.5000000000000001E-3</c:v>
                </c:pt>
                <c:pt idx="15">
                  <c:v>0</c:v>
                </c:pt>
                <c:pt idx="16">
                  <c:v>4.7058823529411769E-3</c:v>
                </c:pt>
                <c:pt idx="17">
                  <c:v>2.5000000000000001E-3</c:v>
                </c:pt>
                <c:pt idx="18">
                  <c:v>0.03</c:v>
                </c:pt>
                <c:pt idx="19">
                  <c:v>8.333333333333335E-3</c:v>
                </c:pt>
                <c:pt idx="20">
                  <c:v>5.0000000000000001E-3</c:v>
                </c:pt>
                <c:pt idx="21">
                  <c:v>0.03</c:v>
                </c:pt>
                <c:pt idx="22">
                  <c:v>7.6470588235294122E-3</c:v>
                </c:pt>
                <c:pt idx="23">
                  <c:v>2.5000000000000001E-3</c:v>
                </c:pt>
                <c:pt idx="24">
                  <c:v>0</c:v>
                </c:pt>
                <c:pt idx="25">
                  <c:v>8.8888888888888889E-3</c:v>
                </c:pt>
                <c:pt idx="26">
                  <c:v>0.01</c:v>
                </c:pt>
              </c:numCache>
            </c:numRef>
          </c:val>
          <c:extLst>
            <c:ext xmlns:c16="http://schemas.microsoft.com/office/drawing/2014/chart" uri="{C3380CC4-5D6E-409C-BE32-E72D297353CC}">
              <c16:uniqueId val="{00000004-1D1C-401A-ACCB-988B1CBF31F3}"/>
            </c:ext>
          </c:extLst>
        </c:ser>
        <c:dLbls>
          <c:showLegendKey val="0"/>
          <c:showVal val="0"/>
          <c:showCatName val="0"/>
          <c:showSerName val="0"/>
          <c:showPercent val="0"/>
          <c:showBubbleSize val="0"/>
        </c:dLbls>
        <c:gapWidth val="150"/>
        <c:overlap val="100"/>
        <c:axId val="419681552"/>
        <c:axId val="419681968"/>
      </c:barChart>
      <c:catAx>
        <c:axId val="419681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968"/>
        <c:crosses val="autoZero"/>
        <c:auto val="1"/>
        <c:lblAlgn val="ctr"/>
        <c:lblOffset val="100"/>
        <c:noMultiLvlLbl val="0"/>
      </c:catAx>
      <c:valAx>
        <c:axId val="419681968"/>
        <c:scaling>
          <c:orientation val="minMax"/>
          <c:max val="1"/>
        </c:scaling>
        <c:delete val="0"/>
        <c:axPos val="l"/>
        <c:majorGridlines>
          <c:spPr>
            <a:ln w="9525" cap="flat" cmpd="sng" algn="ctr">
              <a:solidFill>
                <a:schemeClr val="bg1"/>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19681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Lectura</a:t>
            </a:r>
            <a:r>
              <a:rPr lang="es-CO" sz="1400" baseline="0"/>
              <a:t> Crítica por Comunas 2016-2024</a:t>
            </a:r>
            <a:endParaRPr lang="es-CO" sz="1400"/>
          </a:p>
        </c:rich>
      </c:tx>
      <c:overlay val="0"/>
    </c:title>
    <c:autoTitleDeleted val="0"/>
    <c:plotArea>
      <c:layout/>
      <c:radarChart>
        <c:radarStyle val="marker"/>
        <c:varyColors val="0"/>
        <c:ser>
          <c:idx val="0"/>
          <c:order val="0"/>
          <c:tx>
            <c:strRef>
              <c:f>LC!$AD$178</c:f>
              <c:strCache>
                <c:ptCount val="1"/>
                <c:pt idx="0">
                  <c:v>2016</c:v>
                </c:pt>
              </c:strCache>
            </c:strRef>
          </c:tx>
          <c:spPr>
            <a:ln>
              <a:prstDash val="lgDashDot"/>
            </a:ln>
          </c:spPr>
          <c:cat>
            <c:strRef>
              <c:f>LC!$AC$179:$AC$184</c:f>
              <c:strCache>
                <c:ptCount val="6"/>
                <c:pt idx="0">
                  <c:v>COMUNA 1</c:v>
                </c:pt>
                <c:pt idx="1">
                  <c:v>COMUNA 2</c:v>
                </c:pt>
                <c:pt idx="2">
                  <c:v>COMUNA 3</c:v>
                </c:pt>
                <c:pt idx="3">
                  <c:v>COMUNA 4</c:v>
                </c:pt>
                <c:pt idx="4">
                  <c:v>COMUNA 5</c:v>
                </c:pt>
                <c:pt idx="5">
                  <c:v>COMUNA 6</c:v>
                </c:pt>
              </c:strCache>
            </c:strRef>
          </c:cat>
          <c:val>
            <c:numRef>
              <c:f>LC!$AD$179:$AD$184</c:f>
              <c:numCache>
                <c:formatCode>0</c:formatCode>
                <c:ptCount val="6"/>
                <c:pt idx="0">
                  <c:v>53.117647058823529</c:v>
                </c:pt>
                <c:pt idx="1">
                  <c:v>54.75</c:v>
                </c:pt>
                <c:pt idx="2">
                  <c:v>54.8125</c:v>
                </c:pt>
                <c:pt idx="3">
                  <c:v>50.714285714285715</c:v>
                </c:pt>
                <c:pt idx="4">
                  <c:v>55.529411764705884</c:v>
                </c:pt>
                <c:pt idx="5">
                  <c:v>54.2</c:v>
                </c:pt>
              </c:numCache>
            </c:numRef>
          </c:val>
          <c:extLst>
            <c:ext xmlns:c16="http://schemas.microsoft.com/office/drawing/2014/chart" uri="{C3380CC4-5D6E-409C-BE32-E72D297353CC}">
              <c16:uniqueId val="{00000000-6005-469A-BA8A-B68F42B4C59F}"/>
            </c:ext>
          </c:extLst>
        </c:ser>
        <c:ser>
          <c:idx val="1"/>
          <c:order val="1"/>
          <c:tx>
            <c:strRef>
              <c:f>LC!$AE$178</c:f>
              <c:strCache>
                <c:ptCount val="1"/>
                <c:pt idx="0">
                  <c:v>2017</c:v>
                </c:pt>
              </c:strCache>
            </c:strRef>
          </c:tx>
          <c:cat>
            <c:strRef>
              <c:f>LC!$AC$179:$AC$184</c:f>
              <c:strCache>
                <c:ptCount val="6"/>
                <c:pt idx="0">
                  <c:v>COMUNA 1</c:v>
                </c:pt>
                <c:pt idx="1">
                  <c:v>COMUNA 2</c:v>
                </c:pt>
                <c:pt idx="2">
                  <c:v>COMUNA 3</c:v>
                </c:pt>
                <c:pt idx="3">
                  <c:v>COMUNA 4</c:v>
                </c:pt>
                <c:pt idx="4">
                  <c:v>COMUNA 5</c:v>
                </c:pt>
                <c:pt idx="5">
                  <c:v>COMUNA 6</c:v>
                </c:pt>
              </c:strCache>
            </c:strRef>
          </c:cat>
          <c:val>
            <c:numRef>
              <c:f>LC!$AE$179:$AE$184</c:f>
              <c:numCache>
                <c:formatCode>0</c:formatCode>
                <c:ptCount val="6"/>
                <c:pt idx="0">
                  <c:v>53.75</c:v>
                </c:pt>
                <c:pt idx="1">
                  <c:v>55.578947368421055</c:v>
                </c:pt>
                <c:pt idx="2">
                  <c:v>55.411764705882355</c:v>
                </c:pt>
                <c:pt idx="3">
                  <c:v>53.6</c:v>
                </c:pt>
                <c:pt idx="4">
                  <c:v>56.941176470588232</c:v>
                </c:pt>
                <c:pt idx="5">
                  <c:v>53.733333333333334</c:v>
                </c:pt>
              </c:numCache>
            </c:numRef>
          </c:val>
          <c:extLst>
            <c:ext xmlns:c16="http://schemas.microsoft.com/office/drawing/2014/chart" uri="{C3380CC4-5D6E-409C-BE32-E72D297353CC}">
              <c16:uniqueId val="{00000001-6005-469A-BA8A-B68F42B4C59F}"/>
            </c:ext>
          </c:extLst>
        </c:ser>
        <c:ser>
          <c:idx val="2"/>
          <c:order val="2"/>
          <c:tx>
            <c:strRef>
              <c:f>LC!$AF$178</c:f>
              <c:strCache>
                <c:ptCount val="1"/>
                <c:pt idx="0">
                  <c:v>2018</c:v>
                </c:pt>
              </c:strCache>
            </c:strRef>
          </c:tx>
          <c:spPr>
            <a:ln>
              <a:prstDash val="sysDash"/>
            </a:ln>
          </c:spPr>
          <c:cat>
            <c:strRef>
              <c:f>LC!$AC$179:$AC$184</c:f>
              <c:strCache>
                <c:ptCount val="6"/>
                <c:pt idx="0">
                  <c:v>COMUNA 1</c:v>
                </c:pt>
                <c:pt idx="1">
                  <c:v>COMUNA 2</c:v>
                </c:pt>
                <c:pt idx="2">
                  <c:v>COMUNA 3</c:v>
                </c:pt>
                <c:pt idx="3">
                  <c:v>COMUNA 4</c:v>
                </c:pt>
                <c:pt idx="4">
                  <c:v>COMUNA 5</c:v>
                </c:pt>
                <c:pt idx="5">
                  <c:v>COMUNA 6</c:v>
                </c:pt>
              </c:strCache>
            </c:strRef>
          </c:cat>
          <c:val>
            <c:numRef>
              <c:f>LC!$AF$179:$AF$184</c:f>
              <c:numCache>
                <c:formatCode>0</c:formatCode>
                <c:ptCount val="6"/>
                <c:pt idx="0">
                  <c:v>53.823529411764703</c:v>
                </c:pt>
                <c:pt idx="1">
                  <c:v>54.684210526315788</c:v>
                </c:pt>
                <c:pt idx="2">
                  <c:v>55.823529411764703</c:v>
                </c:pt>
                <c:pt idx="3">
                  <c:v>52.93333333333333</c:v>
                </c:pt>
                <c:pt idx="4">
                  <c:v>55.888888888888886</c:v>
                </c:pt>
                <c:pt idx="5">
                  <c:v>54.357142857142854</c:v>
                </c:pt>
              </c:numCache>
            </c:numRef>
          </c:val>
          <c:extLst>
            <c:ext xmlns:c16="http://schemas.microsoft.com/office/drawing/2014/chart" uri="{C3380CC4-5D6E-409C-BE32-E72D297353CC}">
              <c16:uniqueId val="{00000002-6005-469A-BA8A-B68F42B4C59F}"/>
            </c:ext>
          </c:extLst>
        </c:ser>
        <c:ser>
          <c:idx val="3"/>
          <c:order val="3"/>
          <c:tx>
            <c:strRef>
              <c:f>LC!$AG$178</c:f>
              <c:strCache>
                <c:ptCount val="1"/>
                <c:pt idx="0">
                  <c:v>2019</c:v>
                </c:pt>
              </c:strCache>
            </c:strRef>
          </c:tx>
          <c:cat>
            <c:strRef>
              <c:f>LC!$AC$179:$AC$184</c:f>
              <c:strCache>
                <c:ptCount val="6"/>
                <c:pt idx="0">
                  <c:v>COMUNA 1</c:v>
                </c:pt>
                <c:pt idx="1">
                  <c:v>COMUNA 2</c:v>
                </c:pt>
                <c:pt idx="2">
                  <c:v>COMUNA 3</c:v>
                </c:pt>
                <c:pt idx="3">
                  <c:v>COMUNA 4</c:v>
                </c:pt>
                <c:pt idx="4">
                  <c:v>COMUNA 5</c:v>
                </c:pt>
                <c:pt idx="5">
                  <c:v>COMUNA 6</c:v>
                </c:pt>
              </c:strCache>
            </c:strRef>
          </c:cat>
          <c:val>
            <c:numRef>
              <c:f>LC!$AG$179:$AG$184</c:f>
              <c:numCache>
                <c:formatCode>0</c:formatCode>
                <c:ptCount val="6"/>
                <c:pt idx="0">
                  <c:v>53.705882352941174</c:v>
                </c:pt>
                <c:pt idx="1">
                  <c:v>55.3</c:v>
                </c:pt>
                <c:pt idx="2">
                  <c:v>55.352941176470587</c:v>
                </c:pt>
                <c:pt idx="3">
                  <c:v>52.5</c:v>
                </c:pt>
                <c:pt idx="4">
                  <c:v>56.368421052631582</c:v>
                </c:pt>
                <c:pt idx="5">
                  <c:v>54.6</c:v>
                </c:pt>
              </c:numCache>
            </c:numRef>
          </c:val>
          <c:extLst>
            <c:ext xmlns:c16="http://schemas.microsoft.com/office/drawing/2014/chart" uri="{C3380CC4-5D6E-409C-BE32-E72D297353CC}">
              <c16:uniqueId val="{00000003-6005-469A-BA8A-B68F42B4C59F}"/>
            </c:ext>
          </c:extLst>
        </c:ser>
        <c:ser>
          <c:idx val="4"/>
          <c:order val="4"/>
          <c:tx>
            <c:strRef>
              <c:f>LC!$AH$178</c:f>
              <c:strCache>
                <c:ptCount val="1"/>
                <c:pt idx="0">
                  <c:v>2020</c:v>
                </c:pt>
              </c:strCache>
            </c:strRef>
          </c:tx>
          <c:cat>
            <c:strRef>
              <c:f>LC!$AC$179:$AC$184</c:f>
              <c:strCache>
                <c:ptCount val="6"/>
                <c:pt idx="0">
                  <c:v>COMUNA 1</c:v>
                </c:pt>
                <c:pt idx="1">
                  <c:v>COMUNA 2</c:v>
                </c:pt>
                <c:pt idx="2">
                  <c:v>COMUNA 3</c:v>
                </c:pt>
                <c:pt idx="3">
                  <c:v>COMUNA 4</c:v>
                </c:pt>
                <c:pt idx="4">
                  <c:v>COMUNA 5</c:v>
                </c:pt>
                <c:pt idx="5">
                  <c:v>COMUNA 6</c:v>
                </c:pt>
              </c:strCache>
            </c:strRef>
          </c:cat>
          <c:val>
            <c:numRef>
              <c:f>LC!$AH$179:$AH$184</c:f>
              <c:numCache>
                <c:formatCode>0</c:formatCode>
                <c:ptCount val="6"/>
                <c:pt idx="0">
                  <c:v>53.823529411764703</c:v>
                </c:pt>
                <c:pt idx="1">
                  <c:v>54.791666666666664</c:v>
                </c:pt>
                <c:pt idx="2">
                  <c:v>54.89473684210526</c:v>
                </c:pt>
                <c:pt idx="3">
                  <c:v>51.153846153846153</c:v>
                </c:pt>
                <c:pt idx="4">
                  <c:v>56.5</c:v>
                </c:pt>
                <c:pt idx="5">
                  <c:v>52.588235294117645</c:v>
                </c:pt>
              </c:numCache>
            </c:numRef>
          </c:val>
          <c:extLst>
            <c:ext xmlns:c16="http://schemas.microsoft.com/office/drawing/2014/chart" uri="{C3380CC4-5D6E-409C-BE32-E72D297353CC}">
              <c16:uniqueId val="{00000001-0070-490A-99FF-7CA7DEBAC34F}"/>
            </c:ext>
          </c:extLst>
        </c:ser>
        <c:ser>
          <c:idx val="5"/>
          <c:order val="5"/>
          <c:tx>
            <c:strRef>
              <c:f>LC!$AI$178</c:f>
              <c:strCache>
                <c:ptCount val="1"/>
                <c:pt idx="0">
                  <c:v>2021</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LC!$AC$179:$AC$184</c:f>
              <c:strCache>
                <c:ptCount val="6"/>
                <c:pt idx="0">
                  <c:v>COMUNA 1</c:v>
                </c:pt>
                <c:pt idx="1">
                  <c:v>COMUNA 2</c:v>
                </c:pt>
                <c:pt idx="2">
                  <c:v>COMUNA 3</c:v>
                </c:pt>
                <c:pt idx="3">
                  <c:v>COMUNA 4</c:v>
                </c:pt>
                <c:pt idx="4">
                  <c:v>COMUNA 5</c:v>
                </c:pt>
                <c:pt idx="5">
                  <c:v>COMUNA 6</c:v>
                </c:pt>
              </c:strCache>
            </c:strRef>
          </c:cat>
          <c:val>
            <c:numRef>
              <c:f>LC!$AI$179:$AI$184</c:f>
              <c:numCache>
                <c:formatCode>0</c:formatCode>
                <c:ptCount val="6"/>
                <c:pt idx="0">
                  <c:v>54.588235294117645</c:v>
                </c:pt>
                <c:pt idx="1">
                  <c:v>54.545454545454547</c:v>
                </c:pt>
                <c:pt idx="2">
                  <c:v>55.6</c:v>
                </c:pt>
                <c:pt idx="3">
                  <c:v>52.357142857142854</c:v>
                </c:pt>
                <c:pt idx="4">
                  <c:v>56.944444444444443</c:v>
                </c:pt>
                <c:pt idx="5">
                  <c:v>54.1875</c:v>
                </c:pt>
              </c:numCache>
            </c:numRef>
          </c:val>
          <c:extLst>
            <c:ext xmlns:c16="http://schemas.microsoft.com/office/drawing/2014/chart" uri="{C3380CC4-5D6E-409C-BE32-E72D297353CC}">
              <c16:uniqueId val="{00000000-F0C3-4ED1-8924-C6D55A236138}"/>
            </c:ext>
          </c:extLst>
        </c:ser>
        <c:ser>
          <c:idx val="6"/>
          <c:order val="6"/>
          <c:tx>
            <c:strRef>
              <c:f>LC!$AJ$178</c:f>
              <c:strCache>
                <c:ptCount val="1"/>
                <c:pt idx="0">
                  <c:v>2022</c:v>
                </c:pt>
              </c:strCache>
            </c:strRef>
          </c:tx>
          <c:cat>
            <c:strRef>
              <c:f>LC!$AC$179:$AC$184</c:f>
              <c:strCache>
                <c:ptCount val="6"/>
                <c:pt idx="0">
                  <c:v>COMUNA 1</c:v>
                </c:pt>
                <c:pt idx="1">
                  <c:v>COMUNA 2</c:v>
                </c:pt>
                <c:pt idx="2">
                  <c:v>COMUNA 3</c:v>
                </c:pt>
                <c:pt idx="3">
                  <c:v>COMUNA 4</c:v>
                </c:pt>
                <c:pt idx="4">
                  <c:v>COMUNA 5</c:v>
                </c:pt>
                <c:pt idx="5">
                  <c:v>COMUNA 6</c:v>
                </c:pt>
              </c:strCache>
            </c:strRef>
          </c:cat>
          <c:val>
            <c:numRef>
              <c:f>LC!$AJ$179:$AJ$184</c:f>
              <c:numCache>
                <c:formatCode>0</c:formatCode>
                <c:ptCount val="6"/>
                <c:pt idx="0">
                  <c:v>54.722222222222221</c:v>
                </c:pt>
                <c:pt idx="1">
                  <c:v>56.44</c:v>
                </c:pt>
                <c:pt idx="2">
                  <c:v>56.272727272727273</c:v>
                </c:pt>
                <c:pt idx="3">
                  <c:v>53.285714285714285</c:v>
                </c:pt>
                <c:pt idx="4">
                  <c:v>57.882352941176471</c:v>
                </c:pt>
                <c:pt idx="5">
                  <c:v>54.526315789473685</c:v>
                </c:pt>
              </c:numCache>
            </c:numRef>
          </c:val>
          <c:extLst>
            <c:ext xmlns:c16="http://schemas.microsoft.com/office/drawing/2014/chart" uri="{C3380CC4-5D6E-409C-BE32-E72D297353CC}">
              <c16:uniqueId val="{00000000-CEFE-4B2F-B937-C73FFBF48852}"/>
            </c:ext>
          </c:extLst>
        </c:ser>
        <c:ser>
          <c:idx val="7"/>
          <c:order val="7"/>
          <c:tx>
            <c:strRef>
              <c:f>LC!$AK$178</c:f>
              <c:strCache>
                <c:ptCount val="1"/>
                <c:pt idx="0">
                  <c:v>2023</c:v>
                </c:pt>
              </c:strCache>
            </c:strRef>
          </c:tx>
          <c:cat>
            <c:strRef>
              <c:f>LC!$AC$179:$AC$184</c:f>
              <c:strCache>
                <c:ptCount val="6"/>
                <c:pt idx="0">
                  <c:v>COMUNA 1</c:v>
                </c:pt>
                <c:pt idx="1">
                  <c:v>COMUNA 2</c:v>
                </c:pt>
                <c:pt idx="2">
                  <c:v>COMUNA 3</c:v>
                </c:pt>
                <c:pt idx="3">
                  <c:v>COMUNA 4</c:v>
                </c:pt>
                <c:pt idx="4">
                  <c:v>COMUNA 5</c:v>
                </c:pt>
                <c:pt idx="5">
                  <c:v>COMUNA 6</c:v>
                </c:pt>
              </c:strCache>
            </c:strRef>
          </c:cat>
          <c:val>
            <c:numRef>
              <c:f>LC!$AK$179:$AK$184</c:f>
              <c:numCache>
                <c:formatCode>0</c:formatCode>
                <c:ptCount val="6"/>
                <c:pt idx="0">
                  <c:v>54.529411764705884</c:v>
                </c:pt>
                <c:pt idx="1">
                  <c:v>55.96153846153846</c:v>
                </c:pt>
                <c:pt idx="2">
                  <c:v>55.909090909090907</c:v>
                </c:pt>
                <c:pt idx="3">
                  <c:v>51.466666666666669</c:v>
                </c:pt>
                <c:pt idx="4">
                  <c:v>57.823529411764703</c:v>
                </c:pt>
                <c:pt idx="5">
                  <c:v>55.6</c:v>
                </c:pt>
              </c:numCache>
            </c:numRef>
          </c:val>
          <c:extLst>
            <c:ext xmlns:c16="http://schemas.microsoft.com/office/drawing/2014/chart" uri="{C3380CC4-5D6E-409C-BE32-E72D297353CC}">
              <c16:uniqueId val="{00000001-CEFE-4B2F-B937-C73FFBF48852}"/>
            </c:ext>
          </c:extLst>
        </c:ser>
        <c:ser>
          <c:idx val="8"/>
          <c:order val="8"/>
          <c:tx>
            <c:strRef>
              <c:f>LC!$AL$178</c:f>
              <c:strCache>
                <c:ptCount val="1"/>
                <c:pt idx="0">
                  <c:v>2024</c:v>
                </c:pt>
              </c:strCache>
            </c:strRef>
          </c:tx>
          <c:cat>
            <c:strRef>
              <c:f>LC!$AC$179:$AC$184</c:f>
              <c:strCache>
                <c:ptCount val="6"/>
                <c:pt idx="0">
                  <c:v>COMUNA 1</c:v>
                </c:pt>
                <c:pt idx="1">
                  <c:v>COMUNA 2</c:v>
                </c:pt>
                <c:pt idx="2">
                  <c:v>COMUNA 3</c:v>
                </c:pt>
                <c:pt idx="3">
                  <c:v>COMUNA 4</c:v>
                </c:pt>
                <c:pt idx="4">
                  <c:v>COMUNA 5</c:v>
                </c:pt>
                <c:pt idx="5">
                  <c:v>COMUNA 6</c:v>
                </c:pt>
              </c:strCache>
            </c:strRef>
          </c:cat>
          <c:val>
            <c:numRef>
              <c:f>LC!$AL$179:$AL$184</c:f>
              <c:numCache>
                <c:formatCode>0</c:formatCode>
                <c:ptCount val="6"/>
                <c:pt idx="0">
                  <c:v>55.333333333333336</c:v>
                </c:pt>
                <c:pt idx="1">
                  <c:v>57.208333333333336</c:v>
                </c:pt>
                <c:pt idx="2">
                  <c:v>56.5</c:v>
                </c:pt>
                <c:pt idx="3">
                  <c:v>53.384615384615387</c:v>
                </c:pt>
                <c:pt idx="4">
                  <c:v>57.5</c:v>
                </c:pt>
                <c:pt idx="5">
                  <c:v>56</c:v>
                </c:pt>
              </c:numCache>
            </c:numRef>
          </c:val>
          <c:extLst>
            <c:ext xmlns:c16="http://schemas.microsoft.com/office/drawing/2014/chart" uri="{C3380CC4-5D6E-409C-BE32-E72D297353CC}">
              <c16:uniqueId val="{00000002-CEFE-4B2F-B937-C73FFBF48852}"/>
            </c:ext>
          </c:extLst>
        </c:ser>
        <c:dLbls>
          <c:showLegendKey val="0"/>
          <c:showVal val="0"/>
          <c:showCatName val="0"/>
          <c:showSerName val="0"/>
          <c:showPercent val="0"/>
          <c:showBubbleSize val="0"/>
        </c:dLbls>
        <c:axId val="39209600"/>
        <c:axId val="39223680"/>
      </c:radarChart>
      <c:catAx>
        <c:axId val="39209600"/>
        <c:scaling>
          <c:orientation val="minMax"/>
        </c:scaling>
        <c:delete val="0"/>
        <c:axPos val="b"/>
        <c:majorGridlines/>
        <c:numFmt formatCode="General" sourceLinked="0"/>
        <c:majorTickMark val="none"/>
        <c:minorTickMark val="none"/>
        <c:tickLblPos val="nextTo"/>
        <c:spPr>
          <a:ln w="9525">
            <a:noFill/>
          </a:ln>
        </c:spPr>
        <c:crossAx val="39223680"/>
        <c:crosses val="autoZero"/>
        <c:auto val="1"/>
        <c:lblAlgn val="ctr"/>
        <c:lblOffset val="100"/>
        <c:noMultiLvlLbl val="0"/>
      </c:catAx>
      <c:valAx>
        <c:axId val="39223680"/>
        <c:scaling>
          <c:orientation val="minMax"/>
          <c:max val="58"/>
          <c:min val="48"/>
        </c:scaling>
        <c:delete val="0"/>
        <c:axPos val="l"/>
        <c:majorGridlines/>
        <c:numFmt formatCode="0" sourceLinked="1"/>
        <c:majorTickMark val="none"/>
        <c:minorTickMark val="none"/>
        <c:tickLblPos val="nextTo"/>
        <c:crossAx val="39209600"/>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Lectura</a:t>
            </a:r>
            <a:r>
              <a:rPr lang="es-CO" sz="1400" baseline="0"/>
              <a:t> Crítica Instituciónes Oficiales por Comunas 2016-2024</a:t>
            </a:r>
            <a:endParaRPr lang="es-CO" sz="1400"/>
          </a:p>
        </c:rich>
      </c:tx>
      <c:overlay val="0"/>
    </c:title>
    <c:autoTitleDeleted val="0"/>
    <c:plotArea>
      <c:layout/>
      <c:radarChart>
        <c:radarStyle val="marker"/>
        <c:varyColors val="0"/>
        <c:ser>
          <c:idx val="0"/>
          <c:order val="0"/>
          <c:tx>
            <c:strRef>
              <c:f>LC!$D$201</c:f>
              <c:strCache>
                <c:ptCount val="1"/>
                <c:pt idx="0">
                  <c:v>2016</c:v>
                </c:pt>
              </c:strCache>
            </c:strRef>
          </c:tx>
          <c:spPr>
            <a:ln>
              <a:prstDash val="lgDashDot"/>
            </a:ln>
          </c:spPr>
          <c:cat>
            <c:strRef>
              <c:f>LC!$C$202:$C$207</c:f>
              <c:strCache>
                <c:ptCount val="6"/>
                <c:pt idx="0">
                  <c:v>COMUNA 1</c:v>
                </c:pt>
                <c:pt idx="1">
                  <c:v>COMUNA 2</c:v>
                </c:pt>
                <c:pt idx="2">
                  <c:v>COMUNA 3</c:v>
                </c:pt>
                <c:pt idx="3">
                  <c:v>COMUNA 4</c:v>
                </c:pt>
                <c:pt idx="4">
                  <c:v>COMUNA 5</c:v>
                </c:pt>
                <c:pt idx="5">
                  <c:v>COMUNA 6</c:v>
                </c:pt>
              </c:strCache>
            </c:strRef>
          </c:cat>
          <c:val>
            <c:numRef>
              <c:f>LC!$D$202:$D$207</c:f>
              <c:numCache>
                <c:formatCode>0</c:formatCode>
                <c:ptCount val="6"/>
                <c:pt idx="0">
                  <c:v>53</c:v>
                </c:pt>
                <c:pt idx="1">
                  <c:v>53.5</c:v>
                </c:pt>
                <c:pt idx="2">
                  <c:v>53.333333333333336</c:v>
                </c:pt>
                <c:pt idx="3">
                  <c:v>49.666666666666664</c:v>
                </c:pt>
                <c:pt idx="4">
                  <c:v>53.5</c:v>
                </c:pt>
                <c:pt idx="5">
                  <c:v>52.666666666666664</c:v>
                </c:pt>
              </c:numCache>
            </c:numRef>
          </c:val>
          <c:extLst>
            <c:ext xmlns:c16="http://schemas.microsoft.com/office/drawing/2014/chart" uri="{C3380CC4-5D6E-409C-BE32-E72D297353CC}">
              <c16:uniqueId val="{00000000-B841-447B-9845-623613E75B3A}"/>
            </c:ext>
          </c:extLst>
        </c:ser>
        <c:ser>
          <c:idx val="1"/>
          <c:order val="1"/>
          <c:tx>
            <c:strRef>
              <c:f>LC!$E$201</c:f>
              <c:strCache>
                <c:ptCount val="1"/>
                <c:pt idx="0">
                  <c:v>2017</c:v>
                </c:pt>
              </c:strCache>
            </c:strRef>
          </c:tx>
          <c:cat>
            <c:strRef>
              <c:f>LC!$C$202:$C$207</c:f>
              <c:strCache>
                <c:ptCount val="6"/>
                <c:pt idx="0">
                  <c:v>COMUNA 1</c:v>
                </c:pt>
                <c:pt idx="1">
                  <c:v>COMUNA 2</c:v>
                </c:pt>
                <c:pt idx="2">
                  <c:v>COMUNA 3</c:v>
                </c:pt>
                <c:pt idx="3">
                  <c:v>COMUNA 4</c:v>
                </c:pt>
                <c:pt idx="4">
                  <c:v>COMUNA 5</c:v>
                </c:pt>
                <c:pt idx="5">
                  <c:v>COMUNA 6</c:v>
                </c:pt>
              </c:strCache>
            </c:strRef>
          </c:cat>
          <c:val>
            <c:numRef>
              <c:f>LC!$E$202:$E$207</c:f>
              <c:numCache>
                <c:formatCode>0</c:formatCode>
                <c:ptCount val="6"/>
                <c:pt idx="0">
                  <c:v>55</c:v>
                </c:pt>
                <c:pt idx="1">
                  <c:v>54.5</c:v>
                </c:pt>
                <c:pt idx="2">
                  <c:v>54</c:v>
                </c:pt>
                <c:pt idx="3">
                  <c:v>51.333333333333336</c:v>
                </c:pt>
                <c:pt idx="4">
                  <c:v>54</c:v>
                </c:pt>
                <c:pt idx="5">
                  <c:v>52.666666666666664</c:v>
                </c:pt>
              </c:numCache>
            </c:numRef>
          </c:val>
          <c:extLst>
            <c:ext xmlns:c16="http://schemas.microsoft.com/office/drawing/2014/chart" uri="{C3380CC4-5D6E-409C-BE32-E72D297353CC}">
              <c16:uniqueId val="{00000001-B841-447B-9845-623613E75B3A}"/>
            </c:ext>
          </c:extLst>
        </c:ser>
        <c:ser>
          <c:idx val="2"/>
          <c:order val="2"/>
          <c:tx>
            <c:strRef>
              <c:f>LC!$F$201</c:f>
              <c:strCache>
                <c:ptCount val="1"/>
                <c:pt idx="0">
                  <c:v>2018</c:v>
                </c:pt>
              </c:strCache>
            </c:strRef>
          </c:tx>
          <c:spPr>
            <a:ln>
              <a:prstDash val="sysDash"/>
            </a:ln>
          </c:spPr>
          <c:cat>
            <c:strRef>
              <c:f>LC!$C$202:$C$207</c:f>
              <c:strCache>
                <c:ptCount val="6"/>
                <c:pt idx="0">
                  <c:v>COMUNA 1</c:v>
                </c:pt>
                <c:pt idx="1">
                  <c:v>COMUNA 2</c:v>
                </c:pt>
                <c:pt idx="2">
                  <c:v>COMUNA 3</c:v>
                </c:pt>
                <c:pt idx="3">
                  <c:v>COMUNA 4</c:v>
                </c:pt>
                <c:pt idx="4">
                  <c:v>COMUNA 5</c:v>
                </c:pt>
                <c:pt idx="5">
                  <c:v>COMUNA 6</c:v>
                </c:pt>
              </c:strCache>
            </c:strRef>
          </c:cat>
          <c:val>
            <c:numRef>
              <c:f>LC!$F$202:$F$207</c:f>
              <c:numCache>
                <c:formatCode>0</c:formatCode>
                <c:ptCount val="6"/>
                <c:pt idx="0">
                  <c:v>53.75</c:v>
                </c:pt>
                <c:pt idx="1">
                  <c:v>53.5</c:v>
                </c:pt>
                <c:pt idx="2">
                  <c:v>54</c:v>
                </c:pt>
                <c:pt idx="3">
                  <c:v>50.333333333333336</c:v>
                </c:pt>
                <c:pt idx="4">
                  <c:v>52.5</c:v>
                </c:pt>
                <c:pt idx="5">
                  <c:v>52.666666666666664</c:v>
                </c:pt>
              </c:numCache>
            </c:numRef>
          </c:val>
          <c:extLst>
            <c:ext xmlns:c16="http://schemas.microsoft.com/office/drawing/2014/chart" uri="{C3380CC4-5D6E-409C-BE32-E72D297353CC}">
              <c16:uniqueId val="{00000002-B841-447B-9845-623613E75B3A}"/>
            </c:ext>
          </c:extLst>
        </c:ser>
        <c:ser>
          <c:idx val="3"/>
          <c:order val="3"/>
          <c:tx>
            <c:strRef>
              <c:f>LC!$G$201</c:f>
              <c:strCache>
                <c:ptCount val="1"/>
                <c:pt idx="0">
                  <c:v>2019</c:v>
                </c:pt>
              </c:strCache>
            </c:strRef>
          </c:tx>
          <c:cat>
            <c:strRef>
              <c:f>LC!$C$202:$C$207</c:f>
              <c:strCache>
                <c:ptCount val="6"/>
                <c:pt idx="0">
                  <c:v>COMUNA 1</c:v>
                </c:pt>
                <c:pt idx="1">
                  <c:v>COMUNA 2</c:v>
                </c:pt>
                <c:pt idx="2">
                  <c:v>COMUNA 3</c:v>
                </c:pt>
                <c:pt idx="3">
                  <c:v>COMUNA 4</c:v>
                </c:pt>
                <c:pt idx="4">
                  <c:v>COMUNA 5</c:v>
                </c:pt>
                <c:pt idx="5">
                  <c:v>COMUNA 6</c:v>
                </c:pt>
              </c:strCache>
            </c:strRef>
          </c:cat>
          <c:val>
            <c:numRef>
              <c:f>LC!$G$202:$G$207</c:f>
              <c:numCache>
                <c:formatCode>0</c:formatCode>
                <c:ptCount val="6"/>
                <c:pt idx="0">
                  <c:v>54.25</c:v>
                </c:pt>
                <c:pt idx="1">
                  <c:v>54</c:v>
                </c:pt>
                <c:pt idx="2">
                  <c:v>53.333333333333336</c:v>
                </c:pt>
                <c:pt idx="3">
                  <c:v>50</c:v>
                </c:pt>
                <c:pt idx="4">
                  <c:v>53.5</c:v>
                </c:pt>
                <c:pt idx="5">
                  <c:v>52.666666666666664</c:v>
                </c:pt>
              </c:numCache>
            </c:numRef>
          </c:val>
          <c:extLst>
            <c:ext xmlns:c16="http://schemas.microsoft.com/office/drawing/2014/chart" uri="{C3380CC4-5D6E-409C-BE32-E72D297353CC}">
              <c16:uniqueId val="{00000003-B841-447B-9845-623613E75B3A}"/>
            </c:ext>
          </c:extLst>
        </c:ser>
        <c:ser>
          <c:idx val="4"/>
          <c:order val="4"/>
          <c:tx>
            <c:strRef>
              <c:f>LC!$H$201</c:f>
              <c:strCache>
                <c:ptCount val="1"/>
                <c:pt idx="0">
                  <c:v>2020</c:v>
                </c:pt>
              </c:strCache>
            </c:strRef>
          </c:tx>
          <c:cat>
            <c:strRef>
              <c:f>LC!$C$202:$C$207</c:f>
              <c:strCache>
                <c:ptCount val="6"/>
                <c:pt idx="0">
                  <c:v>COMUNA 1</c:v>
                </c:pt>
                <c:pt idx="1">
                  <c:v>COMUNA 2</c:v>
                </c:pt>
                <c:pt idx="2">
                  <c:v>COMUNA 3</c:v>
                </c:pt>
                <c:pt idx="3">
                  <c:v>COMUNA 4</c:v>
                </c:pt>
                <c:pt idx="4">
                  <c:v>COMUNA 5</c:v>
                </c:pt>
                <c:pt idx="5">
                  <c:v>COMUNA 6</c:v>
                </c:pt>
              </c:strCache>
            </c:strRef>
          </c:cat>
          <c:val>
            <c:numRef>
              <c:f>LC!$H$202:$H$207</c:f>
              <c:numCache>
                <c:formatCode>0</c:formatCode>
                <c:ptCount val="6"/>
                <c:pt idx="0">
                  <c:v>54.25</c:v>
                </c:pt>
                <c:pt idx="1">
                  <c:v>54</c:v>
                </c:pt>
                <c:pt idx="2">
                  <c:v>53.25</c:v>
                </c:pt>
                <c:pt idx="3">
                  <c:v>50</c:v>
                </c:pt>
                <c:pt idx="4">
                  <c:v>53.5</c:v>
                </c:pt>
                <c:pt idx="5">
                  <c:v>53</c:v>
                </c:pt>
              </c:numCache>
            </c:numRef>
          </c:val>
          <c:extLst>
            <c:ext xmlns:c16="http://schemas.microsoft.com/office/drawing/2014/chart" uri="{C3380CC4-5D6E-409C-BE32-E72D297353CC}">
              <c16:uniqueId val="{00000001-D0E5-46CE-88D7-2D691323A903}"/>
            </c:ext>
          </c:extLst>
        </c:ser>
        <c:ser>
          <c:idx val="5"/>
          <c:order val="5"/>
          <c:tx>
            <c:strRef>
              <c:f>LC!$I$201</c:f>
              <c:strCache>
                <c:ptCount val="1"/>
                <c:pt idx="0">
                  <c:v>2021</c:v>
                </c:pt>
              </c:strCache>
            </c:strRef>
          </c:tx>
          <c:cat>
            <c:strRef>
              <c:f>LC!$C$202:$C$207</c:f>
              <c:strCache>
                <c:ptCount val="6"/>
                <c:pt idx="0">
                  <c:v>COMUNA 1</c:v>
                </c:pt>
                <c:pt idx="1">
                  <c:v>COMUNA 2</c:v>
                </c:pt>
                <c:pt idx="2">
                  <c:v>COMUNA 3</c:v>
                </c:pt>
                <c:pt idx="3">
                  <c:v>COMUNA 4</c:v>
                </c:pt>
                <c:pt idx="4">
                  <c:v>COMUNA 5</c:v>
                </c:pt>
                <c:pt idx="5">
                  <c:v>COMUNA 6</c:v>
                </c:pt>
              </c:strCache>
            </c:strRef>
          </c:cat>
          <c:val>
            <c:numRef>
              <c:f>LC!$I$202:$I$207</c:f>
              <c:numCache>
                <c:formatCode>0</c:formatCode>
                <c:ptCount val="6"/>
                <c:pt idx="0">
                  <c:v>53.75</c:v>
                </c:pt>
                <c:pt idx="1">
                  <c:v>53.5</c:v>
                </c:pt>
                <c:pt idx="2">
                  <c:v>53.8</c:v>
                </c:pt>
                <c:pt idx="3">
                  <c:v>50.333333333333336</c:v>
                </c:pt>
                <c:pt idx="4">
                  <c:v>54</c:v>
                </c:pt>
                <c:pt idx="5">
                  <c:v>52.333333333333336</c:v>
                </c:pt>
              </c:numCache>
            </c:numRef>
          </c:val>
          <c:extLst>
            <c:ext xmlns:c16="http://schemas.microsoft.com/office/drawing/2014/chart" uri="{C3380CC4-5D6E-409C-BE32-E72D297353CC}">
              <c16:uniqueId val="{00000001-2AD0-4CCB-93FE-5D77D6F0D6C4}"/>
            </c:ext>
          </c:extLst>
        </c:ser>
        <c:ser>
          <c:idx val="6"/>
          <c:order val="6"/>
          <c:tx>
            <c:strRef>
              <c:f>LC!$J$201</c:f>
              <c:strCache>
                <c:ptCount val="1"/>
                <c:pt idx="0">
                  <c:v>2022</c:v>
                </c:pt>
              </c:strCache>
            </c:strRef>
          </c:tx>
          <c:cat>
            <c:strRef>
              <c:f>LC!$C$202:$C$207</c:f>
              <c:strCache>
                <c:ptCount val="6"/>
                <c:pt idx="0">
                  <c:v>COMUNA 1</c:v>
                </c:pt>
                <c:pt idx="1">
                  <c:v>COMUNA 2</c:v>
                </c:pt>
                <c:pt idx="2">
                  <c:v>COMUNA 3</c:v>
                </c:pt>
                <c:pt idx="3">
                  <c:v>COMUNA 4</c:v>
                </c:pt>
                <c:pt idx="4">
                  <c:v>COMUNA 5</c:v>
                </c:pt>
                <c:pt idx="5">
                  <c:v>COMUNA 6</c:v>
                </c:pt>
              </c:strCache>
            </c:strRef>
          </c:cat>
          <c:val>
            <c:numRef>
              <c:f>LC!$J$202:$J$207</c:f>
              <c:numCache>
                <c:formatCode>0</c:formatCode>
                <c:ptCount val="6"/>
                <c:pt idx="0">
                  <c:v>54</c:v>
                </c:pt>
                <c:pt idx="1">
                  <c:v>53.75</c:v>
                </c:pt>
                <c:pt idx="2">
                  <c:v>54.333333333333336</c:v>
                </c:pt>
                <c:pt idx="3">
                  <c:v>51</c:v>
                </c:pt>
                <c:pt idx="4">
                  <c:v>55</c:v>
                </c:pt>
                <c:pt idx="5">
                  <c:v>53</c:v>
                </c:pt>
              </c:numCache>
            </c:numRef>
          </c:val>
          <c:extLst>
            <c:ext xmlns:c16="http://schemas.microsoft.com/office/drawing/2014/chart" uri="{C3380CC4-5D6E-409C-BE32-E72D297353CC}">
              <c16:uniqueId val="{00000000-2DE8-4991-9559-0F866ABE42A1}"/>
            </c:ext>
          </c:extLst>
        </c:ser>
        <c:ser>
          <c:idx val="7"/>
          <c:order val="7"/>
          <c:tx>
            <c:strRef>
              <c:f>LC!$K$201</c:f>
              <c:strCache>
                <c:ptCount val="1"/>
                <c:pt idx="0">
                  <c:v>2023</c:v>
                </c:pt>
              </c:strCache>
            </c:strRef>
          </c:tx>
          <c:cat>
            <c:strRef>
              <c:f>LC!$C$202:$C$207</c:f>
              <c:strCache>
                <c:ptCount val="6"/>
                <c:pt idx="0">
                  <c:v>COMUNA 1</c:v>
                </c:pt>
                <c:pt idx="1">
                  <c:v>COMUNA 2</c:v>
                </c:pt>
                <c:pt idx="2">
                  <c:v>COMUNA 3</c:v>
                </c:pt>
                <c:pt idx="3">
                  <c:v>COMUNA 4</c:v>
                </c:pt>
                <c:pt idx="4">
                  <c:v>COMUNA 5</c:v>
                </c:pt>
                <c:pt idx="5">
                  <c:v>COMUNA 6</c:v>
                </c:pt>
              </c:strCache>
            </c:strRef>
          </c:cat>
          <c:val>
            <c:numRef>
              <c:f>LC!$K$202:$K$207</c:f>
              <c:numCache>
                <c:formatCode>0</c:formatCode>
                <c:ptCount val="6"/>
                <c:pt idx="0">
                  <c:v>52.8</c:v>
                </c:pt>
                <c:pt idx="1">
                  <c:v>54.25</c:v>
                </c:pt>
                <c:pt idx="2">
                  <c:v>54</c:v>
                </c:pt>
                <c:pt idx="3">
                  <c:v>49.833333333333336</c:v>
                </c:pt>
                <c:pt idx="4">
                  <c:v>53.5</c:v>
                </c:pt>
                <c:pt idx="5">
                  <c:v>52.333333333333336</c:v>
                </c:pt>
              </c:numCache>
            </c:numRef>
          </c:val>
          <c:extLst>
            <c:ext xmlns:c16="http://schemas.microsoft.com/office/drawing/2014/chart" uri="{C3380CC4-5D6E-409C-BE32-E72D297353CC}">
              <c16:uniqueId val="{00000001-2DE8-4991-9559-0F866ABE42A1}"/>
            </c:ext>
          </c:extLst>
        </c:ser>
        <c:ser>
          <c:idx val="8"/>
          <c:order val="8"/>
          <c:tx>
            <c:strRef>
              <c:f>LC!$L$201</c:f>
              <c:strCache>
                <c:ptCount val="1"/>
                <c:pt idx="0">
                  <c:v>2024</c:v>
                </c:pt>
              </c:strCache>
            </c:strRef>
          </c:tx>
          <c:cat>
            <c:strRef>
              <c:f>LC!$C$202:$C$207</c:f>
              <c:strCache>
                <c:ptCount val="6"/>
                <c:pt idx="0">
                  <c:v>COMUNA 1</c:v>
                </c:pt>
                <c:pt idx="1">
                  <c:v>COMUNA 2</c:v>
                </c:pt>
                <c:pt idx="2">
                  <c:v>COMUNA 3</c:v>
                </c:pt>
                <c:pt idx="3">
                  <c:v>COMUNA 4</c:v>
                </c:pt>
                <c:pt idx="4">
                  <c:v>COMUNA 5</c:v>
                </c:pt>
                <c:pt idx="5">
                  <c:v>COMUNA 6</c:v>
                </c:pt>
              </c:strCache>
            </c:strRef>
          </c:cat>
          <c:val>
            <c:numRef>
              <c:f>LC!$L$202:$L$207</c:f>
              <c:numCache>
                <c:formatCode>0</c:formatCode>
                <c:ptCount val="6"/>
                <c:pt idx="0">
                  <c:v>54</c:v>
                </c:pt>
                <c:pt idx="1">
                  <c:v>54.75</c:v>
                </c:pt>
                <c:pt idx="2">
                  <c:v>54.5</c:v>
                </c:pt>
                <c:pt idx="3">
                  <c:v>50.666666666666664</c:v>
                </c:pt>
                <c:pt idx="4">
                  <c:v>56.333333333333336</c:v>
                </c:pt>
                <c:pt idx="5">
                  <c:v>54</c:v>
                </c:pt>
              </c:numCache>
            </c:numRef>
          </c:val>
          <c:extLst>
            <c:ext xmlns:c16="http://schemas.microsoft.com/office/drawing/2014/chart" uri="{C3380CC4-5D6E-409C-BE32-E72D297353CC}">
              <c16:uniqueId val="{00000000-FA1B-4F28-AD56-AF80B9FCC69E}"/>
            </c:ext>
          </c:extLst>
        </c:ser>
        <c:dLbls>
          <c:showLegendKey val="0"/>
          <c:showVal val="0"/>
          <c:showCatName val="0"/>
          <c:showSerName val="0"/>
          <c:showPercent val="0"/>
          <c:showBubbleSize val="0"/>
        </c:dLbls>
        <c:axId val="39250560"/>
        <c:axId val="38543744"/>
      </c:radarChart>
      <c:catAx>
        <c:axId val="39250560"/>
        <c:scaling>
          <c:orientation val="minMax"/>
        </c:scaling>
        <c:delete val="0"/>
        <c:axPos val="b"/>
        <c:majorGridlines/>
        <c:numFmt formatCode="General" sourceLinked="0"/>
        <c:majorTickMark val="none"/>
        <c:minorTickMark val="none"/>
        <c:tickLblPos val="nextTo"/>
        <c:spPr>
          <a:ln w="9525">
            <a:noFill/>
          </a:ln>
        </c:spPr>
        <c:crossAx val="38543744"/>
        <c:crosses val="autoZero"/>
        <c:auto val="1"/>
        <c:lblAlgn val="ctr"/>
        <c:lblOffset val="100"/>
        <c:noMultiLvlLbl val="0"/>
      </c:catAx>
      <c:valAx>
        <c:axId val="38543744"/>
        <c:scaling>
          <c:orientation val="minMax"/>
          <c:max val="58"/>
          <c:min val="48"/>
        </c:scaling>
        <c:delete val="0"/>
        <c:axPos val="l"/>
        <c:majorGridlines/>
        <c:numFmt formatCode="0" sourceLinked="1"/>
        <c:majorTickMark val="none"/>
        <c:minorTickMark val="none"/>
        <c:tickLblPos val="nextTo"/>
        <c:crossAx val="39250560"/>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Lectura Crítica Instituciones No Oficiales por Comunas 2016-2024</a:t>
            </a:r>
            <a:endParaRPr lang="es-CO" sz="1400">
              <a:effectLst/>
            </a:endParaRPr>
          </a:p>
        </c:rich>
      </c:tx>
      <c:overlay val="0"/>
    </c:title>
    <c:autoTitleDeleted val="0"/>
    <c:plotArea>
      <c:layout>
        <c:manualLayout>
          <c:layoutTarget val="inner"/>
          <c:xMode val="edge"/>
          <c:yMode val="edge"/>
          <c:x val="0.1086654825862963"/>
          <c:y val="0.14645895667926781"/>
          <c:w val="0.5823671311056442"/>
          <c:h val="0.68293020545108274"/>
        </c:manualLayout>
      </c:layout>
      <c:radarChart>
        <c:radarStyle val="marker"/>
        <c:varyColors val="0"/>
        <c:ser>
          <c:idx val="0"/>
          <c:order val="0"/>
          <c:tx>
            <c:strRef>
              <c:f>LC!$O$201</c:f>
              <c:strCache>
                <c:ptCount val="1"/>
                <c:pt idx="0">
                  <c:v>2016</c:v>
                </c:pt>
              </c:strCache>
            </c:strRef>
          </c:tx>
          <c:spPr>
            <a:ln>
              <a:prstDash val="lgDashDot"/>
            </a:ln>
          </c:spPr>
          <c:cat>
            <c:strRef>
              <c:f>LC!$N$202:$N$207</c:f>
              <c:strCache>
                <c:ptCount val="6"/>
                <c:pt idx="0">
                  <c:v>COMUNA 1</c:v>
                </c:pt>
                <c:pt idx="1">
                  <c:v>COMUNA 2</c:v>
                </c:pt>
                <c:pt idx="2">
                  <c:v>COMUNA 3</c:v>
                </c:pt>
                <c:pt idx="3">
                  <c:v>COMUNA 4</c:v>
                </c:pt>
                <c:pt idx="4">
                  <c:v>COMUNA 5</c:v>
                </c:pt>
                <c:pt idx="5">
                  <c:v>COMUNA 6</c:v>
                </c:pt>
              </c:strCache>
            </c:strRef>
          </c:cat>
          <c:val>
            <c:numRef>
              <c:f>LC!$O$202:$O$207</c:f>
              <c:numCache>
                <c:formatCode>0</c:formatCode>
                <c:ptCount val="6"/>
                <c:pt idx="0">
                  <c:v>53.153846153846153</c:v>
                </c:pt>
                <c:pt idx="1">
                  <c:v>54.888888888888886</c:v>
                </c:pt>
                <c:pt idx="2">
                  <c:v>55.153846153846153</c:v>
                </c:pt>
                <c:pt idx="3">
                  <c:v>51.5</c:v>
                </c:pt>
                <c:pt idx="4">
                  <c:v>55.8</c:v>
                </c:pt>
                <c:pt idx="5">
                  <c:v>54.583333333333336</c:v>
                </c:pt>
              </c:numCache>
            </c:numRef>
          </c:val>
          <c:extLst>
            <c:ext xmlns:c16="http://schemas.microsoft.com/office/drawing/2014/chart" uri="{C3380CC4-5D6E-409C-BE32-E72D297353CC}">
              <c16:uniqueId val="{00000000-9F3F-44C5-B9F6-FD9F632224D2}"/>
            </c:ext>
          </c:extLst>
        </c:ser>
        <c:ser>
          <c:idx val="1"/>
          <c:order val="1"/>
          <c:tx>
            <c:strRef>
              <c:f>LC!$P$201</c:f>
              <c:strCache>
                <c:ptCount val="1"/>
                <c:pt idx="0">
                  <c:v>2017</c:v>
                </c:pt>
              </c:strCache>
            </c:strRef>
          </c:tx>
          <c:cat>
            <c:strRef>
              <c:f>LC!$N$202:$N$207</c:f>
              <c:strCache>
                <c:ptCount val="6"/>
                <c:pt idx="0">
                  <c:v>COMUNA 1</c:v>
                </c:pt>
                <c:pt idx="1">
                  <c:v>COMUNA 2</c:v>
                </c:pt>
                <c:pt idx="2">
                  <c:v>COMUNA 3</c:v>
                </c:pt>
                <c:pt idx="3">
                  <c:v>COMUNA 4</c:v>
                </c:pt>
                <c:pt idx="4">
                  <c:v>COMUNA 5</c:v>
                </c:pt>
                <c:pt idx="5">
                  <c:v>COMUNA 6</c:v>
                </c:pt>
              </c:strCache>
            </c:strRef>
          </c:cat>
          <c:val>
            <c:numRef>
              <c:f>LC!$P$202:$P$207</c:f>
              <c:numCache>
                <c:formatCode>0</c:formatCode>
                <c:ptCount val="6"/>
                <c:pt idx="0">
                  <c:v>53.333333333333336</c:v>
                </c:pt>
                <c:pt idx="1">
                  <c:v>55.705882352941174</c:v>
                </c:pt>
                <c:pt idx="2">
                  <c:v>55.714285714285715</c:v>
                </c:pt>
                <c:pt idx="3">
                  <c:v>55.111111111111114</c:v>
                </c:pt>
                <c:pt idx="4">
                  <c:v>57.333333333333336</c:v>
                </c:pt>
                <c:pt idx="5">
                  <c:v>54</c:v>
                </c:pt>
              </c:numCache>
            </c:numRef>
          </c:val>
          <c:extLst>
            <c:ext xmlns:c16="http://schemas.microsoft.com/office/drawing/2014/chart" uri="{C3380CC4-5D6E-409C-BE32-E72D297353CC}">
              <c16:uniqueId val="{00000001-9F3F-44C5-B9F6-FD9F632224D2}"/>
            </c:ext>
          </c:extLst>
        </c:ser>
        <c:ser>
          <c:idx val="2"/>
          <c:order val="2"/>
          <c:tx>
            <c:strRef>
              <c:f>LC!$Q$201</c:f>
              <c:strCache>
                <c:ptCount val="1"/>
                <c:pt idx="0">
                  <c:v>2018</c:v>
                </c:pt>
              </c:strCache>
            </c:strRef>
          </c:tx>
          <c:spPr>
            <a:ln>
              <a:prstDash val="sysDash"/>
            </a:ln>
          </c:spPr>
          <c:cat>
            <c:strRef>
              <c:f>LC!$N$202:$N$207</c:f>
              <c:strCache>
                <c:ptCount val="6"/>
                <c:pt idx="0">
                  <c:v>COMUNA 1</c:v>
                </c:pt>
                <c:pt idx="1">
                  <c:v>COMUNA 2</c:v>
                </c:pt>
                <c:pt idx="2">
                  <c:v>COMUNA 3</c:v>
                </c:pt>
                <c:pt idx="3">
                  <c:v>COMUNA 4</c:v>
                </c:pt>
                <c:pt idx="4">
                  <c:v>COMUNA 5</c:v>
                </c:pt>
                <c:pt idx="5">
                  <c:v>COMUNA 6</c:v>
                </c:pt>
              </c:strCache>
            </c:strRef>
          </c:cat>
          <c:val>
            <c:numRef>
              <c:f>LC!$Q$202:$Q$207</c:f>
              <c:numCache>
                <c:formatCode>0</c:formatCode>
                <c:ptCount val="6"/>
                <c:pt idx="0">
                  <c:v>53.846153846153847</c:v>
                </c:pt>
                <c:pt idx="1">
                  <c:v>54.823529411764703</c:v>
                </c:pt>
                <c:pt idx="2">
                  <c:v>56.214285714285715</c:v>
                </c:pt>
                <c:pt idx="3">
                  <c:v>54.666666666666664</c:v>
                </c:pt>
                <c:pt idx="4">
                  <c:v>56.3125</c:v>
                </c:pt>
                <c:pt idx="5">
                  <c:v>54.81818181818182</c:v>
                </c:pt>
              </c:numCache>
            </c:numRef>
          </c:val>
          <c:extLst>
            <c:ext xmlns:c16="http://schemas.microsoft.com/office/drawing/2014/chart" uri="{C3380CC4-5D6E-409C-BE32-E72D297353CC}">
              <c16:uniqueId val="{00000002-9F3F-44C5-B9F6-FD9F632224D2}"/>
            </c:ext>
          </c:extLst>
        </c:ser>
        <c:ser>
          <c:idx val="3"/>
          <c:order val="3"/>
          <c:tx>
            <c:strRef>
              <c:f>LC!$R$201</c:f>
              <c:strCache>
                <c:ptCount val="1"/>
                <c:pt idx="0">
                  <c:v>2019</c:v>
                </c:pt>
              </c:strCache>
            </c:strRef>
          </c:tx>
          <c:cat>
            <c:strRef>
              <c:f>LC!$N$202:$N$207</c:f>
              <c:strCache>
                <c:ptCount val="6"/>
                <c:pt idx="0">
                  <c:v>COMUNA 1</c:v>
                </c:pt>
                <c:pt idx="1">
                  <c:v>COMUNA 2</c:v>
                </c:pt>
                <c:pt idx="2">
                  <c:v>COMUNA 3</c:v>
                </c:pt>
                <c:pt idx="3">
                  <c:v>COMUNA 4</c:v>
                </c:pt>
                <c:pt idx="4">
                  <c:v>COMUNA 5</c:v>
                </c:pt>
                <c:pt idx="5">
                  <c:v>COMUNA 6</c:v>
                </c:pt>
              </c:strCache>
            </c:strRef>
          </c:cat>
          <c:val>
            <c:numRef>
              <c:f>LC!$R$202:$R$207</c:f>
              <c:numCache>
                <c:formatCode>0</c:formatCode>
                <c:ptCount val="6"/>
                <c:pt idx="0">
                  <c:v>53.53846153846154</c:v>
                </c:pt>
                <c:pt idx="1">
                  <c:v>55.444444444444443</c:v>
                </c:pt>
                <c:pt idx="2">
                  <c:v>55.785714285714285</c:v>
                </c:pt>
                <c:pt idx="3">
                  <c:v>54.375</c:v>
                </c:pt>
                <c:pt idx="4">
                  <c:v>56.705882352941174</c:v>
                </c:pt>
                <c:pt idx="5">
                  <c:v>55.083333333333336</c:v>
                </c:pt>
              </c:numCache>
            </c:numRef>
          </c:val>
          <c:extLst>
            <c:ext xmlns:c16="http://schemas.microsoft.com/office/drawing/2014/chart" uri="{C3380CC4-5D6E-409C-BE32-E72D297353CC}">
              <c16:uniqueId val="{00000003-9F3F-44C5-B9F6-FD9F632224D2}"/>
            </c:ext>
          </c:extLst>
        </c:ser>
        <c:ser>
          <c:idx val="4"/>
          <c:order val="4"/>
          <c:tx>
            <c:strRef>
              <c:f>LC!$S$201</c:f>
              <c:strCache>
                <c:ptCount val="1"/>
                <c:pt idx="0">
                  <c:v>2020</c:v>
                </c:pt>
              </c:strCache>
            </c:strRef>
          </c:tx>
          <c:cat>
            <c:strRef>
              <c:f>LC!$N$202:$N$207</c:f>
              <c:strCache>
                <c:ptCount val="6"/>
                <c:pt idx="0">
                  <c:v>COMUNA 1</c:v>
                </c:pt>
                <c:pt idx="1">
                  <c:v>COMUNA 2</c:v>
                </c:pt>
                <c:pt idx="2">
                  <c:v>COMUNA 3</c:v>
                </c:pt>
                <c:pt idx="3">
                  <c:v>COMUNA 4</c:v>
                </c:pt>
                <c:pt idx="4">
                  <c:v>COMUNA 5</c:v>
                </c:pt>
                <c:pt idx="5">
                  <c:v>COMUNA 6</c:v>
                </c:pt>
              </c:strCache>
            </c:strRef>
          </c:cat>
          <c:val>
            <c:numRef>
              <c:f>LC!$S$202:$S$207</c:f>
              <c:numCache>
                <c:formatCode>0</c:formatCode>
                <c:ptCount val="6"/>
                <c:pt idx="0">
                  <c:v>53.692307692307693</c:v>
                </c:pt>
                <c:pt idx="1">
                  <c:v>54.863636363636367</c:v>
                </c:pt>
                <c:pt idx="2">
                  <c:v>55.333333333333336</c:v>
                </c:pt>
                <c:pt idx="3">
                  <c:v>52.142857142857146</c:v>
                </c:pt>
                <c:pt idx="4">
                  <c:v>56.875</c:v>
                </c:pt>
                <c:pt idx="5">
                  <c:v>52.5</c:v>
                </c:pt>
              </c:numCache>
            </c:numRef>
          </c:val>
          <c:extLst>
            <c:ext xmlns:c16="http://schemas.microsoft.com/office/drawing/2014/chart" uri="{C3380CC4-5D6E-409C-BE32-E72D297353CC}">
              <c16:uniqueId val="{00000001-906E-44E8-8304-C95F0B7FE9A4}"/>
            </c:ext>
          </c:extLst>
        </c:ser>
        <c:ser>
          <c:idx val="5"/>
          <c:order val="5"/>
          <c:tx>
            <c:strRef>
              <c:f>LC!$T$201</c:f>
              <c:strCache>
                <c:ptCount val="1"/>
                <c:pt idx="0">
                  <c:v>2021</c:v>
                </c:pt>
              </c:strCache>
            </c:strRef>
          </c:tx>
          <c:cat>
            <c:strRef>
              <c:f>LC!$N$202:$N$207</c:f>
              <c:strCache>
                <c:ptCount val="6"/>
                <c:pt idx="0">
                  <c:v>COMUNA 1</c:v>
                </c:pt>
                <c:pt idx="1">
                  <c:v>COMUNA 2</c:v>
                </c:pt>
                <c:pt idx="2">
                  <c:v>COMUNA 3</c:v>
                </c:pt>
                <c:pt idx="3">
                  <c:v>COMUNA 4</c:v>
                </c:pt>
                <c:pt idx="4">
                  <c:v>COMUNA 5</c:v>
                </c:pt>
                <c:pt idx="5">
                  <c:v>COMUNA 6</c:v>
                </c:pt>
              </c:strCache>
            </c:strRef>
          </c:cat>
          <c:val>
            <c:numRef>
              <c:f>LC!$T$202:$T$207</c:f>
              <c:numCache>
                <c:formatCode>0</c:formatCode>
                <c:ptCount val="6"/>
                <c:pt idx="0">
                  <c:v>54.846153846153847</c:v>
                </c:pt>
                <c:pt idx="1">
                  <c:v>54.65</c:v>
                </c:pt>
                <c:pt idx="2">
                  <c:v>56.2</c:v>
                </c:pt>
                <c:pt idx="3">
                  <c:v>53.875</c:v>
                </c:pt>
                <c:pt idx="4">
                  <c:v>57.3125</c:v>
                </c:pt>
                <c:pt idx="5">
                  <c:v>54.615384615384613</c:v>
                </c:pt>
              </c:numCache>
            </c:numRef>
          </c:val>
          <c:extLst>
            <c:ext xmlns:c16="http://schemas.microsoft.com/office/drawing/2014/chart" uri="{C3380CC4-5D6E-409C-BE32-E72D297353CC}">
              <c16:uniqueId val="{00000001-331C-4B0C-8208-7421C4D80051}"/>
            </c:ext>
          </c:extLst>
        </c:ser>
        <c:ser>
          <c:idx val="6"/>
          <c:order val="6"/>
          <c:tx>
            <c:strRef>
              <c:f>LC!$U$201</c:f>
              <c:strCache>
                <c:ptCount val="1"/>
                <c:pt idx="0">
                  <c:v>2022</c:v>
                </c:pt>
              </c:strCache>
            </c:strRef>
          </c:tx>
          <c:cat>
            <c:strRef>
              <c:f>LC!$N$202:$N$207</c:f>
              <c:strCache>
                <c:ptCount val="6"/>
                <c:pt idx="0">
                  <c:v>COMUNA 1</c:v>
                </c:pt>
                <c:pt idx="1">
                  <c:v>COMUNA 2</c:v>
                </c:pt>
                <c:pt idx="2">
                  <c:v>COMUNA 3</c:v>
                </c:pt>
                <c:pt idx="3">
                  <c:v>COMUNA 4</c:v>
                </c:pt>
                <c:pt idx="4">
                  <c:v>COMUNA 5</c:v>
                </c:pt>
                <c:pt idx="5">
                  <c:v>COMUNA 6</c:v>
                </c:pt>
              </c:strCache>
            </c:strRef>
          </c:cat>
          <c:val>
            <c:numRef>
              <c:f>LC!$U$202:$U$207</c:f>
              <c:numCache>
                <c:formatCode>0</c:formatCode>
                <c:ptCount val="6"/>
                <c:pt idx="0">
                  <c:v>55</c:v>
                </c:pt>
                <c:pt idx="1">
                  <c:v>56.952380952380949</c:v>
                </c:pt>
                <c:pt idx="2">
                  <c:v>57</c:v>
                </c:pt>
                <c:pt idx="3">
                  <c:v>55</c:v>
                </c:pt>
                <c:pt idx="4">
                  <c:v>58.266666666666666</c:v>
                </c:pt>
                <c:pt idx="5">
                  <c:v>54.8125</c:v>
                </c:pt>
              </c:numCache>
            </c:numRef>
          </c:val>
          <c:extLst>
            <c:ext xmlns:c16="http://schemas.microsoft.com/office/drawing/2014/chart" uri="{C3380CC4-5D6E-409C-BE32-E72D297353CC}">
              <c16:uniqueId val="{00000000-A4B0-4EE5-A932-E2E40679DC01}"/>
            </c:ext>
          </c:extLst>
        </c:ser>
        <c:ser>
          <c:idx val="7"/>
          <c:order val="7"/>
          <c:tx>
            <c:strRef>
              <c:f>LC!$V$201</c:f>
              <c:strCache>
                <c:ptCount val="1"/>
                <c:pt idx="0">
                  <c:v>2023</c:v>
                </c:pt>
              </c:strCache>
            </c:strRef>
          </c:tx>
          <c:cat>
            <c:strRef>
              <c:f>LC!$N$202:$N$207</c:f>
              <c:strCache>
                <c:ptCount val="6"/>
                <c:pt idx="0">
                  <c:v>COMUNA 1</c:v>
                </c:pt>
                <c:pt idx="1">
                  <c:v>COMUNA 2</c:v>
                </c:pt>
                <c:pt idx="2">
                  <c:v>COMUNA 3</c:v>
                </c:pt>
                <c:pt idx="3">
                  <c:v>COMUNA 4</c:v>
                </c:pt>
                <c:pt idx="4">
                  <c:v>COMUNA 5</c:v>
                </c:pt>
                <c:pt idx="5">
                  <c:v>COMUNA 6</c:v>
                </c:pt>
              </c:strCache>
            </c:strRef>
          </c:cat>
          <c:val>
            <c:numRef>
              <c:f>LC!$V$202:$V$207</c:f>
              <c:numCache>
                <c:formatCode>0</c:formatCode>
                <c:ptCount val="6"/>
                <c:pt idx="0">
                  <c:v>55.25</c:v>
                </c:pt>
                <c:pt idx="1">
                  <c:v>56.272727272727273</c:v>
                </c:pt>
                <c:pt idx="2">
                  <c:v>56.625</c:v>
                </c:pt>
                <c:pt idx="3">
                  <c:v>52.555555555555557</c:v>
                </c:pt>
                <c:pt idx="4">
                  <c:v>58.4</c:v>
                </c:pt>
                <c:pt idx="5">
                  <c:v>56.176470588235297</c:v>
                </c:pt>
              </c:numCache>
            </c:numRef>
          </c:val>
          <c:extLst>
            <c:ext xmlns:c16="http://schemas.microsoft.com/office/drawing/2014/chart" uri="{C3380CC4-5D6E-409C-BE32-E72D297353CC}">
              <c16:uniqueId val="{00000001-A4B0-4EE5-A932-E2E40679DC01}"/>
            </c:ext>
          </c:extLst>
        </c:ser>
        <c:ser>
          <c:idx val="8"/>
          <c:order val="8"/>
          <c:tx>
            <c:strRef>
              <c:f>LC!$W$201</c:f>
              <c:strCache>
                <c:ptCount val="1"/>
                <c:pt idx="0">
                  <c:v>2024</c:v>
                </c:pt>
              </c:strCache>
            </c:strRef>
          </c:tx>
          <c:cat>
            <c:strRef>
              <c:f>LC!$N$202:$N$207</c:f>
              <c:strCache>
                <c:ptCount val="6"/>
                <c:pt idx="0">
                  <c:v>COMUNA 1</c:v>
                </c:pt>
                <c:pt idx="1">
                  <c:v>COMUNA 2</c:v>
                </c:pt>
                <c:pt idx="2">
                  <c:v>COMUNA 3</c:v>
                </c:pt>
                <c:pt idx="3">
                  <c:v>COMUNA 4</c:v>
                </c:pt>
                <c:pt idx="4">
                  <c:v>COMUNA 5</c:v>
                </c:pt>
                <c:pt idx="5">
                  <c:v>COMUNA 6</c:v>
                </c:pt>
              </c:strCache>
            </c:strRef>
          </c:cat>
          <c:val>
            <c:numRef>
              <c:f>LC!$W$202:$W$207</c:f>
              <c:numCache>
                <c:formatCode>0</c:formatCode>
                <c:ptCount val="6"/>
                <c:pt idx="0">
                  <c:v>55.636363636363633</c:v>
                </c:pt>
                <c:pt idx="1">
                  <c:v>58.421052631578945</c:v>
                </c:pt>
                <c:pt idx="2">
                  <c:v>57.25</c:v>
                </c:pt>
                <c:pt idx="3">
                  <c:v>55.714285714285715</c:v>
                </c:pt>
                <c:pt idx="4">
                  <c:v>58.466666666666669</c:v>
                </c:pt>
                <c:pt idx="5">
                  <c:v>56.533333333333331</c:v>
                </c:pt>
              </c:numCache>
            </c:numRef>
          </c:val>
          <c:extLst>
            <c:ext xmlns:c16="http://schemas.microsoft.com/office/drawing/2014/chart" uri="{C3380CC4-5D6E-409C-BE32-E72D297353CC}">
              <c16:uniqueId val="{00000000-E92F-40F4-AF88-C7C16306D905}"/>
            </c:ext>
          </c:extLst>
        </c:ser>
        <c:dLbls>
          <c:showLegendKey val="0"/>
          <c:showVal val="0"/>
          <c:showCatName val="0"/>
          <c:showSerName val="0"/>
          <c:showPercent val="0"/>
          <c:showBubbleSize val="0"/>
        </c:dLbls>
        <c:axId val="38569088"/>
        <c:axId val="38570624"/>
      </c:radarChart>
      <c:catAx>
        <c:axId val="38569088"/>
        <c:scaling>
          <c:orientation val="minMax"/>
        </c:scaling>
        <c:delete val="0"/>
        <c:axPos val="b"/>
        <c:majorGridlines/>
        <c:numFmt formatCode="General" sourceLinked="0"/>
        <c:majorTickMark val="none"/>
        <c:minorTickMark val="none"/>
        <c:tickLblPos val="nextTo"/>
        <c:spPr>
          <a:ln w="9525">
            <a:noFill/>
          </a:ln>
        </c:spPr>
        <c:crossAx val="38570624"/>
        <c:crosses val="autoZero"/>
        <c:auto val="1"/>
        <c:lblAlgn val="ctr"/>
        <c:lblOffset val="100"/>
        <c:noMultiLvlLbl val="0"/>
      </c:catAx>
      <c:valAx>
        <c:axId val="38570624"/>
        <c:scaling>
          <c:orientation val="minMax"/>
          <c:min val="48"/>
        </c:scaling>
        <c:delete val="0"/>
        <c:axPos val="l"/>
        <c:majorGridlines/>
        <c:numFmt formatCode="0" sourceLinked="1"/>
        <c:majorTickMark val="none"/>
        <c:minorTickMark val="none"/>
        <c:tickLblPos val="nextTo"/>
        <c:crossAx val="38569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Lectura Crítica Saber 11 2016 - 2024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LC!$AR$189:$BI$190</c:f>
              <c:multiLvlStrCache>
                <c:ptCount val="18"/>
                <c:lvl>
                  <c:pt idx="0">
                    <c:v>OFICIAL</c:v>
                  </c:pt>
                  <c:pt idx="1">
                    <c:v>NO OFICIAL</c:v>
                  </c:pt>
                  <c:pt idx="2">
                    <c:v>OFICIAL</c:v>
                  </c:pt>
                  <c:pt idx="3">
                    <c:v>NO OFICIAL</c:v>
                  </c:pt>
                  <c:pt idx="4">
                    <c:v>OFICIAL</c:v>
                  </c:pt>
                  <c:pt idx="5">
                    <c:v>NO OFICIAL</c:v>
                  </c:pt>
                  <c:pt idx="6">
                    <c:v>OFICIAL</c:v>
                  </c:pt>
                  <c:pt idx="7">
                    <c:v>NO OFICIAL</c:v>
                  </c:pt>
                  <c:pt idx="8">
                    <c:v>OFICIAL</c:v>
                  </c:pt>
                  <c:pt idx="9">
                    <c:v>NO OFICIAL</c:v>
                  </c:pt>
                  <c:pt idx="10">
                    <c:v>OFICIAL</c:v>
                  </c:pt>
                  <c:pt idx="11">
                    <c:v>NO OFICIAL</c:v>
                  </c:pt>
                  <c:pt idx="12">
                    <c:v>OFICIAL</c:v>
                  </c:pt>
                  <c:pt idx="13">
                    <c:v>NO OFICIAL</c:v>
                  </c:pt>
                  <c:pt idx="14">
                    <c:v>OFICIAL</c:v>
                  </c:pt>
                  <c:pt idx="15">
                    <c:v>NO OFICIAL</c:v>
                  </c:pt>
                  <c:pt idx="16">
                    <c:v>OFICIAL</c:v>
                  </c:pt>
                  <c:pt idx="17">
                    <c:v>NO OFICIAL</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LC!$AR$191:$BI$191</c:f>
              <c:numCache>
                <c:formatCode>0%</c:formatCode>
                <c:ptCount val="18"/>
                <c:pt idx="0">
                  <c:v>0.01</c:v>
                </c:pt>
                <c:pt idx="1">
                  <c:v>0.01</c:v>
                </c:pt>
                <c:pt idx="2">
                  <c:v>0.01</c:v>
                </c:pt>
                <c:pt idx="3">
                  <c:v>0.01</c:v>
                </c:pt>
                <c:pt idx="4">
                  <c:v>0.02</c:v>
                </c:pt>
                <c:pt idx="5">
                  <c:v>0.01</c:v>
                </c:pt>
                <c:pt idx="6">
                  <c:v>0.02</c:v>
                </c:pt>
                <c:pt idx="7">
                  <c:v>0.01</c:v>
                </c:pt>
                <c:pt idx="8">
                  <c:v>0.02</c:v>
                </c:pt>
                <c:pt idx="9">
                  <c:v>0.01</c:v>
                </c:pt>
                <c:pt idx="10">
                  <c:v>0.02</c:v>
                </c:pt>
                <c:pt idx="11">
                  <c:v>0.01</c:v>
                </c:pt>
                <c:pt idx="12">
                  <c:v>0.02</c:v>
                </c:pt>
                <c:pt idx="13">
                  <c:v>0.01</c:v>
                </c:pt>
                <c:pt idx="14">
                  <c:v>0.02</c:v>
                </c:pt>
                <c:pt idx="15">
                  <c:v>0.01</c:v>
                </c:pt>
                <c:pt idx="16">
                  <c:v>0.03</c:v>
                </c:pt>
                <c:pt idx="17">
                  <c:v>0.01</c:v>
                </c:pt>
              </c:numCache>
            </c:numRef>
          </c:val>
          <c:extLst>
            <c:ext xmlns:c16="http://schemas.microsoft.com/office/drawing/2014/chart" uri="{C3380CC4-5D6E-409C-BE32-E72D297353CC}">
              <c16:uniqueId val="{00000000-876A-48F9-BBD8-D92BA2422A21}"/>
            </c:ext>
          </c:extLst>
        </c:ser>
        <c:ser>
          <c:idx val="1"/>
          <c:order val="1"/>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LC!$AR$189:$BI$190</c:f>
              <c:multiLvlStrCache>
                <c:ptCount val="18"/>
                <c:lvl>
                  <c:pt idx="0">
                    <c:v>OFICIAL</c:v>
                  </c:pt>
                  <c:pt idx="1">
                    <c:v>NO OFICIAL</c:v>
                  </c:pt>
                  <c:pt idx="2">
                    <c:v>OFICIAL</c:v>
                  </c:pt>
                  <c:pt idx="3">
                    <c:v>NO OFICIAL</c:v>
                  </c:pt>
                  <c:pt idx="4">
                    <c:v>OFICIAL</c:v>
                  </c:pt>
                  <c:pt idx="5">
                    <c:v>NO OFICIAL</c:v>
                  </c:pt>
                  <c:pt idx="6">
                    <c:v>OFICIAL</c:v>
                  </c:pt>
                  <c:pt idx="7">
                    <c:v>NO OFICIAL</c:v>
                  </c:pt>
                  <c:pt idx="8">
                    <c:v>OFICIAL</c:v>
                  </c:pt>
                  <c:pt idx="9">
                    <c:v>NO OFICIAL</c:v>
                  </c:pt>
                  <c:pt idx="10">
                    <c:v>OFICIAL</c:v>
                  </c:pt>
                  <c:pt idx="11">
                    <c:v>NO OFICIAL</c:v>
                  </c:pt>
                  <c:pt idx="12">
                    <c:v>OFICIAL</c:v>
                  </c:pt>
                  <c:pt idx="13">
                    <c:v>NO OFICIAL</c:v>
                  </c:pt>
                  <c:pt idx="14">
                    <c:v>OFICIAL</c:v>
                  </c:pt>
                  <c:pt idx="15">
                    <c:v>NO OFICIAL</c:v>
                  </c:pt>
                  <c:pt idx="16">
                    <c:v>OFICIAL</c:v>
                  </c:pt>
                  <c:pt idx="17">
                    <c:v>NO OFICIAL</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LC!$AR$192:$BI$192</c:f>
              <c:numCache>
                <c:formatCode>0%</c:formatCode>
                <c:ptCount val="18"/>
                <c:pt idx="0">
                  <c:v>0.39</c:v>
                </c:pt>
                <c:pt idx="1">
                  <c:v>0.28999999999999998</c:v>
                </c:pt>
                <c:pt idx="2">
                  <c:v>0.34</c:v>
                </c:pt>
                <c:pt idx="3">
                  <c:v>0.23</c:v>
                </c:pt>
                <c:pt idx="4">
                  <c:v>0.37</c:v>
                </c:pt>
                <c:pt idx="5">
                  <c:v>0.26</c:v>
                </c:pt>
                <c:pt idx="6">
                  <c:v>0.35</c:v>
                </c:pt>
                <c:pt idx="7">
                  <c:v>0.25</c:v>
                </c:pt>
                <c:pt idx="8">
                  <c:v>0.35</c:v>
                </c:pt>
                <c:pt idx="9">
                  <c:v>0.26</c:v>
                </c:pt>
                <c:pt idx="10">
                  <c:v>0.37</c:v>
                </c:pt>
                <c:pt idx="11">
                  <c:v>0.26</c:v>
                </c:pt>
                <c:pt idx="12">
                  <c:v>0.34</c:v>
                </c:pt>
                <c:pt idx="13">
                  <c:v>0.21</c:v>
                </c:pt>
                <c:pt idx="14">
                  <c:v>0.35</c:v>
                </c:pt>
                <c:pt idx="15">
                  <c:v>0.22</c:v>
                </c:pt>
                <c:pt idx="16">
                  <c:v>0.31</c:v>
                </c:pt>
                <c:pt idx="17">
                  <c:v>0.18</c:v>
                </c:pt>
              </c:numCache>
            </c:numRef>
          </c:val>
          <c:extLst>
            <c:ext xmlns:c16="http://schemas.microsoft.com/office/drawing/2014/chart" uri="{C3380CC4-5D6E-409C-BE32-E72D297353CC}">
              <c16:uniqueId val="{00000001-876A-48F9-BBD8-D92BA2422A21}"/>
            </c:ext>
          </c:extLst>
        </c:ser>
        <c:ser>
          <c:idx val="2"/>
          <c:order val="2"/>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LC!$AR$189:$BI$190</c:f>
              <c:multiLvlStrCache>
                <c:ptCount val="18"/>
                <c:lvl>
                  <c:pt idx="0">
                    <c:v>OFICIAL</c:v>
                  </c:pt>
                  <c:pt idx="1">
                    <c:v>NO OFICIAL</c:v>
                  </c:pt>
                  <c:pt idx="2">
                    <c:v>OFICIAL</c:v>
                  </c:pt>
                  <c:pt idx="3">
                    <c:v>NO OFICIAL</c:v>
                  </c:pt>
                  <c:pt idx="4">
                    <c:v>OFICIAL</c:v>
                  </c:pt>
                  <c:pt idx="5">
                    <c:v>NO OFICIAL</c:v>
                  </c:pt>
                  <c:pt idx="6">
                    <c:v>OFICIAL</c:v>
                  </c:pt>
                  <c:pt idx="7">
                    <c:v>NO OFICIAL</c:v>
                  </c:pt>
                  <c:pt idx="8">
                    <c:v>OFICIAL</c:v>
                  </c:pt>
                  <c:pt idx="9">
                    <c:v>NO OFICIAL</c:v>
                  </c:pt>
                  <c:pt idx="10">
                    <c:v>OFICIAL</c:v>
                  </c:pt>
                  <c:pt idx="11">
                    <c:v>NO OFICIAL</c:v>
                  </c:pt>
                  <c:pt idx="12">
                    <c:v>OFICIAL</c:v>
                  </c:pt>
                  <c:pt idx="13">
                    <c:v>NO OFICIAL</c:v>
                  </c:pt>
                  <c:pt idx="14">
                    <c:v>OFICIAL</c:v>
                  </c:pt>
                  <c:pt idx="15">
                    <c:v>NO OFICIAL</c:v>
                  </c:pt>
                  <c:pt idx="16">
                    <c:v>OFICIAL</c:v>
                  </c:pt>
                  <c:pt idx="17">
                    <c:v>NO OFICIAL</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LC!$AR$193:$BI$193</c:f>
              <c:numCache>
                <c:formatCode>0%</c:formatCode>
                <c:ptCount val="18"/>
                <c:pt idx="0">
                  <c:v>0.54</c:v>
                </c:pt>
                <c:pt idx="1">
                  <c:v>0.62</c:v>
                </c:pt>
                <c:pt idx="2">
                  <c:v>0.56999999999999995</c:v>
                </c:pt>
                <c:pt idx="3">
                  <c:v>0.64</c:v>
                </c:pt>
                <c:pt idx="4">
                  <c:v>0.53</c:v>
                </c:pt>
                <c:pt idx="5">
                  <c:v>0.59</c:v>
                </c:pt>
                <c:pt idx="6">
                  <c:v>0.55000000000000004</c:v>
                </c:pt>
                <c:pt idx="7">
                  <c:v>0.6</c:v>
                </c:pt>
                <c:pt idx="8">
                  <c:v>0.56000000000000005</c:v>
                </c:pt>
                <c:pt idx="9">
                  <c:v>0.61</c:v>
                </c:pt>
                <c:pt idx="10">
                  <c:v>0.52</c:v>
                </c:pt>
                <c:pt idx="11">
                  <c:v>0.56999999999999995</c:v>
                </c:pt>
                <c:pt idx="12">
                  <c:v>0.56000000000000005</c:v>
                </c:pt>
                <c:pt idx="13">
                  <c:v>0.61</c:v>
                </c:pt>
                <c:pt idx="14">
                  <c:v>0.55000000000000004</c:v>
                </c:pt>
                <c:pt idx="15">
                  <c:v>0.6</c:v>
                </c:pt>
                <c:pt idx="16">
                  <c:v>0.56000000000000005</c:v>
                </c:pt>
                <c:pt idx="17">
                  <c:v>0.63</c:v>
                </c:pt>
              </c:numCache>
            </c:numRef>
          </c:val>
          <c:extLst>
            <c:ext xmlns:c16="http://schemas.microsoft.com/office/drawing/2014/chart" uri="{C3380CC4-5D6E-409C-BE32-E72D297353CC}">
              <c16:uniqueId val="{00000002-876A-48F9-BBD8-D92BA2422A21}"/>
            </c:ext>
          </c:extLst>
        </c:ser>
        <c:ser>
          <c:idx val="3"/>
          <c:order val="3"/>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LC!$AR$189:$BI$190</c:f>
              <c:multiLvlStrCache>
                <c:ptCount val="18"/>
                <c:lvl>
                  <c:pt idx="0">
                    <c:v>OFICIAL</c:v>
                  </c:pt>
                  <c:pt idx="1">
                    <c:v>NO OFICIAL</c:v>
                  </c:pt>
                  <c:pt idx="2">
                    <c:v>OFICIAL</c:v>
                  </c:pt>
                  <c:pt idx="3">
                    <c:v>NO OFICIAL</c:v>
                  </c:pt>
                  <c:pt idx="4">
                    <c:v>OFICIAL</c:v>
                  </c:pt>
                  <c:pt idx="5">
                    <c:v>NO OFICIAL</c:v>
                  </c:pt>
                  <c:pt idx="6">
                    <c:v>OFICIAL</c:v>
                  </c:pt>
                  <c:pt idx="7">
                    <c:v>NO OFICIAL</c:v>
                  </c:pt>
                  <c:pt idx="8">
                    <c:v>OFICIAL</c:v>
                  </c:pt>
                  <c:pt idx="9">
                    <c:v>NO OFICIAL</c:v>
                  </c:pt>
                  <c:pt idx="10">
                    <c:v>OFICIAL</c:v>
                  </c:pt>
                  <c:pt idx="11">
                    <c:v>NO OFICIAL</c:v>
                  </c:pt>
                  <c:pt idx="12">
                    <c:v>OFICIAL</c:v>
                  </c:pt>
                  <c:pt idx="13">
                    <c:v>NO OFICIAL</c:v>
                  </c:pt>
                  <c:pt idx="14">
                    <c:v>OFICIAL</c:v>
                  </c:pt>
                  <c:pt idx="15">
                    <c:v>NO OFICIAL</c:v>
                  </c:pt>
                  <c:pt idx="16">
                    <c:v>OFICIAL</c:v>
                  </c:pt>
                  <c:pt idx="17">
                    <c:v>NO OFICIAL</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LC!$AR$194:$BI$194</c:f>
              <c:numCache>
                <c:formatCode>0%</c:formatCode>
                <c:ptCount val="18"/>
                <c:pt idx="0">
                  <c:v>0.05</c:v>
                </c:pt>
                <c:pt idx="1">
                  <c:v>0.08</c:v>
                </c:pt>
                <c:pt idx="2">
                  <c:v>7.0000000000000007E-2</c:v>
                </c:pt>
                <c:pt idx="3">
                  <c:v>0.12</c:v>
                </c:pt>
                <c:pt idx="4">
                  <c:v>0.08</c:v>
                </c:pt>
                <c:pt idx="5">
                  <c:v>0.14000000000000001</c:v>
                </c:pt>
                <c:pt idx="6">
                  <c:v>0.08</c:v>
                </c:pt>
                <c:pt idx="7">
                  <c:v>0.14000000000000001</c:v>
                </c:pt>
                <c:pt idx="8">
                  <c:v>7.0000000000000007E-2</c:v>
                </c:pt>
                <c:pt idx="9">
                  <c:v>0.11</c:v>
                </c:pt>
                <c:pt idx="10">
                  <c:v>0.09</c:v>
                </c:pt>
                <c:pt idx="11">
                  <c:v>0.16</c:v>
                </c:pt>
                <c:pt idx="12">
                  <c:v>0.09</c:v>
                </c:pt>
                <c:pt idx="13">
                  <c:v>0.16</c:v>
                </c:pt>
                <c:pt idx="14">
                  <c:v>0.08</c:v>
                </c:pt>
                <c:pt idx="15">
                  <c:v>0.17</c:v>
                </c:pt>
                <c:pt idx="16">
                  <c:v>0.1</c:v>
                </c:pt>
                <c:pt idx="17">
                  <c:v>0.18</c:v>
                </c:pt>
              </c:numCache>
            </c:numRef>
          </c:val>
          <c:extLst>
            <c:ext xmlns:c16="http://schemas.microsoft.com/office/drawing/2014/chart" uri="{C3380CC4-5D6E-409C-BE32-E72D297353CC}">
              <c16:uniqueId val="{00000003-876A-48F9-BBD8-D92BA2422A21}"/>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Lectura Crítica Saber 11 2016 - 2024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LC!$AQ$180</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LC!$AR$178:$BI$179</c:f>
              <c:multiLvlStrCache>
                <c:ptCount val="18"/>
                <c:lvl>
                  <c:pt idx="0">
                    <c:v>SOACHA</c:v>
                  </c:pt>
                  <c:pt idx="1">
                    <c:v>COLOMBIA</c:v>
                  </c:pt>
                  <c:pt idx="2">
                    <c:v>SOACHA</c:v>
                  </c:pt>
                  <c:pt idx="3">
                    <c:v>COLOMBIA</c:v>
                  </c:pt>
                  <c:pt idx="4">
                    <c:v>SOACHA</c:v>
                  </c:pt>
                  <c:pt idx="5">
                    <c:v>COLOMBIA</c:v>
                  </c:pt>
                  <c:pt idx="6">
                    <c:v>SOACHA</c:v>
                  </c:pt>
                  <c:pt idx="7">
                    <c:v>COLOMBIA</c:v>
                  </c:pt>
                  <c:pt idx="8">
                    <c:v>SOACHA</c:v>
                  </c:pt>
                  <c:pt idx="9">
                    <c:v>COLOMBIA</c:v>
                  </c:pt>
                  <c:pt idx="10">
                    <c:v>SOACHA</c:v>
                  </c:pt>
                  <c:pt idx="11">
                    <c:v>COLOMBIA</c:v>
                  </c:pt>
                  <c:pt idx="12">
                    <c:v>SOACHA</c:v>
                  </c:pt>
                  <c:pt idx="13">
                    <c:v>COLOMBIA</c:v>
                  </c:pt>
                  <c:pt idx="14">
                    <c:v>SOACHA</c:v>
                  </c:pt>
                  <c:pt idx="15">
                    <c:v>COLOMBIA</c:v>
                  </c:pt>
                  <c:pt idx="16">
                    <c:v>SOACHA</c:v>
                  </c:pt>
                  <c:pt idx="17">
                    <c:v>COLOMBIA</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LC!$AR$180:$BI$180</c:f>
              <c:numCache>
                <c:formatCode>0%</c:formatCode>
                <c:ptCount val="18"/>
                <c:pt idx="0">
                  <c:v>0.01</c:v>
                </c:pt>
                <c:pt idx="1">
                  <c:v>0.02</c:v>
                </c:pt>
                <c:pt idx="2">
                  <c:v>0.01</c:v>
                </c:pt>
                <c:pt idx="3">
                  <c:v>0.02</c:v>
                </c:pt>
                <c:pt idx="4">
                  <c:v>0.01</c:v>
                </c:pt>
                <c:pt idx="5">
                  <c:v>0.03</c:v>
                </c:pt>
                <c:pt idx="6">
                  <c:v>0.02</c:v>
                </c:pt>
                <c:pt idx="7">
                  <c:v>0.04</c:v>
                </c:pt>
                <c:pt idx="8">
                  <c:v>0.02</c:v>
                </c:pt>
                <c:pt idx="9">
                  <c:v>0.04</c:v>
                </c:pt>
                <c:pt idx="10">
                  <c:v>0.02</c:v>
                </c:pt>
                <c:pt idx="11">
                  <c:v>0.04</c:v>
                </c:pt>
                <c:pt idx="12">
                  <c:v>0.05</c:v>
                </c:pt>
                <c:pt idx="13">
                  <c:v>0.02</c:v>
                </c:pt>
                <c:pt idx="14">
                  <c:v>0.04</c:v>
                </c:pt>
                <c:pt idx="15">
                  <c:v>0.02</c:v>
                </c:pt>
                <c:pt idx="16">
                  <c:v>0.02</c:v>
                </c:pt>
                <c:pt idx="17">
                  <c:v>0.04</c:v>
                </c:pt>
              </c:numCache>
            </c:numRef>
          </c:val>
          <c:extLst>
            <c:ext xmlns:c16="http://schemas.microsoft.com/office/drawing/2014/chart" uri="{C3380CC4-5D6E-409C-BE32-E72D297353CC}">
              <c16:uniqueId val="{00000000-F0B0-425D-80D1-B609A541822D}"/>
            </c:ext>
          </c:extLst>
        </c:ser>
        <c:ser>
          <c:idx val="1"/>
          <c:order val="1"/>
          <c:tx>
            <c:strRef>
              <c:f>LC!$AQ$181</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LC!$AR$178:$BI$179</c:f>
              <c:multiLvlStrCache>
                <c:ptCount val="18"/>
                <c:lvl>
                  <c:pt idx="0">
                    <c:v>SOACHA</c:v>
                  </c:pt>
                  <c:pt idx="1">
                    <c:v>COLOMBIA</c:v>
                  </c:pt>
                  <c:pt idx="2">
                    <c:v>SOACHA</c:v>
                  </c:pt>
                  <c:pt idx="3">
                    <c:v>COLOMBIA</c:v>
                  </c:pt>
                  <c:pt idx="4">
                    <c:v>SOACHA</c:v>
                  </c:pt>
                  <c:pt idx="5">
                    <c:v>COLOMBIA</c:v>
                  </c:pt>
                  <c:pt idx="6">
                    <c:v>SOACHA</c:v>
                  </c:pt>
                  <c:pt idx="7">
                    <c:v>COLOMBIA</c:v>
                  </c:pt>
                  <c:pt idx="8">
                    <c:v>SOACHA</c:v>
                  </c:pt>
                  <c:pt idx="9">
                    <c:v>COLOMBIA</c:v>
                  </c:pt>
                  <c:pt idx="10">
                    <c:v>SOACHA</c:v>
                  </c:pt>
                  <c:pt idx="11">
                    <c:v>COLOMBIA</c:v>
                  </c:pt>
                  <c:pt idx="12">
                    <c:v>SOACHA</c:v>
                  </c:pt>
                  <c:pt idx="13">
                    <c:v>COLOMBIA</c:v>
                  </c:pt>
                  <c:pt idx="14">
                    <c:v>SOACHA</c:v>
                  </c:pt>
                  <c:pt idx="15">
                    <c:v>COLOMBIA</c:v>
                  </c:pt>
                  <c:pt idx="16">
                    <c:v>SOACHA</c:v>
                  </c:pt>
                  <c:pt idx="17">
                    <c:v>COLOMBIA</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LC!$AR$181:$BI$181</c:f>
              <c:numCache>
                <c:formatCode>0%</c:formatCode>
                <c:ptCount val="18"/>
                <c:pt idx="0">
                  <c:v>0.34</c:v>
                </c:pt>
                <c:pt idx="1">
                  <c:v>0.37</c:v>
                </c:pt>
                <c:pt idx="2">
                  <c:v>0.28999999999999998</c:v>
                </c:pt>
                <c:pt idx="3">
                  <c:v>0.33</c:v>
                </c:pt>
                <c:pt idx="4">
                  <c:v>0.32</c:v>
                </c:pt>
                <c:pt idx="5">
                  <c:v>0.35</c:v>
                </c:pt>
                <c:pt idx="6">
                  <c:v>0.3</c:v>
                </c:pt>
                <c:pt idx="7">
                  <c:v>0.34</c:v>
                </c:pt>
                <c:pt idx="8">
                  <c:v>0.31</c:v>
                </c:pt>
                <c:pt idx="9">
                  <c:v>0.36</c:v>
                </c:pt>
                <c:pt idx="10">
                  <c:v>0.32</c:v>
                </c:pt>
                <c:pt idx="11">
                  <c:v>0.37</c:v>
                </c:pt>
                <c:pt idx="12">
                  <c:v>0.34</c:v>
                </c:pt>
                <c:pt idx="13">
                  <c:v>0.27</c:v>
                </c:pt>
                <c:pt idx="14">
                  <c:v>0.35</c:v>
                </c:pt>
                <c:pt idx="15">
                  <c:v>0.28999999999999998</c:v>
                </c:pt>
                <c:pt idx="16">
                  <c:v>0.25</c:v>
                </c:pt>
                <c:pt idx="17">
                  <c:v>0.31</c:v>
                </c:pt>
              </c:numCache>
            </c:numRef>
          </c:val>
          <c:extLst>
            <c:ext xmlns:c16="http://schemas.microsoft.com/office/drawing/2014/chart" uri="{C3380CC4-5D6E-409C-BE32-E72D297353CC}">
              <c16:uniqueId val="{00000001-F0B0-425D-80D1-B609A541822D}"/>
            </c:ext>
          </c:extLst>
        </c:ser>
        <c:ser>
          <c:idx val="2"/>
          <c:order val="2"/>
          <c:tx>
            <c:strRef>
              <c:f>LC!$AQ$182</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LC!$AR$178:$BI$179</c:f>
              <c:multiLvlStrCache>
                <c:ptCount val="18"/>
                <c:lvl>
                  <c:pt idx="0">
                    <c:v>SOACHA</c:v>
                  </c:pt>
                  <c:pt idx="1">
                    <c:v>COLOMBIA</c:v>
                  </c:pt>
                  <c:pt idx="2">
                    <c:v>SOACHA</c:v>
                  </c:pt>
                  <c:pt idx="3">
                    <c:v>COLOMBIA</c:v>
                  </c:pt>
                  <c:pt idx="4">
                    <c:v>SOACHA</c:v>
                  </c:pt>
                  <c:pt idx="5">
                    <c:v>COLOMBIA</c:v>
                  </c:pt>
                  <c:pt idx="6">
                    <c:v>SOACHA</c:v>
                  </c:pt>
                  <c:pt idx="7">
                    <c:v>COLOMBIA</c:v>
                  </c:pt>
                  <c:pt idx="8">
                    <c:v>SOACHA</c:v>
                  </c:pt>
                  <c:pt idx="9">
                    <c:v>COLOMBIA</c:v>
                  </c:pt>
                  <c:pt idx="10">
                    <c:v>SOACHA</c:v>
                  </c:pt>
                  <c:pt idx="11">
                    <c:v>COLOMBIA</c:v>
                  </c:pt>
                  <c:pt idx="12">
                    <c:v>SOACHA</c:v>
                  </c:pt>
                  <c:pt idx="13">
                    <c:v>COLOMBIA</c:v>
                  </c:pt>
                  <c:pt idx="14">
                    <c:v>SOACHA</c:v>
                  </c:pt>
                  <c:pt idx="15">
                    <c:v>COLOMBIA</c:v>
                  </c:pt>
                  <c:pt idx="16">
                    <c:v>SOACHA</c:v>
                  </c:pt>
                  <c:pt idx="17">
                    <c:v>COLOMBIA</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LC!$AR$182:$BI$182</c:f>
              <c:numCache>
                <c:formatCode>0%</c:formatCode>
                <c:ptCount val="18"/>
                <c:pt idx="0">
                  <c:v>0.57999999999999996</c:v>
                </c:pt>
                <c:pt idx="1">
                  <c:v>0.5</c:v>
                </c:pt>
                <c:pt idx="2">
                  <c:v>0.6</c:v>
                </c:pt>
                <c:pt idx="3">
                  <c:v>0.52</c:v>
                </c:pt>
                <c:pt idx="4">
                  <c:v>0.56000000000000005</c:v>
                </c:pt>
                <c:pt idx="5">
                  <c:v>0.49</c:v>
                </c:pt>
                <c:pt idx="6">
                  <c:v>0.56999999999999995</c:v>
                </c:pt>
                <c:pt idx="7">
                  <c:v>0.49</c:v>
                </c:pt>
                <c:pt idx="8">
                  <c:v>0.59</c:v>
                </c:pt>
                <c:pt idx="9">
                  <c:v>0.49</c:v>
                </c:pt>
                <c:pt idx="10">
                  <c:v>0.54</c:v>
                </c:pt>
                <c:pt idx="11">
                  <c:v>0.45</c:v>
                </c:pt>
                <c:pt idx="12">
                  <c:v>0.47</c:v>
                </c:pt>
                <c:pt idx="13">
                  <c:v>0.57999999999999996</c:v>
                </c:pt>
                <c:pt idx="14">
                  <c:v>0.48</c:v>
                </c:pt>
                <c:pt idx="15">
                  <c:v>0.56999999999999995</c:v>
                </c:pt>
                <c:pt idx="16">
                  <c:v>0.59</c:v>
                </c:pt>
                <c:pt idx="17">
                  <c:v>0.5</c:v>
                </c:pt>
              </c:numCache>
            </c:numRef>
          </c:val>
          <c:extLst>
            <c:ext xmlns:c16="http://schemas.microsoft.com/office/drawing/2014/chart" uri="{C3380CC4-5D6E-409C-BE32-E72D297353CC}">
              <c16:uniqueId val="{00000002-F0B0-425D-80D1-B609A541822D}"/>
            </c:ext>
          </c:extLst>
        </c:ser>
        <c:ser>
          <c:idx val="3"/>
          <c:order val="3"/>
          <c:tx>
            <c:strRef>
              <c:f>LC!$AQ$183</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LC!$AR$178:$BI$179</c:f>
              <c:multiLvlStrCache>
                <c:ptCount val="18"/>
                <c:lvl>
                  <c:pt idx="0">
                    <c:v>SOACHA</c:v>
                  </c:pt>
                  <c:pt idx="1">
                    <c:v>COLOMBIA</c:v>
                  </c:pt>
                  <c:pt idx="2">
                    <c:v>SOACHA</c:v>
                  </c:pt>
                  <c:pt idx="3">
                    <c:v>COLOMBIA</c:v>
                  </c:pt>
                  <c:pt idx="4">
                    <c:v>SOACHA</c:v>
                  </c:pt>
                  <c:pt idx="5">
                    <c:v>COLOMBIA</c:v>
                  </c:pt>
                  <c:pt idx="6">
                    <c:v>SOACHA</c:v>
                  </c:pt>
                  <c:pt idx="7">
                    <c:v>COLOMBIA</c:v>
                  </c:pt>
                  <c:pt idx="8">
                    <c:v>SOACHA</c:v>
                  </c:pt>
                  <c:pt idx="9">
                    <c:v>COLOMBIA</c:v>
                  </c:pt>
                  <c:pt idx="10">
                    <c:v>SOACHA</c:v>
                  </c:pt>
                  <c:pt idx="11">
                    <c:v>COLOMBIA</c:v>
                  </c:pt>
                  <c:pt idx="12">
                    <c:v>SOACHA</c:v>
                  </c:pt>
                  <c:pt idx="13">
                    <c:v>COLOMBIA</c:v>
                  </c:pt>
                  <c:pt idx="14">
                    <c:v>SOACHA</c:v>
                  </c:pt>
                  <c:pt idx="15">
                    <c:v>COLOMBIA</c:v>
                  </c:pt>
                  <c:pt idx="16">
                    <c:v>SOACHA</c:v>
                  </c:pt>
                  <c:pt idx="17">
                    <c:v>COLOMBIA</c:v>
                  </c:pt>
                </c:lvl>
                <c:lvl>
                  <c:pt idx="0">
                    <c:v>2016</c:v>
                  </c:pt>
                  <c:pt idx="2">
                    <c:v>2017</c:v>
                  </c:pt>
                  <c:pt idx="4">
                    <c:v>2018</c:v>
                  </c:pt>
                  <c:pt idx="6">
                    <c:v>2019</c:v>
                  </c:pt>
                  <c:pt idx="8">
                    <c:v>2020</c:v>
                  </c:pt>
                  <c:pt idx="10">
                    <c:v>2021</c:v>
                  </c:pt>
                  <c:pt idx="12">
                    <c:v>2022</c:v>
                  </c:pt>
                  <c:pt idx="14">
                    <c:v>2023</c:v>
                  </c:pt>
                  <c:pt idx="16">
                    <c:v>2024</c:v>
                  </c:pt>
                </c:lvl>
              </c:multiLvlStrCache>
            </c:multiLvlStrRef>
          </c:cat>
          <c:val>
            <c:numRef>
              <c:f>LC!$AR$183:$BI$183</c:f>
              <c:numCache>
                <c:formatCode>0%</c:formatCode>
                <c:ptCount val="18"/>
                <c:pt idx="0">
                  <c:v>7.0000000000000007E-2</c:v>
                </c:pt>
                <c:pt idx="1">
                  <c:v>0.1</c:v>
                </c:pt>
                <c:pt idx="2">
                  <c:v>0.09</c:v>
                </c:pt>
                <c:pt idx="3">
                  <c:v>0.13</c:v>
                </c:pt>
                <c:pt idx="4">
                  <c:v>0.11</c:v>
                </c:pt>
                <c:pt idx="5">
                  <c:v>0.13</c:v>
                </c:pt>
                <c:pt idx="6">
                  <c:v>0.11</c:v>
                </c:pt>
                <c:pt idx="7">
                  <c:v>0.12</c:v>
                </c:pt>
                <c:pt idx="8">
                  <c:v>0.09</c:v>
                </c:pt>
                <c:pt idx="9">
                  <c:v>0.1</c:v>
                </c:pt>
                <c:pt idx="10">
                  <c:v>0.12</c:v>
                </c:pt>
                <c:pt idx="11">
                  <c:v>0.13</c:v>
                </c:pt>
                <c:pt idx="12">
                  <c:v>0.14000000000000001</c:v>
                </c:pt>
                <c:pt idx="13">
                  <c:v>0.13</c:v>
                </c:pt>
                <c:pt idx="14">
                  <c:v>0.13</c:v>
                </c:pt>
                <c:pt idx="15">
                  <c:v>0.12</c:v>
                </c:pt>
                <c:pt idx="16">
                  <c:v>0.14000000000000001</c:v>
                </c:pt>
                <c:pt idx="17">
                  <c:v>0.15</c:v>
                </c:pt>
              </c:numCache>
            </c:numRef>
          </c:val>
          <c:extLst>
            <c:ext xmlns:c16="http://schemas.microsoft.com/office/drawing/2014/chart" uri="{C3380CC4-5D6E-409C-BE32-E72D297353CC}">
              <c16:uniqueId val="{00000003-F0B0-425D-80D1-B609A541822D}"/>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Lectura Crítica Saber 11 2016 - 2024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LC!$AN$204</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LC!$AO$202:$BX$203</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LC!$AO$204:$BX$204</c:f>
              <c:numCache>
                <c:formatCode>0%</c:formatCode>
                <c:ptCount val="36"/>
                <c:pt idx="0">
                  <c:v>0.02</c:v>
                </c:pt>
                <c:pt idx="1">
                  <c:v>0.01</c:v>
                </c:pt>
                <c:pt idx="2">
                  <c:v>0.01</c:v>
                </c:pt>
                <c:pt idx="3">
                  <c:v>0.01</c:v>
                </c:pt>
                <c:pt idx="4">
                  <c:v>0.02</c:v>
                </c:pt>
                <c:pt idx="5">
                  <c:v>0.01</c:v>
                </c:pt>
                <c:pt idx="6">
                  <c:v>0.01</c:v>
                </c:pt>
                <c:pt idx="7">
                  <c:v>0.01</c:v>
                </c:pt>
                <c:pt idx="8">
                  <c:v>0.03</c:v>
                </c:pt>
                <c:pt idx="9">
                  <c:v>0.01</c:v>
                </c:pt>
                <c:pt idx="10">
                  <c:v>0.02</c:v>
                </c:pt>
                <c:pt idx="11">
                  <c:v>0.01</c:v>
                </c:pt>
                <c:pt idx="12">
                  <c:v>0.04</c:v>
                </c:pt>
                <c:pt idx="13">
                  <c:v>0.02</c:v>
                </c:pt>
                <c:pt idx="14">
                  <c:v>0.02</c:v>
                </c:pt>
                <c:pt idx="15">
                  <c:v>0.01</c:v>
                </c:pt>
                <c:pt idx="16">
                  <c:v>0.04</c:v>
                </c:pt>
                <c:pt idx="17">
                  <c:v>0.02</c:v>
                </c:pt>
                <c:pt idx="18">
                  <c:v>0.02</c:v>
                </c:pt>
                <c:pt idx="19">
                  <c:v>0.01</c:v>
                </c:pt>
                <c:pt idx="20">
                  <c:v>0.04</c:v>
                </c:pt>
                <c:pt idx="21">
                  <c:v>0.02</c:v>
                </c:pt>
                <c:pt idx="22">
                  <c:v>0.02</c:v>
                </c:pt>
                <c:pt idx="23">
                  <c:v>0.01</c:v>
                </c:pt>
                <c:pt idx="24">
                  <c:v>0.05</c:v>
                </c:pt>
                <c:pt idx="25">
                  <c:v>0.02</c:v>
                </c:pt>
                <c:pt idx="26">
                  <c:v>0.02</c:v>
                </c:pt>
                <c:pt idx="27">
                  <c:v>0.01</c:v>
                </c:pt>
                <c:pt idx="28">
                  <c:v>0.04</c:v>
                </c:pt>
                <c:pt idx="29">
                  <c:v>0.02</c:v>
                </c:pt>
                <c:pt idx="30">
                  <c:v>0.02</c:v>
                </c:pt>
                <c:pt idx="31">
                  <c:v>0.01</c:v>
                </c:pt>
                <c:pt idx="32">
                  <c:v>0.04</c:v>
                </c:pt>
                <c:pt idx="33">
                  <c:v>0.02</c:v>
                </c:pt>
                <c:pt idx="34">
                  <c:v>0.03</c:v>
                </c:pt>
                <c:pt idx="35">
                  <c:v>0.01</c:v>
                </c:pt>
              </c:numCache>
            </c:numRef>
          </c:val>
          <c:extLst>
            <c:ext xmlns:c16="http://schemas.microsoft.com/office/drawing/2014/chart" uri="{C3380CC4-5D6E-409C-BE32-E72D297353CC}">
              <c16:uniqueId val="{00000000-A301-45B6-980B-F581AB7602A7}"/>
            </c:ext>
          </c:extLst>
        </c:ser>
        <c:ser>
          <c:idx val="1"/>
          <c:order val="1"/>
          <c:tx>
            <c:strRef>
              <c:f>LC!$AN$205</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LC!$AO$202:$BX$203</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LC!$AO$205:$BX$205</c:f>
              <c:numCache>
                <c:formatCode>0%</c:formatCode>
                <c:ptCount val="36"/>
                <c:pt idx="0">
                  <c:v>0.37</c:v>
                </c:pt>
                <c:pt idx="1">
                  <c:v>0.34</c:v>
                </c:pt>
                <c:pt idx="2">
                  <c:v>0.39</c:v>
                </c:pt>
                <c:pt idx="3">
                  <c:v>0.28999999999999998</c:v>
                </c:pt>
                <c:pt idx="4">
                  <c:v>0.33</c:v>
                </c:pt>
                <c:pt idx="5">
                  <c:v>0.28999999999999998</c:v>
                </c:pt>
                <c:pt idx="6">
                  <c:v>0.34</c:v>
                </c:pt>
                <c:pt idx="7">
                  <c:v>0.23</c:v>
                </c:pt>
                <c:pt idx="8">
                  <c:v>0.35</c:v>
                </c:pt>
                <c:pt idx="9">
                  <c:v>0.32</c:v>
                </c:pt>
                <c:pt idx="10">
                  <c:v>0.37</c:v>
                </c:pt>
                <c:pt idx="11">
                  <c:v>0.26</c:v>
                </c:pt>
                <c:pt idx="12">
                  <c:v>0.34</c:v>
                </c:pt>
                <c:pt idx="13">
                  <c:v>0.3</c:v>
                </c:pt>
                <c:pt idx="14">
                  <c:v>0.35</c:v>
                </c:pt>
                <c:pt idx="15">
                  <c:v>0.25</c:v>
                </c:pt>
                <c:pt idx="16">
                  <c:v>0.36</c:v>
                </c:pt>
                <c:pt idx="17">
                  <c:v>0.31</c:v>
                </c:pt>
                <c:pt idx="18">
                  <c:v>0.35</c:v>
                </c:pt>
                <c:pt idx="19">
                  <c:v>0.26</c:v>
                </c:pt>
                <c:pt idx="20">
                  <c:v>0.37</c:v>
                </c:pt>
                <c:pt idx="21">
                  <c:v>0.32</c:v>
                </c:pt>
                <c:pt idx="22">
                  <c:v>0.37</c:v>
                </c:pt>
                <c:pt idx="23">
                  <c:v>0.26</c:v>
                </c:pt>
                <c:pt idx="24">
                  <c:v>0.34</c:v>
                </c:pt>
                <c:pt idx="25">
                  <c:v>0.27</c:v>
                </c:pt>
                <c:pt idx="26">
                  <c:v>0.34</c:v>
                </c:pt>
                <c:pt idx="27">
                  <c:v>0.21</c:v>
                </c:pt>
                <c:pt idx="28">
                  <c:v>0.35</c:v>
                </c:pt>
                <c:pt idx="29">
                  <c:v>0.28999999999999998</c:v>
                </c:pt>
                <c:pt idx="30">
                  <c:v>0.35</c:v>
                </c:pt>
                <c:pt idx="31">
                  <c:v>0.22</c:v>
                </c:pt>
                <c:pt idx="32">
                  <c:v>0.31</c:v>
                </c:pt>
                <c:pt idx="33">
                  <c:v>0.25</c:v>
                </c:pt>
                <c:pt idx="34">
                  <c:v>0.31</c:v>
                </c:pt>
                <c:pt idx="35">
                  <c:v>0.18</c:v>
                </c:pt>
              </c:numCache>
            </c:numRef>
          </c:val>
          <c:extLst>
            <c:ext xmlns:c16="http://schemas.microsoft.com/office/drawing/2014/chart" uri="{C3380CC4-5D6E-409C-BE32-E72D297353CC}">
              <c16:uniqueId val="{00000001-A301-45B6-980B-F581AB7602A7}"/>
            </c:ext>
          </c:extLst>
        </c:ser>
        <c:ser>
          <c:idx val="2"/>
          <c:order val="2"/>
          <c:tx>
            <c:strRef>
              <c:f>LC!$AN$206</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LC!$AO$202:$BX$203</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LC!$AO$206:$BX$206</c:f>
              <c:numCache>
                <c:formatCode>0%</c:formatCode>
                <c:ptCount val="36"/>
                <c:pt idx="0">
                  <c:v>0.5</c:v>
                </c:pt>
                <c:pt idx="1">
                  <c:v>0.57999999999999996</c:v>
                </c:pt>
                <c:pt idx="2">
                  <c:v>0.54</c:v>
                </c:pt>
                <c:pt idx="3">
                  <c:v>0.62</c:v>
                </c:pt>
                <c:pt idx="4">
                  <c:v>0.52</c:v>
                </c:pt>
                <c:pt idx="5">
                  <c:v>0.6</c:v>
                </c:pt>
                <c:pt idx="6">
                  <c:v>0.56999999999999995</c:v>
                </c:pt>
                <c:pt idx="7">
                  <c:v>0.64</c:v>
                </c:pt>
                <c:pt idx="8">
                  <c:v>0.49</c:v>
                </c:pt>
                <c:pt idx="9">
                  <c:v>0.56000000000000005</c:v>
                </c:pt>
                <c:pt idx="10">
                  <c:v>0.53</c:v>
                </c:pt>
                <c:pt idx="11">
                  <c:v>0.59</c:v>
                </c:pt>
                <c:pt idx="12">
                  <c:v>0.49</c:v>
                </c:pt>
                <c:pt idx="13">
                  <c:v>0.56999999999999995</c:v>
                </c:pt>
                <c:pt idx="14">
                  <c:v>0.55000000000000004</c:v>
                </c:pt>
                <c:pt idx="15">
                  <c:v>0.6</c:v>
                </c:pt>
                <c:pt idx="16">
                  <c:v>0.49</c:v>
                </c:pt>
                <c:pt idx="17">
                  <c:v>0.59</c:v>
                </c:pt>
                <c:pt idx="18">
                  <c:v>0.56000000000000005</c:v>
                </c:pt>
                <c:pt idx="19">
                  <c:v>0.61</c:v>
                </c:pt>
                <c:pt idx="20">
                  <c:v>0.45</c:v>
                </c:pt>
                <c:pt idx="21">
                  <c:v>0.54</c:v>
                </c:pt>
                <c:pt idx="22">
                  <c:v>0.52</c:v>
                </c:pt>
                <c:pt idx="23">
                  <c:v>0.56999999999999995</c:v>
                </c:pt>
                <c:pt idx="24">
                  <c:v>0.47</c:v>
                </c:pt>
                <c:pt idx="25">
                  <c:v>0.57999999999999996</c:v>
                </c:pt>
                <c:pt idx="26">
                  <c:v>0.56000000000000005</c:v>
                </c:pt>
                <c:pt idx="27">
                  <c:v>0.61</c:v>
                </c:pt>
                <c:pt idx="28">
                  <c:v>0.48</c:v>
                </c:pt>
                <c:pt idx="29">
                  <c:v>0.56999999999999995</c:v>
                </c:pt>
                <c:pt idx="30">
                  <c:v>0.55000000000000004</c:v>
                </c:pt>
                <c:pt idx="31">
                  <c:v>0.6</c:v>
                </c:pt>
                <c:pt idx="32">
                  <c:v>0.5</c:v>
                </c:pt>
                <c:pt idx="33">
                  <c:v>0.59</c:v>
                </c:pt>
                <c:pt idx="34">
                  <c:v>0.56000000000000005</c:v>
                </c:pt>
                <c:pt idx="35">
                  <c:v>0.63</c:v>
                </c:pt>
              </c:numCache>
            </c:numRef>
          </c:val>
          <c:extLst>
            <c:ext xmlns:c16="http://schemas.microsoft.com/office/drawing/2014/chart" uri="{C3380CC4-5D6E-409C-BE32-E72D297353CC}">
              <c16:uniqueId val="{00000002-A301-45B6-980B-F581AB7602A7}"/>
            </c:ext>
          </c:extLst>
        </c:ser>
        <c:ser>
          <c:idx val="3"/>
          <c:order val="3"/>
          <c:tx>
            <c:strRef>
              <c:f>LC!$AN$207</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LC!$AO$202:$BX$203</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LC!$AO$207:$BX$207</c:f>
              <c:numCache>
                <c:formatCode>0%</c:formatCode>
                <c:ptCount val="36"/>
                <c:pt idx="0">
                  <c:v>0.1</c:v>
                </c:pt>
                <c:pt idx="1">
                  <c:v>7.0000000000000007E-2</c:v>
                </c:pt>
                <c:pt idx="2">
                  <c:v>0.05</c:v>
                </c:pt>
                <c:pt idx="3">
                  <c:v>0.08</c:v>
                </c:pt>
                <c:pt idx="4">
                  <c:v>0.13</c:v>
                </c:pt>
                <c:pt idx="5">
                  <c:v>0.09</c:v>
                </c:pt>
                <c:pt idx="6">
                  <c:v>7.0000000000000007E-2</c:v>
                </c:pt>
                <c:pt idx="7">
                  <c:v>0.12</c:v>
                </c:pt>
                <c:pt idx="8">
                  <c:v>0.13</c:v>
                </c:pt>
                <c:pt idx="9">
                  <c:v>0.11</c:v>
                </c:pt>
                <c:pt idx="10">
                  <c:v>0.08</c:v>
                </c:pt>
                <c:pt idx="11">
                  <c:v>0.14000000000000001</c:v>
                </c:pt>
                <c:pt idx="12">
                  <c:v>0.12</c:v>
                </c:pt>
                <c:pt idx="13">
                  <c:v>0.11</c:v>
                </c:pt>
                <c:pt idx="14">
                  <c:v>0.08</c:v>
                </c:pt>
                <c:pt idx="15">
                  <c:v>0.14000000000000001</c:v>
                </c:pt>
                <c:pt idx="16">
                  <c:v>0.1</c:v>
                </c:pt>
                <c:pt idx="17">
                  <c:v>0.09</c:v>
                </c:pt>
                <c:pt idx="18">
                  <c:v>7.0000000000000007E-2</c:v>
                </c:pt>
                <c:pt idx="19">
                  <c:v>0.11</c:v>
                </c:pt>
                <c:pt idx="20">
                  <c:v>0.13</c:v>
                </c:pt>
                <c:pt idx="21">
                  <c:v>0.12</c:v>
                </c:pt>
                <c:pt idx="22">
                  <c:v>0.09</c:v>
                </c:pt>
                <c:pt idx="23">
                  <c:v>0.16</c:v>
                </c:pt>
                <c:pt idx="24">
                  <c:v>0.14000000000000001</c:v>
                </c:pt>
                <c:pt idx="25">
                  <c:v>0.13</c:v>
                </c:pt>
                <c:pt idx="26">
                  <c:v>0.09</c:v>
                </c:pt>
                <c:pt idx="27">
                  <c:v>0.16</c:v>
                </c:pt>
                <c:pt idx="28">
                  <c:v>0.13</c:v>
                </c:pt>
                <c:pt idx="29">
                  <c:v>0.12</c:v>
                </c:pt>
                <c:pt idx="30">
                  <c:v>0.08</c:v>
                </c:pt>
                <c:pt idx="31">
                  <c:v>0.17</c:v>
                </c:pt>
                <c:pt idx="32">
                  <c:v>0.15</c:v>
                </c:pt>
                <c:pt idx="33">
                  <c:v>0.14000000000000001</c:v>
                </c:pt>
                <c:pt idx="34">
                  <c:v>0.1</c:v>
                </c:pt>
                <c:pt idx="35">
                  <c:v>0.18</c:v>
                </c:pt>
              </c:numCache>
            </c:numRef>
          </c:val>
          <c:extLst>
            <c:ext xmlns:c16="http://schemas.microsoft.com/office/drawing/2014/chart" uri="{C3380CC4-5D6E-409C-BE32-E72D297353CC}">
              <c16:uniqueId val="{00000003-A301-45B6-980B-F581AB7602A7}"/>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1"/>
        <c:axPos val="l"/>
        <c:numFmt formatCode="0%" sourceLinked="1"/>
        <c:majorTickMark val="none"/>
        <c:minorTickMark val="none"/>
        <c:tickLblPos val="nextTo"/>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Instituciones</a:t>
            </a:r>
            <a:r>
              <a:rPr lang="es-CO" sz="1400" baseline="0"/>
              <a:t> Educativas Oficiales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Comprende </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LC!$E$317</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LC!$F$315:$N$315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LC!$F$317:$N$317</c:f>
              <c:numCache>
                <c:formatCode>0%</c:formatCode>
                <c:ptCount val="9"/>
                <c:pt idx="0">
                  <c:v>0.48749999999999999</c:v>
                </c:pt>
                <c:pt idx="1">
                  <c:v>0.45500000000000002</c:v>
                </c:pt>
                <c:pt idx="2">
                  <c:v>0.4325</c:v>
                </c:pt>
                <c:pt idx="3">
                  <c:v>0.42249999999999999</c:v>
                </c:pt>
                <c:pt idx="4">
                  <c:v>0.46249999999999997</c:v>
                </c:pt>
                <c:pt idx="5">
                  <c:v>0.44749999999999995</c:v>
                </c:pt>
                <c:pt idx="6">
                  <c:v>0.47199999999999998</c:v>
                </c:pt>
                <c:pt idx="7">
                  <c:v>0.374</c:v>
                </c:pt>
                <c:pt idx="8">
                  <c:v>0.45400000000000001</c:v>
                </c:pt>
              </c:numCache>
            </c:numRef>
          </c:val>
          <c:extLst>
            <c:ext xmlns:c16="http://schemas.microsoft.com/office/drawing/2014/chart" uri="{C3380CC4-5D6E-409C-BE32-E72D297353CC}">
              <c16:uniqueId val="{00000000-860A-432D-8C66-5CD8CD3DE9B4}"/>
            </c:ext>
          </c:extLst>
        </c:ser>
        <c:ser>
          <c:idx val="1"/>
          <c:order val="1"/>
          <c:tx>
            <c:strRef>
              <c:f>LC!$E$318</c:f>
              <c:strCache>
                <c:ptCount val="1"/>
                <c:pt idx="0">
                  <c:v>COMUNA 2</c:v>
                </c:pt>
              </c:strCache>
            </c:strRef>
          </c:tx>
          <c:spPr>
            <a:solidFill>
              <a:schemeClr val="accent2"/>
            </a:solidFill>
            <a:ln>
              <a:noFill/>
            </a:ln>
            <a:effectLst/>
          </c:spPr>
          <c:invertIfNegative val="0"/>
          <c:cat>
            <c:numRef>
              <c:f>LC!$F$315:$N$315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LC!$F$318:$N$318</c:f>
              <c:numCache>
                <c:formatCode>0%</c:formatCode>
                <c:ptCount val="9"/>
                <c:pt idx="0">
                  <c:v>0.49</c:v>
                </c:pt>
                <c:pt idx="1">
                  <c:v>0.46499999999999997</c:v>
                </c:pt>
                <c:pt idx="2">
                  <c:v>0.42499999999999999</c:v>
                </c:pt>
                <c:pt idx="3">
                  <c:v>0.41000000000000003</c:v>
                </c:pt>
                <c:pt idx="4">
                  <c:v>0.47499999999999998</c:v>
                </c:pt>
                <c:pt idx="5">
                  <c:v>0.45500000000000002</c:v>
                </c:pt>
                <c:pt idx="6">
                  <c:v>0.46749999999999997</c:v>
                </c:pt>
                <c:pt idx="7">
                  <c:v>0.37</c:v>
                </c:pt>
                <c:pt idx="8">
                  <c:v>0.44999999999999996</c:v>
                </c:pt>
              </c:numCache>
            </c:numRef>
          </c:val>
          <c:extLst>
            <c:ext xmlns:c16="http://schemas.microsoft.com/office/drawing/2014/chart" uri="{C3380CC4-5D6E-409C-BE32-E72D297353CC}">
              <c16:uniqueId val="{00000001-860A-432D-8C66-5CD8CD3DE9B4}"/>
            </c:ext>
          </c:extLst>
        </c:ser>
        <c:ser>
          <c:idx val="2"/>
          <c:order val="2"/>
          <c:tx>
            <c:strRef>
              <c:f>LC!$E$319</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LC!$F$315:$N$315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LC!$F$319:$N$319</c:f>
              <c:numCache>
                <c:formatCode>0%</c:formatCode>
                <c:ptCount val="9"/>
                <c:pt idx="0">
                  <c:v>0.48399999999999999</c:v>
                </c:pt>
                <c:pt idx="1">
                  <c:v>0.48399999999999999</c:v>
                </c:pt>
                <c:pt idx="2">
                  <c:v>0.42400000000000004</c:v>
                </c:pt>
                <c:pt idx="3">
                  <c:v>0.42000000000000004</c:v>
                </c:pt>
                <c:pt idx="4">
                  <c:v>0.47599999999999998</c:v>
                </c:pt>
                <c:pt idx="5">
                  <c:v>0.44800000000000006</c:v>
                </c:pt>
                <c:pt idx="6">
                  <c:v>0.47666666666666674</c:v>
                </c:pt>
                <c:pt idx="7">
                  <c:v>0.3666666666666667</c:v>
                </c:pt>
                <c:pt idx="8">
                  <c:v>0.45500000000000002</c:v>
                </c:pt>
              </c:numCache>
            </c:numRef>
          </c:val>
          <c:extLst>
            <c:ext xmlns:c16="http://schemas.microsoft.com/office/drawing/2014/chart" uri="{C3380CC4-5D6E-409C-BE32-E72D297353CC}">
              <c16:uniqueId val="{00000002-860A-432D-8C66-5CD8CD3DE9B4}"/>
            </c:ext>
          </c:extLst>
        </c:ser>
        <c:ser>
          <c:idx val="3"/>
          <c:order val="3"/>
          <c:tx>
            <c:strRef>
              <c:f>LC!$E$320</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LC!$F$315:$N$315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LC!$F$320:$N$320</c:f>
              <c:numCache>
                <c:formatCode>0%</c:formatCode>
                <c:ptCount val="9"/>
                <c:pt idx="0">
                  <c:v>0.52666666666666673</c:v>
                </c:pt>
                <c:pt idx="1">
                  <c:v>0.51666666666666672</c:v>
                </c:pt>
                <c:pt idx="2">
                  <c:v>0.505</c:v>
                </c:pt>
                <c:pt idx="3">
                  <c:v>0.48833333333333345</c:v>
                </c:pt>
                <c:pt idx="4">
                  <c:v>0.52833333333333343</c:v>
                </c:pt>
                <c:pt idx="5">
                  <c:v>0.4916666666666667</c:v>
                </c:pt>
                <c:pt idx="6">
                  <c:v>0.52166666666666672</c:v>
                </c:pt>
                <c:pt idx="7">
                  <c:v>0.43166666666666664</c:v>
                </c:pt>
                <c:pt idx="8">
                  <c:v>0.50333333333333341</c:v>
                </c:pt>
              </c:numCache>
            </c:numRef>
          </c:val>
          <c:extLst>
            <c:ext xmlns:c16="http://schemas.microsoft.com/office/drawing/2014/chart" uri="{C3380CC4-5D6E-409C-BE32-E72D297353CC}">
              <c16:uniqueId val="{00000003-860A-432D-8C66-5CD8CD3DE9B4}"/>
            </c:ext>
          </c:extLst>
        </c:ser>
        <c:ser>
          <c:idx val="4"/>
          <c:order val="4"/>
          <c:tx>
            <c:strRef>
              <c:f>LC!$E$321</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LC!$F$315:$N$315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LC!$F$321:$N$321</c:f>
              <c:numCache>
                <c:formatCode>0%</c:formatCode>
                <c:ptCount val="9"/>
                <c:pt idx="0">
                  <c:v>0.46499999999999997</c:v>
                </c:pt>
                <c:pt idx="1">
                  <c:v>0.46499999999999997</c:v>
                </c:pt>
                <c:pt idx="2">
                  <c:v>0.45499999999999996</c:v>
                </c:pt>
                <c:pt idx="3">
                  <c:v>0.42499999999999999</c:v>
                </c:pt>
                <c:pt idx="4">
                  <c:v>0.47</c:v>
                </c:pt>
                <c:pt idx="5">
                  <c:v>0.44</c:v>
                </c:pt>
                <c:pt idx="6">
                  <c:v>0.46</c:v>
                </c:pt>
                <c:pt idx="7">
                  <c:v>0.38</c:v>
                </c:pt>
                <c:pt idx="8">
                  <c:v>0.41333333333333333</c:v>
                </c:pt>
              </c:numCache>
            </c:numRef>
          </c:val>
          <c:extLst>
            <c:ext xmlns:c16="http://schemas.microsoft.com/office/drawing/2014/chart" uri="{C3380CC4-5D6E-409C-BE32-E72D297353CC}">
              <c16:uniqueId val="{00000004-860A-432D-8C66-5CD8CD3DE9B4}"/>
            </c:ext>
          </c:extLst>
        </c:ser>
        <c:ser>
          <c:idx val="5"/>
          <c:order val="5"/>
          <c:tx>
            <c:strRef>
              <c:f>LC!$E$322</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LC!$F$315:$N$315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LC!$F$322:$N$322</c:f>
              <c:numCache>
                <c:formatCode>0%</c:formatCode>
                <c:ptCount val="9"/>
                <c:pt idx="0">
                  <c:v>0.5033333333333333</c:v>
                </c:pt>
                <c:pt idx="1">
                  <c:v>0.49666666666666665</c:v>
                </c:pt>
                <c:pt idx="2">
                  <c:v>0.45999999999999996</c:v>
                </c:pt>
                <c:pt idx="3">
                  <c:v>0.44</c:v>
                </c:pt>
                <c:pt idx="4">
                  <c:v>0.46666666666666662</c:v>
                </c:pt>
                <c:pt idx="5">
                  <c:v>0.47666666666666663</c:v>
                </c:pt>
                <c:pt idx="6">
                  <c:v>0.49333333333333335</c:v>
                </c:pt>
                <c:pt idx="7">
                  <c:v>0.38666666666666671</c:v>
                </c:pt>
                <c:pt idx="8">
                  <c:v>0.46249999999999997</c:v>
                </c:pt>
              </c:numCache>
            </c:numRef>
          </c:val>
          <c:extLst>
            <c:ext xmlns:c16="http://schemas.microsoft.com/office/drawing/2014/chart" uri="{C3380CC4-5D6E-409C-BE32-E72D297353CC}">
              <c16:uniqueId val="{00000005-860A-432D-8C66-5CD8CD3DE9B4}"/>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Instituciones</a:t>
            </a:r>
            <a:r>
              <a:rPr lang="es-CO" sz="1400" baseline="0"/>
              <a:t> Educativas Oficiales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Identifica </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LC!$E$327</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LC!$F$325:$N$325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LC!$F$327:$N$327</c:f>
              <c:numCache>
                <c:formatCode>0%</c:formatCode>
                <c:ptCount val="9"/>
                <c:pt idx="0">
                  <c:v>0.43499999999999994</c:v>
                </c:pt>
                <c:pt idx="1">
                  <c:v>0.42000000000000004</c:v>
                </c:pt>
                <c:pt idx="2">
                  <c:v>0.48499999999999999</c:v>
                </c:pt>
                <c:pt idx="3">
                  <c:v>0.36250000000000004</c:v>
                </c:pt>
                <c:pt idx="4">
                  <c:v>0.41749999999999998</c:v>
                </c:pt>
                <c:pt idx="5">
                  <c:v>0.34</c:v>
                </c:pt>
                <c:pt idx="6">
                  <c:v>0.35199999999999998</c:v>
                </c:pt>
                <c:pt idx="7">
                  <c:v>0.49800000000000005</c:v>
                </c:pt>
                <c:pt idx="8">
                  <c:v>0.45400000000000001</c:v>
                </c:pt>
              </c:numCache>
            </c:numRef>
          </c:val>
          <c:extLst>
            <c:ext xmlns:c16="http://schemas.microsoft.com/office/drawing/2014/chart" uri="{C3380CC4-5D6E-409C-BE32-E72D297353CC}">
              <c16:uniqueId val="{00000000-3C7C-493C-B18D-50707562D583}"/>
            </c:ext>
          </c:extLst>
        </c:ser>
        <c:ser>
          <c:idx val="1"/>
          <c:order val="1"/>
          <c:tx>
            <c:strRef>
              <c:f>LC!$E$328</c:f>
              <c:strCache>
                <c:ptCount val="1"/>
                <c:pt idx="0">
                  <c:v>COMUNA 2</c:v>
                </c:pt>
              </c:strCache>
            </c:strRef>
          </c:tx>
          <c:spPr>
            <a:solidFill>
              <a:schemeClr val="accent2"/>
            </a:solidFill>
            <a:ln>
              <a:noFill/>
            </a:ln>
            <a:effectLst/>
          </c:spPr>
          <c:invertIfNegative val="0"/>
          <c:cat>
            <c:numRef>
              <c:f>LC!$F$325:$N$325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LC!$F$328:$N$328</c:f>
              <c:numCache>
                <c:formatCode>0%</c:formatCode>
                <c:ptCount val="9"/>
                <c:pt idx="0">
                  <c:v>0.43</c:v>
                </c:pt>
                <c:pt idx="1">
                  <c:v>0.43</c:v>
                </c:pt>
                <c:pt idx="2">
                  <c:v>0.495</c:v>
                </c:pt>
                <c:pt idx="3">
                  <c:v>0.36</c:v>
                </c:pt>
                <c:pt idx="4">
                  <c:v>0.42499999999999999</c:v>
                </c:pt>
                <c:pt idx="5">
                  <c:v>0.36</c:v>
                </c:pt>
                <c:pt idx="6">
                  <c:v>0.36</c:v>
                </c:pt>
                <c:pt idx="7">
                  <c:v>0.47249999999999998</c:v>
                </c:pt>
                <c:pt idx="8">
                  <c:v>0.44750000000000001</c:v>
                </c:pt>
              </c:numCache>
            </c:numRef>
          </c:val>
          <c:extLst>
            <c:ext xmlns:c16="http://schemas.microsoft.com/office/drawing/2014/chart" uri="{C3380CC4-5D6E-409C-BE32-E72D297353CC}">
              <c16:uniqueId val="{00000001-3C7C-493C-B18D-50707562D583}"/>
            </c:ext>
          </c:extLst>
        </c:ser>
        <c:ser>
          <c:idx val="2"/>
          <c:order val="2"/>
          <c:tx>
            <c:strRef>
              <c:f>LC!$E$329</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LC!$F$325:$N$325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LC!$F$329:$N$329</c:f>
              <c:numCache>
                <c:formatCode>0%</c:formatCode>
                <c:ptCount val="9"/>
                <c:pt idx="0">
                  <c:v>0.47400000000000003</c:v>
                </c:pt>
                <c:pt idx="1">
                  <c:v>0.42599999999999999</c:v>
                </c:pt>
                <c:pt idx="2">
                  <c:v>0.47599999999999998</c:v>
                </c:pt>
                <c:pt idx="3">
                  <c:v>0.38600000000000001</c:v>
                </c:pt>
                <c:pt idx="4">
                  <c:v>0.43600000000000005</c:v>
                </c:pt>
                <c:pt idx="5">
                  <c:v>0.34799999999999998</c:v>
                </c:pt>
                <c:pt idx="6">
                  <c:v>0.34666666666666668</c:v>
                </c:pt>
                <c:pt idx="7">
                  <c:v>0.46833333333333327</c:v>
                </c:pt>
                <c:pt idx="8">
                  <c:v>0.44</c:v>
                </c:pt>
              </c:numCache>
            </c:numRef>
          </c:val>
          <c:extLst>
            <c:ext xmlns:c16="http://schemas.microsoft.com/office/drawing/2014/chart" uri="{C3380CC4-5D6E-409C-BE32-E72D297353CC}">
              <c16:uniqueId val="{00000002-3C7C-493C-B18D-50707562D583}"/>
            </c:ext>
          </c:extLst>
        </c:ser>
        <c:ser>
          <c:idx val="3"/>
          <c:order val="3"/>
          <c:tx>
            <c:strRef>
              <c:f>LC!$E$330</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LC!$F$325:$N$325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LC!$F$330:$N$330</c:f>
              <c:numCache>
                <c:formatCode>0%</c:formatCode>
                <c:ptCount val="9"/>
                <c:pt idx="0">
                  <c:v>0.48833333333333345</c:v>
                </c:pt>
                <c:pt idx="1">
                  <c:v>0.47833333333333333</c:v>
                </c:pt>
                <c:pt idx="2">
                  <c:v>0.53833333333333333</c:v>
                </c:pt>
                <c:pt idx="3">
                  <c:v>0.435</c:v>
                </c:pt>
                <c:pt idx="4">
                  <c:v>0.48833333333333334</c:v>
                </c:pt>
                <c:pt idx="5">
                  <c:v>0.42</c:v>
                </c:pt>
                <c:pt idx="6">
                  <c:v>0.40333333333333338</c:v>
                </c:pt>
                <c:pt idx="7">
                  <c:v>0.54500000000000004</c:v>
                </c:pt>
                <c:pt idx="8">
                  <c:v>0.505</c:v>
                </c:pt>
              </c:numCache>
            </c:numRef>
          </c:val>
          <c:extLst>
            <c:ext xmlns:c16="http://schemas.microsoft.com/office/drawing/2014/chart" uri="{C3380CC4-5D6E-409C-BE32-E72D297353CC}">
              <c16:uniqueId val="{00000003-3C7C-493C-B18D-50707562D583}"/>
            </c:ext>
          </c:extLst>
        </c:ser>
        <c:ser>
          <c:idx val="4"/>
          <c:order val="4"/>
          <c:tx>
            <c:strRef>
              <c:f>LC!$E$331</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LC!$F$325:$N$325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LC!$F$331:$N$331</c:f>
              <c:numCache>
                <c:formatCode>0%</c:formatCode>
                <c:ptCount val="9"/>
                <c:pt idx="0">
                  <c:v>0.43</c:v>
                </c:pt>
                <c:pt idx="1">
                  <c:v>0.435</c:v>
                </c:pt>
                <c:pt idx="2">
                  <c:v>0.495</c:v>
                </c:pt>
                <c:pt idx="3">
                  <c:v>0.36499999999999999</c:v>
                </c:pt>
                <c:pt idx="4">
                  <c:v>0.44500000000000001</c:v>
                </c:pt>
                <c:pt idx="5">
                  <c:v>0.33999999999999997</c:v>
                </c:pt>
                <c:pt idx="6">
                  <c:v>0.34499999999999997</c:v>
                </c:pt>
                <c:pt idx="7">
                  <c:v>0.48499999999999999</c:v>
                </c:pt>
                <c:pt idx="8">
                  <c:v>0.41333333333333333</c:v>
                </c:pt>
              </c:numCache>
            </c:numRef>
          </c:val>
          <c:extLst>
            <c:ext xmlns:c16="http://schemas.microsoft.com/office/drawing/2014/chart" uri="{C3380CC4-5D6E-409C-BE32-E72D297353CC}">
              <c16:uniqueId val="{00000004-3C7C-493C-B18D-50707562D583}"/>
            </c:ext>
          </c:extLst>
        </c:ser>
        <c:ser>
          <c:idx val="5"/>
          <c:order val="5"/>
          <c:tx>
            <c:strRef>
              <c:f>LC!$E$332</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LC!$F$325:$N$325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LC!$F$332:$N$332</c:f>
              <c:numCache>
                <c:formatCode>0%</c:formatCode>
                <c:ptCount val="9"/>
                <c:pt idx="0">
                  <c:v>0.46666666666666662</c:v>
                </c:pt>
                <c:pt idx="1">
                  <c:v>0.4466666666666666</c:v>
                </c:pt>
                <c:pt idx="2">
                  <c:v>0.49666666666666665</c:v>
                </c:pt>
                <c:pt idx="3">
                  <c:v>0.3833333333333333</c:v>
                </c:pt>
                <c:pt idx="4">
                  <c:v>0.45</c:v>
                </c:pt>
                <c:pt idx="5">
                  <c:v>0.36999999999999994</c:v>
                </c:pt>
                <c:pt idx="6">
                  <c:v>0.3666666666666667</c:v>
                </c:pt>
                <c:pt idx="7">
                  <c:v>0.51</c:v>
                </c:pt>
                <c:pt idx="8">
                  <c:v>0.45249999999999996</c:v>
                </c:pt>
              </c:numCache>
            </c:numRef>
          </c:val>
          <c:extLst>
            <c:ext xmlns:c16="http://schemas.microsoft.com/office/drawing/2014/chart" uri="{C3380CC4-5D6E-409C-BE32-E72D297353CC}">
              <c16:uniqueId val="{00000005-3C7C-493C-B18D-50707562D583}"/>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Instituciones</a:t>
            </a:r>
            <a:r>
              <a:rPr lang="es-CO" sz="1400" baseline="0"/>
              <a:t> Educativas Oficiales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Reflexiona</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LC!$E$337</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LC!$F$335:$N$335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LC!$F$337:$N$337</c:f>
              <c:numCache>
                <c:formatCode>0%</c:formatCode>
                <c:ptCount val="9"/>
                <c:pt idx="0">
                  <c:v>0.55000000000000004</c:v>
                </c:pt>
                <c:pt idx="1">
                  <c:v>0.45249999999999996</c:v>
                </c:pt>
                <c:pt idx="2">
                  <c:v>0.505</c:v>
                </c:pt>
                <c:pt idx="3">
                  <c:v>0.41500000000000004</c:v>
                </c:pt>
                <c:pt idx="4">
                  <c:v>0.35499999999999998</c:v>
                </c:pt>
                <c:pt idx="5">
                  <c:v>0.54749999999999999</c:v>
                </c:pt>
                <c:pt idx="6">
                  <c:v>0.45599999999999996</c:v>
                </c:pt>
                <c:pt idx="7">
                  <c:v>0.51400000000000001</c:v>
                </c:pt>
                <c:pt idx="8">
                  <c:v>0.36199999999999999</c:v>
                </c:pt>
              </c:numCache>
            </c:numRef>
          </c:val>
          <c:extLst>
            <c:ext xmlns:c16="http://schemas.microsoft.com/office/drawing/2014/chart" uri="{C3380CC4-5D6E-409C-BE32-E72D297353CC}">
              <c16:uniqueId val="{00000000-832F-40FF-9F7E-4F3C513D7585}"/>
            </c:ext>
          </c:extLst>
        </c:ser>
        <c:ser>
          <c:idx val="1"/>
          <c:order val="1"/>
          <c:tx>
            <c:strRef>
              <c:f>LC!$E$338</c:f>
              <c:strCache>
                <c:ptCount val="1"/>
                <c:pt idx="0">
                  <c:v>COMUNA 2</c:v>
                </c:pt>
              </c:strCache>
            </c:strRef>
          </c:tx>
          <c:spPr>
            <a:solidFill>
              <a:schemeClr val="accent2"/>
            </a:solidFill>
            <a:ln>
              <a:noFill/>
            </a:ln>
            <a:effectLst/>
          </c:spPr>
          <c:invertIfNegative val="0"/>
          <c:cat>
            <c:numRef>
              <c:f>LC!$F$335:$N$335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LC!$F$338:$N$338</c:f>
              <c:numCache>
                <c:formatCode>0%</c:formatCode>
                <c:ptCount val="9"/>
                <c:pt idx="0">
                  <c:v>0.54499999999999993</c:v>
                </c:pt>
                <c:pt idx="1">
                  <c:v>0.47499999999999998</c:v>
                </c:pt>
                <c:pt idx="2">
                  <c:v>0.505</c:v>
                </c:pt>
                <c:pt idx="3">
                  <c:v>0.42</c:v>
                </c:pt>
                <c:pt idx="4">
                  <c:v>0.36</c:v>
                </c:pt>
                <c:pt idx="5">
                  <c:v>0.55000000000000004</c:v>
                </c:pt>
                <c:pt idx="6">
                  <c:v>0.45499999999999996</c:v>
                </c:pt>
                <c:pt idx="7">
                  <c:v>0.4975</c:v>
                </c:pt>
                <c:pt idx="8">
                  <c:v>0.33499999999999996</c:v>
                </c:pt>
              </c:numCache>
            </c:numRef>
          </c:val>
          <c:extLst>
            <c:ext xmlns:c16="http://schemas.microsoft.com/office/drawing/2014/chart" uri="{C3380CC4-5D6E-409C-BE32-E72D297353CC}">
              <c16:uniqueId val="{00000001-832F-40FF-9F7E-4F3C513D7585}"/>
            </c:ext>
          </c:extLst>
        </c:ser>
        <c:ser>
          <c:idx val="2"/>
          <c:order val="2"/>
          <c:tx>
            <c:strRef>
              <c:f>LC!$E$339</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LC!$F$335:$N$335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LC!$F$339:$N$339</c:f>
              <c:numCache>
                <c:formatCode>0%</c:formatCode>
                <c:ptCount val="9"/>
                <c:pt idx="0">
                  <c:v>0.53800000000000003</c:v>
                </c:pt>
                <c:pt idx="1">
                  <c:v>0.46600000000000003</c:v>
                </c:pt>
                <c:pt idx="2">
                  <c:v>0.504</c:v>
                </c:pt>
                <c:pt idx="3">
                  <c:v>0.42599999999999999</c:v>
                </c:pt>
                <c:pt idx="4">
                  <c:v>0.37799999999999995</c:v>
                </c:pt>
                <c:pt idx="5">
                  <c:v>0.54600000000000004</c:v>
                </c:pt>
                <c:pt idx="6">
                  <c:v>0.44</c:v>
                </c:pt>
                <c:pt idx="7">
                  <c:v>0.4916666666666667</c:v>
                </c:pt>
                <c:pt idx="8">
                  <c:v>0.34333333333333332</c:v>
                </c:pt>
              </c:numCache>
            </c:numRef>
          </c:val>
          <c:extLst>
            <c:ext xmlns:c16="http://schemas.microsoft.com/office/drawing/2014/chart" uri="{C3380CC4-5D6E-409C-BE32-E72D297353CC}">
              <c16:uniqueId val="{00000002-832F-40FF-9F7E-4F3C513D7585}"/>
            </c:ext>
          </c:extLst>
        </c:ser>
        <c:ser>
          <c:idx val="3"/>
          <c:order val="3"/>
          <c:tx>
            <c:strRef>
              <c:f>LC!$E$340</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LC!$F$335:$N$335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LC!$F$340:$N$340</c:f>
              <c:numCache>
                <c:formatCode>0%</c:formatCode>
                <c:ptCount val="9"/>
                <c:pt idx="0">
                  <c:v>0.61833333333333329</c:v>
                </c:pt>
                <c:pt idx="1">
                  <c:v>0.52166666666666661</c:v>
                </c:pt>
                <c:pt idx="2">
                  <c:v>0.55333333333333334</c:v>
                </c:pt>
                <c:pt idx="3">
                  <c:v>0.47499999999999992</c:v>
                </c:pt>
                <c:pt idx="4">
                  <c:v>0.4316666666666667</c:v>
                </c:pt>
                <c:pt idx="5">
                  <c:v>0.59499999999999997</c:v>
                </c:pt>
                <c:pt idx="6">
                  <c:v>0.52</c:v>
                </c:pt>
                <c:pt idx="7">
                  <c:v>0.57666666666666666</c:v>
                </c:pt>
                <c:pt idx="8">
                  <c:v>0.435</c:v>
                </c:pt>
              </c:numCache>
            </c:numRef>
          </c:val>
          <c:extLst>
            <c:ext xmlns:c16="http://schemas.microsoft.com/office/drawing/2014/chart" uri="{C3380CC4-5D6E-409C-BE32-E72D297353CC}">
              <c16:uniqueId val="{00000003-832F-40FF-9F7E-4F3C513D7585}"/>
            </c:ext>
          </c:extLst>
        </c:ser>
        <c:ser>
          <c:idx val="4"/>
          <c:order val="4"/>
          <c:tx>
            <c:strRef>
              <c:f>LC!$E$341</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LC!$F$335:$N$335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LC!$F$341:$N$341</c:f>
              <c:numCache>
                <c:formatCode>0%</c:formatCode>
                <c:ptCount val="9"/>
                <c:pt idx="0">
                  <c:v>0.53500000000000003</c:v>
                </c:pt>
                <c:pt idx="1">
                  <c:v>0.48499999999999999</c:v>
                </c:pt>
                <c:pt idx="2">
                  <c:v>0.52500000000000002</c:v>
                </c:pt>
                <c:pt idx="3">
                  <c:v>0.43</c:v>
                </c:pt>
                <c:pt idx="4">
                  <c:v>0.36499999999999999</c:v>
                </c:pt>
                <c:pt idx="5">
                  <c:v>0.54500000000000004</c:v>
                </c:pt>
                <c:pt idx="6">
                  <c:v>0.44</c:v>
                </c:pt>
                <c:pt idx="7">
                  <c:v>0.5</c:v>
                </c:pt>
                <c:pt idx="8">
                  <c:v>0.30666666666666664</c:v>
                </c:pt>
              </c:numCache>
            </c:numRef>
          </c:val>
          <c:extLst>
            <c:ext xmlns:c16="http://schemas.microsoft.com/office/drawing/2014/chart" uri="{C3380CC4-5D6E-409C-BE32-E72D297353CC}">
              <c16:uniqueId val="{00000004-832F-40FF-9F7E-4F3C513D7585}"/>
            </c:ext>
          </c:extLst>
        </c:ser>
        <c:ser>
          <c:idx val="5"/>
          <c:order val="5"/>
          <c:tx>
            <c:strRef>
              <c:f>LC!$E$342</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LC!$F$335:$N$335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LC!$F$342:$N$342</c:f>
              <c:numCache>
                <c:formatCode>0%</c:formatCode>
                <c:ptCount val="9"/>
                <c:pt idx="0">
                  <c:v>0.54666666666666652</c:v>
                </c:pt>
                <c:pt idx="1">
                  <c:v>0.49666666666666665</c:v>
                </c:pt>
                <c:pt idx="2">
                  <c:v>0.51333333333333331</c:v>
                </c:pt>
                <c:pt idx="3">
                  <c:v>0.43</c:v>
                </c:pt>
                <c:pt idx="4">
                  <c:v>0.38000000000000006</c:v>
                </c:pt>
                <c:pt idx="5">
                  <c:v>0.56666666666666676</c:v>
                </c:pt>
                <c:pt idx="6">
                  <c:v>0.46666666666666662</c:v>
                </c:pt>
                <c:pt idx="7">
                  <c:v>0.52333333333333332</c:v>
                </c:pt>
                <c:pt idx="8">
                  <c:v>0.36500000000000005</c:v>
                </c:pt>
              </c:numCache>
            </c:numRef>
          </c:val>
          <c:extLst>
            <c:ext xmlns:c16="http://schemas.microsoft.com/office/drawing/2014/chart" uri="{C3380CC4-5D6E-409C-BE32-E72D297353CC}">
              <c16:uniqueId val="{00000005-832F-40FF-9F7E-4F3C513D7585}"/>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Instituciones</a:t>
            </a:r>
            <a:r>
              <a:rPr lang="es-CO" sz="1400" baseline="0"/>
              <a:t> Educativas Privadas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Comprende </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LC!$E$349</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LC!$F$347:$N$347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LC!$F$349:$N$349</c:f>
              <c:numCache>
                <c:formatCode>0%</c:formatCode>
                <c:ptCount val="9"/>
                <c:pt idx="0">
                  <c:v>0.47999999999999987</c:v>
                </c:pt>
                <c:pt idx="1">
                  <c:v>0.48833333333333334</c:v>
                </c:pt>
                <c:pt idx="2">
                  <c:v>0.44307692307692303</c:v>
                </c:pt>
                <c:pt idx="3">
                  <c:v>0.42</c:v>
                </c:pt>
                <c:pt idx="4">
                  <c:v>0.4646153846153846</c:v>
                </c:pt>
                <c:pt idx="5">
                  <c:v>0.42692307692307696</c:v>
                </c:pt>
                <c:pt idx="6">
                  <c:v>0.45461538461538453</c:v>
                </c:pt>
                <c:pt idx="7">
                  <c:v>0.34666666666666668</c:v>
                </c:pt>
                <c:pt idx="8">
                  <c:v>0.43000000000000005</c:v>
                </c:pt>
              </c:numCache>
            </c:numRef>
          </c:val>
          <c:extLst>
            <c:ext xmlns:c16="http://schemas.microsoft.com/office/drawing/2014/chart" uri="{C3380CC4-5D6E-409C-BE32-E72D297353CC}">
              <c16:uniqueId val="{00000000-91D3-498B-8D6C-D88AC112D61E}"/>
            </c:ext>
          </c:extLst>
        </c:ser>
        <c:ser>
          <c:idx val="1"/>
          <c:order val="1"/>
          <c:tx>
            <c:strRef>
              <c:f>LC!$E$350</c:f>
              <c:strCache>
                <c:ptCount val="1"/>
                <c:pt idx="0">
                  <c:v>COMUNA 2</c:v>
                </c:pt>
              </c:strCache>
            </c:strRef>
          </c:tx>
          <c:spPr>
            <a:solidFill>
              <a:schemeClr val="accent2"/>
            </a:solidFill>
            <a:ln>
              <a:noFill/>
            </a:ln>
            <a:effectLst/>
          </c:spPr>
          <c:invertIfNegative val="0"/>
          <c:cat>
            <c:numRef>
              <c:f>LC!$F$347:$N$347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LC!$F$350:$N$350</c:f>
              <c:numCache>
                <c:formatCode>0%</c:formatCode>
                <c:ptCount val="9"/>
                <c:pt idx="0">
                  <c:v>0.45222222222222225</c:v>
                </c:pt>
                <c:pt idx="1">
                  <c:v>0.44588235294117651</c:v>
                </c:pt>
                <c:pt idx="2">
                  <c:v>0.41411764705882348</c:v>
                </c:pt>
                <c:pt idx="3">
                  <c:v>0.38777777777777783</c:v>
                </c:pt>
                <c:pt idx="4">
                  <c:v>0.43090909090909091</c:v>
                </c:pt>
                <c:pt idx="5">
                  <c:v>0.4335</c:v>
                </c:pt>
                <c:pt idx="6">
                  <c:v>0.42904761904761912</c:v>
                </c:pt>
                <c:pt idx="7">
                  <c:v>0.33681818181818185</c:v>
                </c:pt>
                <c:pt idx="8">
                  <c:v>0.37736842105263158</c:v>
                </c:pt>
              </c:numCache>
            </c:numRef>
          </c:val>
          <c:extLst>
            <c:ext xmlns:c16="http://schemas.microsoft.com/office/drawing/2014/chart" uri="{C3380CC4-5D6E-409C-BE32-E72D297353CC}">
              <c16:uniqueId val="{00000001-91D3-498B-8D6C-D88AC112D61E}"/>
            </c:ext>
          </c:extLst>
        </c:ser>
        <c:ser>
          <c:idx val="2"/>
          <c:order val="2"/>
          <c:tx>
            <c:strRef>
              <c:f>LC!$E$351</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LC!$F$347:$N$347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LC!$F$351:$N$351</c:f>
              <c:numCache>
                <c:formatCode>0%</c:formatCode>
                <c:ptCount val="9"/>
                <c:pt idx="0">
                  <c:v>0.46384615384615385</c:v>
                </c:pt>
                <c:pt idx="1">
                  <c:v>0.44857142857142851</c:v>
                </c:pt>
                <c:pt idx="2">
                  <c:v>0.39785714285714296</c:v>
                </c:pt>
                <c:pt idx="3">
                  <c:v>0.39357142857142863</c:v>
                </c:pt>
                <c:pt idx="4">
                  <c:v>0.4386666666666667</c:v>
                </c:pt>
                <c:pt idx="5">
                  <c:v>0.4</c:v>
                </c:pt>
                <c:pt idx="6">
                  <c:v>0.42000000000000004</c:v>
                </c:pt>
                <c:pt idx="7">
                  <c:v>0.33187499999999998</c:v>
                </c:pt>
                <c:pt idx="8">
                  <c:v>0.40500000000000008</c:v>
                </c:pt>
              </c:numCache>
            </c:numRef>
          </c:val>
          <c:extLst>
            <c:ext xmlns:c16="http://schemas.microsoft.com/office/drawing/2014/chart" uri="{C3380CC4-5D6E-409C-BE32-E72D297353CC}">
              <c16:uniqueId val="{00000002-91D3-498B-8D6C-D88AC112D61E}"/>
            </c:ext>
          </c:extLst>
        </c:ser>
        <c:ser>
          <c:idx val="3"/>
          <c:order val="3"/>
          <c:tx>
            <c:strRef>
              <c:f>LC!$E$352</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LC!$F$347:$N$347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LC!$F$352:$N$352</c:f>
              <c:numCache>
                <c:formatCode>0%</c:formatCode>
                <c:ptCount val="9"/>
                <c:pt idx="0">
                  <c:v>0.52124999999999999</c:v>
                </c:pt>
                <c:pt idx="1">
                  <c:v>0.44375000000000003</c:v>
                </c:pt>
                <c:pt idx="2">
                  <c:v>0.4022222222222222</c:v>
                </c:pt>
                <c:pt idx="3">
                  <c:v>0.39999999999999997</c:v>
                </c:pt>
                <c:pt idx="4">
                  <c:v>0.48857142857142855</c:v>
                </c:pt>
                <c:pt idx="5">
                  <c:v>0.43875000000000003</c:v>
                </c:pt>
                <c:pt idx="6">
                  <c:v>0.44624999999999998</c:v>
                </c:pt>
                <c:pt idx="7">
                  <c:v>0.4022222222222222</c:v>
                </c:pt>
                <c:pt idx="8">
                  <c:v>0.42285714285714288</c:v>
                </c:pt>
              </c:numCache>
            </c:numRef>
          </c:val>
          <c:extLst>
            <c:ext xmlns:c16="http://schemas.microsoft.com/office/drawing/2014/chart" uri="{C3380CC4-5D6E-409C-BE32-E72D297353CC}">
              <c16:uniqueId val="{00000003-91D3-498B-8D6C-D88AC112D61E}"/>
            </c:ext>
          </c:extLst>
        </c:ser>
        <c:ser>
          <c:idx val="4"/>
          <c:order val="4"/>
          <c:tx>
            <c:strRef>
              <c:f>LC!$E$353</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LC!$F$347:$N$347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LC!$F$353:$N$353</c:f>
              <c:numCache>
                <c:formatCode>0%</c:formatCode>
                <c:ptCount val="9"/>
                <c:pt idx="0">
                  <c:v>0.43200000000000005</c:v>
                </c:pt>
                <c:pt idx="1">
                  <c:v>0.426875</c:v>
                </c:pt>
                <c:pt idx="2">
                  <c:v>0.38750000000000001</c:v>
                </c:pt>
                <c:pt idx="3">
                  <c:v>0.36941176470588233</c:v>
                </c:pt>
                <c:pt idx="4">
                  <c:v>0.42250000000000004</c:v>
                </c:pt>
                <c:pt idx="5">
                  <c:v>0.38500000000000001</c:v>
                </c:pt>
                <c:pt idx="6">
                  <c:v>0.40599999999999992</c:v>
                </c:pt>
                <c:pt idx="7">
                  <c:v>0.30000000000000004</c:v>
                </c:pt>
                <c:pt idx="8">
                  <c:v>0.40266666666666673</c:v>
                </c:pt>
              </c:numCache>
            </c:numRef>
          </c:val>
          <c:extLst>
            <c:ext xmlns:c16="http://schemas.microsoft.com/office/drawing/2014/chart" uri="{C3380CC4-5D6E-409C-BE32-E72D297353CC}">
              <c16:uniqueId val="{00000004-91D3-498B-8D6C-D88AC112D61E}"/>
            </c:ext>
          </c:extLst>
        </c:ser>
        <c:ser>
          <c:idx val="5"/>
          <c:order val="5"/>
          <c:tx>
            <c:strRef>
              <c:f>LC!$E$354</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LC!$F$347:$N$347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LC!$F$354:$N$354</c:f>
              <c:numCache>
                <c:formatCode>0%</c:formatCode>
                <c:ptCount val="9"/>
                <c:pt idx="0">
                  <c:v>0.47250000000000009</c:v>
                </c:pt>
                <c:pt idx="1">
                  <c:v>0.47333333333333338</c:v>
                </c:pt>
                <c:pt idx="2">
                  <c:v>0.41727272727272724</c:v>
                </c:pt>
                <c:pt idx="3">
                  <c:v>0.40749999999999997</c:v>
                </c:pt>
                <c:pt idx="4">
                  <c:v>0.48928571428571427</c:v>
                </c:pt>
                <c:pt idx="5">
                  <c:v>0.44923076923076916</c:v>
                </c:pt>
                <c:pt idx="6">
                  <c:v>0.46250000000000002</c:v>
                </c:pt>
                <c:pt idx="7">
                  <c:v>0.3394117647058823</c:v>
                </c:pt>
                <c:pt idx="8">
                  <c:v>0.43142857142857144</c:v>
                </c:pt>
              </c:numCache>
            </c:numRef>
          </c:val>
          <c:extLst>
            <c:ext xmlns:c16="http://schemas.microsoft.com/office/drawing/2014/chart" uri="{C3380CC4-5D6E-409C-BE32-E72D297353CC}">
              <c16:uniqueId val="{00000005-91D3-498B-8D6C-D88AC112D61E}"/>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Instituciones</a:t>
            </a:r>
            <a:r>
              <a:rPr lang="es-CO" sz="1400" baseline="0"/>
              <a:t> Educativas Privadas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Identifica</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LC!$E$359</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LC!$F$357:$N$357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LC!$F$359:$N$359</c:f>
              <c:numCache>
                <c:formatCode>0%</c:formatCode>
                <c:ptCount val="9"/>
                <c:pt idx="0">
                  <c:v>0.43461538461538463</c:v>
                </c:pt>
                <c:pt idx="1">
                  <c:v>0.45500000000000007</c:v>
                </c:pt>
                <c:pt idx="2">
                  <c:v>0.47000000000000003</c:v>
                </c:pt>
                <c:pt idx="3">
                  <c:v>0.36692307692307691</c:v>
                </c:pt>
                <c:pt idx="4">
                  <c:v>0.44153846153846155</c:v>
                </c:pt>
                <c:pt idx="5">
                  <c:v>0.31538461538461537</c:v>
                </c:pt>
                <c:pt idx="6">
                  <c:v>0.33076923076923076</c:v>
                </c:pt>
                <c:pt idx="7">
                  <c:v>0.45083333333333336</c:v>
                </c:pt>
                <c:pt idx="8">
                  <c:v>0.43454545454545462</c:v>
                </c:pt>
              </c:numCache>
            </c:numRef>
          </c:val>
          <c:extLst>
            <c:ext xmlns:c16="http://schemas.microsoft.com/office/drawing/2014/chart" uri="{C3380CC4-5D6E-409C-BE32-E72D297353CC}">
              <c16:uniqueId val="{00000000-D3CA-43BA-A806-5A32B765971A}"/>
            </c:ext>
          </c:extLst>
        </c:ser>
        <c:ser>
          <c:idx val="1"/>
          <c:order val="1"/>
          <c:tx>
            <c:strRef>
              <c:f>LC!$E$360</c:f>
              <c:strCache>
                <c:ptCount val="1"/>
                <c:pt idx="0">
                  <c:v>COMUNA 2</c:v>
                </c:pt>
              </c:strCache>
            </c:strRef>
          </c:tx>
          <c:spPr>
            <a:solidFill>
              <a:schemeClr val="accent2"/>
            </a:solidFill>
            <a:ln>
              <a:noFill/>
            </a:ln>
            <a:effectLst/>
          </c:spPr>
          <c:invertIfNegative val="0"/>
          <c:cat>
            <c:numRef>
              <c:f>LC!$F$357:$N$357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LC!$F$360:$N$360</c:f>
              <c:numCache>
                <c:formatCode>0%</c:formatCode>
                <c:ptCount val="9"/>
                <c:pt idx="0">
                  <c:v>0.41055555555555551</c:v>
                </c:pt>
                <c:pt idx="1">
                  <c:v>0.40588235294117647</c:v>
                </c:pt>
                <c:pt idx="2">
                  <c:v>0.4629411764705883</c:v>
                </c:pt>
                <c:pt idx="3">
                  <c:v>0.33777777777777779</c:v>
                </c:pt>
                <c:pt idx="4">
                  <c:v>0.41636363636363638</c:v>
                </c:pt>
                <c:pt idx="5">
                  <c:v>0.33399999999999996</c:v>
                </c:pt>
                <c:pt idx="6">
                  <c:v>0.30285714285714282</c:v>
                </c:pt>
                <c:pt idx="7">
                  <c:v>0.43909090909090903</c:v>
                </c:pt>
                <c:pt idx="8">
                  <c:v>0.39105263157894743</c:v>
                </c:pt>
              </c:numCache>
            </c:numRef>
          </c:val>
          <c:extLst>
            <c:ext xmlns:c16="http://schemas.microsoft.com/office/drawing/2014/chart" uri="{C3380CC4-5D6E-409C-BE32-E72D297353CC}">
              <c16:uniqueId val="{00000001-D3CA-43BA-A806-5A32B765971A}"/>
            </c:ext>
          </c:extLst>
        </c:ser>
        <c:ser>
          <c:idx val="2"/>
          <c:order val="2"/>
          <c:tx>
            <c:strRef>
              <c:f>LC!$E$361</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LC!$F$357:$N$357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LC!$F$361:$N$361</c:f>
              <c:numCache>
                <c:formatCode>0%</c:formatCode>
                <c:ptCount val="9"/>
                <c:pt idx="0">
                  <c:v>0.37769230769230772</c:v>
                </c:pt>
                <c:pt idx="1">
                  <c:v>0.41785714285714282</c:v>
                </c:pt>
                <c:pt idx="2">
                  <c:v>0.44928571428571429</c:v>
                </c:pt>
                <c:pt idx="3">
                  <c:v>0.33571428571428574</c:v>
                </c:pt>
                <c:pt idx="4">
                  <c:v>0.39466666666666667</c:v>
                </c:pt>
                <c:pt idx="5">
                  <c:v>0.31133333333333335</c:v>
                </c:pt>
                <c:pt idx="6">
                  <c:v>0.30874999999999997</c:v>
                </c:pt>
                <c:pt idx="7">
                  <c:v>0.43124999999999997</c:v>
                </c:pt>
                <c:pt idx="8">
                  <c:v>0.39812499999999995</c:v>
                </c:pt>
              </c:numCache>
            </c:numRef>
          </c:val>
          <c:extLst>
            <c:ext xmlns:c16="http://schemas.microsoft.com/office/drawing/2014/chart" uri="{C3380CC4-5D6E-409C-BE32-E72D297353CC}">
              <c16:uniqueId val="{00000002-D3CA-43BA-A806-5A32B765971A}"/>
            </c:ext>
          </c:extLst>
        </c:ser>
        <c:ser>
          <c:idx val="3"/>
          <c:order val="3"/>
          <c:tx>
            <c:strRef>
              <c:f>LC!$E$362</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LC!$F$357:$N$357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LC!$F$362:$N$362</c:f>
              <c:numCache>
                <c:formatCode>0%</c:formatCode>
                <c:ptCount val="9"/>
                <c:pt idx="0">
                  <c:v>0.47125</c:v>
                </c:pt>
                <c:pt idx="1">
                  <c:v>0.40374999999999994</c:v>
                </c:pt>
                <c:pt idx="2">
                  <c:v>0.46888888888888886</c:v>
                </c:pt>
                <c:pt idx="3">
                  <c:v>0.37124999999999997</c:v>
                </c:pt>
                <c:pt idx="4">
                  <c:v>0.43857142857142856</c:v>
                </c:pt>
                <c:pt idx="5">
                  <c:v>0.35375000000000001</c:v>
                </c:pt>
                <c:pt idx="6">
                  <c:v>0.31874999999999998</c:v>
                </c:pt>
                <c:pt idx="7">
                  <c:v>0.49555555555555564</c:v>
                </c:pt>
                <c:pt idx="8">
                  <c:v>0.42571428571428566</c:v>
                </c:pt>
              </c:numCache>
            </c:numRef>
          </c:val>
          <c:extLst>
            <c:ext xmlns:c16="http://schemas.microsoft.com/office/drawing/2014/chart" uri="{C3380CC4-5D6E-409C-BE32-E72D297353CC}">
              <c16:uniqueId val="{00000003-D3CA-43BA-A806-5A32B765971A}"/>
            </c:ext>
          </c:extLst>
        </c:ser>
        <c:ser>
          <c:idx val="4"/>
          <c:order val="4"/>
          <c:tx>
            <c:strRef>
              <c:f>LC!$E$363</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LC!$F$357:$N$357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LC!$F$363:$N$363</c:f>
              <c:numCache>
                <c:formatCode>0%</c:formatCode>
                <c:ptCount val="9"/>
                <c:pt idx="0">
                  <c:v>0.40666666666666668</c:v>
                </c:pt>
                <c:pt idx="1">
                  <c:v>0.36624999999999996</c:v>
                </c:pt>
                <c:pt idx="2">
                  <c:v>0.44874999999999998</c:v>
                </c:pt>
                <c:pt idx="3">
                  <c:v>0.32058823529411767</c:v>
                </c:pt>
                <c:pt idx="4">
                  <c:v>0.38500000000000001</c:v>
                </c:pt>
                <c:pt idx="5">
                  <c:v>0.29624999999999996</c:v>
                </c:pt>
                <c:pt idx="6">
                  <c:v>0.27333333333333332</c:v>
                </c:pt>
                <c:pt idx="7">
                  <c:v>0.40333333333333332</c:v>
                </c:pt>
                <c:pt idx="8">
                  <c:v>0.40866666666666668</c:v>
                </c:pt>
              </c:numCache>
            </c:numRef>
          </c:val>
          <c:extLst>
            <c:ext xmlns:c16="http://schemas.microsoft.com/office/drawing/2014/chart" uri="{C3380CC4-5D6E-409C-BE32-E72D297353CC}">
              <c16:uniqueId val="{00000004-D3CA-43BA-A806-5A32B765971A}"/>
            </c:ext>
          </c:extLst>
        </c:ser>
        <c:ser>
          <c:idx val="5"/>
          <c:order val="5"/>
          <c:tx>
            <c:strRef>
              <c:f>LC!$E$364</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LC!$F$357:$N$357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LC!$F$364:$N$364</c:f>
              <c:numCache>
                <c:formatCode>0%</c:formatCode>
                <c:ptCount val="9"/>
                <c:pt idx="0">
                  <c:v>0.41749999999999998</c:v>
                </c:pt>
                <c:pt idx="1">
                  <c:v>0.44083333333333335</c:v>
                </c:pt>
                <c:pt idx="2">
                  <c:v>0.45818181818181808</c:v>
                </c:pt>
                <c:pt idx="3">
                  <c:v>0.35833333333333334</c:v>
                </c:pt>
                <c:pt idx="4">
                  <c:v>0.45357142857142863</c:v>
                </c:pt>
                <c:pt idx="5">
                  <c:v>0.32615384615384618</c:v>
                </c:pt>
                <c:pt idx="6">
                  <c:v>0.33937499999999998</c:v>
                </c:pt>
                <c:pt idx="7">
                  <c:v>0.43294117647058827</c:v>
                </c:pt>
                <c:pt idx="8">
                  <c:v>0.4107142857142857</c:v>
                </c:pt>
              </c:numCache>
            </c:numRef>
          </c:val>
          <c:extLst>
            <c:ext xmlns:c16="http://schemas.microsoft.com/office/drawing/2014/chart" uri="{C3380CC4-5D6E-409C-BE32-E72D297353CC}">
              <c16:uniqueId val="{00000005-D3CA-43BA-A806-5A32B765971A}"/>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Instituciones</a:t>
            </a:r>
            <a:r>
              <a:rPr lang="es-CO" sz="1400" baseline="0"/>
              <a:t> Educativas Privadas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Reflexiona</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LC!$E$369</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LC!$F$367:$N$367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LC!$F$369:$N$369</c:f>
              <c:numCache>
                <c:formatCode>0%</c:formatCode>
                <c:ptCount val="9"/>
                <c:pt idx="0">
                  <c:v>0.56230769230769218</c:v>
                </c:pt>
                <c:pt idx="1">
                  <c:v>0.46999999999999992</c:v>
                </c:pt>
                <c:pt idx="2">
                  <c:v>0.49769230769230766</c:v>
                </c:pt>
                <c:pt idx="3">
                  <c:v>0.4284615384615385</c:v>
                </c:pt>
                <c:pt idx="4">
                  <c:v>0.36230769230769233</c:v>
                </c:pt>
                <c:pt idx="5">
                  <c:v>0.53307692307692311</c:v>
                </c:pt>
                <c:pt idx="6">
                  <c:v>0.4407692307692308</c:v>
                </c:pt>
                <c:pt idx="7">
                  <c:v>0.47916666666666669</c:v>
                </c:pt>
                <c:pt idx="8">
                  <c:v>0.31454545454545457</c:v>
                </c:pt>
              </c:numCache>
            </c:numRef>
          </c:val>
          <c:extLst>
            <c:ext xmlns:c16="http://schemas.microsoft.com/office/drawing/2014/chart" uri="{C3380CC4-5D6E-409C-BE32-E72D297353CC}">
              <c16:uniqueId val="{00000000-EBBE-4BFB-B2BE-22C68CDF1BFF}"/>
            </c:ext>
          </c:extLst>
        </c:ser>
        <c:ser>
          <c:idx val="1"/>
          <c:order val="1"/>
          <c:tx>
            <c:strRef>
              <c:f>LC!$E$370</c:f>
              <c:strCache>
                <c:ptCount val="1"/>
                <c:pt idx="0">
                  <c:v>COMUNA 2</c:v>
                </c:pt>
              </c:strCache>
            </c:strRef>
          </c:tx>
          <c:spPr>
            <a:solidFill>
              <a:schemeClr val="accent2"/>
            </a:solidFill>
            <a:ln>
              <a:noFill/>
            </a:ln>
            <a:effectLst/>
          </c:spPr>
          <c:invertIfNegative val="0"/>
          <c:cat>
            <c:numRef>
              <c:f>LC!$F$367:$N$367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LC!$F$370:$N$370</c:f>
              <c:numCache>
                <c:formatCode>0%</c:formatCode>
                <c:ptCount val="9"/>
                <c:pt idx="0">
                  <c:v>0.50944444444444448</c:v>
                </c:pt>
                <c:pt idx="1">
                  <c:v>0.43882352941176472</c:v>
                </c:pt>
                <c:pt idx="2">
                  <c:v>0.47764705882352948</c:v>
                </c:pt>
                <c:pt idx="3">
                  <c:v>0.4284615384615385</c:v>
                </c:pt>
                <c:pt idx="4">
                  <c:v>0.36181818181818176</c:v>
                </c:pt>
                <c:pt idx="5">
                  <c:v>0.52500000000000013</c:v>
                </c:pt>
                <c:pt idx="6">
                  <c:v>0.38666666666666671</c:v>
                </c:pt>
                <c:pt idx="7">
                  <c:v>0.4413636363636364</c:v>
                </c:pt>
                <c:pt idx="8">
                  <c:v>0.28105263157894739</c:v>
                </c:pt>
              </c:numCache>
            </c:numRef>
          </c:val>
          <c:extLst>
            <c:ext xmlns:c16="http://schemas.microsoft.com/office/drawing/2014/chart" uri="{C3380CC4-5D6E-409C-BE32-E72D297353CC}">
              <c16:uniqueId val="{00000001-EBBE-4BFB-B2BE-22C68CDF1BFF}"/>
            </c:ext>
          </c:extLst>
        </c:ser>
        <c:ser>
          <c:idx val="2"/>
          <c:order val="2"/>
          <c:tx>
            <c:strRef>
              <c:f>LC!$E$371</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LC!$F$367:$N$367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LC!$F$371:$N$371</c:f>
              <c:numCache>
                <c:formatCode>0%</c:formatCode>
                <c:ptCount val="9"/>
                <c:pt idx="0">
                  <c:v>0.51153846153846161</c:v>
                </c:pt>
                <c:pt idx="1">
                  <c:v>0.43928571428571433</c:v>
                </c:pt>
                <c:pt idx="2">
                  <c:v>0.46928571428571431</c:v>
                </c:pt>
                <c:pt idx="3">
                  <c:v>0.4284615384615385</c:v>
                </c:pt>
                <c:pt idx="4">
                  <c:v>0.33466666666666672</c:v>
                </c:pt>
                <c:pt idx="5">
                  <c:v>0.49933333333333341</c:v>
                </c:pt>
                <c:pt idx="6">
                  <c:v>0.385625</c:v>
                </c:pt>
                <c:pt idx="7">
                  <c:v>0.44</c:v>
                </c:pt>
                <c:pt idx="8">
                  <c:v>0.29625000000000001</c:v>
                </c:pt>
              </c:numCache>
            </c:numRef>
          </c:val>
          <c:extLst>
            <c:ext xmlns:c16="http://schemas.microsoft.com/office/drawing/2014/chart" uri="{C3380CC4-5D6E-409C-BE32-E72D297353CC}">
              <c16:uniqueId val="{00000002-EBBE-4BFB-B2BE-22C68CDF1BFF}"/>
            </c:ext>
          </c:extLst>
        </c:ser>
        <c:ser>
          <c:idx val="3"/>
          <c:order val="3"/>
          <c:tx>
            <c:strRef>
              <c:f>LC!$E$372</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LC!$F$367:$N$367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LC!$F$372:$N$372</c:f>
              <c:numCache>
                <c:formatCode>0%</c:formatCode>
                <c:ptCount val="9"/>
                <c:pt idx="0">
                  <c:v>0.57250000000000001</c:v>
                </c:pt>
                <c:pt idx="1">
                  <c:v>0.46750000000000003</c:v>
                </c:pt>
                <c:pt idx="2">
                  <c:v>0.4933333333333334</c:v>
                </c:pt>
                <c:pt idx="3">
                  <c:v>0.4284615384615385</c:v>
                </c:pt>
                <c:pt idx="4">
                  <c:v>0.40857142857142853</c:v>
                </c:pt>
                <c:pt idx="5">
                  <c:v>0.54874999999999996</c:v>
                </c:pt>
                <c:pt idx="6">
                  <c:v>0.44125000000000003</c:v>
                </c:pt>
                <c:pt idx="7">
                  <c:v>0.52555555555555555</c:v>
                </c:pt>
                <c:pt idx="8">
                  <c:v>0.32714285714285712</c:v>
                </c:pt>
              </c:numCache>
            </c:numRef>
          </c:val>
          <c:extLst>
            <c:ext xmlns:c16="http://schemas.microsoft.com/office/drawing/2014/chart" uri="{C3380CC4-5D6E-409C-BE32-E72D297353CC}">
              <c16:uniqueId val="{00000003-EBBE-4BFB-B2BE-22C68CDF1BFF}"/>
            </c:ext>
          </c:extLst>
        </c:ser>
        <c:ser>
          <c:idx val="4"/>
          <c:order val="4"/>
          <c:tx>
            <c:strRef>
              <c:f>LC!$E$373</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LC!$F$367:$N$367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LC!$F$373:$N$373</c:f>
              <c:numCache>
                <c:formatCode>0%</c:formatCode>
                <c:ptCount val="9"/>
                <c:pt idx="0">
                  <c:v>0.53066666666666673</c:v>
                </c:pt>
                <c:pt idx="1">
                  <c:v>0.42875000000000002</c:v>
                </c:pt>
                <c:pt idx="2">
                  <c:v>0.45687500000000003</c:v>
                </c:pt>
                <c:pt idx="3">
                  <c:v>0.4284615384615385</c:v>
                </c:pt>
                <c:pt idx="4">
                  <c:v>0.29687499999999994</c:v>
                </c:pt>
                <c:pt idx="5">
                  <c:v>0.47687499999999999</c:v>
                </c:pt>
                <c:pt idx="6">
                  <c:v>0.36999999999999994</c:v>
                </c:pt>
                <c:pt idx="7">
                  <c:v>0.41</c:v>
                </c:pt>
                <c:pt idx="8">
                  <c:v>0.27200000000000008</c:v>
                </c:pt>
              </c:numCache>
            </c:numRef>
          </c:val>
          <c:extLst>
            <c:ext xmlns:c16="http://schemas.microsoft.com/office/drawing/2014/chart" uri="{C3380CC4-5D6E-409C-BE32-E72D297353CC}">
              <c16:uniqueId val="{00000004-EBBE-4BFB-B2BE-22C68CDF1BFF}"/>
            </c:ext>
          </c:extLst>
        </c:ser>
        <c:ser>
          <c:idx val="5"/>
          <c:order val="5"/>
          <c:tx>
            <c:strRef>
              <c:f>LC!$E$374</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LC!$F$367:$N$367</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LC!$F$374:$N$374</c:f>
              <c:numCache>
                <c:formatCode>0%</c:formatCode>
                <c:ptCount val="9"/>
                <c:pt idx="0">
                  <c:v>0.53333333333333333</c:v>
                </c:pt>
                <c:pt idx="1">
                  <c:v>0.47166666666666668</c:v>
                </c:pt>
                <c:pt idx="2">
                  <c:v>0.50090909090909086</c:v>
                </c:pt>
                <c:pt idx="3">
                  <c:v>0.4284615384615385</c:v>
                </c:pt>
                <c:pt idx="4">
                  <c:v>0.37857142857142861</c:v>
                </c:pt>
                <c:pt idx="5">
                  <c:v>0.52692307692307683</c:v>
                </c:pt>
                <c:pt idx="6">
                  <c:v>0.4375</c:v>
                </c:pt>
                <c:pt idx="7">
                  <c:v>0.45058823529411773</c:v>
                </c:pt>
                <c:pt idx="8">
                  <c:v>0.29785714285714288</c:v>
                </c:pt>
              </c:numCache>
            </c:numRef>
          </c:val>
          <c:extLst>
            <c:ext xmlns:c16="http://schemas.microsoft.com/office/drawing/2014/chart" uri="{C3380CC4-5D6E-409C-BE32-E72D297353CC}">
              <c16:uniqueId val="{00000005-EBBE-4BFB-B2BE-22C68CDF1BFF}"/>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Comunas</a:t>
            </a:r>
            <a:endParaRPr lang="es-CO" sz="1400" baseline="0"/>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Comprende </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LC!$E$287</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LC!$F$285:$N$285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LC!$F$287:$N$287</c:f>
              <c:numCache>
                <c:formatCode>0%</c:formatCode>
                <c:ptCount val="9"/>
                <c:pt idx="0">
                  <c:v>0.48176470588235293</c:v>
                </c:pt>
                <c:pt idx="1">
                  <c:v>0.48000000000000004</c:v>
                </c:pt>
                <c:pt idx="2">
                  <c:v>0.44058823529411767</c:v>
                </c:pt>
                <c:pt idx="3">
                  <c:v>0.4205882352941176</c:v>
                </c:pt>
                <c:pt idx="4">
                  <c:v>0.46411764705882358</c:v>
                </c:pt>
                <c:pt idx="5">
                  <c:v>0.43176470588235294</c:v>
                </c:pt>
                <c:pt idx="6">
                  <c:v>0.45944444444444443</c:v>
                </c:pt>
                <c:pt idx="7">
                  <c:v>0.35470588235294126</c:v>
                </c:pt>
                <c:pt idx="8">
                  <c:v>0.4375</c:v>
                </c:pt>
              </c:numCache>
            </c:numRef>
          </c:val>
          <c:extLst>
            <c:ext xmlns:c16="http://schemas.microsoft.com/office/drawing/2014/chart" uri="{C3380CC4-5D6E-409C-BE32-E72D297353CC}">
              <c16:uniqueId val="{00000000-91B3-4925-801C-6879DA96589D}"/>
            </c:ext>
          </c:extLst>
        </c:ser>
        <c:ser>
          <c:idx val="1"/>
          <c:order val="1"/>
          <c:tx>
            <c:strRef>
              <c:f>LC!$E$288</c:f>
              <c:strCache>
                <c:ptCount val="1"/>
                <c:pt idx="0">
                  <c:v>COMUNA 2</c:v>
                </c:pt>
              </c:strCache>
            </c:strRef>
          </c:tx>
          <c:spPr>
            <a:solidFill>
              <a:schemeClr val="accent2"/>
            </a:solidFill>
            <a:ln>
              <a:noFill/>
            </a:ln>
            <a:effectLst/>
          </c:spPr>
          <c:invertIfNegative val="0"/>
          <c:cat>
            <c:numRef>
              <c:f>LC!$F$285:$N$285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LC!$F$288:$N$288</c:f>
              <c:numCache>
                <c:formatCode>0%</c:formatCode>
                <c:ptCount val="9"/>
                <c:pt idx="0">
                  <c:v>0.45600000000000013</c:v>
                </c:pt>
                <c:pt idx="1">
                  <c:v>0.44789473684210523</c:v>
                </c:pt>
                <c:pt idx="2">
                  <c:v>0.41526315789473683</c:v>
                </c:pt>
                <c:pt idx="3">
                  <c:v>0.39000000000000007</c:v>
                </c:pt>
                <c:pt idx="4">
                  <c:v>0.43458333333333332</c:v>
                </c:pt>
                <c:pt idx="5">
                  <c:v>0.43545454545454554</c:v>
                </c:pt>
                <c:pt idx="6">
                  <c:v>0.43520000000000003</c:v>
                </c:pt>
                <c:pt idx="7">
                  <c:v>0.341923076923077</c:v>
                </c:pt>
                <c:pt idx="8">
                  <c:v>0.39</c:v>
                </c:pt>
              </c:numCache>
            </c:numRef>
          </c:val>
          <c:extLst>
            <c:ext xmlns:c16="http://schemas.microsoft.com/office/drawing/2014/chart" uri="{C3380CC4-5D6E-409C-BE32-E72D297353CC}">
              <c16:uniqueId val="{00000001-91B3-4925-801C-6879DA96589D}"/>
            </c:ext>
          </c:extLst>
        </c:ser>
        <c:ser>
          <c:idx val="2"/>
          <c:order val="2"/>
          <c:tx>
            <c:strRef>
              <c:f>LC!$E$289</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LC!$F$285:$N$285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LC!$F$289:$N$289</c:f>
              <c:numCache>
                <c:formatCode>0%</c:formatCode>
                <c:ptCount val="9"/>
                <c:pt idx="0">
                  <c:v>0.4694444444444445</c:v>
                </c:pt>
                <c:pt idx="1">
                  <c:v>0.45789473684210524</c:v>
                </c:pt>
                <c:pt idx="2">
                  <c:v>0.40473684210526323</c:v>
                </c:pt>
                <c:pt idx="3">
                  <c:v>0.40052631578947373</c:v>
                </c:pt>
                <c:pt idx="4">
                  <c:v>0.44800000000000006</c:v>
                </c:pt>
                <c:pt idx="5">
                  <c:v>0.41200000000000003</c:v>
                </c:pt>
                <c:pt idx="6">
                  <c:v>0.43545454545454548</c:v>
                </c:pt>
                <c:pt idx="7">
                  <c:v>0.34136363636363637</c:v>
                </c:pt>
                <c:pt idx="8">
                  <c:v>0.4186363636363637</c:v>
                </c:pt>
              </c:numCache>
            </c:numRef>
          </c:val>
          <c:extLst>
            <c:ext xmlns:c16="http://schemas.microsoft.com/office/drawing/2014/chart" uri="{C3380CC4-5D6E-409C-BE32-E72D297353CC}">
              <c16:uniqueId val="{00000002-91B3-4925-801C-6879DA96589D}"/>
            </c:ext>
          </c:extLst>
        </c:ser>
        <c:ser>
          <c:idx val="3"/>
          <c:order val="3"/>
          <c:tx>
            <c:strRef>
              <c:f>LC!$E$290</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LC!$F$285:$N$285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LC!$F$290:$N$290</c:f>
              <c:numCache>
                <c:formatCode>0%</c:formatCode>
                <c:ptCount val="9"/>
                <c:pt idx="0">
                  <c:v>0.52357142857142858</c:v>
                </c:pt>
                <c:pt idx="1">
                  <c:v>0.47500000000000003</c:v>
                </c:pt>
                <c:pt idx="2">
                  <c:v>0.44333333333333325</c:v>
                </c:pt>
                <c:pt idx="3">
                  <c:v>0.43785714285714289</c:v>
                </c:pt>
                <c:pt idx="4">
                  <c:v>0.50692307692307703</c:v>
                </c:pt>
                <c:pt idx="5">
                  <c:v>0.46142857142857147</c:v>
                </c:pt>
                <c:pt idx="6">
                  <c:v>0.47857142857142859</c:v>
                </c:pt>
                <c:pt idx="7">
                  <c:v>0.41399999999999992</c:v>
                </c:pt>
                <c:pt idx="8">
                  <c:v>0.45999999999999996</c:v>
                </c:pt>
              </c:numCache>
            </c:numRef>
          </c:val>
          <c:extLst>
            <c:ext xmlns:c16="http://schemas.microsoft.com/office/drawing/2014/chart" uri="{C3380CC4-5D6E-409C-BE32-E72D297353CC}">
              <c16:uniqueId val="{00000003-91B3-4925-801C-6879DA96589D}"/>
            </c:ext>
          </c:extLst>
        </c:ser>
        <c:ser>
          <c:idx val="4"/>
          <c:order val="4"/>
          <c:tx>
            <c:strRef>
              <c:f>LC!$E$291</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LC!$F$285:$N$285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LC!$F$291:$N$291</c:f>
              <c:numCache>
                <c:formatCode>0%</c:formatCode>
                <c:ptCount val="9"/>
                <c:pt idx="0">
                  <c:v>0.43588235294117644</c:v>
                </c:pt>
                <c:pt idx="1">
                  <c:v>0.43111111111111111</c:v>
                </c:pt>
                <c:pt idx="2">
                  <c:v>0.39500000000000002</c:v>
                </c:pt>
                <c:pt idx="3">
                  <c:v>0.37526315789473674</c:v>
                </c:pt>
                <c:pt idx="4">
                  <c:v>0.42777777777777781</c:v>
                </c:pt>
                <c:pt idx="5">
                  <c:v>0.39111111111111119</c:v>
                </c:pt>
                <c:pt idx="6">
                  <c:v>0.41235294117647059</c:v>
                </c:pt>
                <c:pt idx="7">
                  <c:v>0.30941176470588239</c:v>
                </c:pt>
                <c:pt idx="8">
                  <c:v>0.41333333333333333</c:v>
                </c:pt>
              </c:numCache>
            </c:numRef>
          </c:val>
          <c:extLst>
            <c:ext xmlns:c16="http://schemas.microsoft.com/office/drawing/2014/chart" uri="{C3380CC4-5D6E-409C-BE32-E72D297353CC}">
              <c16:uniqueId val="{00000004-91B3-4925-801C-6879DA96589D}"/>
            </c:ext>
          </c:extLst>
        </c:ser>
        <c:ser>
          <c:idx val="5"/>
          <c:order val="5"/>
          <c:tx>
            <c:strRef>
              <c:f>LC!$E$292</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LC!$F$285:$N$285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LC!$F$292:$N$292</c:f>
              <c:numCache>
                <c:formatCode>0%</c:formatCode>
                <c:ptCount val="9"/>
                <c:pt idx="0">
                  <c:v>0.47866666666666668</c:v>
                </c:pt>
                <c:pt idx="1">
                  <c:v>0.47800000000000004</c:v>
                </c:pt>
                <c:pt idx="2">
                  <c:v>0.42642857142857149</c:v>
                </c:pt>
                <c:pt idx="3">
                  <c:v>0.41399999999999998</c:v>
                </c:pt>
                <c:pt idx="4">
                  <c:v>0.48529411764705882</c:v>
                </c:pt>
                <c:pt idx="5">
                  <c:v>0.45437499999999992</c:v>
                </c:pt>
                <c:pt idx="6">
                  <c:v>0.46736842105263154</c:v>
                </c:pt>
                <c:pt idx="7">
                  <c:v>0.34649999999999997</c:v>
                </c:pt>
                <c:pt idx="8">
                  <c:v>0.46249999999999997</c:v>
                </c:pt>
              </c:numCache>
            </c:numRef>
          </c:val>
          <c:extLst>
            <c:ext xmlns:c16="http://schemas.microsoft.com/office/drawing/2014/chart" uri="{C3380CC4-5D6E-409C-BE32-E72D297353CC}">
              <c16:uniqueId val="{00000005-91B3-4925-801C-6879DA96589D}"/>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Comunas</a:t>
            </a:r>
            <a:endParaRPr lang="es-CO" sz="1400" baseline="0"/>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Identifica </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LC!$E$296</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LC!$F$294:$N$294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LC!$F$296:$N$296</c:f>
              <c:numCache>
                <c:formatCode>0%</c:formatCode>
                <c:ptCount val="9"/>
                <c:pt idx="0">
                  <c:v>0.43470588235294116</c:v>
                </c:pt>
                <c:pt idx="1">
                  <c:v>0.44624999999999992</c:v>
                </c:pt>
                <c:pt idx="2">
                  <c:v>0.47352941176470592</c:v>
                </c:pt>
                <c:pt idx="3">
                  <c:v>0.36588235294117644</c:v>
                </c:pt>
                <c:pt idx="4">
                  <c:v>0.43588235294117661</c:v>
                </c:pt>
                <c:pt idx="5">
                  <c:v>0.32117647058823529</c:v>
                </c:pt>
                <c:pt idx="6">
                  <c:v>0.33666666666666673</c:v>
                </c:pt>
                <c:pt idx="7">
                  <c:v>0.46470588235294108</c:v>
                </c:pt>
                <c:pt idx="8">
                  <c:v>0.44062500000000004</c:v>
                </c:pt>
              </c:numCache>
            </c:numRef>
          </c:val>
          <c:extLst>
            <c:ext xmlns:c16="http://schemas.microsoft.com/office/drawing/2014/chart" uri="{C3380CC4-5D6E-409C-BE32-E72D297353CC}">
              <c16:uniqueId val="{00000000-56FA-4B77-A63C-F98A02637821}"/>
            </c:ext>
          </c:extLst>
        </c:ser>
        <c:ser>
          <c:idx val="1"/>
          <c:order val="1"/>
          <c:tx>
            <c:strRef>
              <c:f>LC!$E$297</c:f>
              <c:strCache>
                <c:ptCount val="1"/>
                <c:pt idx="0">
                  <c:v>COMUNA 2</c:v>
                </c:pt>
              </c:strCache>
            </c:strRef>
          </c:tx>
          <c:spPr>
            <a:solidFill>
              <a:schemeClr val="accent2"/>
            </a:solidFill>
            <a:ln>
              <a:noFill/>
            </a:ln>
            <a:effectLst/>
          </c:spPr>
          <c:invertIfNegative val="0"/>
          <c:cat>
            <c:numRef>
              <c:f>LC!$F$294:$N$294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LC!$F$297:$N$297</c:f>
              <c:numCache>
                <c:formatCode>0%</c:formatCode>
                <c:ptCount val="9"/>
                <c:pt idx="0">
                  <c:v>0.41249999999999992</c:v>
                </c:pt>
                <c:pt idx="1">
                  <c:v>0.40842105263157902</c:v>
                </c:pt>
                <c:pt idx="2">
                  <c:v>0.46631578947368429</c:v>
                </c:pt>
                <c:pt idx="3">
                  <c:v>0.33999999999999997</c:v>
                </c:pt>
                <c:pt idx="4">
                  <c:v>0.41708333333333331</c:v>
                </c:pt>
                <c:pt idx="5">
                  <c:v>0.33636363636363636</c:v>
                </c:pt>
                <c:pt idx="6">
                  <c:v>0.31199999999999994</c:v>
                </c:pt>
                <c:pt idx="7">
                  <c:v>0.44423076923076926</c:v>
                </c:pt>
                <c:pt idx="8">
                  <c:v>0.40086956521739142</c:v>
                </c:pt>
              </c:numCache>
            </c:numRef>
          </c:val>
          <c:extLst>
            <c:ext xmlns:c16="http://schemas.microsoft.com/office/drawing/2014/chart" uri="{C3380CC4-5D6E-409C-BE32-E72D297353CC}">
              <c16:uniqueId val="{00000001-56FA-4B77-A63C-F98A02637821}"/>
            </c:ext>
          </c:extLst>
        </c:ser>
        <c:ser>
          <c:idx val="2"/>
          <c:order val="2"/>
          <c:tx>
            <c:strRef>
              <c:f>LC!$E$298</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LC!$F$294:$N$294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LC!$F$298:$N$298</c:f>
              <c:numCache>
                <c:formatCode>0%</c:formatCode>
                <c:ptCount val="9"/>
                <c:pt idx="0">
                  <c:v>0.40444444444444438</c:v>
                </c:pt>
                <c:pt idx="1">
                  <c:v>0.42000000000000004</c:v>
                </c:pt>
                <c:pt idx="2">
                  <c:v>0.45631578947368423</c:v>
                </c:pt>
                <c:pt idx="3">
                  <c:v>0.34894736842105267</c:v>
                </c:pt>
                <c:pt idx="4">
                  <c:v>0.40499999999999997</c:v>
                </c:pt>
                <c:pt idx="5">
                  <c:v>0.32050000000000001</c:v>
                </c:pt>
                <c:pt idx="6">
                  <c:v>0.31909090909090909</c:v>
                </c:pt>
                <c:pt idx="7">
                  <c:v>0.44136363636363635</c:v>
                </c:pt>
                <c:pt idx="8">
                  <c:v>0.4095454545454546</c:v>
                </c:pt>
              </c:numCache>
            </c:numRef>
          </c:val>
          <c:extLst>
            <c:ext xmlns:c16="http://schemas.microsoft.com/office/drawing/2014/chart" uri="{C3380CC4-5D6E-409C-BE32-E72D297353CC}">
              <c16:uniqueId val="{00000002-56FA-4B77-A63C-F98A02637821}"/>
            </c:ext>
          </c:extLst>
        </c:ser>
        <c:ser>
          <c:idx val="3"/>
          <c:order val="3"/>
          <c:tx>
            <c:strRef>
              <c:f>LC!$E$299</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LC!$F$294:$N$294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LC!$F$299:$N$299</c:f>
              <c:numCache>
                <c:formatCode>0%</c:formatCode>
                <c:ptCount val="9"/>
                <c:pt idx="0">
                  <c:v>0.47857142857142859</c:v>
                </c:pt>
                <c:pt idx="1">
                  <c:v>0.43571428571428567</c:v>
                </c:pt>
                <c:pt idx="2">
                  <c:v>0.4966666666666667</c:v>
                </c:pt>
                <c:pt idx="3">
                  <c:v>0.39857142857142858</c:v>
                </c:pt>
                <c:pt idx="4">
                  <c:v>0.46153846153846145</c:v>
                </c:pt>
                <c:pt idx="5">
                  <c:v>0.38214285714285717</c:v>
                </c:pt>
                <c:pt idx="6">
                  <c:v>0.35500000000000004</c:v>
                </c:pt>
                <c:pt idx="7">
                  <c:v>0.51533333333333331</c:v>
                </c:pt>
                <c:pt idx="8">
                  <c:v>0.46230769230769236</c:v>
                </c:pt>
              </c:numCache>
            </c:numRef>
          </c:val>
          <c:extLst>
            <c:ext xmlns:c16="http://schemas.microsoft.com/office/drawing/2014/chart" uri="{C3380CC4-5D6E-409C-BE32-E72D297353CC}">
              <c16:uniqueId val="{00000003-56FA-4B77-A63C-F98A02637821}"/>
            </c:ext>
          </c:extLst>
        </c:ser>
        <c:ser>
          <c:idx val="4"/>
          <c:order val="4"/>
          <c:tx>
            <c:strRef>
              <c:f>LC!$E$300</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LC!$F$294:$N$294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LC!$F$300:$N$300</c:f>
              <c:numCache>
                <c:formatCode>0%</c:formatCode>
                <c:ptCount val="9"/>
                <c:pt idx="0">
                  <c:v>0.40941176470588236</c:v>
                </c:pt>
                <c:pt idx="1">
                  <c:v>0.37388888888888883</c:v>
                </c:pt>
                <c:pt idx="2">
                  <c:v>0.4538888888888889</c:v>
                </c:pt>
                <c:pt idx="3">
                  <c:v>0.32526315789473681</c:v>
                </c:pt>
                <c:pt idx="4">
                  <c:v>0.39166666666666672</c:v>
                </c:pt>
                <c:pt idx="5">
                  <c:v>0.30111111111111105</c:v>
                </c:pt>
                <c:pt idx="6">
                  <c:v>0.28176470588235292</c:v>
                </c:pt>
                <c:pt idx="7">
                  <c:v>0.4129411764705882</c:v>
                </c:pt>
                <c:pt idx="8">
                  <c:v>0.41333333333333333</c:v>
                </c:pt>
              </c:numCache>
            </c:numRef>
          </c:val>
          <c:extLst>
            <c:ext xmlns:c16="http://schemas.microsoft.com/office/drawing/2014/chart" uri="{C3380CC4-5D6E-409C-BE32-E72D297353CC}">
              <c16:uniqueId val="{00000004-56FA-4B77-A63C-F98A02637821}"/>
            </c:ext>
          </c:extLst>
        </c:ser>
        <c:ser>
          <c:idx val="5"/>
          <c:order val="5"/>
          <c:tx>
            <c:strRef>
              <c:f>LC!$E$301</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LC!$F$294:$N$294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LC!$F$301:$N$301</c:f>
              <c:numCache>
                <c:formatCode>0%</c:formatCode>
                <c:ptCount val="9"/>
                <c:pt idx="0">
                  <c:v>0.4273333333333334</c:v>
                </c:pt>
                <c:pt idx="1">
                  <c:v>0.44200000000000006</c:v>
                </c:pt>
                <c:pt idx="2">
                  <c:v>0.46642857142857136</c:v>
                </c:pt>
                <c:pt idx="3">
                  <c:v>0.36333333333333334</c:v>
                </c:pt>
                <c:pt idx="4">
                  <c:v>0.45294117647058824</c:v>
                </c:pt>
                <c:pt idx="5">
                  <c:v>0.33437499999999998</c:v>
                </c:pt>
                <c:pt idx="6">
                  <c:v>0.3436842105263157</c:v>
                </c:pt>
                <c:pt idx="7">
                  <c:v>0.44449999999999995</c:v>
                </c:pt>
                <c:pt idx="8">
                  <c:v>0.45249999999999996</c:v>
                </c:pt>
              </c:numCache>
            </c:numRef>
          </c:val>
          <c:extLst>
            <c:ext xmlns:c16="http://schemas.microsoft.com/office/drawing/2014/chart" uri="{C3380CC4-5D6E-409C-BE32-E72D297353CC}">
              <c16:uniqueId val="{00000005-56FA-4B77-A63C-F98A02637821}"/>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a:t>Porcentaje de Respuestas Incorrectas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a:t>Comunas</a:t>
            </a:r>
            <a:endParaRPr lang="es-CO" sz="1400" baseline="0"/>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CO" sz="1400" b="0" i="0" baseline="0">
                <a:effectLst/>
              </a:rPr>
              <a:t>Aprendizaje: Reflexiona</a:t>
            </a:r>
            <a:endParaRPr lang="es-CO"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LC!$E$305</c:f>
              <c:strCache>
                <c:ptCount val="1"/>
                <c:pt idx="0">
                  <c:v>COMUNA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LC!$F$303:$N$303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LC!$F$305:$N$305</c:f>
              <c:numCache>
                <c:formatCode>0%</c:formatCode>
                <c:ptCount val="9"/>
                <c:pt idx="0">
                  <c:v>0.55941176470588239</c:v>
                </c:pt>
                <c:pt idx="1">
                  <c:v>0.46562499999999996</c:v>
                </c:pt>
                <c:pt idx="2">
                  <c:v>0.49941176470588228</c:v>
                </c:pt>
                <c:pt idx="3">
                  <c:v>0.42529411764705882</c:v>
                </c:pt>
                <c:pt idx="4">
                  <c:v>0.3605882352941176</c:v>
                </c:pt>
                <c:pt idx="5">
                  <c:v>0.53647058823529414</c:v>
                </c:pt>
                <c:pt idx="6">
                  <c:v>0.44500000000000001</c:v>
                </c:pt>
                <c:pt idx="7">
                  <c:v>0.48941176470588227</c:v>
                </c:pt>
                <c:pt idx="8">
                  <c:v>0.32937500000000003</c:v>
                </c:pt>
              </c:numCache>
            </c:numRef>
          </c:val>
          <c:extLst>
            <c:ext xmlns:c16="http://schemas.microsoft.com/office/drawing/2014/chart" uri="{C3380CC4-5D6E-409C-BE32-E72D297353CC}">
              <c16:uniqueId val="{00000000-5C58-42D4-837C-F9E87427CB52}"/>
            </c:ext>
          </c:extLst>
        </c:ser>
        <c:ser>
          <c:idx val="1"/>
          <c:order val="1"/>
          <c:tx>
            <c:strRef>
              <c:f>LC!$E$306</c:f>
              <c:strCache>
                <c:ptCount val="1"/>
                <c:pt idx="0">
                  <c:v>COMUNA 2</c:v>
                </c:pt>
              </c:strCache>
            </c:strRef>
          </c:tx>
          <c:spPr>
            <a:solidFill>
              <a:schemeClr val="accent2"/>
            </a:solidFill>
            <a:ln>
              <a:noFill/>
            </a:ln>
            <a:effectLst/>
          </c:spPr>
          <c:invertIfNegative val="0"/>
          <c:cat>
            <c:numRef>
              <c:f>LC!$F$303:$N$303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LC!$F$306:$N$306</c:f>
              <c:numCache>
                <c:formatCode>0%</c:formatCode>
                <c:ptCount val="9"/>
                <c:pt idx="0">
                  <c:v>0.51300000000000001</c:v>
                </c:pt>
                <c:pt idx="1">
                  <c:v>0.44263157894736832</c:v>
                </c:pt>
                <c:pt idx="2">
                  <c:v>0.48052631578947363</c:v>
                </c:pt>
                <c:pt idx="3">
                  <c:v>0.39500000000000007</c:v>
                </c:pt>
                <c:pt idx="4">
                  <c:v>0.36166666666666664</c:v>
                </c:pt>
                <c:pt idx="5">
                  <c:v>0.52727272727272745</c:v>
                </c:pt>
                <c:pt idx="6">
                  <c:v>0.39760000000000006</c:v>
                </c:pt>
                <c:pt idx="7">
                  <c:v>0.45000000000000007</c:v>
                </c:pt>
                <c:pt idx="8">
                  <c:v>0.29043478260869565</c:v>
                </c:pt>
              </c:numCache>
            </c:numRef>
          </c:val>
          <c:extLst>
            <c:ext xmlns:c16="http://schemas.microsoft.com/office/drawing/2014/chart" uri="{C3380CC4-5D6E-409C-BE32-E72D297353CC}">
              <c16:uniqueId val="{00000001-5C58-42D4-837C-F9E87427CB52}"/>
            </c:ext>
          </c:extLst>
        </c:ser>
        <c:ser>
          <c:idx val="2"/>
          <c:order val="2"/>
          <c:tx>
            <c:strRef>
              <c:f>LC!$E$307</c:f>
              <c:strCache>
                <c:ptCount val="1"/>
                <c:pt idx="0">
                  <c:v>COMUNA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LC!$F$303:$N$303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LC!$F$307:$N$307</c:f>
              <c:numCache>
                <c:formatCode>0%</c:formatCode>
                <c:ptCount val="9"/>
                <c:pt idx="0">
                  <c:v>0.51888888888888884</c:v>
                </c:pt>
                <c:pt idx="1">
                  <c:v>0.44631578947368422</c:v>
                </c:pt>
                <c:pt idx="2">
                  <c:v>0.47842105263157886</c:v>
                </c:pt>
                <c:pt idx="3">
                  <c:v>0.39368421052631569</c:v>
                </c:pt>
                <c:pt idx="4">
                  <c:v>0.34550000000000003</c:v>
                </c:pt>
                <c:pt idx="5">
                  <c:v>0.51100000000000012</c:v>
                </c:pt>
                <c:pt idx="6">
                  <c:v>0.40045454545454545</c:v>
                </c:pt>
                <c:pt idx="7">
                  <c:v>0.4540909090909091</c:v>
                </c:pt>
                <c:pt idx="8">
                  <c:v>0.30909090909090908</c:v>
                </c:pt>
              </c:numCache>
            </c:numRef>
          </c:val>
          <c:extLst>
            <c:ext xmlns:c16="http://schemas.microsoft.com/office/drawing/2014/chart" uri="{C3380CC4-5D6E-409C-BE32-E72D297353CC}">
              <c16:uniqueId val="{00000002-5C58-42D4-837C-F9E87427CB52}"/>
            </c:ext>
          </c:extLst>
        </c:ser>
        <c:ser>
          <c:idx val="3"/>
          <c:order val="3"/>
          <c:tx>
            <c:strRef>
              <c:f>LC!$E$308</c:f>
              <c:strCache>
                <c:ptCount val="1"/>
                <c:pt idx="0">
                  <c:v>COMUNA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LC!$F$303:$N$303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LC!$F$308:$N$308</c:f>
              <c:numCache>
                <c:formatCode>0%</c:formatCode>
                <c:ptCount val="9"/>
                <c:pt idx="0">
                  <c:v>0.59214285714285708</c:v>
                </c:pt>
                <c:pt idx="1">
                  <c:v>0.49071428571428577</c:v>
                </c:pt>
                <c:pt idx="2">
                  <c:v>0.51733333333333342</c:v>
                </c:pt>
                <c:pt idx="3">
                  <c:v>0.43857142857142856</c:v>
                </c:pt>
                <c:pt idx="4">
                  <c:v>0.41923076923076918</c:v>
                </c:pt>
                <c:pt idx="5">
                  <c:v>0.56857142857142873</c:v>
                </c:pt>
                <c:pt idx="6">
                  <c:v>0.47500000000000009</c:v>
                </c:pt>
                <c:pt idx="7">
                  <c:v>0.54599999999999993</c:v>
                </c:pt>
                <c:pt idx="8">
                  <c:v>0.37692307692307697</c:v>
                </c:pt>
              </c:numCache>
            </c:numRef>
          </c:val>
          <c:extLst>
            <c:ext xmlns:c16="http://schemas.microsoft.com/office/drawing/2014/chart" uri="{C3380CC4-5D6E-409C-BE32-E72D297353CC}">
              <c16:uniqueId val="{00000003-5C58-42D4-837C-F9E87427CB52}"/>
            </c:ext>
          </c:extLst>
        </c:ser>
        <c:ser>
          <c:idx val="4"/>
          <c:order val="4"/>
          <c:tx>
            <c:strRef>
              <c:f>LC!$E$309</c:f>
              <c:strCache>
                <c:ptCount val="1"/>
                <c:pt idx="0">
                  <c:v>COMUNA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LC!$F$303:$N$303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LC!$F$309:$N$309</c:f>
              <c:numCache>
                <c:formatCode>0%</c:formatCode>
                <c:ptCount val="9"/>
                <c:pt idx="0">
                  <c:v>0.53117647058823536</c:v>
                </c:pt>
                <c:pt idx="1">
                  <c:v>0.435</c:v>
                </c:pt>
                <c:pt idx="2">
                  <c:v>0.46444444444444444</c:v>
                </c:pt>
                <c:pt idx="3">
                  <c:v>0.37894736842105264</c:v>
                </c:pt>
                <c:pt idx="4">
                  <c:v>0.30444444444444441</c:v>
                </c:pt>
                <c:pt idx="5">
                  <c:v>0.48444444444444446</c:v>
                </c:pt>
                <c:pt idx="6">
                  <c:v>0.37823529411764706</c:v>
                </c:pt>
                <c:pt idx="7">
                  <c:v>0.4205882352941176</c:v>
                </c:pt>
                <c:pt idx="8">
                  <c:v>0.30666666666666664</c:v>
                </c:pt>
              </c:numCache>
            </c:numRef>
          </c:val>
          <c:extLst>
            <c:ext xmlns:c16="http://schemas.microsoft.com/office/drawing/2014/chart" uri="{C3380CC4-5D6E-409C-BE32-E72D297353CC}">
              <c16:uniqueId val="{00000004-5C58-42D4-837C-F9E87427CB52}"/>
            </c:ext>
          </c:extLst>
        </c:ser>
        <c:ser>
          <c:idx val="5"/>
          <c:order val="5"/>
          <c:tx>
            <c:strRef>
              <c:f>LC!$E$310</c:f>
              <c:strCache>
                <c:ptCount val="1"/>
                <c:pt idx="0">
                  <c:v>COMUNA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LC!$F$303:$N$303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LC!$F$310:$N$310</c:f>
              <c:numCache>
                <c:formatCode>0%</c:formatCode>
                <c:ptCount val="9"/>
                <c:pt idx="0">
                  <c:v>0.53599999999999992</c:v>
                </c:pt>
                <c:pt idx="1">
                  <c:v>0.47666666666666668</c:v>
                </c:pt>
                <c:pt idx="2">
                  <c:v>0.50357142857142856</c:v>
                </c:pt>
                <c:pt idx="3">
                  <c:v>0.38933333333333336</c:v>
                </c:pt>
                <c:pt idx="4">
                  <c:v>0.37882352941176473</c:v>
                </c:pt>
                <c:pt idx="5">
                  <c:v>0.53437500000000004</c:v>
                </c:pt>
                <c:pt idx="6">
                  <c:v>0.44210526315789478</c:v>
                </c:pt>
                <c:pt idx="7">
                  <c:v>0.46149999999999991</c:v>
                </c:pt>
                <c:pt idx="8">
                  <c:v>0.36500000000000005</c:v>
                </c:pt>
              </c:numCache>
            </c:numRef>
          </c:val>
          <c:extLst>
            <c:ext xmlns:c16="http://schemas.microsoft.com/office/drawing/2014/chart" uri="{C3380CC4-5D6E-409C-BE32-E72D297353CC}">
              <c16:uniqueId val="{00000005-5C58-42D4-837C-F9E87427CB52}"/>
            </c:ext>
          </c:extLst>
        </c:ser>
        <c:dLbls>
          <c:showLegendKey val="0"/>
          <c:showVal val="0"/>
          <c:showCatName val="0"/>
          <c:showSerName val="0"/>
          <c:showPercent val="0"/>
          <c:showBubbleSize val="0"/>
        </c:dLbls>
        <c:gapWidth val="150"/>
        <c:axId val="922625440"/>
        <c:axId val="922145264"/>
      </c:barChart>
      <c:catAx>
        <c:axId val="9226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45264"/>
        <c:crossesAt val="0"/>
        <c:auto val="1"/>
        <c:lblAlgn val="ctr"/>
        <c:lblOffset val="100"/>
        <c:noMultiLvlLbl val="0"/>
      </c:catAx>
      <c:valAx>
        <c:axId val="92214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62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Resultados</a:t>
            </a:r>
            <a:r>
              <a:rPr lang="es-CO" sz="1400" baseline="0"/>
              <a:t> Matemáticas por comuna 2016-2024</a:t>
            </a:r>
            <a:endParaRPr lang="es-CO" sz="1400" b="1" i="0" u="none" strike="noStrike" baseline="0">
              <a:effectLst/>
            </a:endParaRPr>
          </a:p>
        </c:rich>
      </c:tx>
      <c:layout>
        <c:manualLayout>
          <c:xMode val="edge"/>
          <c:yMode val="edge"/>
          <c:x val="0.2093444064392484"/>
          <c:y val="1.8518396933468566E-2"/>
        </c:manualLayout>
      </c:layout>
      <c:overlay val="0"/>
    </c:title>
    <c:autoTitleDeleted val="0"/>
    <c:plotArea>
      <c:layout/>
      <c:radarChart>
        <c:radarStyle val="marker"/>
        <c:varyColors val="0"/>
        <c:ser>
          <c:idx val="0"/>
          <c:order val="0"/>
          <c:tx>
            <c:strRef>
              <c:f>MATE!$Z$177</c:f>
              <c:strCache>
                <c:ptCount val="1"/>
                <c:pt idx="0">
                  <c:v>2016</c:v>
                </c:pt>
              </c:strCache>
            </c:strRef>
          </c:tx>
          <c:spPr>
            <a:ln>
              <a:prstDash val="lgDashDot"/>
            </a:ln>
          </c:spPr>
          <c:cat>
            <c:strRef>
              <c:f>MATE!$Y$178:$Y$183</c:f>
              <c:strCache>
                <c:ptCount val="6"/>
                <c:pt idx="0">
                  <c:v>COMUNA 1</c:v>
                </c:pt>
                <c:pt idx="1">
                  <c:v>COMUNA 2</c:v>
                </c:pt>
                <c:pt idx="2">
                  <c:v>COMUNA 3</c:v>
                </c:pt>
                <c:pt idx="3">
                  <c:v>COMUNA 4</c:v>
                </c:pt>
                <c:pt idx="4">
                  <c:v>COMUNA 5</c:v>
                </c:pt>
                <c:pt idx="5">
                  <c:v>COMUNA 6</c:v>
                </c:pt>
              </c:strCache>
            </c:strRef>
          </c:cat>
          <c:val>
            <c:numRef>
              <c:f>MATE!$Z$178:$Z$183</c:f>
              <c:numCache>
                <c:formatCode>0</c:formatCode>
                <c:ptCount val="6"/>
                <c:pt idx="0">
                  <c:v>51.823529411764703</c:v>
                </c:pt>
                <c:pt idx="1">
                  <c:v>52.6</c:v>
                </c:pt>
                <c:pt idx="2">
                  <c:v>53.25</c:v>
                </c:pt>
                <c:pt idx="3">
                  <c:v>48.357142857142854</c:v>
                </c:pt>
                <c:pt idx="4">
                  <c:v>54.470588235294116</c:v>
                </c:pt>
                <c:pt idx="5">
                  <c:v>52.266666666666666</c:v>
                </c:pt>
              </c:numCache>
            </c:numRef>
          </c:val>
          <c:extLst>
            <c:ext xmlns:c16="http://schemas.microsoft.com/office/drawing/2014/chart" uri="{C3380CC4-5D6E-409C-BE32-E72D297353CC}">
              <c16:uniqueId val="{00000000-5DF6-45BB-A5DA-FBDF1A1291BA}"/>
            </c:ext>
          </c:extLst>
        </c:ser>
        <c:ser>
          <c:idx val="1"/>
          <c:order val="1"/>
          <c:tx>
            <c:strRef>
              <c:f>MATE!$AA$177</c:f>
              <c:strCache>
                <c:ptCount val="1"/>
                <c:pt idx="0">
                  <c:v>2017</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MATE!$AA$178:$AA$183</c:f>
              <c:numCache>
                <c:formatCode>0</c:formatCode>
                <c:ptCount val="6"/>
                <c:pt idx="0">
                  <c:v>51.625</c:v>
                </c:pt>
                <c:pt idx="1">
                  <c:v>52.157894736842103</c:v>
                </c:pt>
                <c:pt idx="2">
                  <c:v>52.058823529411768</c:v>
                </c:pt>
                <c:pt idx="3">
                  <c:v>49.666666666666664</c:v>
                </c:pt>
                <c:pt idx="4">
                  <c:v>54.705882352941174</c:v>
                </c:pt>
                <c:pt idx="5">
                  <c:v>51</c:v>
                </c:pt>
              </c:numCache>
            </c:numRef>
          </c:val>
          <c:extLst>
            <c:ext xmlns:c16="http://schemas.microsoft.com/office/drawing/2014/chart" uri="{C3380CC4-5D6E-409C-BE32-E72D297353CC}">
              <c16:uniqueId val="{00000001-5DF6-45BB-A5DA-FBDF1A1291BA}"/>
            </c:ext>
          </c:extLst>
        </c:ser>
        <c:ser>
          <c:idx val="2"/>
          <c:order val="2"/>
          <c:tx>
            <c:strRef>
              <c:f>MATE!$AB$177</c:f>
              <c:strCache>
                <c:ptCount val="1"/>
                <c:pt idx="0">
                  <c:v>2018</c:v>
                </c:pt>
              </c:strCache>
            </c:strRef>
          </c:tx>
          <c:spPr>
            <a:ln>
              <a:prstDash val="sysDash"/>
            </a:ln>
          </c:spPr>
          <c:cat>
            <c:strRef>
              <c:f>MATE!$Y$178:$Y$183</c:f>
              <c:strCache>
                <c:ptCount val="6"/>
                <c:pt idx="0">
                  <c:v>COMUNA 1</c:v>
                </c:pt>
                <c:pt idx="1">
                  <c:v>COMUNA 2</c:v>
                </c:pt>
                <c:pt idx="2">
                  <c:v>COMUNA 3</c:v>
                </c:pt>
                <c:pt idx="3">
                  <c:v>COMUNA 4</c:v>
                </c:pt>
                <c:pt idx="4">
                  <c:v>COMUNA 5</c:v>
                </c:pt>
                <c:pt idx="5">
                  <c:v>COMUNA 6</c:v>
                </c:pt>
              </c:strCache>
            </c:strRef>
          </c:cat>
          <c:val>
            <c:numRef>
              <c:f>MATE!$AB$178:$AB$183</c:f>
              <c:numCache>
                <c:formatCode>0</c:formatCode>
                <c:ptCount val="6"/>
                <c:pt idx="0">
                  <c:v>51.823529411764703</c:v>
                </c:pt>
                <c:pt idx="1">
                  <c:v>52.842105263157897</c:v>
                </c:pt>
                <c:pt idx="2">
                  <c:v>52.823529411764703</c:v>
                </c:pt>
                <c:pt idx="3">
                  <c:v>50.466666666666669</c:v>
                </c:pt>
                <c:pt idx="4">
                  <c:v>54.777777777777779</c:v>
                </c:pt>
                <c:pt idx="5">
                  <c:v>52.142857142857146</c:v>
                </c:pt>
              </c:numCache>
            </c:numRef>
          </c:val>
          <c:extLst>
            <c:ext xmlns:c16="http://schemas.microsoft.com/office/drawing/2014/chart" uri="{C3380CC4-5D6E-409C-BE32-E72D297353CC}">
              <c16:uniqueId val="{00000002-5DF6-45BB-A5DA-FBDF1A1291BA}"/>
            </c:ext>
          </c:extLst>
        </c:ser>
        <c:ser>
          <c:idx val="3"/>
          <c:order val="3"/>
          <c:tx>
            <c:strRef>
              <c:f>MATE!$AC$177</c:f>
              <c:strCache>
                <c:ptCount val="1"/>
                <c:pt idx="0">
                  <c:v>2019</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MATE!$AC$178:$AC$183</c:f>
              <c:numCache>
                <c:formatCode>0</c:formatCode>
                <c:ptCount val="6"/>
                <c:pt idx="0">
                  <c:v>52.647058823529413</c:v>
                </c:pt>
                <c:pt idx="1">
                  <c:v>53.75</c:v>
                </c:pt>
                <c:pt idx="2">
                  <c:v>53</c:v>
                </c:pt>
                <c:pt idx="3">
                  <c:v>49.714285714285715</c:v>
                </c:pt>
                <c:pt idx="4">
                  <c:v>55.368421052631582</c:v>
                </c:pt>
                <c:pt idx="5">
                  <c:v>53.6</c:v>
                </c:pt>
              </c:numCache>
            </c:numRef>
          </c:val>
          <c:extLst>
            <c:ext xmlns:c16="http://schemas.microsoft.com/office/drawing/2014/chart" uri="{C3380CC4-5D6E-409C-BE32-E72D297353CC}">
              <c16:uniqueId val="{00000003-5DF6-45BB-A5DA-FBDF1A1291BA}"/>
            </c:ext>
          </c:extLst>
        </c:ser>
        <c:ser>
          <c:idx val="4"/>
          <c:order val="4"/>
          <c:tx>
            <c:strRef>
              <c:f>MATE!$AD$177</c:f>
              <c:strCache>
                <c:ptCount val="1"/>
                <c:pt idx="0">
                  <c:v>2020</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MATE!$AD$178:$AD$183</c:f>
              <c:numCache>
                <c:formatCode>0</c:formatCode>
                <c:ptCount val="6"/>
                <c:pt idx="0">
                  <c:v>53.294117647058826</c:v>
                </c:pt>
                <c:pt idx="1">
                  <c:v>52.791666666666664</c:v>
                </c:pt>
                <c:pt idx="2">
                  <c:v>53.94736842105263</c:v>
                </c:pt>
                <c:pt idx="3">
                  <c:v>49.153846153846153</c:v>
                </c:pt>
                <c:pt idx="4">
                  <c:v>55.944444444444443</c:v>
                </c:pt>
                <c:pt idx="5">
                  <c:v>52.117647058823529</c:v>
                </c:pt>
              </c:numCache>
            </c:numRef>
          </c:val>
          <c:extLst>
            <c:ext xmlns:c16="http://schemas.microsoft.com/office/drawing/2014/chart" uri="{C3380CC4-5D6E-409C-BE32-E72D297353CC}">
              <c16:uniqueId val="{00000001-3120-478D-84CE-4137C6336ACB}"/>
            </c:ext>
          </c:extLst>
        </c:ser>
        <c:ser>
          <c:idx val="5"/>
          <c:order val="5"/>
          <c:tx>
            <c:strRef>
              <c:f>MATE!$AE$177</c:f>
              <c:strCache>
                <c:ptCount val="1"/>
                <c:pt idx="0">
                  <c:v>2021</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MATE!$AE$178:$AE$183</c:f>
              <c:numCache>
                <c:formatCode>0</c:formatCode>
                <c:ptCount val="6"/>
                <c:pt idx="0">
                  <c:v>52.470588235294116</c:v>
                </c:pt>
                <c:pt idx="1">
                  <c:v>52.18181818181818</c:v>
                </c:pt>
                <c:pt idx="2">
                  <c:v>52.6</c:v>
                </c:pt>
                <c:pt idx="3">
                  <c:v>48.5</c:v>
                </c:pt>
                <c:pt idx="4">
                  <c:v>54.277777777777779</c:v>
                </c:pt>
                <c:pt idx="5">
                  <c:v>51.6875</c:v>
                </c:pt>
              </c:numCache>
            </c:numRef>
          </c:val>
          <c:extLst>
            <c:ext xmlns:c16="http://schemas.microsoft.com/office/drawing/2014/chart" uri="{C3380CC4-5D6E-409C-BE32-E72D297353CC}">
              <c16:uniqueId val="{00000000-ECE0-478A-81C6-64B587B3AED6}"/>
            </c:ext>
          </c:extLst>
        </c:ser>
        <c:ser>
          <c:idx val="6"/>
          <c:order val="6"/>
          <c:tx>
            <c:strRef>
              <c:f>MATE!$AF$177</c:f>
              <c:strCache>
                <c:ptCount val="1"/>
                <c:pt idx="0">
                  <c:v>2022</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MATE!$AF$178:$AF$183</c:f>
              <c:numCache>
                <c:formatCode>0</c:formatCode>
                <c:ptCount val="6"/>
                <c:pt idx="0">
                  <c:v>52.444444444444443</c:v>
                </c:pt>
                <c:pt idx="1">
                  <c:v>53.96</c:v>
                </c:pt>
                <c:pt idx="2">
                  <c:v>53.81818181818182</c:v>
                </c:pt>
                <c:pt idx="3">
                  <c:v>50.714285714285715</c:v>
                </c:pt>
                <c:pt idx="4">
                  <c:v>55.882352941176471</c:v>
                </c:pt>
                <c:pt idx="5">
                  <c:v>52.05263157894737</c:v>
                </c:pt>
              </c:numCache>
            </c:numRef>
          </c:val>
          <c:extLst>
            <c:ext xmlns:c16="http://schemas.microsoft.com/office/drawing/2014/chart" uri="{C3380CC4-5D6E-409C-BE32-E72D297353CC}">
              <c16:uniqueId val="{00000000-61B5-40E5-A89E-49F69FFF718B}"/>
            </c:ext>
          </c:extLst>
        </c:ser>
        <c:ser>
          <c:idx val="7"/>
          <c:order val="7"/>
          <c:tx>
            <c:strRef>
              <c:f>MATE!$AG$177</c:f>
              <c:strCache>
                <c:ptCount val="1"/>
                <c:pt idx="0">
                  <c:v>2023</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MATE!$AG$178:$AG$183</c:f>
              <c:numCache>
                <c:formatCode>0</c:formatCode>
                <c:ptCount val="6"/>
                <c:pt idx="0">
                  <c:v>53.647058823529413</c:v>
                </c:pt>
                <c:pt idx="1">
                  <c:v>52.807692307692307</c:v>
                </c:pt>
                <c:pt idx="2">
                  <c:v>53.772727272727273</c:v>
                </c:pt>
                <c:pt idx="3">
                  <c:v>49.93333333333333</c:v>
                </c:pt>
                <c:pt idx="4">
                  <c:v>55.823529411764703</c:v>
                </c:pt>
                <c:pt idx="5">
                  <c:v>53.5</c:v>
                </c:pt>
              </c:numCache>
            </c:numRef>
          </c:val>
          <c:extLst>
            <c:ext xmlns:c16="http://schemas.microsoft.com/office/drawing/2014/chart" uri="{C3380CC4-5D6E-409C-BE32-E72D297353CC}">
              <c16:uniqueId val="{00000001-61B5-40E5-A89E-49F69FFF718B}"/>
            </c:ext>
          </c:extLst>
        </c:ser>
        <c:ser>
          <c:idx val="8"/>
          <c:order val="8"/>
          <c:tx>
            <c:strRef>
              <c:f>MATE!$AH$177</c:f>
              <c:strCache>
                <c:ptCount val="1"/>
                <c:pt idx="0">
                  <c:v>2024</c:v>
                </c:pt>
              </c:strCache>
            </c:strRef>
          </c:tx>
          <c:cat>
            <c:strRef>
              <c:f>MATE!$Y$178:$Y$183</c:f>
              <c:strCache>
                <c:ptCount val="6"/>
                <c:pt idx="0">
                  <c:v>COMUNA 1</c:v>
                </c:pt>
                <c:pt idx="1">
                  <c:v>COMUNA 2</c:v>
                </c:pt>
                <c:pt idx="2">
                  <c:v>COMUNA 3</c:v>
                </c:pt>
                <c:pt idx="3">
                  <c:v>COMUNA 4</c:v>
                </c:pt>
                <c:pt idx="4">
                  <c:v>COMUNA 5</c:v>
                </c:pt>
                <c:pt idx="5">
                  <c:v>COMUNA 6</c:v>
                </c:pt>
              </c:strCache>
            </c:strRef>
          </c:cat>
          <c:val>
            <c:numRef>
              <c:f>MATE!$AH$178:$AH$183</c:f>
              <c:numCache>
                <c:formatCode>0</c:formatCode>
                <c:ptCount val="6"/>
                <c:pt idx="0">
                  <c:v>53.833333333333336</c:v>
                </c:pt>
                <c:pt idx="1">
                  <c:v>54.958333333333336</c:v>
                </c:pt>
                <c:pt idx="2">
                  <c:v>54.454545454545453</c:v>
                </c:pt>
                <c:pt idx="3">
                  <c:v>52.153846153846153</c:v>
                </c:pt>
                <c:pt idx="4">
                  <c:v>55.888888888888886</c:v>
                </c:pt>
                <c:pt idx="5">
                  <c:v>53.666666666666664</c:v>
                </c:pt>
              </c:numCache>
            </c:numRef>
          </c:val>
          <c:extLst>
            <c:ext xmlns:c16="http://schemas.microsoft.com/office/drawing/2014/chart" uri="{C3380CC4-5D6E-409C-BE32-E72D297353CC}">
              <c16:uniqueId val="{00000000-E28B-4FCF-98E5-B64FB5FA7281}"/>
            </c:ext>
          </c:extLst>
        </c:ser>
        <c:dLbls>
          <c:showLegendKey val="0"/>
          <c:showVal val="0"/>
          <c:showCatName val="0"/>
          <c:showSerName val="0"/>
          <c:showPercent val="0"/>
          <c:showBubbleSize val="0"/>
        </c:dLbls>
        <c:axId val="38794368"/>
        <c:axId val="38795904"/>
      </c:radarChart>
      <c:catAx>
        <c:axId val="38794368"/>
        <c:scaling>
          <c:orientation val="minMax"/>
        </c:scaling>
        <c:delete val="0"/>
        <c:axPos val="b"/>
        <c:majorGridlines/>
        <c:numFmt formatCode="General" sourceLinked="0"/>
        <c:majorTickMark val="none"/>
        <c:minorTickMark val="none"/>
        <c:tickLblPos val="nextTo"/>
        <c:spPr>
          <a:ln w="9525">
            <a:noFill/>
          </a:ln>
        </c:spPr>
        <c:crossAx val="38795904"/>
        <c:crosses val="autoZero"/>
        <c:auto val="1"/>
        <c:lblAlgn val="ctr"/>
        <c:lblOffset val="100"/>
        <c:noMultiLvlLbl val="0"/>
      </c:catAx>
      <c:valAx>
        <c:axId val="38795904"/>
        <c:scaling>
          <c:orientation val="minMax"/>
          <c:max val="58"/>
          <c:min val="46"/>
        </c:scaling>
        <c:delete val="0"/>
        <c:axPos val="l"/>
        <c:majorGridlines/>
        <c:numFmt formatCode="0" sourceLinked="1"/>
        <c:majorTickMark val="none"/>
        <c:minorTickMark val="none"/>
        <c:tickLblPos val="nextTo"/>
        <c:crossAx val="387943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Resultados Matemáticas </a:t>
            </a:r>
            <a:br>
              <a:rPr lang="es-CO" sz="1400" b="1" i="0" baseline="0">
                <a:effectLst/>
              </a:rPr>
            </a:br>
            <a:r>
              <a:rPr lang="es-CO" sz="1400" b="1" i="0" baseline="0">
                <a:effectLst/>
              </a:rPr>
              <a:t>Instituciones No Oficiales por comuna 2016-2024</a:t>
            </a:r>
            <a:endParaRPr lang="es-CO" sz="1400">
              <a:effectLst/>
            </a:endParaRPr>
          </a:p>
        </c:rich>
      </c:tx>
      <c:overlay val="0"/>
    </c:title>
    <c:autoTitleDeleted val="0"/>
    <c:plotArea>
      <c:layout>
        <c:manualLayout>
          <c:layoutTarget val="inner"/>
          <c:xMode val="edge"/>
          <c:yMode val="edge"/>
          <c:x val="0.27243612867681161"/>
          <c:y val="0.24300254452926209"/>
          <c:w val="0.35540911659075597"/>
          <c:h val="0.67715957697498552"/>
        </c:manualLayout>
      </c:layout>
      <c:radarChart>
        <c:radarStyle val="marker"/>
        <c:varyColors val="0"/>
        <c:ser>
          <c:idx val="0"/>
          <c:order val="0"/>
          <c:tx>
            <c:strRef>
              <c:f>MATE!$S$200</c:f>
              <c:strCache>
                <c:ptCount val="1"/>
                <c:pt idx="0">
                  <c:v>2016</c:v>
                </c:pt>
              </c:strCache>
            </c:strRef>
          </c:tx>
          <c:spPr>
            <a:ln>
              <a:prstDash val="lgDashDot"/>
            </a:ln>
          </c:spPr>
          <c:cat>
            <c:strRef>
              <c:f>MATE!$R$201:$R$206</c:f>
              <c:strCache>
                <c:ptCount val="6"/>
                <c:pt idx="0">
                  <c:v>COMUNA 1</c:v>
                </c:pt>
                <c:pt idx="1">
                  <c:v>COMUNA 2</c:v>
                </c:pt>
                <c:pt idx="2">
                  <c:v>COMUNA 3</c:v>
                </c:pt>
                <c:pt idx="3">
                  <c:v>COMUNA 4</c:v>
                </c:pt>
                <c:pt idx="4">
                  <c:v>COMUNA 5</c:v>
                </c:pt>
                <c:pt idx="5">
                  <c:v>COMUNA 6</c:v>
                </c:pt>
              </c:strCache>
            </c:strRef>
          </c:cat>
          <c:val>
            <c:numRef>
              <c:f>MATE!$S$201:$S$206</c:f>
              <c:numCache>
                <c:formatCode>0</c:formatCode>
                <c:ptCount val="6"/>
                <c:pt idx="0">
                  <c:v>51.615384615384613</c:v>
                </c:pt>
                <c:pt idx="1">
                  <c:v>52.666666666666664</c:v>
                </c:pt>
                <c:pt idx="2">
                  <c:v>53.769230769230766</c:v>
                </c:pt>
                <c:pt idx="3">
                  <c:v>49.25</c:v>
                </c:pt>
                <c:pt idx="4">
                  <c:v>54.8</c:v>
                </c:pt>
                <c:pt idx="5">
                  <c:v>52.583333333333336</c:v>
                </c:pt>
              </c:numCache>
            </c:numRef>
          </c:val>
          <c:extLst>
            <c:ext xmlns:c16="http://schemas.microsoft.com/office/drawing/2014/chart" uri="{C3380CC4-5D6E-409C-BE32-E72D297353CC}">
              <c16:uniqueId val="{00000000-CA33-4974-9D1D-07D089BBF486}"/>
            </c:ext>
          </c:extLst>
        </c:ser>
        <c:ser>
          <c:idx val="1"/>
          <c:order val="1"/>
          <c:tx>
            <c:strRef>
              <c:f>MATE!$T$200</c:f>
              <c:strCache>
                <c:ptCount val="1"/>
                <c:pt idx="0">
                  <c:v>2017</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MATE!$T$201:$T$206</c:f>
              <c:numCache>
                <c:formatCode>0</c:formatCode>
                <c:ptCount val="6"/>
                <c:pt idx="0">
                  <c:v>51.583333333333336</c:v>
                </c:pt>
                <c:pt idx="1">
                  <c:v>52.294117647058826</c:v>
                </c:pt>
                <c:pt idx="2">
                  <c:v>52.5</c:v>
                </c:pt>
                <c:pt idx="3">
                  <c:v>51.111111111111114</c:v>
                </c:pt>
                <c:pt idx="4">
                  <c:v>55.133333333333333</c:v>
                </c:pt>
                <c:pt idx="5">
                  <c:v>50.916666666666664</c:v>
                </c:pt>
              </c:numCache>
            </c:numRef>
          </c:val>
          <c:extLst>
            <c:ext xmlns:c16="http://schemas.microsoft.com/office/drawing/2014/chart" uri="{C3380CC4-5D6E-409C-BE32-E72D297353CC}">
              <c16:uniqueId val="{00000001-CA33-4974-9D1D-07D089BBF486}"/>
            </c:ext>
          </c:extLst>
        </c:ser>
        <c:ser>
          <c:idx val="2"/>
          <c:order val="2"/>
          <c:tx>
            <c:strRef>
              <c:f>MATE!$U$200</c:f>
              <c:strCache>
                <c:ptCount val="1"/>
                <c:pt idx="0">
                  <c:v>2018</c:v>
                </c:pt>
              </c:strCache>
            </c:strRef>
          </c:tx>
          <c:spPr>
            <a:ln>
              <a:prstDash val="sysDash"/>
            </a:ln>
          </c:spPr>
          <c:cat>
            <c:strRef>
              <c:f>MATE!$R$201:$R$206</c:f>
              <c:strCache>
                <c:ptCount val="6"/>
                <c:pt idx="0">
                  <c:v>COMUNA 1</c:v>
                </c:pt>
                <c:pt idx="1">
                  <c:v>COMUNA 2</c:v>
                </c:pt>
                <c:pt idx="2">
                  <c:v>COMUNA 3</c:v>
                </c:pt>
                <c:pt idx="3">
                  <c:v>COMUNA 4</c:v>
                </c:pt>
                <c:pt idx="4">
                  <c:v>COMUNA 5</c:v>
                </c:pt>
                <c:pt idx="5">
                  <c:v>COMUNA 6</c:v>
                </c:pt>
              </c:strCache>
            </c:strRef>
          </c:cat>
          <c:val>
            <c:numRef>
              <c:f>MATE!$U$201:$U$206</c:f>
              <c:numCache>
                <c:formatCode>0</c:formatCode>
                <c:ptCount val="6"/>
                <c:pt idx="0">
                  <c:v>51.846153846153847</c:v>
                </c:pt>
                <c:pt idx="1">
                  <c:v>52.882352941176471</c:v>
                </c:pt>
                <c:pt idx="2">
                  <c:v>53.285714285714285</c:v>
                </c:pt>
                <c:pt idx="3">
                  <c:v>52.666666666666664</c:v>
                </c:pt>
                <c:pt idx="4">
                  <c:v>55.3125</c:v>
                </c:pt>
                <c:pt idx="5">
                  <c:v>52.454545454545453</c:v>
                </c:pt>
              </c:numCache>
            </c:numRef>
          </c:val>
          <c:extLst>
            <c:ext xmlns:c16="http://schemas.microsoft.com/office/drawing/2014/chart" uri="{C3380CC4-5D6E-409C-BE32-E72D297353CC}">
              <c16:uniqueId val="{00000002-CA33-4974-9D1D-07D089BBF486}"/>
            </c:ext>
          </c:extLst>
        </c:ser>
        <c:ser>
          <c:idx val="3"/>
          <c:order val="3"/>
          <c:tx>
            <c:strRef>
              <c:f>MATE!$V$200</c:f>
              <c:strCache>
                <c:ptCount val="1"/>
                <c:pt idx="0">
                  <c:v>2019</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MATE!$V$201:$V$206</c:f>
              <c:numCache>
                <c:formatCode>0</c:formatCode>
                <c:ptCount val="6"/>
                <c:pt idx="0">
                  <c:v>52.692307692307693</c:v>
                </c:pt>
                <c:pt idx="1">
                  <c:v>53.944444444444443</c:v>
                </c:pt>
                <c:pt idx="2">
                  <c:v>53.428571428571431</c:v>
                </c:pt>
                <c:pt idx="3">
                  <c:v>51.75</c:v>
                </c:pt>
                <c:pt idx="4">
                  <c:v>55.764705882352942</c:v>
                </c:pt>
                <c:pt idx="5">
                  <c:v>54</c:v>
                </c:pt>
              </c:numCache>
            </c:numRef>
          </c:val>
          <c:extLst>
            <c:ext xmlns:c16="http://schemas.microsoft.com/office/drawing/2014/chart" uri="{C3380CC4-5D6E-409C-BE32-E72D297353CC}">
              <c16:uniqueId val="{00000003-CA33-4974-9D1D-07D089BBF486}"/>
            </c:ext>
          </c:extLst>
        </c:ser>
        <c:ser>
          <c:idx val="4"/>
          <c:order val="4"/>
          <c:tx>
            <c:strRef>
              <c:f>MATE!$W$200</c:f>
              <c:strCache>
                <c:ptCount val="1"/>
                <c:pt idx="0">
                  <c:v>2020</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MATE!$W$201:$W$206</c:f>
              <c:numCache>
                <c:formatCode>0</c:formatCode>
                <c:ptCount val="6"/>
                <c:pt idx="0">
                  <c:v>53.53846153846154</c:v>
                </c:pt>
                <c:pt idx="1">
                  <c:v>52.81818181818182</c:v>
                </c:pt>
                <c:pt idx="2">
                  <c:v>54.666666666666664</c:v>
                </c:pt>
                <c:pt idx="3">
                  <c:v>50.714285714285715</c:v>
                </c:pt>
                <c:pt idx="4">
                  <c:v>56.4375</c:v>
                </c:pt>
                <c:pt idx="5">
                  <c:v>52</c:v>
                </c:pt>
              </c:numCache>
            </c:numRef>
          </c:val>
          <c:extLst>
            <c:ext xmlns:c16="http://schemas.microsoft.com/office/drawing/2014/chart" uri="{C3380CC4-5D6E-409C-BE32-E72D297353CC}">
              <c16:uniqueId val="{00000001-D609-4D21-B560-A78242CE52F2}"/>
            </c:ext>
          </c:extLst>
        </c:ser>
        <c:ser>
          <c:idx val="5"/>
          <c:order val="5"/>
          <c:tx>
            <c:strRef>
              <c:f>MATE!$X$200</c:f>
              <c:strCache>
                <c:ptCount val="1"/>
                <c:pt idx="0">
                  <c:v>2021</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MATE!$X$201:$X$206</c:f>
              <c:numCache>
                <c:formatCode>0</c:formatCode>
                <c:ptCount val="6"/>
                <c:pt idx="0">
                  <c:v>52.846153846153847</c:v>
                </c:pt>
                <c:pt idx="1">
                  <c:v>52.4</c:v>
                </c:pt>
                <c:pt idx="2">
                  <c:v>53.4</c:v>
                </c:pt>
                <c:pt idx="3">
                  <c:v>49.5</c:v>
                </c:pt>
                <c:pt idx="4">
                  <c:v>54.75</c:v>
                </c:pt>
                <c:pt idx="5">
                  <c:v>51.928571428571431</c:v>
                </c:pt>
              </c:numCache>
            </c:numRef>
          </c:val>
          <c:extLst>
            <c:ext xmlns:c16="http://schemas.microsoft.com/office/drawing/2014/chart" uri="{C3380CC4-5D6E-409C-BE32-E72D297353CC}">
              <c16:uniqueId val="{00000000-8088-4D86-80E0-8504533CAA0D}"/>
            </c:ext>
          </c:extLst>
        </c:ser>
        <c:ser>
          <c:idx val="6"/>
          <c:order val="6"/>
          <c:tx>
            <c:strRef>
              <c:f>MATE!$Y$200</c:f>
              <c:strCache>
                <c:ptCount val="1"/>
                <c:pt idx="0">
                  <c:v>2022</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MATE!$Y$201:$Y$206</c:f>
              <c:numCache>
                <c:formatCode>0</c:formatCode>
                <c:ptCount val="6"/>
                <c:pt idx="0">
                  <c:v>53</c:v>
                </c:pt>
                <c:pt idx="1">
                  <c:v>54.571428571428569</c:v>
                </c:pt>
                <c:pt idx="2">
                  <c:v>54.375</c:v>
                </c:pt>
                <c:pt idx="3">
                  <c:v>52.5</c:v>
                </c:pt>
                <c:pt idx="4">
                  <c:v>56.333333333333336</c:v>
                </c:pt>
                <c:pt idx="5">
                  <c:v>52.1875</c:v>
                </c:pt>
              </c:numCache>
            </c:numRef>
          </c:val>
          <c:extLst>
            <c:ext xmlns:c16="http://schemas.microsoft.com/office/drawing/2014/chart" uri="{C3380CC4-5D6E-409C-BE32-E72D297353CC}">
              <c16:uniqueId val="{00000000-7298-4DAE-9557-2A2D41D1F52C}"/>
            </c:ext>
          </c:extLst>
        </c:ser>
        <c:ser>
          <c:idx val="7"/>
          <c:order val="7"/>
          <c:tx>
            <c:strRef>
              <c:f>MATE!$Z$200</c:f>
              <c:strCache>
                <c:ptCount val="1"/>
                <c:pt idx="0">
                  <c:v>2023</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MATE!$Z$201:$Z$206</c:f>
              <c:numCache>
                <c:formatCode>0</c:formatCode>
                <c:ptCount val="6"/>
                <c:pt idx="0">
                  <c:v>54.25</c:v>
                </c:pt>
                <c:pt idx="1">
                  <c:v>53.045454545454547</c:v>
                </c:pt>
                <c:pt idx="2">
                  <c:v>54.6875</c:v>
                </c:pt>
                <c:pt idx="3">
                  <c:v>51</c:v>
                </c:pt>
                <c:pt idx="4">
                  <c:v>56.4</c:v>
                </c:pt>
                <c:pt idx="5">
                  <c:v>53.941176470588232</c:v>
                </c:pt>
              </c:numCache>
            </c:numRef>
          </c:val>
          <c:extLst>
            <c:ext xmlns:c16="http://schemas.microsoft.com/office/drawing/2014/chart" uri="{C3380CC4-5D6E-409C-BE32-E72D297353CC}">
              <c16:uniqueId val="{00000001-7298-4DAE-9557-2A2D41D1F52C}"/>
            </c:ext>
          </c:extLst>
        </c:ser>
        <c:ser>
          <c:idx val="8"/>
          <c:order val="8"/>
          <c:tx>
            <c:strRef>
              <c:f>MATE!$AA$200</c:f>
              <c:strCache>
                <c:ptCount val="1"/>
                <c:pt idx="0">
                  <c:v>2024</c:v>
                </c:pt>
              </c:strCache>
            </c:strRef>
          </c:tx>
          <c:cat>
            <c:strRef>
              <c:f>MATE!$R$201:$R$206</c:f>
              <c:strCache>
                <c:ptCount val="6"/>
                <c:pt idx="0">
                  <c:v>COMUNA 1</c:v>
                </c:pt>
                <c:pt idx="1">
                  <c:v>COMUNA 2</c:v>
                </c:pt>
                <c:pt idx="2">
                  <c:v>COMUNA 3</c:v>
                </c:pt>
                <c:pt idx="3">
                  <c:v>COMUNA 4</c:v>
                </c:pt>
                <c:pt idx="4">
                  <c:v>COMUNA 5</c:v>
                </c:pt>
                <c:pt idx="5">
                  <c:v>COMUNA 6</c:v>
                </c:pt>
              </c:strCache>
            </c:strRef>
          </c:cat>
          <c:val>
            <c:numRef>
              <c:f>MATE!$AA$201:$AA$206</c:f>
              <c:numCache>
                <c:formatCode>0</c:formatCode>
                <c:ptCount val="6"/>
                <c:pt idx="0">
                  <c:v>54.384615384615387</c:v>
                </c:pt>
                <c:pt idx="1">
                  <c:v>55.2</c:v>
                </c:pt>
                <c:pt idx="2">
                  <c:v>54.8125</c:v>
                </c:pt>
                <c:pt idx="3">
                  <c:v>55.714285714285715</c:v>
                </c:pt>
                <c:pt idx="4">
                  <c:v>56.125</c:v>
                </c:pt>
                <c:pt idx="5">
                  <c:v>54.266666666666666</c:v>
                </c:pt>
              </c:numCache>
            </c:numRef>
          </c:val>
          <c:extLst>
            <c:ext xmlns:c16="http://schemas.microsoft.com/office/drawing/2014/chart" uri="{C3380CC4-5D6E-409C-BE32-E72D297353CC}">
              <c16:uniqueId val="{00000000-72CF-4AFC-A143-69D3550D44B2}"/>
            </c:ext>
          </c:extLst>
        </c:ser>
        <c:dLbls>
          <c:showLegendKey val="0"/>
          <c:showVal val="0"/>
          <c:showCatName val="0"/>
          <c:showSerName val="0"/>
          <c:showPercent val="0"/>
          <c:showBubbleSize val="0"/>
        </c:dLbls>
        <c:axId val="39072896"/>
        <c:axId val="39074432"/>
      </c:radarChart>
      <c:catAx>
        <c:axId val="39072896"/>
        <c:scaling>
          <c:orientation val="minMax"/>
        </c:scaling>
        <c:delete val="0"/>
        <c:axPos val="b"/>
        <c:majorGridlines/>
        <c:numFmt formatCode="General" sourceLinked="0"/>
        <c:majorTickMark val="none"/>
        <c:minorTickMark val="none"/>
        <c:tickLblPos val="nextTo"/>
        <c:spPr>
          <a:ln w="9525">
            <a:noFill/>
          </a:ln>
        </c:spPr>
        <c:crossAx val="39074432"/>
        <c:crosses val="autoZero"/>
        <c:auto val="1"/>
        <c:lblAlgn val="ctr"/>
        <c:lblOffset val="100"/>
        <c:noMultiLvlLbl val="0"/>
      </c:catAx>
      <c:valAx>
        <c:axId val="39074432"/>
        <c:scaling>
          <c:orientation val="minMax"/>
          <c:max val="56"/>
          <c:min val="48"/>
        </c:scaling>
        <c:delete val="0"/>
        <c:axPos val="l"/>
        <c:majorGridlines/>
        <c:numFmt formatCode="0" sourceLinked="1"/>
        <c:majorTickMark val="none"/>
        <c:minorTickMark val="none"/>
        <c:tickLblPos val="nextTo"/>
        <c:crossAx val="390728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Resultados Matemáticas </a:t>
            </a:r>
            <a:br>
              <a:rPr lang="es-CO" sz="1400" b="1" i="0" baseline="0">
                <a:effectLst/>
              </a:rPr>
            </a:br>
            <a:r>
              <a:rPr lang="es-CO" sz="1400" b="1" i="0" baseline="0">
                <a:effectLst/>
              </a:rPr>
              <a:t>Instituciones Oficiales por comuna 2016-2024</a:t>
            </a:r>
            <a:endParaRPr lang="es-CO" sz="1400">
              <a:effectLst/>
            </a:endParaRPr>
          </a:p>
        </c:rich>
      </c:tx>
      <c:overlay val="0"/>
    </c:title>
    <c:autoTitleDeleted val="0"/>
    <c:plotArea>
      <c:layout/>
      <c:radarChart>
        <c:radarStyle val="marker"/>
        <c:varyColors val="0"/>
        <c:ser>
          <c:idx val="0"/>
          <c:order val="0"/>
          <c:tx>
            <c:strRef>
              <c:f>MATE!$F$200</c:f>
              <c:strCache>
                <c:ptCount val="1"/>
                <c:pt idx="0">
                  <c:v>2016</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MATE!$F$201:$F$206</c:f>
              <c:numCache>
                <c:formatCode>0</c:formatCode>
                <c:ptCount val="6"/>
                <c:pt idx="0">
                  <c:v>52.5</c:v>
                </c:pt>
                <c:pt idx="1">
                  <c:v>52</c:v>
                </c:pt>
                <c:pt idx="2">
                  <c:v>51</c:v>
                </c:pt>
                <c:pt idx="3">
                  <c:v>47.166666666666664</c:v>
                </c:pt>
                <c:pt idx="4">
                  <c:v>52</c:v>
                </c:pt>
                <c:pt idx="5">
                  <c:v>51</c:v>
                </c:pt>
              </c:numCache>
            </c:numRef>
          </c:val>
          <c:extLst>
            <c:ext xmlns:c16="http://schemas.microsoft.com/office/drawing/2014/chart" uri="{C3380CC4-5D6E-409C-BE32-E72D297353CC}">
              <c16:uniqueId val="{00000000-30C3-4D08-9602-23EC1A0CE5E1}"/>
            </c:ext>
          </c:extLst>
        </c:ser>
        <c:ser>
          <c:idx val="1"/>
          <c:order val="1"/>
          <c:tx>
            <c:strRef>
              <c:f>MATE!$G$200</c:f>
              <c:strCache>
                <c:ptCount val="1"/>
                <c:pt idx="0">
                  <c:v>2017</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MATE!$G$201:$G$206</c:f>
              <c:numCache>
                <c:formatCode>0</c:formatCode>
                <c:ptCount val="6"/>
                <c:pt idx="0">
                  <c:v>51.75</c:v>
                </c:pt>
                <c:pt idx="1">
                  <c:v>51</c:v>
                </c:pt>
                <c:pt idx="2">
                  <c:v>50</c:v>
                </c:pt>
                <c:pt idx="3">
                  <c:v>47.5</c:v>
                </c:pt>
                <c:pt idx="4">
                  <c:v>51.5</c:v>
                </c:pt>
                <c:pt idx="5">
                  <c:v>51.333333333333336</c:v>
                </c:pt>
              </c:numCache>
            </c:numRef>
          </c:val>
          <c:extLst>
            <c:ext xmlns:c16="http://schemas.microsoft.com/office/drawing/2014/chart" uri="{C3380CC4-5D6E-409C-BE32-E72D297353CC}">
              <c16:uniqueId val="{00000001-30C3-4D08-9602-23EC1A0CE5E1}"/>
            </c:ext>
          </c:extLst>
        </c:ser>
        <c:ser>
          <c:idx val="2"/>
          <c:order val="2"/>
          <c:tx>
            <c:strRef>
              <c:f>MATE!$H$200</c:f>
              <c:strCache>
                <c:ptCount val="1"/>
                <c:pt idx="0">
                  <c:v>2018</c:v>
                </c:pt>
              </c:strCache>
            </c:strRef>
          </c:tx>
          <c:spPr>
            <a:ln>
              <a:prstDash val="sysDash"/>
            </a:ln>
          </c:spPr>
          <c:cat>
            <c:strRef>
              <c:f>MATE!$E$201:$E$206</c:f>
              <c:strCache>
                <c:ptCount val="6"/>
                <c:pt idx="0">
                  <c:v>COMUNA 1</c:v>
                </c:pt>
                <c:pt idx="1">
                  <c:v>COMUNA 2</c:v>
                </c:pt>
                <c:pt idx="2">
                  <c:v>COMUNA 3</c:v>
                </c:pt>
                <c:pt idx="3">
                  <c:v>COMUNA 4</c:v>
                </c:pt>
                <c:pt idx="4">
                  <c:v>COMUNA 5</c:v>
                </c:pt>
                <c:pt idx="5">
                  <c:v>COMUNA 6</c:v>
                </c:pt>
              </c:strCache>
            </c:strRef>
          </c:cat>
          <c:val>
            <c:numRef>
              <c:f>MATE!$H$201:$H$206</c:f>
              <c:numCache>
                <c:formatCode>0</c:formatCode>
                <c:ptCount val="6"/>
                <c:pt idx="0">
                  <c:v>51.75</c:v>
                </c:pt>
                <c:pt idx="1">
                  <c:v>52.5</c:v>
                </c:pt>
                <c:pt idx="2">
                  <c:v>50.666666666666664</c:v>
                </c:pt>
                <c:pt idx="3">
                  <c:v>47.166666666666664</c:v>
                </c:pt>
                <c:pt idx="4">
                  <c:v>50.5</c:v>
                </c:pt>
                <c:pt idx="5">
                  <c:v>51</c:v>
                </c:pt>
              </c:numCache>
            </c:numRef>
          </c:val>
          <c:extLst>
            <c:ext xmlns:c16="http://schemas.microsoft.com/office/drawing/2014/chart" uri="{C3380CC4-5D6E-409C-BE32-E72D297353CC}">
              <c16:uniqueId val="{00000002-30C3-4D08-9602-23EC1A0CE5E1}"/>
            </c:ext>
          </c:extLst>
        </c:ser>
        <c:ser>
          <c:idx val="3"/>
          <c:order val="3"/>
          <c:tx>
            <c:strRef>
              <c:f>MATE!$I$200</c:f>
              <c:strCache>
                <c:ptCount val="1"/>
                <c:pt idx="0">
                  <c:v>2019</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MATE!$I$201:$I$206</c:f>
              <c:numCache>
                <c:formatCode>0</c:formatCode>
                <c:ptCount val="6"/>
                <c:pt idx="0">
                  <c:v>52.5</c:v>
                </c:pt>
                <c:pt idx="1">
                  <c:v>52</c:v>
                </c:pt>
                <c:pt idx="2">
                  <c:v>51</c:v>
                </c:pt>
                <c:pt idx="3">
                  <c:v>47</c:v>
                </c:pt>
                <c:pt idx="4">
                  <c:v>52</c:v>
                </c:pt>
                <c:pt idx="5">
                  <c:v>52</c:v>
                </c:pt>
              </c:numCache>
            </c:numRef>
          </c:val>
          <c:extLst>
            <c:ext xmlns:c16="http://schemas.microsoft.com/office/drawing/2014/chart" uri="{C3380CC4-5D6E-409C-BE32-E72D297353CC}">
              <c16:uniqueId val="{00000003-30C3-4D08-9602-23EC1A0CE5E1}"/>
            </c:ext>
          </c:extLst>
        </c:ser>
        <c:ser>
          <c:idx val="4"/>
          <c:order val="4"/>
          <c:tx>
            <c:strRef>
              <c:f>MATE!$J$200</c:f>
              <c:strCache>
                <c:ptCount val="1"/>
                <c:pt idx="0">
                  <c:v>2020</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MATE!$J$201:$J$206</c:f>
              <c:numCache>
                <c:formatCode>0</c:formatCode>
                <c:ptCount val="6"/>
                <c:pt idx="0">
                  <c:v>52.5</c:v>
                </c:pt>
                <c:pt idx="1">
                  <c:v>52.5</c:v>
                </c:pt>
                <c:pt idx="2">
                  <c:v>51.25</c:v>
                </c:pt>
                <c:pt idx="3">
                  <c:v>47.333333333333336</c:v>
                </c:pt>
                <c:pt idx="4">
                  <c:v>52</c:v>
                </c:pt>
                <c:pt idx="5">
                  <c:v>52.666666666666664</c:v>
                </c:pt>
              </c:numCache>
            </c:numRef>
          </c:val>
          <c:extLst>
            <c:ext xmlns:c16="http://schemas.microsoft.com/office/drawing/2014/chart" uri="{C3380CC4-5D6E-409C-BE32-E72D297353CC}">
              <c16:uniqueId val="{00000001-997B-4FF9-A921-C1054E3A435A}"/>
            </c:ext>
          </c:extLst>
        </c:ser>
        <c:ser>
          <c:idx val="5"/>
          <c:order val="5"/>
          <c:tx>
            <c:strRef>
              <c:f>MATE!$K$200</c:f>
              <c:strCache>
                <c:ptCount val="1"/>
                <c:pt idx="0">
                  <c:v>2021</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MATE!$K$201:$K$206</c:f>
              <c:numCache>
                <c:formatCode>0</c:formatCode>
                <c:ptCount val="6"/>
                <c:pt idx="0">
                  <c:v>51.25</c:v>
                </c:pt>
                <c:pt idx="1">
                  <c:v>50</c:v>
                </c:pt>
                <c:pt idx="2">
                  <c:v>50.2</c:v>
                </c:pt>
                <c:pt idx="3">
                  <c:v>47.166666666666664</c:v>
                </c:pt>
                <c:pt idx="4">
                  <c:v>50.5</c:v>
                </c:pt>
                <c:pt idx="5">
                  <c:v>50.333333333333336</c:v>
                </c:pt>
              </c:numCache>
            </c:numRef>
          </c:val>
          <c:extLst>
            <c:ext xmlns:c16="http://schemas.microsoft.com/office/drawing/2014/chart" uri="{C3380CC4-5D6E-409C-BE32-E72D297353CC}">
              <c16:uniqueId val="{00000000-A839-49B0-B64E-FEE5B3C14247}"/>
            </c:ext>
          </c:extLst>
        </c:ser>
        <c:ser>
          <c:idx val="6"/>
          <c:order val="6"/>
          <c:tx>
            <c:strRef>
              <c:f>MATE!$L$200</c:f>
              <c:strCache>
                <c:ptCount val="1"/>
                <c:pt idx="0">
                  <c:v>2022</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MATE!$L$201:$L$206</c:f>
              <c:numCache>
                <c:formatCode>0</c:formatCode>
                <c:ptCount val="6"/>
                <c:pt idx="0">
                  <c:v>51</c:v>
                </c:pt>
                <c:pt idx="1">
                  <c:v>50.75</c:v>
                </c:pt>
                <c:pt idx="2">
                  <c:v>52.333333333333336</c:v>
                </c:pt>
                <c:pt idx="3">
                  <c:v>48.333333333333336</c:v>
                </c:pt>
                <c:pt idx="4">
                  <c:v>52.5</c:v>
                </c:pt>
                <c:pt idx="5">
                  <c:v>51.333333333333336</c:v>
                </c:pt>
              </c:numCache>
            </c:numRef>
          </c:val>
          <c:extLst>
            <c:ext xmlns:c16="http://schemas.microsoft.com/office/drawing/2014/chart" uri="{C3380CC4-5D6E-409C-BE32-E72D297353CC}">
              <c16:uniqueId val="{00000000-AF35-4133-8673-28E57CA6ECEA}"/>
            </c:ext>
          </c:extLst>
        </c:ser>
        <c:ser>
          <c:idx val="7"/>
          <c:order val="7"/>
          <c:tx>
            <c:strRef>
              <c:f>MATE!$M$200</c:f>
              <c:strCache>
                <c:ptCount val="1"/>
                <c:pt idx="0">
                  <c:v>2023</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MATE!$M$201:$M$206</c:f>
              <c:numCache>
                <c:formatCode>0</c:formatCode>
                <c:ptCount val="6"/>
                <c:pt idx="0">
                  <c:v>52.2</c:v>
                </c:pt>
                <c:pt idx="1">
                  <c:v>51.5</c:v>
                </c:pt>
                <c:pt idx="2">
                  <c:v>51.333333333333336</c:v>
                </c:pt>
                <c:pt idx="3">
                  <c:v>48.333333333333336</c:v>
                </c:pt>
                <c:pt idx="4">
                  <c:v>51.5</c:v>
                </c:pt>
                <c:pt idx="5">
                  <c:v>51</c:v>
                </c:pt>
              </c:numCache>
            </c:numRef>
          </c:val>
          <c:extLst>
            <c:ext xmlns:c16="http://schemas.microsoft.com/office/drawing/2014/chart" uri="{C3380CC4-5D6E-409C-BE32-E72D297353CC}">
              <c16:uniqueId val="{00000001-AF35-4133-8673-28E57CA6ECEA}"/>
            </c:ext>
          </c:extLst>
        </c:ser>
        <c:ser>
          <c:idx val="8"/>
          <c:order val="8"/>
          <c:tx>
            <c:strRef>
              <c:f>MATE!$N$200</c:f>
              <c:strCache>
                <c:ptCount val="1"/>
                <c:pt idx="0">
                  <c:v>2024</c:v>
                </c:pt>
              </c:strCache>
            </c:strRef>
          </c:tx>
          <c:cat>
            <c:strRef>
              <c:f>MATE!$E$201:$E$206</c:f>
              <c:strCache>
                <c:ptCount val="6"/>
                <c:pt idx="0">
                  <c:v>COMUNA 1</c:v>
                </c:pt>
                <c:pt idx="1">
                  <c:v>COMUNA 2</c:v>
                </c:pt>
                <c:pt idx="2">
                  <c:v>COMUNA 3</c:v>
                </c:pt>
                <c:pt idx="3">
                  <c:v>COMUNA 4</c:v>
                </c:pt>
                <c:pt idx="4">
                  <c:v>COMUNA 5</c:v>
                </c:pt>
                <c:pt idx="5">
                  <c:v>COMUNA 6</c:v>
                </c:pt>
              </c:strCache>
            </c:strRef>
          </c:cat>
          <c:val>
            <c:numRef>
              <c:f>MATE!$N$201:$N$206</c:f>
              <c:numCache>
                <c:formatCode>0</c:formatCode>
                <c:ptCount val="6"/>
                <c:pt idx="0">
                  <c:v>52.4</c:v>
                </c:pt>
                <c:pt idx="1">
                  <c:v>53.75</c:v>
                </c:pt>
                <c:pt idx="2">
                  <c:v>53.5</c:v>
                </c:pt>
                <c:pt idx="3">
                  <c:v>48</c:v>
                </c:pt>
                <c:pt idx="4">
                  <c:v>55.666666666666664</c:v>
                </c:pt>
                <c:pt idx="5">
                  <c:v>51.25</c:v>
                </c:pt>
              </c:numCache>
            </c:numRef>
          </c:val>
          <c:extLst>
            <c:ext xmlns:c16="http://schemas.microsoft.com/office/drawing/2014/chart" uri="{C3380CC4-5D6E-409C-BE32-E72D297353CC}">
              <c16:uniqueId val="{00000000-78B5-46E0-AE99-2A9BC29400E4}"/>
            </c:ext>
          </c:extLst>
        </c:ser>
        <c:dLbls>
          <c:showLegendKey val="0"/>
          <c:showVal val="0"/>
          <c:showCatName val="0"/>
          <c:showSerName val="0"/>
          <c:showPercent val="0"/>
          <c:showBubbleSize val="0"/>
        </c:dLbls>
        <c:axId val="39289984"/>
        <c:axId val="39291520"/>
      </c:radarChart>
      <c:catAx>
        <c:axId val="39289984"/>
        <c:scaling>
          <c:orientation val="minMax"/>
        </c:scaling>
        <c:delete val="0"/>
        <c:axPos val="b"/>
        <c:majorGridlines/>
        <c:numFmt formatCode="General" sourceLinked="0"/>
        <c:majorTickMark val="none"/>
        <c:minorTickMark val="none"/>
        <c:tickLblPos val="nextTo"/>
        <c:spPr>
          <a:ln w="9525">
            <a:noFill/>
          </a:ln>
        </c:spPr>
        <c:crossAx val="39291520"/>
        <c:crosses val="autoZero"/>
        <c:auto val="1"/>
        <c:lblAlgn val="ctr"/>
        <c:lblOffset val="100"/>
        <c:noMultiLvlLbl val="0"/>
      </c:catAx>
      <c:valAx>
        <c:axId val="39291520"/>
        <c:scaling>
          <c:orientation val="minMax"/>
          <c:max val="54"/>
          <c:min val="46"/>
        </c:scaling>
        <c:delete val="0"/>
        <c:axPos val="l"/>
        <c:majorGridlines/>
        <c:numFmt formatCode="0" sourceLinked="1"/>
        <c:majorTickMark val="none"/>
        <c:minorTickMark val="none"/>
        <c:tickLblPos val="nextTo"/>
        <c:crossAx val="39289984"/>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Matemáticas Saber 11 2016 - 2024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MATE!$S$218</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MATE!$T$216:$BC$217</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MATE!$T$218:$BC$218</c:f>
              <c:numCache>
                <c:formatCode>0%</c:formatCode>
                <c:ptCount val="36"/>
                <c:pt idx="0">
                  <c:v>0.08</c:v>
                </c:pt>
                <c:pt idx="1">
                  <c:v>0.04</c:v>
                </c:pt>
                <c:pt idx="2">
                  <c:v>0.05</c:v>
                </c:pt>
                <c:pt idx="3">
                  <c:v>0.04</c:v>
                </c:pt>
                <c:pt idx="4">
                  <c:v>0.09</c:v>
                </c:pt>
                <c:pt idx="5">
                  <c:v>0.05</c:v>
                </c:pt>
                <c:pt idx="6">
                  <c:v>0.06</c:v>
                </c:pt>
                <c:pt idx="7">
                  <c:v>0.04</c:v>
                </c:pt>
                <c:pt idx="8">
                  <c:v>0.08</c:v>
                </c:pt>
                <c:pt idx="9">
                  <c:v>0.04</c:v>
                </c:pt>
                <c:pt idx="10">
                  <c:v>0.06</c:v>
                </c:pt>
                <c:pt idx="11">
                  <c:v>0.02</c:v>
                </c:pt>
                <c:pt idx="12">
                  <c:v>0.08</c:v>
                </c:pt>
                <c:pt idx="13">
                  <c:v>0.04</c:v>
                </c:pt>
                <c:pt idx="14">
                  <c:v>0.05</c:v>
                </c:pt>
                <c:pt idx="15">
                  <c:v>0.03</c:v>
                </c:pt>
                <c:pt idx="16">
                  <c:v>7.0000000000000007E-2</c:v>
                </c:pt>
                <c:pt idx="17">
                  <c:v>0.04</c:v>
                </c:pt>
                <c:pt idx="18">
                  <c:v>0.04</c:v>
                </c:pt>
                <c:pt idx="19">
                  <c:v>0.03</c:v>
                </c:pt>
                <c:pt idx="20">
                  <c:v>0.1</c:v>
                </c:pt>
                <c:pt idx="21">
                  <c:v>0.05</c:v>
                </c:pt>
                <c:pt idx="22">
                  <c:v>0.06</c:v>
                </c:pt>
                <c:pt idx="23">
                  <c:v>0.04</c:v>
                </c:pt>
                <c:pt idx="24">
                  <c:v>0.1</c:v>
                </c:pt>
                <c:pt idx="25">
                  <c:v>0.05</c:v>
                </c:pt>
                <c:pt idx="26">
                  <c:v>7.0000000000000007E-2</c:v>
                </c:pt>
                <c:pt idx="27">
                  <c:v>0.04</c:v>
                </c:pt>
                <c:pt idx="28">
                  <c:v>0.09</c:v>
                </c:pt>
                <c:pt idx="29">
                  <c:v>0.05</c:v>
                </c:pt>
                <c:pt idx="30">
                  <c:v>7.0000000000000007E-2</c:v>
                </c:pt>
                <c:pt idx="31">
                  <c:v>0.04</c:v>
                </c:pt>
                <c:pt idx="32">
                  <c:v>0.09</c:v>
                </c:pt>
                <c:pt idx="33">
                  <c:v>0.05</c:v>
                </c:pt>
                <c:pt idx="34">
                  <c:v>0.06</c:v>
                </c:pt>
                <c:pt idx="35">
                  <c:v>0.03</c:v>
                </c:pt>
              </c:numCache>
            </c:numRef>
          </c:val>
          <c:extLst>
            <c:ext xmlns:c16="http://schemas.microsoft.com/office/drawing/2014/chart" uri="{C3380CC4-5D6E-409C-BE32-E72D297353CC}">
              <c16:uniqueId val="{00000000-0E0C-4839-90F6-1E7AE3B53959}"/>
            </c:ext>
          </c:extLst>
        </c:ser>
        <c:ser>
          <c:idx val="1"/>
          <c:order val="1"/>
          <c:tx>
            <c:strRef>
              <c:f>MATE!$S$219</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MATE!$T$216:$BC$217</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MATE!$T$219:$BC$219</c:f>
              <c:numCache>
                <c:formatCode>0%</c:formatCode>
                <c:ptCount val="36"/>
                <c:pt idx="0">
                  <c:v>0.37</c:v>
                </c:pt>
                <c:pt idx="1">
                  <c:v>0.39</c:v>
                </c:pt>
                <c:pt idx="2">
                  <c:v>0.44</c:v>
                </c:pt>
                <c:pt idx="3">
                  <c:v>0.34</c:v>
                </c:pt>
                <c:pt idx="4">
                  <c:v>0.38</c:v>
                </c:pt>
                <c:pt idx="5">
                  <c:v>0.38</c:v>
                </c:pt>
                <c:pt idx="6">
                  <c:v>0.42</c:v>
                </c:pt>
                <c:pt idx="7">
                  <c:v>0.33</c:v>
                </c:pt>
                <c:pt idx="8">
                  <c:v>0.38</c:v>
                </c:pt>
                <c:pt idx="9">
                  <c:v>0.38</c:v>
                </c:pt>
                <c:pt idx="10">
                  <c:v>0.43</c:v>
                </c:pt>
                <c:pt idx="11">
                  <c:v>0.32</c:v>
                </c:pt>
                <c:pt idx="12">
                  <c:v>0.36</c:v>
                </c:pt>
                <c:pt idx="13">
                  <c:v>0.36</c:v>
                </c:pt>
                <c:pt idx="14">
                  <c:v>0.41</c:v>
                </c:pt>
                <c:pt idx="15">
                  <c:v>0.28999999999999998</c:v>
                </c:pt>
                <c:pt idx="16">
                  <c:v>0.37</c:v>
                </c:pt>
                <c:pt idx="17">
                  <c:v>0.34</c:v>
                </c:pt>
                <c:pt idx="18">
                  <c:v>0.39</c:v>
                </c:pt>
                <c:pt idx="19">
                  <c:v>0.3</c:v>
                </c:pt>
                <c:pt idx="20">
                  <c:v>0.4</c:v>
                </c:pt>
                <c:pt idx="21">
                  <c:v>0.39</c:v>
                </c:pt>
                <c:pt idx="22">
                  <c:v>0.45</c:v>
                </c:pt>
                <c:pt idx="23">
                  <c:v>0.32</c:v>
                </c:pt>
                <c:pt idx="24">
                  <c:v>0.35</c:v>
                </c:pt>
                <c:pt idx="25">
                  <c:v>0.33</c:v>
                </c:pt>
                <c:pt idx="26">
                  <c:v>0.39</c:v>
                </c:pt>
                <c:pt idx="27">
                  <c:v>0.27</c:v>
                </c:pt>
                <c:pt idx="28">
                  <c:v>0.35</c:v>
                </c:pt>
                <c:pt idx="29">
                  <c:v>0.34</c:v>
                </c:pt>
                <c:pt idx="30">
                  <c:v>0.4</c:v>
                </c:pt>
                <c:pt idx="31">
                  <c:v>0.27</c:v>
                </c:pt>
                <c:pt idx="32">
                  <c:v>0.33</c:v>
                </c:pt>
                <c:pt idx="33">
                  <c:v>0.31</c:v>
                </c:pt>
                <c:pt idx="34">
                  <c:v>0.36</c:v>
                </c:pt>
                <c:pt idx="35">
                  <c:v>0.26</c:v>
                </c:pt>
              </c:numCache>
            </c:numRef>
          </c:val>
          <c:extLst>
            <c:ext xmlns:c16="http://schemas.microsoft.com/office/drawing/2014/chart" uri="{C3380CC4-5D6E-409C-BE32-E72D297353CC}">
              <c16:uniqueId val="{00000001-0E0C-4839-90F6-1E7AE3B53959}"/>
            </c:ext>
          </c:extLst>
        </c:ser>
        <c:ser>
          <c:idx val="2"/>
          <c:order val="2"/>
          <c:tx>
            <c:strRef>
              <c:f>MATE!$S$220</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MATE!$T$216:$BC$217</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MATE!$T$220:$BC$220</c:f>
              <c:numCache>
                <c:formatCode>0%</c:formatCode>
                <c:ptCount val="36"/>
                <c:pt idx="0">
                  <c:v>0.5</c:v>
                </c:pt>
                <c:pt idx="1">
                  <c:v>0.55000000000000004</c:v>
                </c:pt>
                <c:pt idx="2">
                  <c:v>0.5</c:v>
                </c:pt>
                <c:pt idx="3">
                  <c:v>0.6</c:v>
                </c:pt>
                <c:pt idx="4">
                  <c:v>0.48</c:v>
                </c:pt>
                <c:pt idx="5">
                  <c:v>0.54</c:v>
                </c:pt>
                <c:pt idx="6">
                  <c:v>0.5</c:v>
                </c:pt>
                <c:pt idx="7">
                  <c:v>0.59</c:v>
                </c:pt>
                <c:pt idx="8">
                  <c:v>0.49</c:v>
                </c:pt>
                <c:pt idx="9">
                  <c:v>0.55000000000000004</c:v>
                </c:pt>
                <c:pt idx="10">
                  <c:v>0.5</c:v>
                </c:pt>
                <c:pt idx="11">
                  <c:v>0.62</c:v>
                </c:pt>
                <c:pt idx="12">
                  <c:v>0.51</c:v>
                </c:pt>
                <c:pt idx="13">
                  <c:v>0.56999999999999995</c:v>
                </c:pt>
                <c:pt idx="14">
                  <c:v>0.52</c:v>
                </c:pt>
                <c:pt idx="15">
                  <c:v>0.64</c:v>
                </c:pt>
                <c:pt idx="16">
                  <c:v>0.5</c:v>
                </c:pt>
                <c:pt idx="17">
                  <c:v>0.59</c:v>
                </c:pt>
                <c:pt idx="18">
                  <c:v>0.54</c:v>
                </c:pt>
                <c:pt idx="19">
                  <c:v>0.64</c:v>
                </c:pt>
                <c:pt idx="20">
                  <c:v>0.46</c:v>
                </c:pt>
                <c:pt idx="21">
                  <c:v>0.54</c:v>
                </c:pt>
                <c:pt idx="22">
                  <c:v>0.48</c:v>
                </c:pt>
                <c:pt idx="23">
                  <c:v>0.6</c:v>
                </c:pt>
                <c:pt idx="24">
                  <c:v>0.49</c:v>
                </c:pt>
                <c:pt idx="25">
                  <c:v>0.57999999999999996</c:v>
                </c:pt>
                <c:pt idx="26">
                  <c:v>0.52</c:v>
                </c:pt>
                <c:pt idx="27">
                  <c:v>0.64</c:v>
                </c:pt>
                <c:pt idx="28">
                  <c:v>0.49</c:v>
                </c:pt>
                <c:pt idx="29">
                  <c:v>0.56000000000000005</c:v>
                </c:pt>
                <c:pt idx="30">
                  <c:v>0.51</c:v>
                </c:pt>
                <c:pt idx="31">
                  <c:v>0.63</c:v>
                </c:pt>
                <c:pt idx="32">
                  <c:v>0.5</c:v>
                </c:pt>
                <c:pt idx="33">
                  <c:v>0.57999999999999996</c:v>
                </c:pt>
                <c:pt idx="34">
                  <c:v>0.54</c:v>
                </c:pt>
                <c:pt idx="35">
                  <c:v>0.63</c:v>
                </c:pt>
              </c:numCache>
            </c:numRef>
          </c:val>
          <c:extLst>
            <c:ext xmlns:c16="http://schemas.microsoft.com/office/drawing/2014/chart" uri="{C3380CC4-5D6E-409C-BE32-E72D297353CC}">
              <c16:uniqueId val="{00000002-0E0C-4839-90F6-1E7AE3B53959}"/>
            </c:ext>
          </c:extLst>
        </c:ser>
        <c:ser>
          <c:idx val="3"/>
          <c:order val="3"/>
          <c:tx>
            <c:strRef>
              <c:f>MATE!$S$221</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MATE!$T$216:$BC$217</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MATE!$T$221:$BC$221</c:f>
              <c:numCache>
                <c:formatCode>0%</c:formatCode>
                <c:ptCount val="36"/>
                <c:pt idx="0">
                  <c:v>0.05</c:v>
                </c:pt>
                <c:pt idx="1">
                  <c:v>0.02</c:v>
                </c:pt>
                <c:pt idx="2">
                  <c:v>0.02</c:v>
                </c:pt>
                <c:pt idx="3">
                  <c:v>0.02</c:v>
                </c:pt>
                <c:pt idx="4">
                  <c:v>0.05</c:v>
                </c:pt>
                <c:pt idx="5">
                  <c:v>0.03</c:v>
                </c:pt>
                <c:pt idx="6">
                  <c:v>0.02</c:v>
                </c:pt>
                <c:pt idx="7">
                  <c:v>0.03</c:v>
                </c:pt>
                <c:pt idx="8">
                  <c:v>0.05</c:v>
                </c:pt>
                <c:pt idx="9">
                  <c:v>0.02</c:v>
                </c:pt>
                <c:pt idx="10">
                  <c:v>0.01</c:v>
                </c:pt>
                <c:pt idx="11">
                  <c:v>0.03</c:v>
                </c:pt>
                <c:pt idx="12">
                  <c:v>0.06</c:v>
                </c:pt>
                <c:pt idx="13">
                  <c:v>0.03</c:v>
                </c:pt>
                <c:pt idx="14">
                  <c:v>0.02</c:v>
                </c:pt>
                <c:pt idx="15">
                  <c:v>0.04</c:v>
                </c:pt>
                <c:pt idx="16">
                  <c:v>0.05</c:v>
                </c:pt>
                <c:pt idx="17">
                  <c:v>0.03</c:v>
                </c:pt>
                <c:pt idx="18">
                  <c:v>0.02</c:v>
                </c:pt>
                <c:pt idx="19">
                  <c:v>0.04</c:v>
                </c:pt>
                <c:pt idx="20">
                  <c:v>0.04</c:v>
                </c:pt>
                <c:pt idx="21">
                  <c:v>0.03</c:v>
                </c:pt>
                <c:pt idx="22">
                  <c:v>0.01</c:v>
                </c:pt>
                <c:pt idx="23">
                  <c:v>0.04</c:v>
                </c:pt>
                <c:pt idx="24">
                  <c:v>0.05</c:v>
                </c:pt>
                <c:pt idx="25">
                  <c:v>0.03</c:v>
                </c:pt>
                <c:pt idx="26">
                  <c:v>0.02</c:v>
                </c:pt>
                <c:pt idx="27">
                  <c:v>0.05</c:v>
                </c:pt>
                <c:pt idx="28">
                  <c:v>7.0000000000000007E-2</c:v>
                </c:pt>
                <c:pt idx="29">
                  <c:v>0.04</c:v>
                </c:pt>
                <c:pt idx="30">
                  <c:v>0.03</c:v>
                </c:pt>
                <c:pt idx="31">
                  <c:v>0.06</c:v>
                </c:pt>
                <c:pt idx="32">
                  <c:v>0.08</c:v>
                </c:pt>
                <c:pt idx="33">
                  <c:v>0.06</c:v>
                </c:pt>
                <c:pt idx="34">
                  <c:v>0.04</c:v>
                </c:pt>
                <c:pt idx="35">
                  <c:v>0.08</c:v>
                </c:pt>
              </c:numCache>
            </c:numRef>
          </c:val>
          <c:extLst>
            <c:ext xmlns:c16="http://schemas.microsoft.com/office/drawing/2014/chart" uri="{C3380CC4-5D6E-409C-BE32-E72D297353CC}">
              <c16:uniqueId val="{00000003-0E0C-4839-90F6-1E7AE3B53959}"/>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Matemáticas Saber 11 2016 - 2024</a:t>
            </a:r>
          </a:p>
          <a:p>
            <a:pPr>
              <a:defRPr/>
            </a:pPr>
            <a:r>
              <a:rPr lang="es-CO" baseline="0"/>
              <a:t>Instituciones Oficiales por Comuna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MATE!$BE$244</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MATE!$BF$242:$DG$243</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COMUNA 1</c:v>
                  </c:pt>
                  <c:pt idx="9">
                    <c:v>COMUNA 2</c:v>
                  </c:pt>
                  <c:pt idx="18">
                    <c:v>COMUNA 3</c:v>
                  </c:pt>
                  <c:pt idx="27">
                    <c:v>COMUNA 4</c:v>
                  </c:pt>
                  <c:pt idx="36">
                    <c:v>COMUNA 5</c:v>
                  </c:pt>
                  <c:pt idx="45">
                    <c:v>COMUNA 6</c:v>
                  </c:pt>
                </c:lvl>
              </c:multiLvlStrCache>
            </c:multiLvlStrRef>
          </c:cat>
          <c:val>
            <c:numRef>
              <c:f>MATE!$BF$244:$DG$244</c:f>
              <c:numCache>
                <c:formatCode>0%</c:formatCode>
                <c:ptCount val="54"/>
                <c:pt idx="0">
                  <c:v>4.5000000000000005E-2</c:v>
                </c:pt>
                <c:pt idx="1">
                  <c:v>4.2500000000000003E-2</c:v>
                </c:pt>
                <c:pt idx="2">
                  <c:v>3.2500000000000001E-2</c:v>
                </c:pt>
                <c:pt idx="3">
                  <c:v>3.7499999999999999E-2</c:v>
                </c:pt>
                <c:pt idx="4">
                  <c:v>4.7499999999999994E-2</c:v>
                </c:pt>
                <c:pt idx="5">
                  <c:v>4.5000000000000005E-2</c:v>
                </c:pt>
                <c:pt idx="6">
                  <c:v>0.05</c:v>
                </c:pt>
                <c:pt idx="7">
                  <c:v>0.04</c:v>
                </c:pt>
                <c:pt idx="8">
                  <c:v>5.6000000000000008E-2</c:v>
                </c:pt>
                <c:pt idx="9">
                  <c:v>2.5000000000000001E-2</c:v>
                </c:pt>
                <c:pt idx="10">
                  <c:v>5.5E-2</c:v>
                </c:pt>
                <c:pt idx="11">
                  <c:v>0.05</c:v>
                </c:pt>
                <c:pt idx="12">
                  <c:v>0.05</c:v>
                </c:pt>
                <c:pt idx="13">
                  <c:v>2.5000000000000001E-2</c:v>
                </c:pt>
                <c:pt idx="14">
                  <c:v>0.06</c:v>
                </c:pt>
                <c:pt idx="15">
                  <c:v>0.09</c:v>
                </c:pt>
                <c:pt idx="16">
                  <c:v>0.06</c:v>
                </c:pt>
                <c:pt idx="17">
                  <c:v>3.2500000000000001E-2</c:v>
                </c:pt>
                <c:pt idx="18">
                  <c:v>3.7999999999999999E-2</c:v>
                </c:pt>
                <c:pt idx="19">
                  <c:v>5.5999999999999994E-2</c:v>
                </c:pt>
                <c:pt idx="20">
                  <c:v>4.4000000000000004E-2</c:v>
                </c:pt>
                <c:pt idx="21">
                  <c:v>5.5999999999999994E-2</c:v>
                </c:pt>
                <c:pt idx="22">
                  <c:v>4.4000000000000004E-2</c:v>
                </c:pt>
                <c:pt idx="23">
                  <c:v>0.05</c:v>
                </c:pt>
                <c:pt idx="24">
                  <c:v>0.06</c:v>
                </c:pt>
                <c:pt idx="25">
                  <c:v>0.06</c:v>
                </c:pt>
                <c:pt idx="26">
                  <c:v>4.9999999999999996E-2</c:v>
                </c:pt>
                <c:pt idx="27">
                  <c:v>9.9999999999999992E-2</c:v>
                </c:pt>
                <c:pt idx="28">
                  <c:v>0.115</c:v>
                </c:pt>
                <c:pt idx="29">
                  <c:v>0.13500000000000001</c:v>
                </c:pt>
                <c:pt idx="30">
                  <c:v>9.9999999999999992E-2</c:v>
                </c:pt>
                <c:pt idx="31">
                  <c:v>0.10833333333333334</c:v>
                </c:pt>
                <c:pt idx="32">
                  <c:v>0.10666666666666667</c:v>
                </c:pt>
                <c:pt idx="33">
                  <c:v>0.09</c:v>
                </c:pt>
                <c:pt idx="34">
                  <c:v>0.12</c:v>
                </c:pt>
                <c:pt idx="35">
                  <c:v>0.14833333333333332</c:v>
                </c:pt>
                <c:pt idx="36">
                  <c:v>0.05</c:v>
                </c:pt>
                <c:pt idx="37">
                  <c:v>7.0000000000000007E-2</c:v>
                </c:pt>
                <c:pt idx="38">
                  <c:v>0.05</c:v>
                </c:pt>
                <c:pt idx="39">
                  <c:v>0.04</c:v>
                </c:pt>
                <c:pt idx="40">
                  <c:v>0.04</c:v>
                </c:pt>
                <c:pt idx="41">
                  <c:v>0.06</c:v>
                </c:pt>
                <c:pt idx="42">
                  <c:v>0.05</c:v>
                </c:pt>
                <c:pt idx="43">
                  <c:v>0.08</c:v>
                </c:pt>
                <c:pt idx="44">
                  <c:v>3.6666666666666667E-2</c:v>
                </c:pt>
                <c:pt idx="45">
                  <c:v>0.03</c:v>
                </c:pt>
                <c:pt idx="46">
                  <c:v>0.05</c:v>
                </c:pt>
                <c:pt idx="47">
                  <c:v>0.05</c:v>
                </c:pt>
                <c:pt idx="48">
                  <c:v>0.05</c:v>
                </c:pt>
                <c:pt idx="49">
                  <c:v>0.02</c:v>
                </c:pt>
                <c:pt idx="50">
                  <c:v>0.05</c:v>
                </c:pt>
                <c:pt idx="51">
                  <c:v>0.09</c:v>
                </c:pt>
                <c:pt idx="52">
                  <c:v>0.08</c:v>
                </c:pt>
                <c:pt idx="53">
                  <c:v>6.25E-2</c:v>
                </c:pt>
              </c:numCache>
            </c:numRef>
          </c:val>
          <c:extLst>
            <c:ext xmlns:c16="http://schemas.microsoft.com/office/drawing/2014/chart" uri="{C3380CC4-5D6E-409C-BE32-E72D297353CC}">
              <c16:uniqueId val="{00000000-8914-45D8-86BD-F7F65057E985}"/>
            </c:ext>
          </c:extLst>
        </c:ser>
        <c:ser>
          <c:idx val="1"/>
          <c:order val="1"/>
          <c:tx>
            <c:strRef>
              <c:f>MATE!$BE$245</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MATE!$BF$242:$DG$243</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COMUNA 1</c:v>
                  </c:pt>
                  <c:pt idx="9">
                    <c:v>COMUNA 2</c:v>
                  </c:pt>
                  <c:pt idx="18">
                    <c:v>COMUNA 3</c:v>
                  </c:pt>
                  <c:pt idx="27">
                    <c:v>COMUNA 4</c:v>
                  </c:pt>
                  <c:pt idx="36">
                    <c:v>COMUNA 5</c:v>
                  </c:pt>
                  <c:pt idx="45">
                    <c:v>COMUNA 6</c:v>
                  </c:pt>
                </c:lvl>
              </c:multiLvlStrCache>
            </c:multiLvlStrRef>
          </c:cat>
          <c:val>
            <c:numRef>
              <c:f>MATE!$BF$245:$DG$245</c:f>
              <c:numCache>
                <c:formatCode>0%</c:formatCode>
                <c:ptCount val="54"/>
                <c:pt idx="0">
                  <c:v>0.36749999999999999</c:v>
                </c:pt>
                <c:pt idx="1">
                  <c:v>0.39249999999999996</c:v>
                </c:pt>
                <c:pt idx="2">
                  <c:v>0.41249999999999998</c:v>
                </c:pt>
                <c:pt idx="3">
                  <c:v>0.34249999999999997</c:v>
                </c:pt>
                <c:pt idx="4">
                  <c:v>0.36249999999999999</c:v>
                </c:pt>
                <c:pt idx="5">
                  <c:v>0.40500000000000003</c:v>
                </c:pt>
                <c:pt idx="6">
                  <c:v>0.4</c:v>
                </c:pt>
                <c:pt idx="7">
                  <c:v>0.36</c:v>
                </c:pt>
                <c:pt idx="8">
                  <c:v>0.37</c:v>
                </c:pt>
                <c:pt idx="9">
                  <c:v>0.44</c:v>
                </c:pt>
                <c:pt idx="10">
                  <c:v>0.4</c:v>
                </c:pt>
                <c:pt idx="11">
                  <c:v>0.38</c:v>
                </c:pt>
                <c:pt idx="12">
                  <c:v>0.38500000000000001</c:v>
                </c:pt>
                <c:pt idx="13">
                  <c:v>0.36499999999999999</c:v>
                </c:pt>
                <c:pt idx="14">
                  <c:v>0.435</c:v>
                </c:pt>
                <c:pt idx="15">
                  <c:v>0.38</c:v>
                </c:pt>
                <c:pt idx="16">
                  <c:v>0.38</c:v>
                </c:pt>
                <c:pt idx="17">
                  <c:v>0.35499999999999998</c:v>
                </c:pt>
                <c:pt idx="18">
                  <c:v>0.46600000000000003</c:v>
                </c:pt>
                <c:pt idx="19">
                  <c:v>0.43599999999999994</c:v>
                </c:pt>
                <c:pt idx="20">
                  <c:v>0.41799999999999998</c:v>
                </c:pt>
                <c:pt idx="21">
                  <c:v>0.41600000000000004</c:v>
                </c:pt>
                <c:pt idx="22">
                  <c:v>0.372</c:v>
                </c:pt>
                <c:pt idx="23">
                  <c:v>0.44800000000000006</c:v>
                </c:pt>
                <c:pt idx="24">
                  <c:v>0.35</c:v>
                </c:pt>
                <c:pt idx="25">
                  <c:v>0.41</c:v>
                </c:pt>
                <c:pt idx="26">
                  <c:v>0.32999999999999996</c:v>
                </c:pt>
                <c:pt idx="27">
                  <c:v>0.54333333333333333</c:v>
                </c:pt>
                <c:pt idx="28">
                  <c:v>0.51666666666666672</c:v>
                </c:pt>
                <c:pt idx="29">
                  <c:v>0.48</c:v>
                </c:pt>
                <c:pt idx="30">
                  <c:v>0.56166666666666665</c:v>
                </c:pt>
                <c:pt idx="31">
                  <c:v>0.48166666666666663</c:v>
                </c:pt>
                <c:pt idx="32">
                  <c:v>0.49499999999999994</c:v>
                </c:pt>
                <c:pt idx="33">
                  <c:v>0.48</c:v>
                </c:pt>
                <c:pt idx="34">
                  <c:v>0.48</c:v>
                </c:pt>
                <c:pt idx="35">
                  <c:v>0.4283333333333334</c:v>
                </c:pt>
                <c:pt idx="36">
                  <c:v>0.4</c:v>
                </c:pt>
                <c:pt idx="37">
                  <c:v>0.39</c:v>
                </c:pt>
                <c:pt idx="38">
                  <c:v>0.47</c:v>
                </c:pt>
                <c:pt idx="39">
                  <c:v>0.41</c:v>
                </c:pt>
                <c:pt idx="40">
                  <c:v>0.39</c:v>
                </c:pt>
                <c:pt idx="41">
                  <c:v>0.43</c:v>
                </c:pt>
                <c:pt idx="42">
                  <c:v>0.35</c:v>
                </c:pt>
                <c:pt idx="43">
                  <c:v>0.38</c:v>
                </c:pt>
                <c:pt idx="44">
                  <c:v>0.2466666666666667</c:v>
                </c:pt>
                <c:pt idx="45">
                  <c:v>0.49</c:v>
                </c:pt>
                <c:pt idx="46">
                  <c:v>0.41</c:v>
                </c:pt>
                <c:pt idx="47">
                  <c:v>0.44</c:v>
                </c:pt>
                <c:pt idx="48">
                  <c:v>0.36</c:v>
                </c:pt>
                <c:pt idx="49">
                  <c:v>0.38</c:v>
                </c:pt>
                <c:pt idx="50">
                  <c:v>0.47</c:v>
                </c:pt>
                <c:pt idx="51">
                  <c:v>0.38</c:v>
                </c:pt>
                <c:pt idx="52">
                  <c:v>0.41</c:v>
                </c:pt>
                <c:pt idx="53">
                  <c:v>0.41000000000000003</c:v>
                </c:pt>
              </c:numCache>
            </c:numRef>
          </c:val>
          <c:extLst>
            <c:ext xmlns:c16="http://schemas.microsoft.com/office/drawing/2014/chart" uri="{C3380CC4-5D6E-409C-BE32-E72D297353CC}">
              <c16:uniqueId val="{00000001-8914-45D8-86BD-F7F65057E985}"/>
            </c:ext>
          </c:extLst>
        </c:ser>
        <c:ser>
          <c:idx val="2"/>
          <c:order val="2"/>
          <c:tx>
            <c:strRef>
              <c:f>MATE!$BE$246</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MATE!$BF$242:$DG$243</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COMUNA 1</c:v>
                  </c:pt>
                  <c:pt idx="9">
                    <c:v>COMUNA 2</c:v>
                  </c:pt>
                  <c:pt idx="18">
                    <c:v>COMUNA 3</c:v>
                  </c:pt>
                  <c:pt idx="27">
                    <c:v>COMUNA 4</c:v>
                  </c:pt>
                  <c:pt idx="36">
                    <c:v>COMUNA 5</c:v>
                  </c:pt>
                  <c:pt idx="45">
                    <c:v>COMUNA 6</c:v>
                  </c:pt>
                </c:lvl>
              </c:multiLvlStrCache>
            </c:multiLvlStrRef>
          </c:cat>
          <c:val>
            <c:numRef>
              <c:f>MATE!$BF$246:$DG$246</c:f>
              <c:numCache>
                <c:formatCode>0%</c:formatCode>
                <c:ptCount val="54"/>
                <c:pt idx="0">
                  <c:v>0.57250000000000001</c:v>
                </c:pt>
                <c:pt idx="1">
                  <c:v>0.53749999999999998</c:v>
                </c:pt>
                <c:pt idx="2">
                  <c:v>0.54249999999999998</c:v>
                </c:pt>
                <c:pt idx="3">
                  <c:v>0.59749999999999992</c:v>
                </c:pt>
                <c:pt idx="4">
                  <c:v>0.5625</c:v>
                </c:pt>
                <c:pt idx="5">
                  <c:v>0.53249999999999997</c:v>
                </c:pt>
                <c:pt idx="6">
                  <c:v>0.54</c:v>
                </c:pt>
                <c:pt idx="7">
                  <c:v>0.57999999999999996</c:v>
                </c:pt>
                <c:pt idx="8">
                  <c:v>0.52799999999999991</c:v>
                </c:pt>
                <c:pt idx="9">
                  <c:v>0.52</c:v>
                </c:pt>
                <c:pt idx="10">
                  <c:v>0.52499999999999991</c:v>
                </c:pt>
                <c:pt idx="11">
                  <c:v>0.54500000000000004</c:v>
                </c:pt>
                <c:pt idx="12">
                  <c:v>0.54500000000000004</c:v>
                </c:pt>
                <c:pt idx="13">
                  <c:v>0.58499999999999996</c:v>
                </c:pt>
                <c:pt idx="14">
                  <c:v>0.5</c:v>
                </c:pt>
                <c:pt idx="15">
                  <c:v>0.53</c:v>
                </c:pt>
                <c:pt idx="16">
                  <c:v>0.54</c:v>
                </c:pt>
                <c:pt idx="17">
                  <c:v>0.5625</c:v>
                </c:pt>
                <c:pt idx="18">
                  <c:v>0.48200000000000004</c:v>
                </c:pt>
                <c:pt idx="19">
                  <c:v>0.502</c:v>
                </c:pt>
                <c:pt idx="20">
                  <c:v>0.53199999999999992</c:v>
                </c:pt>
                <c:pt idx="21">
                  <c:v>0.52000000000000013</c:v>
                </c:pt>
                <c:pt idx="22">
                  <c:v>0.56400000000000006</c:v>
                </c:pt>
                <c:pt idx="23">
                  <c:v>0.48599999999999993</c:v>
                </c:pt>
                <c:pt idx="24">
                  <c:v>0.56999999999999995</c:v>
                </c:pt>
                <c:pt idx="25">
                  <c:v>0.51</c:v>
                </c:pt>
                <c:pt idx="26">
                  <c:v>0.57666666666666666</c:v>
                </c:pt>
                <c:pt idx="27">
                  <c:v>0.34666666666666662</c:v>
                </c:pt>
                <c:pt idx="28">
                  <c:v>0.35833333333333334</c:v>
                </c:pt>
                <c:pt idx="29">
                  <c:v>0.375</c:v>
                </c:pt>
                <c:pt idx="30">
                  <c:v>0.33166666666666667</c:v>
                </c:pt>
                <c:pt idx="31">
                  <c:v>0.41000000000000009</c:v>
                </c:pt>
                <c:pt idx="32">
                  <c:v>0.38999999999999996</c:v>
                </c:pt>
                <c:pt idx="33">
                  <c:v>0.4</c:v>
                </c:pt>
                <c:pt idx="34">
                  <c:v>0.4</c:v>
                </c:pt>
                <c:pt idx="35">
                  <c:v>0.40833333333333338</c:v>
                </c:pt>
                <c:pt idx="36">
                  <c:v>0.54</c:v>
                </c:pt>
                <c:pt idx="37">
                  <c:v>0.52</c:v>
                </c:pt>
                <c:pt idx="38">
                  <c:v>0.48</c:v>
                </c:pt>
                <c:pt idx="39">
                  <c:v>0.53</c:v>
                </c:pt>
                <c:pt idx="40">
                  <c:v>0.56000000000000005</c:v>
                </c:pt>
                <c:pt idx="41">
                  <c:v>0.49</c:v>
                </c:pt>
                <c:pt idx="42">
                  <c:v>0.61</c:v>
                </c:pt>
                <c:pt idx="43">
                  <c:v>0.51</c:v>
                </c:pt>
                <c:pt idx="44">
                  <c:v>0.64333333333333331</c:v>
                </c:pt>
                <c:pt idx="45">
                  <c:v>0.47</c:v>
                </c:pt>
                <c:pt idx="46">
                  <c:v>0.52</c:v>
                </c:pt>
                <c:pt idx="47">
                  <c:v>0.5</c:v>
                </c:pt>
                <c:pt idx="48">
                  <c:v>0.57999999999999996</c:v>
                </c:pt>
                <c:pt idx="49">
                  <c:v>0.56000000000000005</c:v>
                </c:pt>
                <c:pt idx="50">
                  <c:v>0.46</c:v>
                </c:pt>
                <c:pt idx="51">
                  <c:v>0.52</c:v>
                </c:pt>
                <c:pt idx="52">
                  <c:v>0.48</c:v>
                </c:pt>
                <c:pt idx="53">
                  <c:v>0.49500000000000005</c:v>
                </c:pt>
              </c:numCache>
            </c:numRef>
          </c:val>
          <c:extLst>
            <c:ext xmlns:c16="http://schemas.microsoft.com/office/drawing/2014/chart" uri="{C3380CC4-5D6E-409C-BE32-E72D297353CC}">
              <c16:uniqueId val="{00000002-8914-45D8-86BD-F7F65057E985}"/>
            </c:ext>
          </c:extLst>
        </c:ser>
        <c:ser>
          <c:idx val="3"/>
          <c:order val="3"/>
          <c:tx>
            <c:strRef>
              <c:f>MATE!$BE$247</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MATE!$BF$242:$DG$243</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COMUNA 1</c:v>
                  </c:pt>
                  <c:pt idx="9">
                    <c:v>COMUNA 2</c:v>
                  </c:pt>
                  <c:pt idx="18">
                    <c:v>COMUNA 3</c:v>
                  </c:pt>
                  <c:pt idx="27">
                    <c:v>COMUNA 4</c:v>
                  </c:pt>
                  <c:pt idx="36">
                    <c:v>COMUNA 5</c:v>
                  </c:pt>
                  <c:pt idx="45">
                    <c:v>COMUNA 6</c:v>
                  </c:pt>
                </c:lvl>
              </c:multiLvlStrCache>
            </c:multiLvlStrRef>
          </c:cat>
          <c:val>
            <c:numRef>
              <c:f>MATE!$BF$247:$DG$247</c:f>
              <c:numCache>
                <c:formatCode>0%</c:formatCode>
                <c:ptCount val="54"/>
                <c:pt idx="0">
                  <c:v>1.7500000000000002E-2</c:v>
                </c:pt>
                <c:pt idx="1">
                  <c:v>2.5000000000000001E-2</c:v>
                </c:pt>
                <c:pt idx="2">
                  <c:v>1.2500000000000001E-2</c:v>
                </c:pt>
                <c:pt idx="3">
                  <c:v>2.2499999999999999E-2</c:v>
                </c:pt>
                <c:pt idx="4">
                  <c:v>0.03</c:v>
                </c:pt>
                <c:pt idx="5">
                  <c:v>1.4999999999999999E-2</c:v>
                </c:pt>
                <c:pt idx="6">
                  <c:v>0.01</c:v>
                </c:pt>
                <c:pt idx="7">
                  <c:v>0.02</c:v>
                </c:pt>
                <c:pt idx="8">
                  <c:v>4.3999999999999997E-2</c:v>
                </c:pt>
                <c:pt idx="9">
                  <c:v>2.5000000000000001E-2</c:v>
                </c:pt>
                <c:pt idx="10">
                  <c:v>0.02</c:v>
                </c:pt>
                <c:pt idx="11">
                  <c:v>2.5000000000000001E-2</c:v>
                </c:pt>
                <c:pt idx="12">
                  <c:v>0.03</c:v>
                </c:pt>
                <c:pt idx="13">
                  <c:v>2.5000000000000001E-2</c:v>
                </c:pt>
                <c:pt idx="14">
                  <c:v>5.0000000000000001E-3</c:v>
                </c:pt>
                <c:pt idx="15">
                  <c:v>0.02</c:v>
                </c:pt>
                <c:pt idx="16">
                  <c:v>0.02</c:v>
                </c:pt>
                <c:pt idx="17">
                  <c:v>5.5000000000000007E-2</c:v>
                </c:pt>
                <c:pt idx="18">
                  <c:v>1.6E-2</c:v>
                </c:pt>
                <c:pt idx="19">
                  <c:v>6.0000000000000001E-3</c:v>
                </c:pt>
                <c:pt idx="20">
                  <c:v>8.0000000000000002E-3</c:v>
                </c:pt>
                <c:pt idx="21">
                  <c:v>0.01</c:v>
                </c:pt>
                <c:pt idx="22">
                  <c:v>1.9999999999999997E-2</c:v>
                </c:pt>
                <c:pt idx="23">
                  <c:v>1.2E-2</c:v>
                </c:pt>
                <c:pt idx="24">
                  <c:v>0.02</c:v>
                </c:pt>
                <c:pt idx="25">
                  <c:v>0.03</c:v>
                </c:pt>
                <c:pt idx="26">
                  <c:v>4.5000000000000005E-2</c:v>
                </c:pt>
                <c:pt idx="27">
                  <c:v>6.6666666666666671E-3</c:v>
                </c:pt>
                <c:pt idx="28">
                  <c:v>1.1666666666666667E-2</c:v>
                </c:pt>
                <c:pt idx="29">
                  <c:v>8.3333333333333332E-3</c:v>
                </c:pt>
                <c:pt idx="30">
                  <c:v>6.6666666666666671E-3</c:v>
                </c:pt>
                <c:pt idx="31">
                  <c:v>3.3333333333333335E-3</c:v>
                </c:pt>
                <c:pt idx="32">
                  <c:v>3.3333333333333335E-3</c:v>
                </c:pt>
                <c:pt idx="33">
                  <c:v>0.02</c:v>
                </c:pt>
                <c:pt idx="34">
                  <c:v>0.02</c:v>
                </c:pt>
                <c:pt idx="35">
                  <c:v>0.02</c:v>
                </c:pt>
                <c:pt idx="36">
                  <c:v>0.02</c:v>
                </c:pt>
                <c:pt idx="37">
                  <c:v>0.02</c:v>
                </c:pt>
                <c:pt idx="38">
                  <c:v>0.02</c:v>
                </c:pt>
                <c:pt idx="39">
                  <c:v>0.03</c:v>
                </c:pt>
                <c:pt idx="40">
                  <c:v>0.02</c:v>
                </c:pt>
                <c:pt idx="41">
                  <c:v>0.03</c:v>
                </c:pt>
                <c:pt idx="42">
                  <c:v>0.01</c:v>
                </c:pt>
                <c:pt idx="43">
                  <c:v>0.04</c:v>
                </c:pt>
                <c:pt idx="44">
                  <c:v>0.08</c:v>
                </c:pt>
                <c:pt idx="45">
                  <c:v>0.01</c:v>
                </c:pt>
                <c:pt idx="46">
                  <c:v>0.02</c:v>
                </c:pt>
                <c:pt idx="47">
                  <c:v>0.02</c:v>
                </c:pt>
                <c:pt idx="48">
                  <c:v>0.01</c:v>
                </c:pt>
                <c:pt idx="49">
                  <c:v>0.04</c:v>
                </c:pt>
                <c:pt idx="50">
                  <c:v>0.02</c:v>
                </c:pt>
                <c:pt idx="51">
                  <c:v>0.01</c:v>
                </c:pt>
                <c:pt idx="52">
                  <c:v>0.04</c:v>
                </c:pt>
                <c:pt idx="53">
                  <c:v>0.03</c:v>
                </c:pt>
              </c:numCache>
            </c:numRef>
          </c:val>
          <c:extLst>
            <c:ext xmlns:c16="http://schemas.microsoft.com/office/drawing/2014/chart" uri="{C3380CC4-5D6E-409C-BE32-E72D297353CC}">
              <c16:uniqueId val="{00000003-8914-45D8-86BD-F7F65057E985}"/>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Matemáticas Saber 11 2016 - 2024</a:t>
            </a:r>
          </a:p>
          <a:p>
            <a:pPr>
              <a:defRPr/>
            </a:pPr>
            <a:r>
              <a:rPr lang="es-CO" baseline="0"/>
              <a:t>Instituciones Privadas por Comuna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MATE!$BE$292</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MATE!$BF$291:$DG$291</c:f>
              <c:numCache>
                <c:formatCode>General</c:formatCode>
                <c:ptCount val="54"/>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numCache>
            </c:numRef>
          </c:cat>
          <c:val>
            <c:numRef>
              <c:f>MATE!$BF$292:$DG$292</c:f>
              <c:numCache>
                <c:formatCode>0%</c:formatCode>
                <c:ptCount val="54"/>
                <c:pt idx="0">
                  <c:v>5.5833333333333339E-2</c:v>
                </c:pt>
                <c:pt idx="1">
                  <c:v>5.0769230769230761E-2</c:v>
                </c:pt>
                <c:pt idx="2">
                  <c:v>4.9230769230769231E-2</c:v>
                </c:pt>
                <c:pt idx="3">
                  <c:v>3.3846153846153845E-2</c:v>
                </c:pt>
                <c:pt idx="4">
                  <c:v>3.1538461538461543E-2</c:v>
                </c:pt>
                <c:pt idx="5">
                  <c:v>4.3076923076923082E-2</c:v>
                </c:pt>
                <c:pt idx="6">
                  <c:v>0.05</c:v>
                </c:pt>
                <c:pt idx="7">
                  <c:v>0.03</c:v>
                </c:pt>
                <c:pt idx="8">
                  <c:v>3.4615384615384617E-2</c:v>
                </c:pt>
                <c:pt idx="9">
                  <c:v>5.4000000000000006E-2</c:v>
                </c:pt>
                <c:pt idx="10">
                  <c:v>5.9374999999999997E-2</c:v>
                </c:pt>
                <c:pt idx="11">
                  <c:v>3.5625000000000004E-2</c:v>
                </c:pt>
                <c:pt idx="12">
                  <c:v>3.5294117647058823E-2</c:v>
                </c:pt>
                <c:pt idx="13">
                  <c:v>3.2222222222222215E-2</c:v>
                </c:pt>
                <c:pt idx="14">
                  <c:v>6.1176470588235297E-2</c:v>
                </c:pt>
                <c:pt idx="15">
                  <c:v>7.0000000000000007E-2</c:v>
                </c:pt>
                <c:pt idx="16">
                  <c:v>0.06</c:v>
                </c:pt>
                <c:pt idx="17">
                  <c:v>3.1E-2</c:v>
                </c:pt>
                <c:pt idx="18">
                  <c:v>3.7999999999999999E-2</c:v>
                </c:pt>
                <c:pt idx="19">
                  <c:v>5.5999999999999994E-2</c:v>
                </c:pt>
                <c:pt idx="20">
                  <c:v>4.4000000000000004E-2</c:v>
                </c:pt>
                <c:pt idx="21">
                  <c:v>5.5999999999999994E-2</c:v>
                </c:pt>
                <c:pt idx="22">
                  <c:v>4.4000000000000004E-2</c:v>
                </c:pt>
                <c:pt idx="23">
                  <c:v>0.05</c:v>
                </c:pt>
                <c:pt idx="24">
                  <c:v>0.05</c:v>
                </c:pt>
                <c:pt idx="25">
                  <c:v>0.06</c:v>
                </c:pt>
                <c:pt idx="26">
                  <c:v>5.6249999999999994E-2</c:v>
                </c:pt>
                <c:pt idx="27">
                  <c:v>0.14000000000000001</c:v>
                </c:pt>
                <c:pt idx="28">
                  <c:v>0.09</c:v>
                </c:pt>
                <c:pt idx="29">
                  <c:v>0.04</c:v>
                </c:pt>
                <c:pt idx="30">
                  <c:v>0.04</c:v>
                </c:pt>
                <c:pt idx="31">
                  <c:v>0.04</c:v>
                </c:pt>
                <c:pt idx="32">
                  <c:v>0.02</c:v>
                </c:pt>
                <c:pt idx="33">
                  <c:v>0.05</c:v>
                </c:pt>
                <c:pt idx="34">
                  <c:v>0.04</c:v>
                </c:pt>
                <c:pt idx="35">
                  <c:v>0.04</c:v>
                </c:pt>
                <c:pt idx="36">
                  <c:v>0.02</c:v>
                </c:pt>
                <c:pt idx="37">
                  <c:v>0.03</c:v>
                </c:pt>
                <c:pt idx="38">
                  <c:v>0.02</c:v>
                </c:pt>
                <c:pt idx="39">
                  <c:v>0.01</c:v>
                </c:pt>
                <c:pt idx="40">
                  <c:v>0.02</c:v>
                </c:pt>
                <c:pt idx="41">
                  <c:v>0.02</c:v>
                </c:pt>
                <c:pt idx="42">
                  <c:v>0.02</c:v>
                </c:pt>
                <c:pt idx="43">
                  <c:v>0.02</c:v>
                </c:pt>
                <c:pt idx="44">
                  <c:v>4.0000000000000001E-3</c:v>
                </c:pt>
                <c:pt idx="45">
                  <c:v>0.1</c:v>
                </c:pt>
                <c:pt idx="46">
                  <c:v>0.09</c:v>
                </c:pt>
                <c:pt idx="47">
                  <c:v>0.03</c:v>
                </c:pt>
                <c:pt idx="48">
                  <c:v>0.04</c:v>
                </c:pt>
                <c:pt idx="49">
                  <c:v>0.03</c:v>
                </c:pt>
                <c:pt idx="50">
                  <c:v>0.03</c:v>
                </c:pt>
                <c:pt idx="51">
                  <c:v>0.08</c:v>
                </c:pt>
                <c:pt idx="52">
                  <c:v>0.04</c:v>
                </c:pt>
                <c:pt idx="53">
                  <c:v>3.2857142857142863E-2</c:v>
                </c:pt>
              </c:numCache>
            </c:numRef>
          </c:val>
          <c:extLst>
            <c:ext xmlns:c16="http://schemas.microsoft.com/office/drawing/2014/chart" uri="{C3380CC4-5D6E-409C-BE32-E72D297353CC}">
              <c16:uniqueId val="{00000000-BFA7-47E9-9C97-CAEFA3153E3F}"/>
            </c:ext>
          </c:extLst>
        </c:ser>
        <c:ser>
          <c:idx val="1"/>
          <c:order val="1"/>
          <c:tx>
            <c:strRef>
              <c:f>MATE!$BE$293</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MATE!$BF$291:$DG$291</c:f>
              <c:numCache>
                <c:formatCode>General</c:formatCode>
                <c:ptCount val="54"/>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numCache>
            </c:numRef>
          </c:cat>
          <c:val>
            <c:numRef>
              <c:f>MATE!$BF$293:$DG$293</c:f>
              <c:numCache>
                <c:formatCode>0%</c:formatCode>
                <c:ptCount val="54"/>
                <c:pt idx="0">
                  <c:v>0.39666666666666667</c:v>
                </c:pt>
                <c:pt idx="1">
                  <c:v>0.38923076923076927</c:v>
                </c:pt>
                <c:pt idx="2">
                  <c:v>0.38923076923076916</c:v>
                </c:pt>
                <c:pt idx="3">
                  <c:v>0.35461538461538467</c:v>
                </c:pt>
                <c:pt idx="4">
                  <c:v>0.35923076923076924</c:v>
                </c:pt>
                <c:pt idx="5">
                  <c:v>0.35615384615384621</c:v>
                </c:pt>
                <c:pt idx="6">
                  <c:v>0.34</c:v>
                </c:pt>
                <c:pt idx="7">
                  <c:v>0.35</c:v>
                </c:pt>
                <c:pt idx="8">
                  <c:v>0.30384615384615388</c:v>
                </c:pt>
                <c:pt idx="9">
                  <c:v>0.35533333333333333</c:v>
                </c:pt>
                <c:pt idx="10">
                  <c:v>0.33500000000000008</c:v>
                </c:pt>
                <c:pt idx="11">
                  <c:v>0.33750000000000002</c:v>
                </c:pt>
                <c:pt idx="12">
                  <c:v>0.30941176470588239</c:v>
                </c:pt>
                <c:pt idx="13">
                  <c:v>0.28611111111111115</c:v>
                </c:pt>
                <c:pt idx="14">
                  <c:v>0.35352941176470598</c:v>
                </c:pt>
                <c:pt idx="15">
                  <c:v>0.24</c:v>
                </c:pt>
                <c:pt idx="16">
                  <c:v>0.35</c:v>
                </c:pt>
                <c:pt idx="17">
                  <c:v>0.26950000000000002</c:v>
                </c:pt>
                <c:pt idx="18">
                  <c:v>0.46600000000000003</c:v>
                </c:pt>
                <c:pt idx="19">
                  <c:v>0.43599999999999994</c:v>
                </c:pt>
                <c:pt idx="20">
                  <c:v>0.41799999999999998</c:v>
                </c:pt>
                <c:pt idx="21">
                  <c:v>0.41600000000000004</c:v>
                </c:pt>
                <c:pt idx="22">
                  <c:v>0.372</c:v>
                </c:pt>
                <c:pt idx="23">
                  <c:v>0.44800000000000006</c:v>
                </c:pt>
                <c:pt idx="24">
                  <c:v>0.28000000000000003</c:v>
                </c:pt>
                <c:pt idx="25">
                  <c:v>0.27</c:v>
                </c:pt>
                <c:pt idx="26">
                  <c:v>0.28562500000000007</c:v>
                </c:pt>
                <c:pt idx="27">
                  <c:v>0.4</c:v>
                </c:pt>
                <c:pt idx="28">
                  <c:v>0.36</c:v>
                </c:pt>
                <c:pt idx="29">
                  <c:v>0.32</c:v>
                </c:pt>
                <c:pt idx="30">
                  <c:v>0.43</c:v>
                </c:pt>
                <c:pt idx="31">
                  <c:v>0.48</c:v>
                </c:pt>
                <c:pt idx="32">
                  <c:v>0.32</c:v>
                </c:pt>
                <c:pt idx="33">
                  <c:v>0.36</c:v>
                </c:pt>
                <c:pt idx="34">
                  <c:v>0.41</c:v>
                </c:pt>
                <c:pt idx="35">
                  <c:v>0.3</c:v>
                </c:pt>
                <c:pt idx="36">
                  <c:v>0.28999999999999998</c:v>
                </c:pt>
                <c:pt idx="37">
                  <c:v>0.27</c:v>
                </c:pt>
                <c:pt idx="38">
                  <c:v>0.31</c:v>
                </c:pt>
                <c:pt idx="39">
                  <c:v>0.27</c:v>
                </c:pt>
                <c:pt idx="40">
                  <c:v>0.24</c:v>
                </c:pt>
                <c:pt idx="41">
                  <c:v>0.32</c:v>
                </c:pt>
                <c:pt idx="42">
                  <c:v>0.22</c:v>
                </c:pt>
                <c:pt idx="43">
                  <c:v>0.26</c:v>
                </c:pt>
                <c:pt idx="44">
                  <c:v>0.316</c:v>
                </c:pt>
                <c:pt idx="45">
                  <c:v>0.31</c:v>
                </c:pt>
                <c:pt idx="46">
                  <c:v>0.38</c:v>
                </c:pt>
                <c:pt idx="47">
                  <c:v>0.41</c:v>
                </c:pt>
                <c:pt idx="48">
                  <c:v>0.35</c:v>
                </c:pt>
                <c:pt idx="49">
                  <c:v>0.37</c:v>
                </c:pt>
                <c:pt idx="50">
                  <c:v>0.44</c:v>
                </c:pt>
                <c:pt idx="51">
                  <c:v>0.36</c:v>
                </c:pt>
                <c:pt idx="52">
                  <c:v>0.27</c:v>
                </c:pt>
                <c:pt idx="53">
                  <c:v>0.33785714285714291</c:v>
                </c:pt>
              </c:numCache>
            </c:numRef>
          </c:val>
          <c:extLst>
            <c:ext xmlns:c16="http://schemas.microsoft.com/office/drawing/2014/chart" uri="{C3380CC4-5D6E-409C-BE32-E72D297353CC}">
              <c16:uniqueId val="{00000001-BFA7-47E9-9C97-CAEFA3153E3F}"/>
            </c:ext>
          </c:extLst>
        </c:ser>
        <c:ser>
          <c:idx val="2"/>
          <c:order val="2"/>
          <c:tx>
            <c:strRef>
              <c:f>MATE!$BE$294</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MATE!$BF$291:$DG$291</c:f>
              <c:numCache>
                <c:formatCode>General</c:formatCode>
                <c:ptCount val="54"/>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numCache>
            </c:numRef>
          </c:cat>
          <c:val>
            <c:numRef>
              <c:f>MATE!$BF$294:$DG$294</c:f>
              <c:numCache>
                <c:formatCode>0%</c:formatCode>
                <c:ptCount val="54"/>
                <c:pt idx="0">
                  <c:v>0.53</c:v>
                </c:pt>
                <c:pt idx="1">
                  <c:v>0.53307692307692311</c:v>
                </c:pt>
                <c:pt idx="2">
                  <c:v>0.52615384615384619</c:v>
                </c:pt>
                <c:pt idx="3">
                  <c:v>0.58615384615384625</c:v>
                </c:pt>
                <c:pt idx="4">
                  <c:v>0.57692307692307687</c:v>
                </c:pt>
                <c:pt idx="5">
                  <c:v>0.57076923076923081</c:v>
                </c:pt>
                <c:pt idx="6">
                  <c:v>0.57999999999999996</c:v>
                </c:pt>
                <c:pt idx="7">
                  <c:v>0.56000000000000005</c:v>
                </c:pt>
                <c:pt idx="8">
                  <c:v>0.60615384615384615</c:v>
                </c:pt>
                <c:pt idx="9">
                  <c:v>0.57133333333333336</c:v>
                </c:pt>
                <c:pt idx="10">
                  <c:v>0.55937499999999996</c:v>
                </c:pt>
                <c:pt idx="11">
                  <c:v>0.61312499999999992</c:v>
                </c:pt>
                <c:pt idx="12">
                  <c:v>0.6164705882352941</c:v>
                </c:pt>
                <c:pt idx="13">
                  <c:v>0.6399999999999999</c:v>
                </c:pt>
                <c:pt idx="14">
                  <c:v>0.55588235294117638</c:v>
                </c:pt>
                <c:pt idx="15">
                  <c:v>0.65</c:v>
                </c:pt>
                <c:pt idx="16">
                  <c:v>0.54</c:v>
                </c:pt>
                <c:pt idx="17">
                  <c:v>0.6399999999999999</c:v>
                </c:pt>
                <c:pt idx="18">
                  <c:v>0.48200000000000004</c:v>
                </c:pt>
                <c:pt idx="19">
                  <c:v>0.502</c:v>
                </c:pt>
                <c:pt idx="20">
                  <c:v>0.53199999999999992</c:v>
                </c:pt>
                <c:pt idx="21">
                  <c:v>0.52000000000000013</c:v>
                </c:pt>
                <c:pt idx="22">
                  <c:v>0.56400000000000006</c:v>
                </c:pt>
                <c:pt idx="23">
                  <c:v>0.48599999999999993</c:v>
                </c:pt>
                <c:pt idx="24">
                  <c:v>0.62</c:v>
                </c:pt>
                <c:pt idx="25">
                  <c:v>0.62</c:v>
                </c:pt>
                <c:pt idx="26">
                  <c:v>0.59750000000000003</c:v>
                </c:pt>
                <c:pt idx="27">
                  <c:v>0.46</c:v>
                </c:pt>
                <c:pt idx="28">
                  <c:v>0.54</c:v>
                </c:pt>
                <c:pt idx="29">
                  <c:v>0.63</c:v>
                </c:pt>
                <c:pt idx="30">
                  <c:v>0.5</c:v>
                </c:pt>
                <c:pt idx="31">
                  <c:v>0.44</c:v>
                </c:pt>
                <c:pt idx="32">
                  <c:v>0.61</c:v>
                </c:pt>
                <c:pt idx="33">
                  <c:v>0.56999999999999995</c:v>
                </c:pt>
                <c:pt idx="34">
                  <c:v>0.53</c:v>
                </c:pt>
                <c:pt idx="35">
                  <c:v>0.6</c:v>
                </c:pt>
                <c:pt idx="36">
                  <c:v>0.66</c:v>
                </c:pt>
                <c:pt idx="37">
                  <c:v>0.65</c:v>
                </c:pt>
                <c:pt idx="38">
                  <c:v>0.62</c:v>
                </c:pt>
                <c:pt idx="39">
                  <c:v>0.67</c:v>
                </c:pt>
                <c:pt idx="40">
                  <c:v>0.7</c:v>
                </c:pt>
                <c:pt idx="41">
                  <c:v>0.61</c:v>
                </c:pt>
                <c:pt idx="42">
                  <c:v>0.71</c:v>
                </c:pt>
                <c:pt idx="43">
                  <c:v>0.64</c:v>
                </c:pt>
                <c:pt idx="44">
                  <c:v>0.61399999999999999</c:v>
                </c:pt>
                <c:pt idx="45">
                  <c:v>0.57999999999999996</c:v>
                </c:pt>
                <c:pt idx="46">
                  <c:v>0.51</c:v>
                </c:pt>
                <c:pt idx="47">
                  <c:v>0.55000000000000004</c:v>
                </c:pt>
                <c:pt idx="48">
                  <c:v>0.56999999999999995</c:v>
                </c:pt>
                <c:pt idx="49">
                  <c:v>0.56999999999999995</c:v>
                </c:pt>
                <c:pt idx="50">
                  <c:v>0.49</c:v>
                </c:pt>
                <c:pt idx="51">
                  <c:v>0.51</c:v>
                </c:pt>
                <c:pt idx="52">
                  <c:v>0.65</c:v>
                </c:pt>
                <c:pt idx="53">
                  <c:v>0.56999999999999995</c:v>
                </c:pt>
              </c:numCache>
            </c:numRef>
          </c:val>
          <c:extLst>
            <c:ext xmlns:c16="http://schemas.microsoft.com/office/drawing/2014/chart" uri="{C3380CC4-5D6E-409C-BE32-E72D297353CC}">
              <c16:uniqueId val="{00000002-BFA7-47E9-9C97-CAEFA3153E3F}"/>
            </c:ext>
          </c:extLst>
        </c:ser>
        <c:ser>
          <c:idx val="3"/>
          <c:order val="3"/>
          <c:tx>
            <c:strRef>
              <c:f>MATE!$BE$295</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MATE!$BF$291:$DG$291</c:f>
              <c:numCache>
                <c:formatCode>General</c:formatCode>
                <c:ptCount val="54"/>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numCache>
            </c:numRef>
          </c:cat>
          <c:val>
            <c:numRef>
              <c:f>MATE!$BF$295:$DG$295</c:f>
              <c:numCache>
                <c:formatCode>0%</c:formatCode>
                <c:ptCount val="54"/>
                <c:pt idx="0">
                  <c:v>7.4999999999999997E-3</c:v>
                </c:pt>
                <c:pt idx="1">
                  <c:v>2.8461538461538465E-2</c:v>
                </c:pt>
                <c:pt idx="2">
                  <c:v>3.692307692307692E-2</c:v>
                </c:pt>
                <c:pt idx="3">
                  <c:v>2.6923076923076925E-2</c:v>
                </c:pt>
                <c:pt idx="4">
                  <c:v>3.3846153846153845E-2</c:v>
                </c:pt>
                <c:pt idx="5">
                  <c:v>3.0769230769230774E-2</c:v>
                </c:pt>
                <c:pt idx="6">
                  <c:v>0.03</c:v>
                </c:pt>
                <c:pt idx="7">
                  <c:v>0.06</c:v>
                </c:pt>
                <c:pt idx="8">
                  <c:v>5.692307692307693E-2</c:v>
                </c:pt>
                <c:pt idx="9">
                  <c:v>1.9333333333333334E-2</c:v>
                </c:pt>
                <c:pt idx="10">
                  <c:v>4.4375000000000005E-2</c:v>
                </c:pt>
                <c:pt idx="11">
                  <c:v>1.6250000000000001E-2</c:v>
                </c:pt>
                <c:pt idx="12">
                  <c:v>4.0000000000000008E-2</c:v>
                </c:pt>
                <c:pt idx="13">
                  <c:v>4.055555555555556E-2</c:v>
                </c:pt>
                <c:pt idx="14">
                  <c:v>3.1176470588235295E-2</c:v>
                </c:pt>
                <c:pt idx="15">
                  <c:v>0.04</c:v>
                </c:pt>
                <c:pt idx="16">
                  <c:v>0.05</c:v>
                </c:pt>
                <c:pt idx="17">
                  <c:v>6.2000000000000013E-2</c:v>
                </c:pt>
                <c:pt idx="18">
                  <c:v>1.6E-2</c:v>
                </c:pt>
                <c:pt idx="19">
                  <c:v>6.0000000000000001E-3</c:v>
                </c:pt>
                <c:pt idx="20">
                  <c:v>8.0000000000000002E-3</c:v>
                </c:pt>
                <c:pt idx="21">
                  <c:v>0.01</c:v>
                </c:pt>
                <c:pt idx="22">
                  <c:v>1.9999999999999997E-2</c:v>
                </c:pt>
                <c:pt idx="23">
                  <c:v>1.2E-2</c:v>
                </c:pt>
                <c:pt idx="24">
                  <c:v>0.06</c:v>
                </c:pt>
                <c:pt idx="25">
                  <c:v>0.06</c:v>
                </c:pt>
                <c:pt idx="26">
                  <c:v>6.1874999999999999E-2</c:v>
                </c:pt>
                <c:pt idx="27">
                  <c:v>0</c:v>
                </c:pt>
                <c:pt idx="28">
                  <c:v>0.01</c:v>
                </c:pt>
                <c:pt idx="29">
                  <c:v>0.01</c:v>
                </c:pt>
                <c:pt idx="30">
                  <c:v>0.03</c:v>
                </c:pt>
                <c:pt idx="31">
                  <c:v>0.04</c:v>
                </c:pt>
                <c:pt idx="32">
                  <c:v>0.05</c:v>
                </c:pt>
                <c:pt idx="33">
                  <c:v>0.02</c:v>
                </c:pt>
                <c:pt idx="34">
                  <c:v>0.02</c:v>
                </c:pt>
                <c:pt idx="35">
                  <c:v>0.06</c:v>
                </c:pt>
                <c:pt idx="36">
                  <c:v>0.03</c:v>
                </c:pt>
                <c:pt idx="37">
                  <c:v>0.05</c:v>
                </c:pt>
                <c:pt idx="38">
                  <c:v>0.05</c:v>
                </c:pt>
                <c:pt idx="39">
                  <c:v>0.05</c:v>
                </c:pt>
                <c:pt idx="40">
                  <c:v>0.05</c:v>
                </c:pt>
                <c:pt idx="41">
                  <c:v>0.05</c:v>
                </c:pt>
                <c:pt idx="42">
                  <c:v>0.05</c:v>
                </c:pt>
                <c:pt idx="43">
                  <c:v>0.08</c:v>
                </c:pt>
                <c:pt idx="44">
                  <c:v>6.5333333333333327E-2</c:v>
                </c:pt>
                <c:pt idx="45">
                  <c:v>0.01</c:v>
                </c:pt>
                <c:pt idx="46">
                  <c:v>0.02</c:v>
                </c:pt>
                <c:pt idx="47">
                  <c:v>0.02</c:v>
                </c:pt>
                <c:pt idx="48">
                  <c:v>0.04</c:v>
                </c:pt>
                <c:pt idx="49">
                  <c:v>0.03</c:v>
                </c:pt>
                <c:pt idx="50">
                  <c:v>0.03</c:v>
                </c:pt>
                <c:pt idx="51">
                  <c:v>0.05</c:v>
                </c:pt>
                <c:pt idx="52">
                  <c:v>0.04</c:v>
                </c:pt>
                <c:pt idx="53">
                  <c:v>0.06</c:v>
                </c:pt>
              </c:numCache>
            </c:numRef>
          </c:val>
          <c:extLst>
            <c:ext xmlns:c16="http://schemas.microsoft.com/office/drawing/2014/chart" uri="{C3380CC4-5D6E-409C-BE32-E72D297353CC}">
              <c16:uniqueId val="{00000003-BFA7-47E9-9C97-CAEFA3153E3F}"/>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Resultados Sociales</a:t>
            </a:r>
            <a:r>
              <a:rPr lang="es-CO" sz="1400" baseline="0"/>
              <a:t> y Ciudadanas por Comunas 2016-2024</a:t>
            </a:r>
          </a:p>
        </c:rich>
      </c:tx>
      <c:overlay val="0"/>
    </c:title>
    <c:autoTitleDeleted val="0"/>
    <c:plotArea>
      <c:layout>
        <c:manualLayout>
          <c:layoutTarget val="inner"/>
          <c:xMode val="edge"/>
          <c:yMode val="edge"/>
          <c:x val="0.187328318016004"/>
          <c:y val="0.22896914253369183"/>
          <c:w val="0.52448317438146963"/>
          <c:h val="0.71774876595107084"/>
        </c:manualLayout>
      </c:layout>
      <c:radarChart>
        <c:radarStyle val="marker"/>
        <c:varyColors val="0"/>
        <c:ser>
          <c:idx val="0"/>
          <c:order val="0"/>
          <c:tx>
            <c:strRef>
              <c:f>SyC!$F$279</c:f>
              <c:strCache>
                <c:ptCount val="1"/>
                <c:pt idx="0">
                  <c:v>2016</c:v>
                </c:pt>
              </c:strCache>
            </c:strRef>
          </c:tx>
          <c:spPr>
            <a:ln>
              <a:prstDash val="lgDashDot"/>
            </a:ln>
          </c:spPr>
          <c:cat>
            <c:strRef>
              <c:f>SyC!$E$280:$E$285</c:f>
              <c:strCache>
                <c:ptCount val="6"/>
                <c:pt idx="0">
                  <c:v>COMUNA 1</c:v>
                </c:pt>
                <c:pt idx="1">
                  <c:v>COMUNA 2</c:v>
                </c:pt>
                <c:pt idx="2">
                  <c:v>COMUNA 3</c:v>
                </c:pt>
                <c:pt idx="3">
                  <c:v>COMUNA 4</c:v>
                </c:pt>
                <c:pt idx="4">
                  <c:v>COMUNA 5</c:v>
                </c:pt>
                <c:pt idx="5">
                  <c:v>COMUNA 6</c:v>
                </c:pt>
              </c:strCache>
            </c:strRef>
          </c:cat>
          <c:val>
            <c:numRef>
              <c:f>SyC!$F$280:$F$285</c:f>
              <c:numCache>
                <c:formatCode>0</c:formatCode>
                <c:ptCount val="6"/>
                <c:pt idx="0">
                  <c:v>50.588235294117645</c:v>
                </c:pt>
                <c:pt idx="1">
                  <c:v>52.9</c:v>
                </c:pt>
                <c:pt idx="2">
                  <c:v>52.4375</c:v>
                </c:pt>
                <c:pt idx="3">
                  <c:v>48.142857142857146</c:v>
                </c:pt>
                <c:pt idx="4">
                  <c:v>54.235294117647058</c:v>
                </c:pt>
                <c:pt idx="5">
                  <c:v>52.06666666666667</c:v>
                </c:pt>
              </c:numCache>
            </c:numRef>
          </c:val>
          <c:extLst>
            <c:ext xmlns:c16="http://schemas.microsoft.com/office/drawing/2014/chart" uri="{C3380CC4-5D6E-409C-BE32-E72D297353CC}">
              <c16:uniqueId val="{00000000-6FF0-4DC3-B973-4582DD3ABCD4}"/>
            </c:ext>
          </c:extLst>
        </c:ser>
        <c:ser>
          <c:idx val="1"/>
          <c:order val="1"/>
          <c:tx>
            <c:strRef>
              <c:f>SyC!$G$279</c:f>
              <c:strCache>
                <c:ptCount val="1"/>
                <c:pt idx="0">
                  <c:v>2017</c:v>
                </c:pt>
              </c:strCache>
            </c:strRef>
          </c:tx>
          <c:cat>
            <c:strRef>
              <c:f>SyC!$E$280:$E$285</c:f>
              <c:strCache>
                <c:ptCount val="6"/>
                <c:pt idx="0">
                  <c:v>COMUNA 1</c:v>
                </c:pt>
                <c:pt idx="1">
                  <c:v>COMUNA 2</c:v>
                </c:pt>
                <c:pt idx="2">
                  <c:v>COMUNA 3</c:v>
                </c:pt>
                <c:pt idx="3">
                  <c:v>COMUNA 4</c:v>
                </c:pt>
                <c:pt idx="4">
                  <c:v>COMUNA 5</c:v>
                </c:pt>
                <c:pt idx="5">
                  <c:v>COMUNA 6</c:v>
                </c:pt>
              </c:strCache>
            </c:strRef>
          </c:cat>
          <c:val>
            <c:numRef>
              <c:f>SyC!$G$280:$G$285</c:f>
              <c:numCache>
                <c:formatCode>0</c:formatCode>
                <c:ptCount val="6"/>
                <c:pt idx="0">
                  <c:v>50.8125</c:v>
                </c:pt>
                <c:pt idx="1">
                  <c:v>52.421052631578945</c:v>
                </c:pt>
                <c:pt idx="2">
                  <c:v>52.588235294117645</c:v>
                </c:pt>
                <c:pt idx="3">
                  <c:v>50.266666666666666</c:v>
                </c:pt>
                <c:pt idx="4">
                  <c:v>54.117647058823529</c:v>
                </c:pt>
                <c:pt idx="5">
                  <c:v>50.6</c:v>
                </c:pt>
              </c:numCache>
            </c:numRef>
          </c:val>
          <c:extLst>
            <c:ext xmlns:c16="http://schemas.microsoft.com/office/drawing/2014/chart" uri="{C3380CC4-5D6E-409C-BE32-E72D297353CC}">
              <c16:uniqueId val="{00000001-6FF0-4DC3-B973-4582DD3ABCD4}"/>
            </c:ext>
          </c:extLst>
        </c:ser>
        <c:ser>
          <c:idx val="2"/>
          <c:order val="2"/>
          <c:tx>
            <c:strRef>
              <c:f>SyC!$H$279</c:f>
              <c:strCache>
                <c:ptCount val="1"/>
                <c:pt idx="0">
                  <c:v>2018</c:v>
                </c:pt>
              </c:strCache>
            </c:strRef>
          </c:tx>
          <c:spPr>
            <a:ln>
              <a:prstDash val="sysDash"/>
            </a:ln>
          </c:spPr>
          <c:cat>
            <c:strRef>
              <c:f>SyC!$E$280:$E$285</c:f>
              <c:strCache>
                <c:ptCount val="6"/>
                <c:pt idx="0">
                  <c:v>COMUNA 1</c:v>
                </c:pt>
                <c:pt idx="1">
                  <c:v>COMUNA 2</c:v>
                </c:pt>
                <c:pt idx="2">
                  <c:v>COMUNA 3</c:v>
                </c:pt>
                <c:pt idx="3">
                  <c:v>COMUNA 4</c:v>
                </c:pt>
                <c:pt idx="4">
                  <c:v>COMUNA 5</c:v>
                </c:pt>
                <c:pt idx="5">
                  <c:v>COMUNA 6</c:v>
                </c:pt>
              </c:strCache>
            </c:strRef>
          </c:cat>
          <c:val>
            <c:numRef>
              <c:f>SyC!$H$280:$H$285</c:f>
              <c:numCache>
                <c:formatCode>0</c:formatCode>
                <c:ptCount val="6"/>
                <c:pt idx="0">
                  <c:v>48.882352941176471</c:v>
                </c:pt>
                <c:pt idx="1">
                  <c:v>50.684210526315788</c:v>
                </c:pt>
                <c:pt idx="2">
                  <c:v>51.176470588235297</c:v>
                </c:pt>
                <c:pt idx="3">
                  <c:v>47.93333333333333</c:v>
                </c:pt>
                <c:pt idx="4">
                  <c:v>52.555555555555557</c:v>
                </c:pt>
                <c:pt idx="5">
                  <c:v>50.571428571428569</c:v>
                </c:pt>
              </c:numCache>
            </c:numRef>
          </c:val>
          <c:extLst>
            <c:ext xmlns:c16="http://schemas.microsoft.com/office/drawing/2014/chart" uri="{C3380CC4-5D6E-409C-BE32-E72D297353CC}">
              <c16:uniqueId val="{00000002-6FF0-4DC3-B973-4582DD3ABCD4}"/>
            </c:ext>
          </c:extLst>
        </c:ser>
        <c:ser>
          <c:idx val="3"/>
          <c:order val="3"/>
          <c:tx>
            <c:strRef>
              <c:f>SyC!$I$279</c:f>
              <c:strCache>
                <c:ptCount val="1"/>
                <c:pt idx="0">
                  <c:v>2019</c:v>
                </c:pt>
              </c:strCache>
            </c:strRef>
          </c:tx>
          <c:cat>
            <c:strRef>
              <c:f>SyC!$E$280:$E$285</c:f>
              <c:strCache>
                <c:ptCount val="6"/>
                <c:pt idx="0">
                  <c:v>COMUNA 1</c:v>
                </c:pt>
                <c:pt idx="1">
                  <c:v>COMUNA 2</c:v>
                </c:pt>
                <c:pt idx="2">
                  <c:v>COMUNA 3</c:v>
                </c:pt>
                <c:pt idx="3">
                  <c:v>COMUNA 4</c:v>
                </c:pt>
                <c:pt idx="4">
                  <c:v>COMUNA 5</c:v>
                </c:pt>
                <c:pt idx="5">
                  <c:v>COMUNA 6</c:v>
                </c:pt>
              </c:strCache>
            </c:strRef>
          </c:cat>
          <c:val>
            <c:numRef>
              <c:f>SyC!$I$280:$I$285</c:f>
              <c:numCache>
                <c:formatCode>0</c:formatCode>
                <c:ptCount val="6"/>
                <c:pt idx="0">
                  <c:v>46.941176470588232</c:v>
                </c:pt>
                <c:pt idx="1">
                  <c:v>49.65</c:v>
                </c:pt>
                <c:pt idx="2">
                  <c:v>48.705882352941174</c:v>
                </c:pt>
                <c:pt idx="3">
                  <c:v>45.785714285714285</c:v>
                </c:pt>
                <c:pt idx="4">
                  <c:v>50.421052631578945</c:v>
                </c:pt>
                <c:pt idx="5">
                  <c:v>49.2</c:v>
                </c:pt>
              </c:numCache>
            </c:numRef>
          </c:val>
          <c:extLst>
            <c:ext xmlns:c16="http://schemas.microsoft.com/office/drawing/2014/chart" uri="{C3380CC4-5D6E-409C-BE32-E72D297353CC}">
              <c16:uniqueId val="{00000003-6FF0-4DC3-B973-4582DD3ABCD4}"/>
            </c:ext>
          </c:extLst>
        </c:ser>
        <c:ser>
          <c:idx val="4"/>
          <c:order val="4"/>
          <c:tx>
            <c:strRef>
              <c:f>SyC!$J$279</c:f>
              <c:strCache>
                <c:ptCount val="1"/>
                <c:pt idx="0">
                  <c:v>2020</c:v>
                </c:pt>
              </c:strCache>
            </c:strRef>
          </c:tx>
          <c:cat>
            <c:strRef>
              <c:f>SyC!$E$280:$E$285</c:f>
              <c:strCache>
                <c:ptCount val="6"/>
                <c:pt idx="0">
                  <c:v>COMUNA 1</c:v>
                </c:pt>
                <c:pt idx="1">
                  <c:v>COMUNA 2</c:v>
                </c:pt>
                <c:pt idx="2">
                  <c:v>COMUNA 3</c:v>
                </c:pt>
                <c:pt idx="3">
                  <c:v>COMUNA 4</c:v>
                </c:pt>
                <c:pt idx="4">
                  <c:v>COMUNA 5</c:v>
                </c:pt>
                <c:pt idx="5">
                  <c:v>COMUNA 6</c:v>
                </c:pt>
              </c:strCache>
            </c:strRef>
          </c:cat>
          <c:val>
            <c:numRef>
              <c:f>SyC!$J$280:$J$285</c:f>
              <c:numCache>
                <c:formatCode>0</c:formatCode>
                <c:ptCount val="6"/>
                <c:pt idx="0">
                  <c:v>50.058823529411768</c:v>
                </c:pt>
                <c:pt idx="1">
                  <c:v>51.083333333333336</c:v>
                </c:pt>
                <c:pt idx="2">
                  <c:v>51.578947368421055</c:v>
                </c:pt>
                <c:pt idx="3">
                  <c:v>46.692307692307693</c:v>
                </c:pt>
                <c:pt idx="4">
                  <c:v>53.777777777777779</c:v>
                </c:pt>
                <c:pt idx="5">
                  <c:v>49.588235294117645</c:v>
                </c:pt>
              </c:numCache>
            </c:numRef>
          </c:val>
          <c:extLst>
            <c:ext xmlns:c16="http://schemas.microsoft.com/office/drawing/2014/chart" uri="{C3380CC4-5D6E-409C-BE32-E72D297353CC}">
              <c16:uniqueId val="{00000001-B9F6-4279-8107-9D79A57E0273}"/>
            </c:ext>
          </c:extLst>
        </c:ser>
        <c:ser>
          <c:idx val="5"/>
          <c:order val="5"/>
          <c:tx>
            <c:strRef>
              <c:f>SyC!$K$279</c:f>
              <c:strCache>
                <c:ptCount val="1"/>
                <c:pt idx="0">
                  <c:v>2021</c:v>
                </c:pt>
              </c:strCache>
            </c:strRef>
          </c:tx>
          <c:cat>
            <c:strRef>
              <c:f>SyC!$E$280:$E$285</c:f>
              <c:strCache>
                <c:ptCount val="6"/>
                <c:pt idx="0">
                  <c:v>COMUNA 1</c:v>
                </c:pt>
                <c:pt idx="1">
                  <c:v>COMUNA 2</c:v>
                </c:pt>
                <c:pt idx="2">
                  <c:v>COMUNA 3</c:v>
                </c:pt>
                <c:pt idx="3">
                  <c:v>COMUNA 4</c:v>
                </c:pt>
                <c:pt idx="4">
                  <c:v>COMUNA 5</c:v>
                </c:pt>
                <c:pt idx="5">
                  <c:v>COMUNA 6</c:v>
                </c:pt>
              </c:strCache>
            </c:strRef>
          </c:cat>
          <c:val>
            <c:numRef>
              <c:f>SyC!$K$280:$K$285</c:f>
              <c:numCache>
                <c:formatCode>0</c:formatCode>
                <c:ptCount val="6"/>
                <c:pt idx="0">
                  <c:v>50.058823529411768</c:v>
                </c:pt>
                <c:pt idx="1">
                  <c:v>51.083333333333336</c:v>
                </c:pt>
                <c:pt idx="2">
                  <c:v>51.578947368421055</c:v>
                </c:pt>
                <c:pt idx="3">
                  <c:v>46.692307692307693</c:v>
                </c:pt>
                <c:pt idx="4">
                  <c:v>53.777777777777779</c:v>
                </c:pt>
                <c:pt idx="5">
                  <c:v>49.588235294117645</c:v>
                </c:pt>
              </c:numCache>
            </c:numRef>
          </c:val>
          <c:extLst>
            <c:ext xmlns:c16="http://schemas.microsoft.com/office/drawing/2014/chart" uri="{C3380CC4-5D6E-409C-BE32-E72D297353CC}">
              <c16:uniqueId val="{00000000-E77B-48C2-BF8E-39EDC2786495}"/>
            </c:ext>
          </c:extLst>
        </c:ser>
        <c:ser>
          <c:idx val="6"/>
          <c:order val="6"/>
          <c:tx>
            <c:strRef>
              <c:f>SyC!$L$279</c:f>
              <c:strCache>
                <c:ptCount val="1"/>
                <c:pt idx="0">
                  <c:v>2022</c:v>
                </c:pt>
              </c:strCache>
            </c:strRef>
          </c:tx>
          <c:cat>
            <c:strRef>
              <c:f>SyC!$E$280:$E$285</c:f>
              <c:strCache>
                <c:ptCount val="6"/>
                <c:pt idx="0">
                  <c:v>COMUNA 1</c:v>
                </c:pt>
                <c:pt idx="1">
                  <c:v>COMUNA 2</c:v>
                </c:pt>
                <c:pt idx="2">
                  <c:v>COMUNA 3</c:v>
                </c:pt>
                <c:pt idx="3">
                  <c:v>COMUNA 4</c:v>
                </c:pt>
                <c:pt idx="4">
                  <c:v>COMUNA 5</c:v>
                </c:pt>
                <c:pt idx="5">
                  <c:v>COMUNA 6</c:v>
                </c:pt>
              </c:strCache>
            </c:strRef>
          </c:cat>
          <c:val>
            <c:numRef>
              <c:f>SyC!$L$280:$L$285</c:f>
              <c:numCache>
                <c:formatCode>0</c:formatCode>
                <c:ptCount val="6"/>
                <c:pt idx="0">
                  <c:v>49.388888888888886</c:v>
                </c:pt>
                <c:pt idx="1">
                  <c:v>51.08</c:v>
                </c:pt>
                <c:pt idx="2">
                  <c:v>51.863636363636367</c:v>
                </c:pt>
                <c:pt idx="3">
                  <c:v>47.214285714285715</c:v>
                </c:pt>
                <c:pt idx="4">
                  <c:v>53.352941176470587</c:v>
                </c:pt>
                <c:pt idx="5">
                  <c:v>49.736842105263158</c:v>
                </c:pt>
              </c:numCache>
            </c:numRef>
          </c:val>
          <c:extLst>
            <c:ext xmlns:c16="http://schemas.microsoft.com/office/drawing/2014/chart" uri="{C3380CC4-5D6E-409C-BE32-E72D297353CC}">
              <c16:uniqueId val="{00000000-7138-4799-AF03-004EDD5E4386}"/>
            </c:ext>
          </c:extLst>
        </c:ser>
        <c:ser>
          <c:idx val="7"/>
          <c:order val="7"/>
          <c:tx>
            <c:strRef>
              <c:f>SyC!$M$279</c:f>
              <c:strCache>
                <c:ptCount val="1"/>
                <c:pt idx="0">
                  <c:v>2023</c:v>
                </c:pt>
              </c:strCache>
            </c:strRef>
          </c:tx>
          <c:cat>
            <c:strRef>
              <c:f>SyC!$E$280:$E$285</c:f>
              <c:strCache>
                <c:ptCount val="6"/>
                <c:pt idx="0">
                  <c:v>COMUNA 1</c:v>
                </c:pt>
                <c:pt idx="1">
                  <c:v>COMUNA 2</c:v>
                </c:pt>
                <c:pt idx="2">
                  <c:v>COMUNA 3</c:v>
                </c:pt>
                <c:pt idx="3">
                  <c:v>COMUNA 4</c:v>
                </c:pt>
                <c:pt idx="4">
                  <c:v>COMUNA 5</c:v>
                </c:pt>
                <c:pt idx="5">
                  <c:v>COMUNA 6</c:v>
                </c:pt>
              </c:strCache>
            </c:strRef>
          </c:cat>
          <c:val>
            <c:numRef>
              <c:f>SyC!$M$280:$M$285</c:f>
              <c:numCache>
                <c:formatCode>0</c:formatCode>
                <c:ptCount val="6"/>
                <c:pt idx="0">
                  <c:v>50.058823529411768</c:v>
                </c:pt>
                <c:pt idx="1">
                  <c:v>51.5</c:v>
                </c:pt>
                <c:pt idx="2">
                  <c:v>51.409090909090907</c:v>
                </c:pt>
                <c:pt idx="3">
                  <c:v>46.733333333333334</c:v>
                </c:pt>
                <c:pt idx="4">
                  <c:v>53.647058823529413</c:v>
                </c:pt>
                <c:pt idx="5">
                  <c:v>51.15</c:v>
                </c:pt>
              </c:numCache>
            </c:numRef>
          </c:val>
          <c:extLst>
            <c:ext xmlns:c16="http://schemas.microsoft.com/office/drawing/2014/chart" uri="{C3380CC4-5D6E-409C-BE32-E72D297353CC}">
              <c16:uniqueId val="{00000001-7138-4799-AF03-004EDD5E4386}"/>
            </c:ext>
          </c:extLst>
        </c:ser>
        <c:ser>
          <c:idx val="8"/>
          <c:order val="8"/>
          <c:tx>
            <c:strRef>
              <c:f>SyC!$N$279</c:f>
              <c:strCache>
                <c:ptCount val="1"/>
                <c:pt idx="0">
                  <c:v>2024</c:v>
                </c:pt>
              </c:strCache>
            </c:strRef>
          </c:tx>
          <c:cat>
            <c:strRef>
              <c:f>SyC!$E$280:$E$285</c:f>
              <c:strCache>
                <c:ptCount val="6"/>
                <c:pt idx="0">
                  <c:v>COMUNA 1</c:v>
                </c:pt>
                <c:pt idx="1">
                  <c:v>COMUNA 2</c:v>
                </c:pt>
                <c:pt idx="2">
                  <c:v>COMUNA 3</c:v>
                </c:pt>
                <c:pt idx="3">
                  <c:v>COMUNA 4</c:v>
                </c:pt>
                <c:pt idx="4">
                  <c:v>COMUNA 5</c:v>
                </c:pt>
                <c:pt idx="5">
                  <c:v>COMUNA 6</c:v>
                </c:pt>
              </c:strCache>
            </c:strRef>
          </c:cat>
          <c:val>
            <c:numRef>
              <c:f>SyC!$N$280:$N$285</c:f>
              <c:numCache>
                <c:formatCode>0</c:formatCode>
                <c:ptCount val="6"/>
                <c:pt idx="0">
                  <c:v>49.777777777777779</c:v>
                </c:pt>
                <c:pt idx="1">
                  <c:v>51.583333333333336</c:v>
                </c:pt>
                <c:pt idx="2">
                  <c:v>51.18181818181818</c:v>
                </c:pt>
                <c:pt idx="3">
                  <c:v>48.07692307692308</c:v>
                </c:pt>
                <c:pt idx="4">
                  <c:v>52.166666666666664</c:v>
                </c:pt>
                <c:pt idx="5">
                  <c:v>50.611111111111114</c:v>
                </c:pt>
              </c:numCache>
            </c:numRef>
          </c:val>
          <c:extLst>
            <c:ext xmlns:c16="http://schemas.microsoft.com/office/drawing/2014/chart" uri="{C3380CC4-5D6E-409C-BE32-E72D297353CC}">
              <c16:uniqueId val="{00000000-9C58-42FD-89C8-0BD7356F0BFE}"/>
            </c:ext>
          </c:extLst>
        </c:ser>
        <c:dLbls>
          <c:showLegendKey val="0"/>
          <c:showVal val="0"/>
          <c:showCatName val="0"/>
          <c:showSerName val="0"/>
          <c:showPercent val="0"/>
          <c:showBubbleSize val="0"/>
        </c:dLbls>
        <c:axId val="38807040"/>
        <c:axId val="38808576"/>
      </c:radarChart>
      <c:catAx>
        <c:axId val="38807040"/>
        <c:scaling>
          <c:orientation val="minMax"/>
        </c:scaling>
        <c:delete val="0"/>
        <c:axPos val="b"/>
        <c:majorGridlines/>
        <c:numFmt formatCode="General" sourceLinked="0"/>
        <c:majorTickMark val="none"/>
        <c:minorTickMark val="none"/>
        <c:tickLblPos val="nextTo"/>
        <c:spPr>
          <a:ln w="9525">
            <a:noFill/>
          </a:ln>
        </c:spPr>
        <c:crossAx val="38808576"/>
        <c:crosses val="autoZero"/>
        <c:auto val="1"/>
        <c:lblAlgn val="ctr"/>
        <c:lblOffset val="100"/>
        <c:noMultiLvlLbl val="0"/>
      </c:catAx>
      <c:valAx>
        <c:axId val="38808576"/>
        <c:scaling>
          <c:orientation val="minMax"/>
          <c:max val="56"/>
          <c:min val="45"/>
        </c:scaling>
        <c:delete val="0"/>
        <c:axPos val="l"/>
        <c:majorGridlines/>
        <c:numFmt formatCode="0" sourceLinked="1"/>
        <c:majorTickMark val="none"/>
        <c:minorTickMark val="none"/>
        <c:tickLblPos val="nextTo"/>
        <c:crossAx val="38807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Resultados Sociales y Ciudadanas Instituciones Oficiales por Comunas 2016-2024</a:t>
            </a:r>
            <a:endParaRPr lang="es-CO" sz="1400">
              <a:effectLst/>
            </a:endParaRPr>
          </a:p>
        </c:rich>
      </c:tx>
      <c:overlay val="0"/>
    </c:title>
    <c:autoTitleDeleted val="0"/>
    <c:plotArea>
      <c:layout/>
      <c:radarChart>
        <c:radarStyle val="marker"/>
        <c:varyColors val="0"/>
        <c:ser>
          <c:idx val="0"/>
          <c:order val="0"/>
          <c:tx>
            <c:strRef>
              <c:f>SyC!$U$200</c:f>
              <c:strCache>
                <c:ptCount val="1"/>
                <c:pt idx="0">
                  <c:v>2016</c:v>
                </c:pt>
              </c:strCache>
            </c:strRef>
          </c:tx>
          <c:spPr>
            <a:ln>
              <a:prstDash val="lgDashDot"/>
            </a:ln>
          </c:spPr>
          <c:cat>
            <c:strRef>
              <c:f>SyC!$T$201:$T$206</c:f>
              <c:strCache>
                <c:ptCount val="6"/>
                <c:pt idx="0">
                  <c:v>COMUNA 1</c:v>
                </c:pt>
                <c:pt idx="1">
                  <c:v>COMUNA 2</c:v>
                </c:pt>
                <c:pt idx="2">
                  <c:v>COMUNA 3</c:v>
                </c:pt>
                <c:pt idx="3">
                  <c:v>COMUNA 4</c:v>
                </c:pt>
                <c:pt idx="4">
                  <c:v>COMUNA 5</c:v>
                </c:pt>
                <c:pt idx="5">
                  <c:v>COMUNA 6</c:v>
                </c:pt>
              </c:strCache>
            </c:strRef>
          </c:cat>
          <c:val>
            <c:numRef>
              <c:f>SyC!$U$201:$U$206</c:f>
              <c:numCache>
                <c:formatCode>0</c:formatCode>
                <c:ptCount val="6"/>
                <c:pt idx="0">
                  <c:v>50.75</c:v>
                </c:pt>
                <c:pt idx="1">
                  <c:v>52</c:v>
                </c:pt>
                <c:pt idx="2">
                  <c:v>50.666666666666664</c:v>
                </c:pt>
                <c:pt idx="3">
                  <c:v>47.166666666666664</c:v>
                </c:pt>
                <c:pt idx="4">
                  <c:v>52</c:v>
                </c:pt>
                <c:pt idx="5">
                  <c:v>50.666666666666664</c:v>
                </c:pt>
              </c:numCache>
            </c:numRef>
          </c:val>
          <c:extLst>
            <c:ext xmlns:c16="http://schemas.microsoft.com/office/drawing/2014/chart" uri="{C3380CC4-5D6E-409C-BE32-E72D297353CC}">
              <c16:uniqueId val="{00000000-F7EE-486F-87F6-687CEB1BD33C}"/>
            </c:ext>
          </c:extLst>
        </c:ser>
        <c:ser>
          <c:idx val="1"/>
          <c:order val="1"/>
          <c:tx>
            <c:strRef>
              <c:f>SyC!$V$200</c:f>
              <c:strCache>
                <c:ptCount val="1"/>
                <c:pt idx="0">
                  <c:v>2017</c:v>
                </c:pt>
              </c:strCache>
            </c:strRef>
          </c:tx>
          <c:cat>
            <c:strRef>
              <c:f>SyC!$T$201:$T$206</c:f>
              <c:strCache>
                <c:ptCount val="6"/>
                <c:pt idx="0">
                  <c:v>COMUNA 1</c:v>
                </c:pt>
                <c:pt idx="1">
                  <c:v>COMUNA 2</c:v>
                </c:pt>
                <c:pt idx="2">
                  <c:v>COMUNA 3</c:v>
                </c:pt>
                <c:pt idx="3">
                  <c:v>COMUNA 4</c:v>
                </c:pt>
                <c:pt idx="4">
                  <c:v>COMUNA 5</c:v>
                </c:pt>
                <c:pt idx="5">
                  <c:v>COMUNA 6</c:v>
                </c:pt>
              </c:strCache>
            </c:strRef>
          </c:cat>
          <c:val>
            <c:numRef>
              <c:f>SyC!$V$201:$V$206</c:f>
              <c:numCache>
                <c:formatCode>0</c:formatCode>
                <c:ptCount val="6"/>
                <c:pt idx="0">
                  <c:v>51.5</c:v>
                </c:pt>
                <c:pt idx="1">
                  <c:v>51</c:v>
                </c:pt>
                <c:pt idx="2">
                  <c:v>50.666666666666664</c:v>
                </c:pt>
                <c:pt idx="3">
                  <c:v>47.5</c:v>
                </c:pt>
                <c:pt idx="4">
                  <c:v>50</c:v>
                </c:pt>
                <c:pt idx="5">
                  <c:v>50</c:v>
                </c:pt>
              </c:numCache>
            </c:numRef>
          </c:val>
          <c:extLst>
            <c:ext xmlns:c16="http://schemas.microsoft.com/office/drawing/2014/chart" uri="{C3380CC4-5D6E-409C-BE32-E72D297353CC}">
              <c16:uniqueId val="{00000001-F7EE-486F-87F6-687CEB1BD33C}"/>
            </c:ext>
          </c:extLst>
        </c:ser>
        <c:ser>
          <c:idx val="2"/>
          <c:order val="2"/>
          <c:tx>
            <c:strRef>
              <c:f>SyC!$W$200</c:f>
              <c:strCache>
                <c:ptCount val="1"/>
                <c:pt idx="0">
                  <c:v>2018</c:v>
                </c:pt>
              </c:strCache>
            </c:strRef>
          </c:tx>
          <c:spPr>
            <a:ln>
              <a:prstDash val="sysDash"/>
            </a:ln>
          </c:spPr>
          <c:cat>
            <c:strRef>
              <c:f>SyC!$T$201:$T$206</c:f>
              <c:strCache>
                <c:ptCount val="6"/>
                <c:pt idx="0">
                  <c:v>COMUNA 1</c:v>
                </c:pt>
                <c:pt idx="1">
                  <c:v>COMUNA 2</c:v>
                </c:pt>
                <c:pt idx="2">
                  <c:v>COMUNA 3</c:v>
                </c:pt>
                <c:pt idx="3">
                  <c:v>COMUNA 4</c:v>
                </c:pt>
                <c:pt idx="4">
                  <c:v>COMUNA 5</c:v>
                </c:pt>
                <c:pt idx="5">
                  <c:v>COMUNA 6</c:v>
                </c:pt>
              </c:strCache>
            </c:strRef>
          </c:cat>
          <c:val>
            <c:numRef>
              <c:f>SyC!$W$201:$W$206</c:f>
              <c:numCache>
                <c:formatCode>0</c:formatCode>
                <c:ptCount val="6"/>
                <c:pt idx="0">
                  <c:v>48.25</c:v>
                </c:pt>
                <c:pt idx="1">
                  <c:v>49</c:v>
                </c:pt>
                <c:pt idx="2">
                  <c:v>49.666666666666664</c:v>
                </c:pt>
                <c:pt idx="3">
                  <c:v>45.166666666666664</c:v>
                </c:pt>
                <c:pt idx="4">
                  <c:v>48</c:v>
                </c:pt>
                <c:pt idx="5">
                  <c:v>47.666666666666664</c:v>
                </c:pt>
              </c:numCache>
            </c:numRef>
          </c:val>
          <c:extLst>
            <c:ext xmlns:c16="http://schemas.microsoft.com/office/drawing/2014/chart" uri="{C3380CC4-5D6E-409C-BE32-E72D297353CC}">
              <c16:uniqueId val="{00000002-F7EE-486F-87F6-687CEB1BD33C}"/>
            </c:ext>
          </c:extLst>
        </c:ser>
        <c:ser>
          <c:idx val="3"/>
          <c:order val="3"/>
          <c:tx>
            <c:strRef>
              <c:f>SyC!$X$200</c:f>
              <c:strCache>
                <c:ptCount val="1"/>
                <c:pt idx="0">
                  <c:v>2019</c:v>
                </c:pt>
              </c:strCache>
            </c:strRef>
          </c:tx>
          <c:cat>
            <c:strRef>
              <c:f>SyC!$T$201:$T$206</c:f>
              <c:strCache>
                <c:ptCount val="6"/>
                <c:pt idx="0">
                  <c:v>COMUNA 1</c:v>
                </c:pt>
                <c:pt idx="1">
                  <c:v>COMUNA 2</c:v>
                </c:pt>
                <c:pt idx="2">
                  <c:v>COMUNA 3</c:v>
                </c:pt>
                <c:pt idx="3">
                  <c:v>COMUNA 4</c:v>
                </c:pt>
                <c:pt idx="4">
                  <c:v>COMUNA 5</c:v>
                </c:pt>
                <c:pt idx="5">
                  <c:v>COMUNA 6</c:v>
                </c:pt>
              </c:strCache>
            </c:strRef>
          </c:cat>
          <c:val>
            <c:numRef>
              <c:f>SyC!$X$201:$X$206</c:f>
              <c:numCache>
                <c:formatCode>0</c:formatCode>
                <c:ptCount val="6"/>
                <c:pt idx="0">
                  <c:v>47.25</c:v>
                </c:pt>
                <c:pt idx="1">
                  <c:v>48</c:v>
                </c:pt>
                <c:pt idx="2">
                  <c:v>46.333333333333336</c:v>
                </c:pt>
                <c:pt idx="3">
                  <c:v>43</c:v>
                </c:pt>
                <c:pt idx="4">
                  <c:v>47.5</c:v>
                </c:pt>
                <c:pt idx="5">
                  <c:v>46.666666666666664</c:v>
                </c:pt>
              </c:numCache>
            </c:numRef>
          </c:val>
          <c:extLst>
            <c:ext xmlns:c16="http://schemas.microsoft.com/office/drawing/2014/chart" uri="{C3380CC4-5D6E-409C-BE32-E72D297353CC}">
              <c16:uniqueId val="{00000003-F7EE-486F-87F6-687CEB1BD33C}"/>
            </c:ext>
          </c:extLst>
        </c:ser>
        <c:ser>
          <c:idx val="4"/>
          <c:order val="4"/>
          <c:tx>
            <c:strRef>
              <c:f>SyC!$Y$200</c:f>
              <c:strCache>
                <c:ptCount val="1"/>
                <c:pt idx="0">
                  <c:v>2020</c:v>
                </c:pt>
              </c:strCache>
            </c:strRef>
          </c:tx>
          <c:cat>
            <c:strRef>
              <c:f>SyC!$T$201:$T$206</c:f>
              <c:strCache>
                <c:ptCount val="6"/>
                <c:pt idx="0">
                  <c:v>COMUNA 1</c:v>
                </c:pt>
                <c:pt idx="1">
                  <c:v>COMUNA 2</c:v>
                </c:pt>
                <c:pt idx="2">
                  <c:v>COMUNA 3</c:v>
                </c:pt>
                <c:pt idx="3">
                  <c:v>COMUNA 4</c:v>
                </c:pt>
                <c:pt idx="4">
                  <c:v>COMUNA 5</c:v>
                </c:pt>
                <c:pt idx="5">
                  <c:v>COMUNA 6</c:v>
                </c:pt>
              </c:strCache>
            </c:strRef>
          </c:cat>
          <c:val>
            <c:numRef>
              <c:f>SyC!$Y$201:$Y$206</c:f>
              <c:numCache>
                <c:formatCode>0</c:formatCode>
                <c:ptCount val="6"/>
                <c:pt idx="0">
                  <c:v>49.75</c:v>
                </c:pt>
                <c:pt idx="1">
                  <c:v>50</c:v>
                </c:pt>
                <c:pt idx="2">
                  <c:v>49.25</c:v>
                </c:pt>
                <c:pt idx="3">
                  <c:v>45.333333333333336</c:v>
                </c:pt>
                <c:pt idx="4">
                  <c:v>49.5</c:v>
                </c:pt>
                <c:pt idx="5">
                  <c:v>48.666666666666664</c:v>
                </c:pt>
              </c:numCache>
            </c:numRef>
          </c:val>
          <c:extLst>
            <c:ext xmlns:c16="http://schemas.microsoft.com/office/drawing/2014/chart" uri="{C3380CC4-5D6E-409C-BE32-E72D297353CC}">
              <c16:uniqueId val="{00000001-90C1-4BCC-AC67-43A5E24B21E5}"/>
            </c:ext>
          </c:extLst>
        </c:ser>
        <c:ser>
          <c:idx val="5"/>
          <c:order val="5"/>
          <c:tx>
            <c:strRef>
              <c:f>SyC!$Z$200</c:f>
              <c:strCache>
                <c:ptCount val="1"/>
                <c:pt idx="0">
                  <c:v>2021</c:v>
                </c:pt>
              </c:strCache>
            </c:strRef>
          </c:tx>
          <c:cat>
            <c:strRef>
              <c:f>SyC!$T$201:$T$206</c:f>
              <c:strCache>
                <c:ptCount val="6"/>
                <c:pt idx="0">
                  <c:v>COMUNA 1</c:v>
                </c:pt>
                <c:pt idx="1">
                  <c:v>COMUNA 2</c:v>
                </c:pt>
                <c:pt idx="2">
                  <c:v>COMUNA 3</c:v>
                </c:pt>
                <c:pt idx="3">
                  <c:v>COMUNA 4</c:v>
                </c:pt>
                <c:pt idx="4">
                  <c:v>COMUNA 5</c:v>
                </c:pt>
                <c:pt idx="5">
                  <c:v>COMUNA 6</c:v>
                </c:pt>
              </c:strCache>
            </c:strRef>
          </c:cat>
          <c:val>
            <c:numRef>
              <c:f>SyC!$Z$201:$Z$206</c:f>
              <c:numCache>
                <c:formatCode>0</c:formatCode>
                <c:ptCount val="6"/>
                <c:pt idx="0">
                  <c:v>47.5</c:v>
                </c:pt>
                <c:pt idx="1">
                  <c:v>48.5</c:v>
                </c:pt>
                <c:pt idx="2">
                  <c:v>47.6</c:v>
                </c:pt>
                <c:pt idx="3">
                  <c:v>44</c:v>
                </c:pt>
                <c:pt idx="4">
                  <c:v>48</c:v>
                </c:pt>
                <c:pt idx="5">
                  <c:v>46.666666666666664</c:v>
                </c:pt>
              </c:numCache>
            </c:numRef>
          </c:val>
          <c:extLst>
            <c:ext xmlns:c16="http://schemas.microsoft.com/office/drawing/2014/chart" uri="{C3380CC4-5D6E-409C-BE32-E72D297353CC}">
              <c16:uniqueId val="{00000000-EF1E-4CE5-B7D0-E0ECA1CFC172}"/>
            </c:ext>
          </c:extLst>
        </c:ser>
        <c:ser>
          <c:idx val="6"/>
          <c:order val="6"/>
          <c:tx>
            <c:strRef>
              <c:f>SyC!$AA$200</c:f>
              <c:strCache>
                <c:ptCount val="1"/>
                <c:pt idx="0">
                  <c:v>2022</c:v>
                </c:pt>
              </c:strCache>
            </c:strRef>
          </c:tx>
          <c:cat>
            <c:strRef>
              <c:f>SyC!$T$201:$T$206</c:f>
              <c:strCache>
                <c:ptCount val="6"/>
                <c:pt idx="0">
                  <c:v>COMUNA 1</c:v>
                </c:pt>
                <c:pt idx="1">
                  <c:v>COMUNA 2</c:v>
                </c:pt>
                <c:pt idx="2">
                  <c:v>COMUNA 3</c:v>
                </c:pt>
                <c:pt idx="3">
                  <c:v>COMUNA 4</c:v>
                </c:pt>
                <c:pt idx="4">
                  <c:v>COMUNA 5</c:v>
                </c:pt>
                <c:pt idx="5">
                  <c:v>COMUNA 6</c:v>
                </c:pt>
              </c:strCache>
            </c:strRef>
          </c:cat>
          <c:val>
            <c:numRef>
              <c:f>SyC!$AA$201:$AA$206</c:f>
              <c:numCache>
                <c:formatCode>0</c:formatCode>
                <c:ptCount val="6"/>
                <c:pt idx="0">
                  <c:v>48.2</c:v>
                </c:pt>
                <c:pt idx="1">
                  <c:v>48.5</c:v>
                </c:pt>
                <c:pt idx="2">
                  <c:v>49.333333333333336</c:v>
                </c:pt>
                <c:pt idx="3">
                  <c:v>45</c:v>
                </c:pt>
                <c:pt idx="4">
                  <c:v>50</c:v>
                </c:pt>
                <c:pt idx="5">
                  <c:v>47</c:v>
                </c:pt>
              </c:numCache>
            </c:numRef>
          </c:val>
          <c:extLst>
            <c:ext xmlns:c16="http://schemas.microsoft.com/office/drawing/2014/chart" uri="{C3380CC4-5D6E-409C-BE32-E72D297353CC}">
              <c16:uniqueId val="{00000000-0E50-4C14-A98D-D60DD6D8679A}"/>
            </c:ext>
          </c:extLst>
        </c:ser>
        <c:ser>
          <c:idx val="7"/>
          <c:order val="7"/>
          <c:tx>
            <c:strRef>
              <c:f>SyC!$AB$200</c:f>
              <c:strCache>
                <c:ptCount val="1"/>
                <c:pt idx="0">
                  <c:v>2023</c:v>
                </c:pt>
              </c:strCache>
            </c:strRef>
          </c:tx>
          <c:cat>
            <c:strRef>
              <c:f>SyC!$T$201:$T$206</c:f>
              <c:strCache>
                <c:ptCount val="6"/>
                <c:pt idx="0">
                  <c:v>COMUNA 1</c:v>
                </c:pt>
                <c:pt idx="1">
                  <c:v>COMUNA 2</c:v>
                </c:pt>
                <c:pt idx="2">
                  <c:v>COMUNA 3</c:v>
                </c:pt>
                <c:pt idx="3">
                  <c:v>COMUNA 4</c:v>
                </c:pt>
                <c:pt idx="4">
                  <c:v>COMUNA 5</c:v>
                </c:pt>
                <c:pt idx="5">
                  <c:v>COMUNA 6</c:v>
                </c:pt>
              </c:strCache>
            </c:strRef>
          </c:cat>
          <c:val>
            <c:numRef>
              <c:f>SyC!$AB$201:$AB$206</c:f>
              <c:numCache>
                <c:formatCode>0</c:formatCode>
                <c:ptCount val="6"/>
                <c:pt idx="0">
                  <c:v>48.2</c:v>
                </c:pt>
                <c:pt idx="1">
                  <c:v>49</c:v>
                </c:pt>
                <c:pt idx="2">
                  <c:v>49.666666666666664</c:v>
                </c:pt>
                <c:pt idx="3">
                  <c:v>45.5</c:v>
                </c:pt>
                <c:pt idx="4">
                  <c:v>49.5</c:v>
                </c:pt>
                <c:pt idx="5">
                  <c:v>47.333333333333336</c:v>
                </c:pt>
              </c:numCache>
            </c:numRef>
          </c:val>
          <c:extLst>
            <c:ext xmlns:c16="http://schemas.microsoft.com/office/drawing/2014/chart" uri="{C3380CC4-5D6E-409C-BE32-E72D297353CC}">
              <c16:uniqueId val="{00000001-0E50-4C14-A98D-D60DD6D8679A}"/>
            </c:ext>
          </c:extLst>
        </c:ser>
        <c:ser>
          <c:idx val="8"/>
          <c:order val="8"/>
          <c:tx>
            <c:strRef>
              <c:f>SyC!$AC$200</c:f>
              <c:strCache>
                <c:ptCount val="1"/>
                <c:pt idx="0">
                  <c:v>2024</c:v>
                </c:pt>
              </c:strCache>
            </c:strRef>
          </c:tx>
          <c:cat>
            <c:strRef>
              <c:f>SyC!$T$201:$T$206</c:f>
              <c:strCache>
                <c:ptCount val="6"/>
                <c:pt idx="0">
                  <c:v>COMUNA 1</c:v>
                </c:pt>
                <c:pt idx="1">
                  <c:v>COMUNA 2</c:v>
                </c:pt>
                <c:pt idx="2">
                  <c:v>COMUNA 3</c:v>
                </c:pt>
                <c:pt idx="3">
                  <c:v>COMUNA 4</c:v>
                </c:pt>
                <c:pt idx="4">
                  <c:v>COMUNA 5</c:v>
                </c:pt>
                <c:pt idx="5">
                  <c:v>COMUNA 6</c:v>
                </c:pt>
              </c:strCache>
            </c:strRef>
          </c:cat>
          <c:val>
            <c:numRef>
              <c:f>SyC!$AC$201:$AC$206</c:f>
              <c:numCache>
                <c:formatCode>0</c:formatCode>
                <c:ptCount val="6"/>
                <c:pt idx="0">
                  <c:v>47.8</c:v>
                </c:pt>
                <c:pt idx="1">
                  <c:v>49.75</c:v>
                </c:pt>
                <c:pt idx="2">
                  <c:v>49.5</c:v>
                </c:pt>
                <c:pt idx="3">
                  <c:v>45</c:v>
                </c:pt>
                <c:pt idx="4">
                  <c:v>51.333333333333336</c:v>
                </c:pt>
                <c:pt idx="5">
                  <c:v>48</c:v>
                </c:pt>
              </c:numCache>
            </c:numRef>
          </c:val>
          <c:extLst>
            <c:ext xmlns:c16="http://schemas.microsoft.com/office/drawing/2014/chart" uri="{C3380CC4-5D6E-409C-BE32-E72D297353CC}">
              <c16:uniqueId val="{00000000-EFE6-4E61-AF80-168C4C8D1E88}"/>
            </c:ext>
          </c:extLst>
        </c:ser>
        <c:dLbls>
          <c:showLegendKey val="0"/>
          <c:showVal val="0"/>
          <c:showCatName val="0"/>
          <c:showSerName val="0"/>
          <c:showPercent val="0"/>
          <c:showBubbleSize val="0"/>
        </c:dLbls>
        <c:axId val="38856192"/>
        <c:axId val="38857728"/>
      </c:radarChart>
      <c:catAx>
        <c:axId val="38856192"/>
        <c:scaling>
          <c:orientation val="minMax"/>
        </c:scaling>
        <c:delete val="0"/>
        <c:axPos val="b"/>
        <c:majorGridlines/>
        <c:numFmt formatCode="General" sourceLinked="0"/>
        <c:majorTickMark val="none"/>
        <c:minorTickMark val="none"/>
        <c:tickLblPos val="nextTo"/>
        <c:spPr>
          <a:ln w="9525">
            <a:noFill/>
          </a:ln>
        </c:spPr>
        <c:crossAx val="38857728"/>
        <c:crosses val="autoZero"/>
        <c:auto val="1"/>
        <c:lblAlgn val="ctr"/>
        <c:lblOffset val="100"/>
        <c:noMultiLvlLbl val="0"/>
      </c:catAx>
      <c:valAx>
        <c:axId val="38857728"/>
        <c:scaling>
          <c:orientation val="minMax"/>
          <c:max val="54"/>
          <c:min val="42"/>
        </c:scaling>
        <c:delete val="0"/>
        <c:axPos val="l"/>
        <c:majorGridlines/>
        <c:numFmt formatCode="0" sourceLinked="1"/>
        <c:majorTickMark val="none"/>
        <c:minorTickMark val="none"/>
        <c:tickLblPos val="nextTo"/>
        <c:crossAx val="38856192"/>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Resultados Sociales y Ciudadanas Instituciones No Oficiales por Comunas 2016-2024</a:t>
            </a:r>
          </a:p>
        </c:rich>
      </c:tx>
      <c:overlay val="0"/>
    </c:title>
    <c:autoTitleDeleted val="0"/>
    <c:plotArea>
      <c:layout/>
      <c:radarChart>
        <c:radarStyle val="marker"/>
        <c:varyColors val="0"/>
        <c:ser>
          <c:idx val="0"/>
          <c:order val="0"/>
          <c:tx>
            <c:strRef>
              <c:f>SyC!$G$200</c:f>
              <c:strCache>
                <c:ptCount val="1"/>
                <c:pt idx="0">
                  <c:v>2016</c:v>
                </c:pt>
              </c:strCache>
            </c:strRef>
          </c:tx>
          <c:spPr>
            <a:ln>
              <a:prstDash val="lgDashDot"/>
            </a:ln>
          </c:spPr>
          <c:cat>
            <c:strRef>
              <c:f>SyC!$F$201:$F$206</c:f>
              <c:strCache>
                <c:ptCount val="6"/>
                <c:pt idx="0">
                  <c:v>COMUNA 1</c:v>
                </c:pt>
                <c:pt idx="1">
                  <c:v>COMUNA 2</c:v>
                </c:pt>
                <c:pt idx="2">
                  <c:v>COMUNA 3</c:v>
                </c:pt>
                <c:pt idx="3">
                  <c:v>COMUNA 4</c:v>
                </c:pt>
                <c:pt idx="4">
                  <c:v>COMUNA 5</c:v>
                </c:pt>
                <c:pt idx="5">
                  <c:v>COMUNA 6</c:v>
                </c:pt>
              </c:strCache>
            </c:strRef>
          </c:cat>
          <c:val>
            <c:numRef>
              <c:f>SyC!$G$201:$G$206</c:f>
              <c:numCache>
                <c:formatCode>0</c:formatCode>
                <c:ptCount val="6"/>
                <c:pt idx="0">
                  <c:v>50.53846153846154</c:v>
                </c:pt>
                <c:pt idx="1">
                  <c:v>53</c:v>
                </c:pt>
                <c:pt idx="2">
                  <c:v>52.846153846153847</c:v>
                </c:pt>
                <c:pt idx="3">
                  <c:v>48.875</c:v>
                </c:pt>
                <c:pt idx="4">
                  <c:v>54.533333333333331</c:v>
                </c:pt>
                <c:pt idx="5">
                  <c:v>52.416666666666664</c:v>
                </c:pt>
              </c:numCache>
            </c:numRef>
          </c:val>
          <c:extLst>
            <c:ext xmlns:c16="http://schemas.microsoft.com/office/drawing/2014/chart" uri="{C3380CC4-5D6E-409C-BE32-E72D297353CC}">
              <c16:uniqueId val="{00000000-955B-46AC-9DC0-844E5F76A6D2}"/>
            </c:ext>
          </c:extLst>
        </c:ser>
        <c:ser>
          <c:idx val="1"/>
          <c:order val="1"/>
          <c:tx>
            <c:strRef>
              <c:f>SyC!$H$200</c:f>
              <c:strCache>
                <c:ptCount val="1"/>
                <c:pt idx="0">
                  <c:v>2017</c:v>
                </c:pt>
              </c:strCache>
            </c:strRef>
          </c:tx>
          <c:cat>
            <c:strRef>
              <c:f>SyC!$F$201:$F$206</c:f>
              <c:strCache>
                <c:ptCount val="6"/>
                <c:pt idx="0">
                  <c:v>COMUNA 1</c:v>
                </c:pt>
                <c:pt idx="1">
                  <c:v>COMUNA 2</c:v>
                </c:pt>
                <c:pt idx="2">
                  <c:v>COMUNA 3</c:v>
                </c:pt>
                <c:pt idx="3">
                  <c:v>COMUNA 4</c:v>
                </c:pt>
                <c:pt idx="4">
                  <c:v>COMUNA 5</c:v>
                </c:pt>
                <c:pt idx="5">
                  <c:v>COMUNA 6</c:v>
                </c:pt>
              </c:strCache>
            </c:strRef>
          </c:cat>
          <c:val>
            <c:numRef>
              <c:f>SyC!$H$201:$H$206</c:f>
              <c:numCache>
                <c:formatCode>0</c:formatCode>
                <c:ptCount val="6"/>
                <c:pt idx="0">
                  <c:v>50.583333333333336</c:v>
                </c:pt>
                <c:pt idx="1">
                  <c:v>52.588235294117645</c:v>
                </c:pt>
                <c:pt idx="2">
                  <c:v>53</c:v>
                </c:pt>
                <c:pt idx="3">
                  <c:v>52.111111111111114</c:v>
                </c:pt>
                <c:pt idx="4">
                  <c:v>54.666666666666664</c:v>
                </c:pt>
                <c:pt idx="5">
                  <c:v>50.75</c:v>
                </c:pt>
              </c:numCache>
            </c:numRef>
          </c:val>
          <c:extLst>
            <c:ext xmlns:c16="http://schemas.microsoft.com/office/drawing/2014/chart" uri="{C3380CC4-5D6E-409C-BE32-E72D297353CC}">
              <c16:uniqueId val="{00000001-955B-46AC-9DC0-844E5F76A6D2}"/>
            </c:ext>
          </c:extLst>
        </c:ser>
        <c:ser>
          <c:idx val="2"/>
          <c:order val="2"/>
          <c:tx>
            <c:strRef>
              <c:f>SyC!$I$200</c:f>
              <c:strCache>
                <c:ptCount val="1"/>
                <c:pt idx="0">
                  <c:v>2018</c:v>
                </c:pt>
              </c:strCache>
            </c:strRef>
          </c:tx>
          <c:spPr>
            <a:ln>
              <a:prstDash val="sysDash"/>
            </a:ln>
          </c:spPr>
          <c:cat>
            <c:strRef>
              <c:f>SyC!$F$201:$F$206</c:f>
              <c:strCache>
                <c:ptCount val="6"/>
                <c:pt idx="0">
                  <c:v>COMUNA 1</c:v>
                </c:pt>
                <c:pt idx="1">
                  <c:v>COMUNA 2</c:v>
                </c:pt>
                <c:pt idx="2">
                  <c:v>COMUNA 3</c:v>
                </c:pt>
                <c:pt idx="3">
                  <c:v>COMUNA 4</c:v>
                </c:pt>
                <c:pt idx="4">
                  <c:v>COMUNA 5</c:v>
                </c:pt>
                <c:pt idx="5">
                  <c:v>COMUNA 6</c:v>
                </c:pt>
              </c:strCache>
            </c:strRef>
          </c:cat>
          <c:val>
            <c:numRef>
              <c:f>SyC!$I$201:$I$206</c:f>
              <c:numCache>
                <c:formatCode>0</c:formatCode>
                <c:ptCount val="6"/>
                <c:pt idx="0">
                  <c:v>49.07692307692308</c:v>
                </c:pt>
                <c:pt idx="1">
                  <c:v>50.882352941176471</c:v>
                </c:pt>
                <c:pt idx="2">
                  <c:v>51.5</c:v>
                </c:pt>
                <c:pt idx="3">
                  <c:v>49.777777777777779</c:v>
                </c:pt>
                <c:pt idx="4">
                  <c:v>53.125</c:v>
                </c:pt>
                <c:pt idx="5">
                  <c:v>51.363636363636367</c:v>
                </c:pt>
              </c:numCache>
            </c:numRef>
          </c:val>
          <c:extLst>
            <c:ext xmlns:c16="http://schemas.microsoft.com/office/drawing/2014/chart" uri="{C3380CC4-5D6E-409C-BE32-E72D297353CC}">
              <c16:uniqueId val="{00000002-955B-46AC-9DC0-844E5F76A6D2}"/>
            </c:ext>
          </c:extLst>
        </c:ser>
        <c:ser>
          <c:idx val="3"/>
          <c:order val="3"/>
          <c:tx>
            <c:strRef>
              <c:f>SyC!$J$200</c:f>
              <c:strCache>
                <c:ptCount val="1"/>
                <c:pt idx="0">
                  <c:v>2019</c:v>
                </c:pt>
              </c:strCache>
            </c:strRef>
          </c:tx>
          <c:cat>
            <c:strRef>
              <c:f>SyC!$F$201:$F$206</c:f>
              <c:strCache>
                <c:ptCount val="6"/>
                <c:pt idx="0">
                  <c:v>COMUNA 1</c:v>
                </c:pt>
                <c:pt idx="1">
                  <c:v>COMUNA 2</c:v>
                </c:pt>
                <c:pt idx="2">
                  <c:v>COMUNA 3</c:v>
                </c:pt>
                <c:pt idx="3">
                  <c:v>COMUNA 4</c:v>
                </c:pt>
                <c:pt idx="4">
                  <c:v>COMUNA 5</c:v>
                </c:pt>
                <c:pt idx="5">
                  <c:v>COMUNA 6</c:v>
                </c:pt>
              </c:strCache>
            </c:strRef>
          </c:cat>
          <c:val>
            <c:numRef>
              <c:f>SyC!$J$201:$J$206</c:f>
              <c:numCache>
                <c:formatCode>0</c:formatCode>
                <c:ptCount val="6"/>
                <c:pt idx="0">
                  <c:v>46.846153846153847</c:v>
                </c:pt>
                <c:pt idx="1">
                  <c:v>49.833333333333336</c:v>
                </c:pt>
                <c:pt idx="2">
                  <c:v>49.214285714285715</c:v>
                </c:pt>
                <c:pt idx="3">
                  <c:v>47.875</c:v>
                </c:pt>
                <c:pt idx="4">
                  <c:v>50.764705882352942</c:v>
                </c:pt>
                <c:pt idx="5">
                  <c:v>49.833333333333336</c:v>
                </c:pt>
              </c:numCache>
            </c:numRef>
          </c:val>
          <c:extLst>
            <c:ext xmlns:c16="http://schemas.microsoft.com/office/drawing/2014/chart" uri="{C3380CC4-5D6E-409C-BE32-E72D297353CC}">
              <c16:uniqueId val="{00000003-955B-46AC-9DC0-844E5F76A6D2}"/>
            </c:ext>
          </c:extLst>
        </c:ser>
        <c:ser>
          <c:idx val="4"/>
          <c:order val="4"/>
          <c:tx>
            <c:strRef>
              <c:f>SyC!$K$200</c:f>
              <c:strCache>
                <c:ptCount val="1"/>
                <c:pt idx="0">
                  <c:v>2020</c:v>
                </c:pt>
              </c:strCache>
            </c:strRef>
          </c:tx>
          <c:cat>
            <c:strRef>
              <c:f>SyC!$F$201:$F$206</c:f>
              <c:strCache>
                <c:ptCount val="6"/>
                <c:pt idx="0">
                  <c:v>COMUNA 1</c:v>
                </c:pt>
                <c:pt idx="1">
                  <c:v>COMUNA 2</c:v>
                </c:pt>
                <c:pt idx="2">
                  <c:v>COMUNA 3</c:v>
                </c:pt>
                <c:pt idx="3">
                  <c:v>COMUNA 4</c:v>
                </c:pt>
                <c:pt idx="4">
                  <c:v>COMUNA 5</c:v>
                </c:pt>
                <c:pt idx="5">
                  <c:v>COMUNA 6</c:v>
                </c:pt>
              </c:strCache>
            </c:strRef>
          </c:cat>
          <c:val>
            <c:numRef>
              <c:f>SyC!$K$201:$K$206</c:f>
              <c:numCache>
                <c:formatCode>0</c:formatCode>
                <c:ptCount val="6"/>
                <c:pt idx="0">
                  <c:v>50.153846153846153</c:v>
                </c:pt>
                <c:pt idx="1">
                  <c:v>51.18181818181818</c:v>
                </c:pt>
                <c:pt idx="2">
                  <c:v>52.2</c:v>
                </c:pt>
                <c:pt idx="3">
                  <c:v>47.857142857142854</c:v>
                </c:pt>
                <c:pt idx="4">
                  <c:v>54.3125</c:v>
                </c:pt>
                <c:pt idx="5">
                  <c:v>49.785714285714285</c:v>
                </c:pt>
              </c:numCache>
            </c:numRef>
          </c:val>
          <c:extLst>
            <c:ext xmlns:c16="http://schemas.microsoft.com/office/drawing/2014/chart" uri="{C3380CC4-5D6E-409C-BE32-E72D297353CC}">
              <c16:uniqueId val="{00000001-62E1-4599-AD1A-B04001007A1D}"/>
            </c:ext>
          </c:extLst>
        </c:ser>
        <c:ser>
          <c:idx val="5"/>
          <c:order val="5"/>
          <c:tx>
            <c:strRef>
              <c:f>SyC!$L$200</c:f>
              <c:strCache>
                <c:ptCount val="1"/>
                <c:pt idx="0">
                  <c:v>2021</c:v>
                </c:pt>
              </c:strCache>
            </c:strRef>
          </c:tx>
          <c:cat>
            <c:strRef>
              <c:f>SyC!$F$201:$F$206</c:f>
              <c:strCache>
                <c:ptCount val="6"/>
                <c:pt idx="0">
                  <c:v>COMUNA 1</c:v>
                </c:pt>
                <c:pt idx="1">
                  <c:v>COMUNA 2</c:v>
                </c:pt>
                <c:pt idx="2">
                  <c:v>COMUNA 3</c:v>
                </c:pt>
                <c:pt idx="3">
                  <c:v>COMUNA 4</c:v>
                </c:pt>
                <c:pt idx="4">
                  <c:v>COMUNA 5</c:v>
                </c:pt>
                <c:pt idx="5">
                  <c:v>COMUNA 6</c:v>
                </c:pt>
              </c:strCache>
            </c:strRef>
          </c:cat>
          <c:val>
            <c:numRef>
              <c:f>SyC!$L$201:$L$206</c:f>
              <c:numCache>
                <c:formatCode>0</c:formatCode>
                <c:ptCount val="6"/>
                <c:pt idx="0">
                  <c:v>49.230769230769234</c:v>
                </c:pt>
                <c:pt idx="1">
                  <c:v>48.65</c:v>
                </c:pt>
                <c:pt idx="2">
                  <c:v>50.866666666666667</c:v>
                </c:pt>
                <c:pt idx="3">
                  <c:v>48.625</c:v>
                </c:pt>
                <c:pt idx="4">
                  <c:v>52.625</c:v>
                </c:pt>
                <c:pt idx="5">
                  <c:v>49.428571428571431</c:v>
                </c:pt>
              </c:numCache>
            </c:numRef>
          </c:val>
          <c:extLst>
            <c:ext xmlns:c16="http://schemas.microsoft.com/office/drawing/2014/chart" uri="{C3380CC4-5D6E-409C-BE32-E72D297353CC}">
              <c16:uniqueId val="{00000000-CF60-4589-BB9E-77FBDF63F4A1}"/>
            </c:ext>
          </c:extLst>
        </c:ser>
        <c:ser>
          <c:idx val="6"/>
          <c:order val="6"/>
          <c:tx>
            <c:strRef>
              <c:f>SyC!$M$200</c:f>
              <c:strCache>
                <c:ptCount val="1"/>
                <c:pt idx="0">
                  <c:v>2022</c:v>
                </c:pt>
              </c:strCache>
            </c:strRef>
          </c:tx>
          <c:cat>
            <c:strRef>
              <c:f>SyC!$F$201:$F$206</c:f>
              <c:strCache>
                <c:ptCount val="6"/>
                <c:pt idx="0">
                  <c:v>COMUNA 1</c:v>
                </c:pt>
                <c:pt idx="1">
                  <c:v>COMUNA 2</c:v>
                </c:pt>
                <c:pt idx="2">
                  <c:v>COMUNA 3</c:v>
                </c:pt>
                <c:pt idx="3">
                  <c:v>COMUNA 4</c:v>
                </c:pt>
                <c:pt idx="4">
                  <c:v>COMUNA 5</c:v>
                </c:pt>
                <c:pt idx="5">
                  <c:v>COMUNA 6</c:v>
                </c:pt>
              </c:strCache>
            </c:strRef>
          </c:cat>
          <c:val>
            <c:numRef>
              <c:f>SyC!$M$201:$M$206</c:f>
              <c:numCache>
                <c:formatCode>0</c:formatCode>
                <c:ptCount val="6"/>
                <c:pt idx="0">
                  <c:v>49.846153846153847</c:v>
                </c:pt>
                <c:pt idx="1">
                  <c:v>51.571428571428569</c:v>
                </c:pt>
                <c:pt idx="2">
                  <c:v>52.8125</c:v>
                </c:pt>
                <c:pt idx="3">
                  <c:v>48.875</c:v>
                </c:pt>
                <c:pt idx="4">
                  <c:v>53.8</c:v>
                </c:pt>
                <c:pt idx="5">
                  <c:v>50.25</c:v>
                </c:pt>
              </c:numCache>
            </c:numRef>
          </c:val>
          <c:extLst>
            <c:ext xmlns:c16="http://schemas.microsoft.com/office/drawing/2014/chart" uri="{C3380CC4-5D6E-409C-BE32-E72D297353CC}">
              <c16:uniqueId val="{00000000-878F-47B1-AFE6-D022CBC9E3F7}"/>
            </c:ext>
          </c:extLst>
        </c:ser>
        <c:ser>
          <c:idx val="7"/>
          <c:order val="7"/>
          <c:tx>
            <c:strRef>
              <c:f>SyC!$N$200</c:f>
              <c:strCache>
                <c:ptCount val="1"/>
                <c:pt idx="0">
                  <c:v>2023</c:v>
                </c:pt>
              </c:strCache>
            </c:strRef>
          </c:tx>
          <c:cat>
            <c:strRef>
              <c:f>SyC!$F$201:$F$206</c:f>
              <c:strCache>
                <c:ptCount val="6"/>
                <c:pt idx="0">
                  <c:v>COMUNA 1</c:v>
                </c:pt>
                <c:pt idx="1">
                  <c:v>COMUNA 2</c:v>
                </c:pt>
                <c:pt idx="2">
                  <c:v>COMUNA 3</c:v>
                </c:pt>
                <c:pt idx="3">
                  <c:v>COMUNA 4</c:v>
                </c:pt>
                <c:pt idx="4">
                  <c:v>COMUNA 5</c:v>
                </c:pt>
                <c:pt idx="5">
                  <c:v>COMUNA 6</c:v>
                </c:pt>
              </c:strCache>
            </c:strRef>
          </c:cat>
          <c:val>
            <c:numRef>
              <c:f>SyC!$N$201:$N$206</c:f>
              <c:numCache>
                <c:formatCode>0</c:formatCode>
                <c:ptCount val="6"/>
                <c:pt idx="0">
                  <c:v>50.833333333333336</c:v>
                </c:pt>
                <c:pt idx="1">
                  <c:v>51.954545454545453</c:v>
                </c:pt>
                <c:pt idx="2">
                  <c:v>52.0625</c:v>
                </c:pt>
                <c:pt idx="3">
                  <c:v>47.555555555555557</c:v>
                </c:pt>
                <c:pt idx="4">
                  <c:v>54.2</c:v>
                </c:pt>
                <c:pt idx="5">
                  <c:v>51.823529411764703</c:v>
                </c:pt>
              </c:numCache>
            </c:numRef>
          </c:val>
          <c:extLst>
            <c:ext xmlns:c16="http://schemas.microsoft.com/office/drawing/2014/chart" uri="{C3380CC4-5D6E-409C-BE32-E72D297353CC}">
              <c16:uniqueId val="{00000001-878F-47B1-AFE6-D022CBC9E3F7}"/>
            </c:ext>
          </c:extLst>
        </c:ser>
        <c:ser>
          <c:idx val="8"/>
          <c:order val="8"/>
          <c:tx>
            <c:strRef>
              <c:f>SyC!$O$200</c:f>
              <c:strCache>
                <c:ptCount val="1"/>
                <c:pt idx="0">
                  <c:v>2024</c:v>
                </c:pt>
              </c:strCache>
            </c:strRef>
          </c:tx>
          <c:cat>
            <c:strRef>
              <c:f>SyC!$F$201:$F$206</c:f>
              <c:strCache>
                <c:ptCount val="6"/>
                <c:pt idx="0">
                  <c:v>COMUNA 1</c:v>
                </c:pt>
                <c:pt idx="1">
                  <c:v>COMUNA 2</c:v>
                </c:pt>
                <c:pt idx="2">
                  <c:v>COMUNA 3</c:v>
                </c:pt>
                <c:pt idx="3">
                  <c:v>COMUNA 4</c:v>
                </c:pt>
                <c:pt idx="4">
                  <c:v>COMUNA 5</c:v>
                </c:pt>
                <c:pt idx="5">
                  <c:v>COMUNA 6</c:v>
                </c:pt>
              </c:strCache>
            </c:strRef>
          </c:cat>
          <c:val>
            <c:numRef>
              <c:f>SyC!$O$201:$O$206</c:f>
              <c:numCache>
                <c:formatCode>0</c:formatCode>
                <c:ptCount val="6"/>
                <c:pt idx="0">
                  <c:v>50.53846153846154</c:v>
                </c:pt>
                <c:pt idx="1">
                  <c:v>51.95</c:v>
                </c:pt>
                <c:pt idx="2">
                  <c:v>51.8125</c:v>
                </c:pt>
                <c:pt idx="3">
                  <c:v>50.714285714285715</c:v>
                </c:pt>
                <c:pt idx="4">
                  <c:v>52.333333333333336</c:v>
                </c:pt>
                <c:pt idx="5">
                  <c:v>51.357142857142854</c:v>
                </c:pt>
              </c:numCache>
            </c:numRef>
          </c:val>
          <c:extLst>
            <c:ext xmlns:c16="http://schemas.microsoft.com/office/drawing/2014/chart" uri="{C3380CC4-5D6E-409C-BE32-E72D297353CC}">
              <c16:uniqueId val="{00000000-5CF9-4B84-BA8F-11BCC758679F}"/>
            </c:ext>
          </c:extLst>
        </c:ser>
        <c:dLbls>
          <c:showLegendKey val="0"/>
          <c:showVal val="0"/>
          <c:showCatName val="0"/>
          <c:showSerName val="0"/>
          <c:showPercent val="0"/>
          <c:showBubbleSize val="0"/>
        </c:dLbls>
        <c:axId val="38958592"/>
        <c:axId val="38960128"/>
      </c:radarChart>
      <c:catAx>
        <c:axId val="38958592"/>
        <c:scaling>
          <c:orientation val="minMax"/>
        </c:scaling>
        <c:delete val="0"/>
        <c:axPos val="b"/>
        <c:majorGridlines/>
        <c:numFmt formatCode="General" sourceLinked="0"/>
        <c:majorTickMark val="none"/>
        <c:minorTickMark val="none"/>
        <c:tickLblPos val="nextTo"/>
        <c:spPr>
          <a:ln w="9525">
            <a:noFill/>
          </a:ln>
        </c:spPr>
        <c:crossAx val="38960128"/>
        <c:crosses val="autoZero"/>
        <c:auto val="1"/>
        <c:lblAlgn val="ctr"/>
        <c:lblOffset val="100"/>
        <c:noMultiLvlLbl val="0"/>
      </c:catAx>
      <c:valAx>
        <c:axId val="38960128"/>
        <c:scaling>
          <c:orientation val="minMax"/>
          <c:max val="56"/>
          <c:min val="46"/>
        </c:scaling>
        <c:delete val="0"/>
        <c:axPos val="l"/>
        <c:majorGridlines/>
        <c:numFmt formatCode="0" sourceLinked="1"/>
        <c:majorTickMark val="none"/>
        <c:minorTickMark val="none"/>
        <c:tickLblPos val="nextTo"/>
        <c:crossAx val="38958592"/>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Sociales y Ciudadanas Saber 11 2016 - 2024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SyC!$E$236</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SyC!$F$234:$AO$235</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SyC!$F$236:$AO$236</c:f>
              <c:numCache>
                <c:formatCode>0%</c:formatCode>
                <c:ptCount val="36"/>
                <c:pt idx="0">
                  <c:v>0.17</c:v>
                </c:pt>
                <c:pt idx="1">
                  <c:v>0.13</c:v>
                </c:pt>
                <c:pt idx="2">
                  <c:v>0.16</c:v>
                </c:pt>
                <c:pt idx="3">
                  <c:v>0.11</c:v>
                </c:pt>
                <c:pt idx="4">
                  <c:v>0.17</c:v>
                </c:pt>
                <c:pt idx="5">
                  <c:v>0.13</c:v>
                </c:pt>
                <c:pt idx="6">
                  <c:v>0.16</c:v>
                </c:pt>
                <c:pt idx="7">
                  <c:v>0.11</c:v>
                </c:pt>
                <c:pt idx="8">
                  <c:v>0.25</c:v>
                </c:pt>
                <c:pt idx="9">
                  <c:v>0.21</c:v>
                </c:pt>
                <c:pt idx="10">
                  <c:v>0.25</c:v>
                </c:pt>
                <c:pt idx="11">
                  <c:v>0.16</c:v>
                </c:pt>
                <c:pt idx="12">
                  <c:v>0.32</c:v>
                </c:pt>
                <c:pt idx="13">
                  <c:v>0.26</c:v>
                </c:pt>
                <c:pt idx="14">
                  <c:v>0.31</c:v>
                </c:pt>
                <c:pt idx="15">
                  <c:v>0.21</c:v>
                </c:pt>
                <c:pt idx="16">
                  <c:v>0.27</c:v>
                </c:pt>
                <c:pt idx="17">
                  <c:v>0.19</c:v>
                </c:pt>
                <c:pt idx="18">
                  <c:v>0.22</c:v>
                </c:pt>
                <c:pt idx="19">
                  <c:v>0.16</c:v>
                </c:pt>
                <c:pt idx="20">
                  <c:v>0.31</c:v>
                </c:pt>
                <c:pt idx="21">
                  <c:v>0.23</c:v>
                </c:pt>
                <c:pt idx="22">
                  <c:v>0.28000000000000003</c:v>
                </c:pt>
                <c:pt idx="23">
                  <c:v>0.19</c:v>
                </c:pt>
                <c:pt idx="24">
                  <c:v>0.28999999999999998</c:v>
                </c:pt>
                <c:pt idx="25">
                  <c:v>0.21</c:v>
                </c:pt>
                <c:pt idx="26">
                  <c:v>0.25</c:v>
                </c:pt>
                <c:pt idx="27">
                  <c:v>0.16</c:v>
                </c:pt>
                <c:pt idx="28">
                  <c:v>0.27</c:v>
                </c:pt>
                <c:pt idx="29">
                  <c:v>0.2</c:v>
                </c:pt>
                <c:pt idx="30">
                  <c:v>0.24</c:v>
                </c:pt>
                <c:pt idx="31">
                  <c:v>0.14000000000000001</c:v>
                </c:pt>
                <c:pt idx="32">
                  <c:v>0.27</c:v>
                </c:pt>
                <c:pt idx="33">
                  <c:v>0.2</c:v>
                </c:pt>
                <c:pt idx="34">
                  <c:v>0.24</c:v>
                </c:pt>
                <c:pt idx="35">
                  <c:v>0.15</c:v>
                </c:pt>
              </c:numCache>
            </c:numRef>
          </c:val>
          <c:extLst>
            <c:ext xmlns:c16="http://schemas.microsoft.com/office/drawing/2014/chart" uri="{C3380CC4-5D6E-409C-BE32-E72D297353CC}">
              <c16:uniqueId val="{00000000-1A61-435B-A765-40AB71907592}"/>
            </c:ext>
          </c:extLst>
        </c:ser>
        <c:ser>
          <c:idx val="1"/>
          <c:order val="1"/>
          <c:tx>
            <c:strRef>
              <c:f>SyC!$E$237</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SyC!$F$234:$AO$235</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SyC!$F$237:$AO$237</c:f>
              <c:numCache>
                <c:formatCode>0%</c:formatCode>
                <c:ptCount val="36"/>
                <c:pt idx="0">
                  <c:v>0.47</c:v>
                </c:pt>
                <c:pt idx="1">
                  <c:v>0.52</c:v>
                </c:pt>
                <c:pt idx="2">
                  <c:v>0.55000000000000004</c:v>
                </c:pt>
                <c:pt idx="3">
                  <c:v>0.5</c:v>
                </c:pt>
                <c:pt idx="4">
                  <c:v>0.47</c:v>
                </c:pt>
                <c:pt idx="5">
                  <c:v>0.51</c:v>
                </c:pt>
                <c:pt idx="6">
                  <c:v>0.54</c:v>
                </c:pt>
                <c:pt idx="7">
                  <c:v>0.48</c:v>
                </c:pt>
                <c:pt idx="8">
                  <c:v>0.43</c:v>
                </c:pt>
                <c:pt idx="9">
                  <c:v>0.49</c:v>
                </c:pt>
                <c:pt idx="10">
                  <c:v>0.51</c:v>
                </c:pt>
                <c:pt idx="11">
                  <c:v>0.47</c:v>
                </c:pt>
                <c:pt idx="12">
                  <c:v>0.41</c:v>
                </c:pt>
                <c:pt idx="13">
                  <c:v>0.47</c:v>
                </c:pt>
                <c:pt idx="14">
                  <c:v>0.48</c:v>
                </c:pt>
                <c:pt idx="15">
                  <c:v>0.46</c:v>
                </c:pt>
                <c:pt idx="16">
                  <c:v>0.42</c:v>
                </c:pt>
                <c:pt idx="17">
                  <c:v>0.47</c:v>
                </c:pt>
                <c:pt idx="18">
                  <c:v>0.5</c:v>
                </c:pt>
                <c:pt idx="19">
                  <c:v>0.45</c:v>
                </c:pt>
                <c:pt idx="20">
                  <c:v>0.42</c:v>
                </c:pt>
                <c:pt idx="21">
                  <c:v>0.48</c:v>
                </c:pt>
                <c:pt idx="22">
                  <c:v>0.5</c:v>
                </c:pt>
                <c:pt idx="23">
                  <c:v>0.45</c:v>
                </c:pt>
                <c:pt idx="24">
                  <c:v>0.41</c:v>
                </c:pt>
                <c:pt idx="25">
                  <c:v>0.46</c:v>
                </c:pt>
                <c:pt idx="26">
                  <c:v>0.5</c:v>
                </c:pt>
                <c:pt idx="27">
                  <c:v>0.42</c:v>
                </c:pt>
                <c:pt idx="28">
                  <c:v>0.42</c:v>
                </c:pt>
                <c:pt idx="29">
                  <c:v>0.48</c:v>
                </c:pt>
                <c:pt idx="30">
                  <c:v>0.51</c:v>
                </c:pt>
                <c:pt idx="31">
                  <c:v>0.44</c:v>
                </c:pt>
                <c:pt idx="32">
                  <c:v>0.41</c:v>
                </c:pt>
                <c:pt idx="33">
                  <c:v>0.46</c:v>
                </c:pt>
                <c:pt idx="34">
                  <c:v>0.49</c:v>
                </c:pt>
                <c:pt idx="35">
                  <c:v>0.43</c:v>
                </c:pt>
              </c:numCache>
            </c:numRef>
          </c:val>
          <c:extLst>
            <c:ext xmlns:c16="http://schemas.microsoft.com/office/drawing/2014/chart" uri="{C3380CC4-5D6E-409C-BE32-E72D297353CC}">
              <c16:uniqueId val="{00000001-1A61-435B-A765-40AB71907592}"/>
            </c:ext>
          </c:extLst>
        </c:ser>
        <c:ser>
          <c:idx val="2"/>
          <c:order val="2"/>
          <c:tx>
            <c:strRef>
              <c:f>SyC!$E$238</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SyC!$F$234:$AO$235</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SyC!$F$238:$AO$238</c:f>
              <c:numCache>
                <c:formatCode>0%</c:formatCode>
                <c:ptCount val="36"/>
                <c:pt idx="0">
                  <c:v>0.32</c:v>
                </c:pt>
                <c:pt idx="1">
                  <c:v>0.33</c:v>
                </c:pt>
                <c:pt idx="2">
                  <c:v>0.28000000000000003</c:v>
                </c:pt>
                <c:pt idx="3">
                  <c:v>0.38</c:v>
                </c:pt>
                <c:pt idx="4">
                  <c:v>0.32</c:v>
                </c:pt>
                <c:pt idx="5">
                  <c:v>0.33</c:v>
                </c:pt>
                <c:pt idx="6">
                  <c:v>0.28999999999999998</c:v>
                </c:pt>
                <c:pt idx="7">
                  <c:v>0.39</c:v>
                </c:pt>
                <c:pt idx="8">
                  <c:v>0.28000000000000003</c:v>
                </c:pt>
                <c:pt idx="9">
                  <c:v>0.28999999999999998</c:v>
                </c:pt>
                <c:pt idx="10">
                  <c:v>0.24</c:v>
                </c:pt>
                <c:pt idx="11">
                  <c:v>0.35</c:v>
                </c:pt>
                <c:pt idx="12">
                  <c:v>0.24</c:v>
                </c:pt>
                <c:pt idx="13">
                  <c:v>0.25</c:v>
                </c:pt>
                <c:pt idx="14">
                  <c:v>0.2</c:v>
                </c:pt>
                <c:pt idx="15">
                  <c:v>0.31</c:v>
                </c:pt>
                <c:pt idx="16">
                  <c:v>0.27</c:v>
                </c:pt>
                <c:pt idx="17">
                  <c:v>0.31</c:v>
                </c:pt>
                <c:pt idx="18">
                  <c:v>0.26</c:v>
                </c:pt>
                <c:pt idx="19">
                  <c:v>0.36</c:v>
                </c:pt>
                <c:pt idx="20">
                  <c:v>0.24</c:v>
                </c:pt>
                <c:pt idx="21">
                  <c:v>0.27</c:v>
                </c:pt>
                <c:pt idx="22">
                  <c:v>0.21</c:v>
                </c:pt>
                <c:pt idx="23">
                  <c:v>0.33</c:v>
                </c:pt>
                <c:pt idx="24">
                  <c:v>0.27</c:v>
                </c:pt>
                <c:pt idx="25">
                  <c:v>0.31</c:v>
                </c:pt>
                <c:pt idx="26">
                  <c:v>0.23</c:v>
                </c:pt>
                <c:pt idx="27">
                  <c:v>0.39</c:v>
                </c:pt>
                <c:pt idx="28">
                  <c:v>0.27</c:v>
                </c:pt>
                <c:pt idx="29">
                  <c:v>0.31</c:v>
                </c:pt>
                <c:pt idx="30">
                  <c:v>0.24</c:v>
                </c:pt>
                <c:pt idx="31">
                  <c:v>0.38</c:v>
                </c:pt>
                <c:pt idx="32">
                  <c:v>0.28000000000000003</c:v>
                </c:pt>
                <c:pt idx="33">
                  <c:v>0.31</c:v>
                </c:pt>
                <c:pt idx="34">
                  <c:v>0.26</c:v>
                </c:pt>
                <c:pt idx="35">
                  <c:v>0.37</c:v>
                </c:pt>
              </c:numCache>
            </c:numRef>
          </c:val>
          <c:extLst>
            <c:ext xmlns:c16="http://schemas.microsoft.com/office/drawing/2014/chart" uri="{C3380CC4-5D6E-409C-BE32-E72D297353CC}">
              <c16:uniqueId val="{00000002-1A61-435B-A765-40AB71907592}"/>
            </c:ext>
          </c:extLst>
        </c:ser>
        <c:ser>
          <c:idx val="3"/>
          <c:order val="3"/>
          <c:tx>
            <c:strRef>
              <c:f>SyC!$E$239</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SyC!$F$234:$AO$235</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SyC!$F$239:$AO$239</c:f>
              <c:numCache>
                <c:formatCode>0%</c:formatCode>
                <c:ptCount val="36"/>
                <c:pt idx="0">
                  <c:v>0.03</c:v>
                </c:pt>
                <c:pt idx="1">
                  <c:v>0.01</c:v>
                </c:pt>
                <c:pt idx="2">
                  <c:v>0.01</c:v>
                </c:pt>
                <c:pt idx="3">
                  <c:v>0.02</c:v>
                </c:pt>
                <c:pt idx="4">
                  <c:v>0.04</c:v>
                </c:pt>
                <c:pt idx="5">
                  <c:v>0.02</c:v>
                </c:pt>
                <c:pt idx="6">
                  <c:v>0.01</c:v>
                </c:pt>
                <c:pt idx="7">
                  <c:v>0.03</c:v>
                </c:pt>
                <c:pt idx="8">
                  <c:v>0.04</c:v>
                </c:pt>
                <c:pt idx="9">
                  <c:v>0.02</c:v>
                </c:pt>
                <c:pt idx="10">
                  <c:v>0.01</c:v>
                </c:pt>
                <c:pt idx="11">
                  <c:v>0.03</c:v>
                </c:pt>
                <c:pt idx="12">
                  <c:v>0.03</c:v>
                </c:pt>
                <c:pt idx="13">
                  <c:v>0.01</c:v>
                </c:pt>
                <c:pt idx="14">
                  <c:v>0.01</c:v>
                </c:pt>
                <c:pt idx="15">
                  <c:v>0.02</c:v>
                </c:pt>
                <c:pt idx="16">
                  <c:v>0.04</c:v>
                </c:pt>
                <c:pt idx="17">
                  <c:v>0.02</c:v>
                </c:pt>
                <c:pt idx="18">
                  <c:v>0.01</c:v>
                </c:pt>
                <c:pt idx="19">
                  <c:v>0.03</c:v>
                </c:pt>
                <c:pt idx="20">
                  <c:v>0.03</c:v>
                </c:pt>
                <c:pt idx="21">
                  <c:v>0.02</c:v>
                </c:pt>
                <c:pt idx="22">
                  <c:v>0.01</c:v>
                </c:pt>
                <c:pt idx="23">
                  <c:v>0.03</c:v>
                </c:pt>
                <c:pt idx="24">
                  <c:v>0.03</c:v>
                </c:pt>
                <c:pt idx="25">
                  <c:v>0.02</c:v>
                </c:pt>
                <c:pt idx="26">
                  <c:v>0.01</c:v>
                </c:pt>
                <c:pt idx="27">
                  <c:v>0.03</c:v>
                </c:pt>
                <c:pt idx="28">
                  <c:v>0.04</c:v>
                </c:pt>
                <c:pt idx="29">
                  <c:v>0.02</c:v>
                </c:pt>
                <c:pt idx="30">
                  <c:v>0.01</c:v>
                </c:pt>
                <c:pt idx="31">
                  <c:v>0.03</c:v>
                </c:pt>
                <c:pt idx="32">
                  <c:v>0.04</c:v>
                </c:pt>
                <c:pt idx="33">
                  <c:v>0.03</c:v>
                </c:pt>
                <c:pt idx="34">
                  <c:v>0.02</c:v>
                </c:pt>
                <c:pt idx="35">
                  <c:v>0.04</c:v>
                </c:pt>
              </c:numCache>
            </c:numRef>
          </c:val>
          <c:extLst>
            <c:ext xmlns:c16="http://schemas.microsoft.com/office/drawing/2014/chart" uri="{C3380CC4-5D6E-409C-BE32-E72D297353CC}">
              <c16:uniqueId val="{00000003-1A61-435B-A765-40AB71907592}"/>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Resultados Ciencias Naturales</a:t>
            </a:r>
            <a:r>
              <a:rPr lang="es-CO" sz="1400" baseline="0"/>
              <a:t> por Comunas 2016 - 2024</a:t>
            </a:r>
            <a:endParaRPr lang="es-CO" sz="1400"/>
          </a:p>
        </c:rich>
      </c:tx>
      <c:overlay val="0"/>
    </c:title>
    <c:autoTitleDeleted val="0"/>
    <c:plotArea>
      <c:layout/>
      <c:radarChart>
        <c:radarStyle val="marker"/>
        <c:varyColors val="0"/>
        <c:ser>
          <c:idx val="0"/>
          <c:order val="0"/>
          <c:tx>
            <c:strRef>
              <c:f>CN!$AA$176</c:f>
              <c:strCache>
                <c:ptCount val="1"/>
                <c:pt idx="0">
                  <c:v>2016</c:v>
                </c:pt>
              </c:strCache>
            </c:strRef>
          </c:tx>
          <c:spPr>
            <a:ln>
              <a:prstDash val="lgDashDot"/>
            </a:ln>
          </c:spPr>
          <c:cat>
            <c:strRef>
              <c:f>CN!$Z$177:$Z$182</c:f>
              <c:strCache>
                <c:ptCount val="6"/>
                <c:pt idx="0">
                  <c:v>COMUNA 1</c:v>
                </c:pt>
                <c:pt idx="1">
                  <c:v>COMUNA 2</c:v>
                </c:pt>
                <c:pt idx="2">
                  <c:v>COMUNA 3</c:v>
                </c:pt>
                <c:pt idx="3">
                  <c:v>COMUNA 4</c:v>
                </c:pt>
                <c:pt idx="4">
                  <c:v>COMUNA 5</c:v>
                </c:pt>
                <c:pt idx="5">
                  <c:v>COMUNA 6</c:v>
                </c:pt>
              </c:strCache>
            </c:strRef>
          </c:cat>
          <c:val>
            <c:numRef>
              <c:f>CN!$AA$177:$AA$182</c:f>
              <c:numCache>
                <c:formatCode>0</c:formatCode>
                <c:ptCount val="6"/>
                <c:pt idx="0">
                  <c:v>53.176470588235297</c:v>
                </c:pt>
                <c:pt idx="1">
                  <c:v>54.6</c:v>
                </c:pt>
                <c:pt idx="2">
                  <c:v>55.0625</c:v>
                </c:pt>
                <c:pt idx="3">
                  <c:v>51.142857142857146</c:v>
                </c:pt>
                <c:pt idx="4">
                  <c:v>56.235294117647058</c:v>
                </c:pt>
                <c:pt idx="5">
                  <c:v>55.06666666666667</c:v>
                </c:pt>
              </c:numCache>
            </c:numRef>
          </c:val>
          <c:extLst>
            <c:ext xmlns:c16="http://schemas.microsoft.com/office/drawing/2014/chart" uri="{C3380CC4-5D6E-409C-BE32-E72D297353CC}">
              <c16:uniqueId val="{00000000-3F0A-40B9-8E3C-7D8199688C49}"/>
            </c:ext>
          </c:extLst>
        </c:ser>
        <c:ser>
          <c:idx val="1"/>
          <c:order val="1"/>
          <c:tx>
            <c:strRef>
              <c:f>CN!$AB$176</c:f>
              <c:strCache>
                <c:ptCount val="1"/>
                <c:pt idx="0">
                  <c:v>2017</c:v>
                </c:pt>
              </c:strCache>
            </c:strRef>
          </c:tx>
          <c:cat>
            <c:strRef>
              <c:f>CN!$Z$177:$Z$182</c:f>
              <c:strCache>
                <c:ptCount val="6"/>
                <c:pt idx="0">
                  <c:v>COMUNA 1</c:v>
                </c:pt>
                <c:pt idx="1">
                  <c:v>COMUNA 2</c:v>
                </c:pt>
                <c:pt idx="2">
                  <c:v>COMUNA 3</c:v>
                </c:pt>
                <c:pt idx="3">
                  <c:v>COMUNA 4</c:v>
                </c:pt>
                <c:pt idx="4">
                  <c:v>COMUNA 5</c:v>
                </c:pt>
                <c:pt idx="5">
                  <c:v>COMUNA 6</c:v>
                </c:pt>
              </c:strCache>
            </c:strRef>
          </c:cat>
          <c:val>
            <c:numRef>
              <c:f>CN!$AB$177:$AB$182</c:f>
              <c:numCache>
                <c:formatCode>0</c:formatCode>
                <c:ptCount val="6"/>
                <c:pt idx="0">
                  <c:v>52.625</c:v>
                </c:pt>
                <c:pt idx="1">
                  <c:v>52.89473684210526</c:v>
                </c:pt>
                <c:pt idx="2">
                  <c:v>53.235294117647058</c:v>
                </c:pt>
                <c:pt idx="3">
                  <c:v>51.2</c:v>
                </c:pt>
                <c:pt idx="4">
                  <c:v>55</c:v>
                </c:pt>
                <c:pt idx="5">
                  <c:v>52.06666666666667</c:v>
                </c:pt>
              </c:numCache>
            </c:numRef>
          </c:val>
          <c:extLst>
            <c:ext xmlns:c16="http://schemas.microsoft.com/office/drawing/2014/chart" uri="{C3380CC4-5D6E-409C-BE32-E72D297353CC}">
              <c16:uniqueId val="{00000001-3F0A-40B9-8E3C-7D8199688C49}"/>
            </c:ext>
          </c:extLst>
        </c:ser>
        <c:ser>
          <c:idx val="2"/>
          <c:order val="2"/>
          <c:tx>
            <c:strRef>
              <c:f>CN!$AC$176</c:f>
              <c:strCache>
                <c:ptCount val="1"/>
                <c:pt idx="0">
                  <c:v>2018</c:v>
                </c:pt>
              </c:strCache>
            </c:strRef>
          </c:tx>
          <c:spPr>
            <a:ln>
              <a:prstDash val="sysDash"/>
            </a:ln>
          </c:spPr>
          <c:cat>
            <c:strRef>
              <c:f>CN!$Z$177:$Z$182</c:f>
              <c:strCache>
                <c:ptCount val="6"/>
                <c:pt idx="0">
                  <c:v>COMUNA 1</c:v>
                </c:pt>
                <c:pt idx="1">
                  <c:v>COMUNA 2</c:v>
                </c:pt>
                <c:pt idx="2">
                  <c:v>COMUNA 3</c:v>
                </c:pt>
                <c:pt idx="3">
                  <c:v>COMUNA 4</c:v>
                </c:pt>
                <c:pt idx="4">
                  <c:v>COMUNA 5</c:v>
                </c:pt>
                <c:pt idx="5">
                  <c:v>COMUNA 6</c:v>
                </c:pt>
              </c:strCache>
            </c:strRef>
          </c:cat>
          <c:val>
            <c:numRef>
              <c:f>CN!$AC$177:$AC$182</c:f>
              <c:numCache>
                <c:formatCode>0</c:formatCode>
                <c:ptCount val="6"/>
                <c:pt idx="0">
                  <c:v>50.764705882352942</c:v>
                </c:pt>
                <c:pt idx="1">
                  <c:v>51.684210526315788</c:v>
                </c:pt>
                <c:pt idx="2">
                  <c:v>52.117647058823529</c:v>
                </c:pt>
                <c:pt idx="3">
                  <c:v>49.266666666666666</c:v>
                </c:pt>
                <c:pt idx="4">
                  <c:v>53.611111111111114</c:v>
                </c:pt>
                <c:pt idx="5">
                  <c:v>51</c:v>
                </c:pt>
              </c:numCache>
            </c:numRef>
          </c:val>
          <c:extLst>
            <c:ext xmlns:c16="http://schemas.microsoft.com/office/drawing/2014/chart" uri="{C3380CC4-5D6E-409C-BE32-E72D297353CC}">
              <c16:uniqueId val="{00000002-3F0A-40B9-8E3C-7D8199688C49}"/>
            </c:ext>
          </c:extLst>
        </c:ser>
        <c:ser>
          <c:idx val="3"/>
          <c:order val="3"/>
          <c:tx>
            <c:strRef>
              <c:f>CN!$AD$176</c:f>
              <c:strCache>
                <c:ptCount val="1"/>
                <c:pt idx="0">
                  <c:v>2019</c:v>
                </c:pt>
              </c:strCache>
            </c:strRef>
          </c:tx>
          <c:cat>
            <c:strRef>
              <c:f>CN!$Z$177:$Z$182</c:f>
              <c:strCache>
                <c:ptCount val="6"/>
                <c:pt idx="0">
                  <c:v>COMUNA 1</c:v>
                </c:pt>
                <c:pt idx="1">
                  <c:v>COMUNA 2</c:v>
                </c:pt>
                <c:pt idx="2">
                  <c:v>COMUNA 3</c:v>
                </c:pt>
                <c:pt idx="3">
                  <c:v>COMUNA 4</c:v>
                </c:pt>
                <c:pt idx="4">
                  <c:v>COMUNA 5</c:v>
                </c:pt>
                <c:pt idx="5">
                  <c:v>COMUNA 6</c:v>
                </c:pt>
              </c:strCache>
            </c:strRef>
          </c:cat>
          <c:val>
            <c:numRef>
              <c:f>CN!$AD$177:$AD$182</c:f>
              <c:numCache>
                <c:formatCode>0</c:formatCode>
                <c:ptCount val="6"/>
                <c:pt idx="0">
                  <c:v>49.470588235294116</c:v>
                </c:pt>
                <c:pt idx="1">
                  <c:v>51.25</c:v>
                </c:pt>
                <c:pt idx="2">
                  <c:v>50.705882352941174</c:v>
                </c:pt>
                <c:pt idx="3">
                  <c:v>47.714285714285715</c:v>
                </c:pt>
                <c:pt idx="4">
                  <c:v>52.157894736842103</c:v>
                </c:pt>
                <c:pt idx="5">
                  <c:v>50.333333333333336</c:v>
                </c:pt>
              </c:numCache>
            </c:numRef>
          </c:val>
          <c:extLst>
            <c:ext xmlns:c16="http://schemas.microsoft.com/office/drawing/2014/chart" uri="{C3380CC4-5D6E-409C-BE32-E72D297353CC}">
              <c16:uniqueId val="{00000003-3F0A-40B9-8E3C-7D8199688C49}"/>
            </c:ext>
          </c:extLst>
        </c:ser>
        <c:ser>
          <c:idx val="4"/>
          <c:order val="4"/>
          <c:tx>
            <c:strRef>
              <c:f>CN!$AE$176</c:f>
              <c:strCache>
                <c:ptCount val="1"/>
                <c:pt idx="0">
                  <c:v>2020</c:v>
                </c:pt>
              </c:strCache>
            </c:strRef>
          </c:tx>
          <c:cat>
            <c:strRef>
              <c:f>CN!$Z$177:$Z$182</c:f>
              <c:strCache>
                <c:ptCount val="6"/>
                <c:pt idx="0">
                  <c:v>COMUNA 1</c:v>
                </c:pt>
                <c:pt idx="1">
                  <c:v>COMUNA 2</c:v>
                </c:pt>
                <c:pt idx="2">
                  <c:v>COMUNA 3</c:v>
                </c:pt>
                <c:pt idx="3">
                  <c:v>COMUNA 4</c:v>
                </c:pt>
                <c:pt idx="4">
                  <c:v>COMUNA 5</c:v>
                </c:pt>
                <c:pt idx="5">
                  <c:v>COMUNA 6</c:v>
                </c:pt>
              </c:strCache>
            </c:strRef>
          </c:cat>
          <c:val>
            <c:numRef>
              <c:f>CN!$AE$177:$AE$182</c:f>
              <c:numCache>
                <c:formatCode>0</c:formatCode>
                <c:ptCount val="6"/>
                <c:pt idx="0">
                  <c:v>49.588235294117645</c:v>
                </c:pt>
                <c:pt idx="1">
                  <c:v>49.75</c:v>
                </c:pt>
                <c:pt idx="2">
                  <c:v>50.94736842105263</c:v>
                </c:pt>
                <c:pt idx="3">
                  <c:v>47</c:v>
                </c:pt>
                <c:pt idx="4">
                  <c:v>52.777777777777779</c:v>
                </c:pt>
                <c:pt idx="5">
                  <c:v>49.235294117647058</c:v>
                </c:pt>
              </c:numCache>
            </c:numRef>
          </c:val>
          <c:extLst>
            <c:ext xmlns:c16="http://schemas.microsoft.com/office/drawing/2014/chart" uri="{C3380CC4-5D6E-409C-BE32-E72D297353CC}">
              <c16:uniqueId val="{00000001-A6A4-43B1-9C0C-825CDE793F37}"/>
            </c:ext>
          </c:extLst>
        </c:ser>
        <c:ser>
          <c:idx val="5"/>
          <c:order val="5"/>
          <c:tx>
            <c:strRef>
              <c:f>CN!$AF$176</c:f>
              <c:strCache>
                <c:ptCount val="1"/>
                <c:pt idx="0">
                  <c:v>2021</c:v>
                </c:pt>
              </c:strCache>
            </c:strRef>
          </c:tx>
          <c:cat>
            <c:strRef>
              <c:f>CN!$Z$177:$Z$182</c:f>
              <c:strCache>
                <c:ptCount val="6"/>
                <c:pt idx="0">
                  <c:v>COMUNA 1</c:v>
                </c:pt>
                <c:pt idx="1">
                  <c:v>COMUNA 2</c:v>
                </c:pt>
                <c:pt idx="2">
                  <c:v>COMUNA 3</c:v>
                </c:pt>
                <c:pt idx="3">
                  <c:v>COMUNA 4</c:v>
                </c:pt>
                <c:pt idx="4">
                  <c:v>COMUNA 5</c:v>
                </c:pt>
                <c:pt idx="5">
                  <c:v>COMUNA 6</c:v>
                </c:pt>
              </c:strCache>
            </c:strRef>
          </c:cat>
          <c:val>
            <c:numRef>
              <c:f>CN!$AF$177:$AF$182</c:f>
              <c:numCache>
                <c:formatCode>0</c:formatCode>
                <c:ptCount val="6"/>
                <c:pt idx="0">
                  <c:v>49.705882352941174</c:v>
                </c:pt>
                <c:pt idx="1">
                  <c:v>50.18181818181818</c:v>
                </c:pt>
                <c:pt idx="2">
                  <c:v>51</c:v>
                </c:pt>
                <c:pt idx="3">
                  <c:v>47.571428571428569</c:v>
                </c:pt>
                <c:pt idx="4">
                  <c:v>52.277777777777779</c:v>
                </c:pt>
                <c:pt idx="5">
                  <c:v>49.235294117647058</c:v>
                </c:pt>
              </c:numCache>
            </c:numRef>
          </c:val>
          <c:extLst>
            <c:ext xmlns:c16="http://schemas.microsoft.com/office/drawing/2014/chart" uri="{C3380CC4-5D6E-409C-BE32-E72D297353CC}">
              <c16:uniqueId val="{00000000-BF4B-4F30-9369-57EC137F697B}"/>
            </c:ext>
          </c:extLst>
        </c:ser>
        <c:ser>
          <c:idx val="6"/>
          <c:order val="6"/>
          <c:tx>
            <c:strRef>
              <c:f>CN!$AG$176</c:f>
              <c:strCache>
                <c:ptCount val="1"/>
                <c:pt idx="0">
                  <c:v>2022</c:v>
                </c:pt>
              </c:strCache>
            </c:strRef>
          </c:tx>
          <c:cat>
            <c:strRef>
              <c:f>CN!$Z$177:$Z$182</c:f>
              <c:strCache>
                <c:ptCount val="6"/>
                <c:pt idx="0">
                  <c:v>COMUNA 1</c:v>
                </c:pt>
                <c:pt idx="1">
                  <c:v>COMUNA 2</c:v>
                </c:pt>
                <c:pt idx="2">
                  <c:v>COMUNA 3</c:v>
                </c:pt>
                <c:pt idx="3">
                  <c:v>COMUNA 4</c:v>
                </c:pt>
                <c:pt idx="4">
                  <c:v>COMUNA 5</c:v>
                </c:pt>
                <c:pt idx="5">
                  <c:v>COMUNA 6</c:v>
                </c:pt>
              </c:strCache>
            </c:strRef>
          </c:cat>
          <c:val>
            <c:numRef>
              <c:f>CN!$AG$177:$AG$182</c:f>
              <c:numCache>
                <c:formatCode>0</c:formatCode>
                <c:ptCount val="6"/>
                <c:pt idx="0">
                  <c:v>50.388888888888886</c:v>
                </c:pt>
                <c:pt idx="1">
                  <c:v>51.52</c:v>
                </c:pt>
                <c:pt idx="2">
                  <c:v>51.5</c:v>
                </c:pt>
                <c:pt idx="3">
                  <c:v>48.5</c:v>
                </c:pt>
                <c:pt idx="4">
                  <c:v>53.705882352941174</c:v>
                </c:pt>
                <c:pt idx="5">
                  <c:v>49.736842105263158</c:v>
                </c:pt>
              </c:numCache>
            </c:numRef>
          </c:val>
          <c:extLst>
            <c:ext xmlns:c16="http://schemas.microsoft.com/office/drawing/2014/chart" uri="{C3380CC4-5D6E-409C-BE32-E72D297353CC}">
              <c16:uniqueId val="{00000000-9DD3-4838-8DC6-23F0AA3B8FFA}"/>
            </c:ext>
          </c:extLst>
        </c:ser>
        <c:ser>
          <c:idx val="7"/>
          <c:order val="7"/>
          <c:tx>
            <c:strRef>
              <c:f>CN!$AH$176</c:f>
              <c:strCache>
                <c:ptCount val="1"/>
                <c:pt idx="0">
                  <c:v>2023</c:v>
                </c:pt>
              </c:strCache>
            </c:strRef>
          </c:tx>
          <c:cat>
            <c:strRef>
              <c:f>CN!$Z$177:$Z$182</c:f>
              <c:strCache>
                <c:ptCount val="6"/>
                <c:pt idx="0">
                  <c:v>COMUNA 1</c:v>
                </c:pt>
                <c:pt idx="1">
                  <c:v>COMUNA 2</c:v>
                </c:pt>
                <c:pt idx="2">
                  <c:v>COMUNA 3</c:v>
                </c:pt>
                <c:pt idx="3">
                  <c:v>COMUNA 4</c:v>
                </c:pt>
                <c:pt idx="4">
                  <c:v>COMUNA 5</c:v>
                </c:pt>
                <c:pt idx="5">
                  <c:v>COMUNA 6</c:v>
                </c:pt>
              </c:strCache>
            </c:strRef>
          </c:cat>
          <c:val>
            <c:numRef>
              <c:f>CN!$AH$177:$AH$182</c:f>
              <c:numCache>
                <c:formatCode>0</c:formatCode>
                <c:ptCount val="6"/>
                <c:pt idx="0">
                  <c:v>51.411764705882355</c:v>
                </c:pt>
                <c:pt idx="1">
                  <c:v>51.384615384615387</c:v>
                </c:pt>
                <c:pt idx="2">
                  <c:v>52.272727272727273</c:v>
                </c:pt>
                <c:pt idx="3">
                  <c:v>48</c:v>
                </c:pt>
                <c:pt idx="4">
                  <c:v>54.588235294117645</c:v>
                </c:pt>
                <c:pt idx="5">
                  <c:v>50.9</c:v>
                </c:pt>
              </c:numCache>
            </c:numRef>
          </c:val>
          <c:extLst>
            <c:ext xmlns:c16="http://schemas.microsoft.com/office/drawing/2014/chart" uri="{C3380CC4-5D6E-409C-BE32-E72D297353CC}">
              <c16:uniqueId val="{00000001-9DD3-4838-8DC6-23F0AA3B8FFA}"/>
            </c:ext>
          </c:extLst>
        </c:ser>
        <c:ser>
          <c:idx val="8"/>
          <c:order val="8"/>
          <c:tx>
            <c:strRef>
              <c:f>CN!$AI$176</c:f>
              <c:strCache>
                <c:ptCount val="1"/>
                <c:pt idx="0">
                  <c:v>2024</c:v>
                </c:pt>
              </c:strCache>
            </c:strRef>
          </c:tx>
          <c:cat>
            <c:strRef>
              <c:f>CN!$Z$177:$Z$182</c:f>
              <c:strCache>
                <c:ptCount val="6"/>
                <c:pt idx="0">
                  <c:v>COMUNA 1</c:v>
                </c:pt>
                <c:pt idx="1">
                  <c:v>COMUNA 2</c:v>
                </c:pt>
                <c:pt idx="2">
                  <c:v>COMUNA 3</c:v>
                </c:pt>
                <c:pt idx="3">
                  <c:v>COMUNA 4</c:v>
                </c:pt>
                <c:pt idx="4">
                  <c:v>COMUNA 5</c:v>
                </c:pt>
                <c:pt idx="5">
                  <c:v>COMUNA 6</c:v>
                </c:pt>
              </c:strCache>
            </c:strRef>
          </c:cat>
          <c:val>
            <c:numRef>
              <c:f>CN!$AI$177:$AI$182</c:f>
              <c:numCache>
                <c:formatCode>0</c:formatCode>
                <c:ptCount val="6"/>
                <c:pt idx="0">
                  <c:v>51.222222222222221</c:v>
                </c:pt>
                <c:pt idx="1">
                  <c:v>52.375</c:v>
                </c:pt>
                <c:pt idx="2">
                  <c:v>52.727272727272727</c:v>
                </c:pt>
                <c:pt idx="3">
                  <c:v>49.615384615384613</c:v>
                </c:pt>
                <c:pt idx="4">
                  <c:v>52.833333333333336</c:v>
                </c:pt>
                <c:pt idx="5">
                  <c:v>51.055555555555557</c:v>
                </c:pt>
              </c:numCache>
            </c:numRef>
          </c:val>
          <c:extLst>
            <c:ext xmlns:c16="http://schemas.microsoft.com/office/drawing/2014/chart" uri="{C3380CC4-5D6E-409C-BE32-E72D297353CC}">
              <c16:uniqueId val="{00000000-A4DD-41D3-9C98-478C55CC9304}"/>
            </c:ext>
          </c:extLst>
        </c:ser>
        <c:dLbls>
          <c:showLegendKey val="0"/>
          <c:showVal val="0"/>
          <c:showCatName val="0"/>
          <c:showSerName val="0"/>
          <c:showPercent val="0"/>
          <c:showBubbleSize val="0"/>
        </c:dLbls>
        <c:axId val="39135104"/>
        <c:axId val="39136640"/>
      </c:radarChart>
      <c:catAx>
        <c:axId val="39135104"/>
        <c:scaling>
          <c:orientation val="minMax"/>
        </c:scaling>
        <c:delete val="0"/>
        <c:axPos val="b"/>
        <c:majorGridlines/>
        <c:numFmt formatCode="General" sourceLinked="0"/>
        <c:majorTickMark val="none"/>
        <c:minorTickMark val="none"/>
        <c:tickLblPos val="nextTo"/>
        <c:spPr>
          <a:ln w="9525">
            <a:noFill/>
          </a:ln>
        </c:spPr>
        <c:crossAx val="39136640"/>
        <c:crosses val="autoZero"/>
        <c:auto val="1"/>
        <c:lblAlgn val="ctr"/>
        <c:lblOffset val="100"/>
        <c:noMultiLvlLbl val="0"/>
      </c:catAx>
      <c:valAx>
        <c:axId val="39136640"/>
        <c:scaling>
          <c:orientation val="minMax"/>
          <c:max val="58"/>
          <c:min val="44"/>
        </c:scaling>
        <c:delete val="0"/>
        <c:axPos val="l"/>
        <c:majorGridlines/>
        <c:numFmt formatCode="0" sourceLinked="1"/>
        <c:majorTickMark val="none"/>
        <c:minorTickMark val="none"/>
        <c:tickLblPos val="nextTo"/>
        <c:crossAx val="39135104"/>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Resultados Ciencias Naturales Instituciones No Oficiales por Comunas 2016 - 2024</a:t>
            </a:r>
            <a:endParaRPr lang="es-CO" sz="1400">
              <a:effectLst/>
            </a:endParaRPr>
          </a:p>
        </c:rich>
      </c:tx>
      <c:overlay val="0"/>
    </c:title>
    <c:autoTitleDeleted val="0"/>
    <c:plotArea>
      <c:layout/>
      <c:radarChart>
        <c:radarStyle val="marker"/>
        <c:varyColors val="0"/>
        <c:ser>
          <c:idx val="0"/>
          <c:order val="0"/>
          <c:tx>
            <c:strRef>
              <c:f>CN!$F$201</c:f>
              <c:strCache>
                <c:ptCount val="1"/>
                <c:pt idx="0">
                  <c:v>2016</c:v>
                </c:pt>
              </c:strCache>
            </c:strRef>
          </c:tx>
          <c:spPr>
            <a:ln>
              <a:prstDash val="lgDashDot"/>
            </a:ln>
          </c:spPr>
          <c:cat>
            <c:strRef>
              <c:f>CN!$E$202:$E$207</c:f>
              <c:strCache>
                <c:ptCount val="6"/>
                <c:pt idx="0">
                  <c:v>COMUNA 1</c:v>
                </c:pt>
                <c:pt idx="1">
                  <c:v>COMUNA 2</c:v>
                </c:pt>
                <c:pt idx="2">
                  <c:v>COMUNA 3</c:v>
                </c:pt>
                <c:pt idx="3">
                  <c:v>COMUNA 4</c:v>
                </c:pt>
                <c:pt idx="4">
                  <c:v>COMUNA 5</c:v>
                </c:pt>
                <c:pt idx="5">
                  <c:v>COMUNA 6</c:v>
                </c:pt>
              </c:strCache>
            </c:strRef>
          </c:cat>
          <c:val>
            <c:numRef>
              <c:f>CN!$F$202:$F$207</c:f>
              <c:numCache>
                <c:formatCode>0</c:formatCode>
                <c:ptCount val="6"/>
                <c:pt idx="0">
                  <c:v>52.92307692307692</c:v>
                </c:pt>
                <c:pt idx="1">
                  <c:v>54.666666666666664</c:v>
                </c:pt>
                <c:pt idx="2">
                  <c:v>55.46153846153846</c:v>
                </c:pt>
                <c:pt idx="3">
                  <c:v>51.625</c:v>
                </c:pt>
                <c:pt idx="4">
                  <c:v>56.533333333333331</c:v>
                </c:pt>
                <c:pt idx="5">
                  <c:v>55.5</c:v>
                </c:pt>
              </c:numCache>
            </c:numRef>
          </c:val>
          <c:extLst>
            <c:ext xmlns:c16="http://schemas.microsoft.com/office/drawing/2014/chart" uri="{C3380CC4-5D6E-409C-BE32-E72D297353CC}">
              <c16:uniqueId val="{00000000-9BAC-48E9-B567-4D96458C5EB6}"/>
            </c:ext>
          </c:extLst>
        </c:ser>
        <c:ser>
          <c:idx val="1"/>
          <c:order val="1"/>
          <c:tx>
            <c:strRef>
              <c:f>CN!$G$201</c:f>
              <c:strCache>
                <c:ptCount val="1"/>
                <c:pt idx="0">
                  <c:v>2017</c:v>
                </c:pt>
              </c:strCache>
            </c:strRef>
          </c:tx>
          <c:cat>
            <c:strRef>
              <c:f>CN!$E$202:$E$207</c:f>
              <c:strCache>
                <c:ptCount val="6"/>
                <c:pt idx="0">
                  <c:v>COMUNA 1</c:v>
                </c:pt>
                <c:pt idx="1">
                  <c:v>COMUNA 2</c:v>
                </c:pt>
                <c:pt idx="2">
                  <c:v>COMUNA 3</c:v>
                </c:pt>
                <c:pt idx="3">
                  <c:v>COMUNA 4</c:v>
                </c:pt>
                <c:pt idx="4">
                  <c:v>COMUNA 5</c:v>
                </c:pt>
                <c:pt idx="5">
                  <c:v>COMUNA 6</c:v>
                </c:pt>
              </c:strCache>
            </c:strRef>
          </c:cat>
          <c:val>
            <c:numRef>
              <c:f>CN!$G$202:$G$207</c:f>
              <c:numCache>
                <c:formatCode>0</c:formatCode>
                <c:ptCount val="6"/>
                <c:pt idx="0">
                  <c:v>52.5</c:v>
                </c:pt>
                <c:pt idx="1">
                  <c:v>52.823529411764703</c:v>
                </c:pt>
                <c:pt idx="2">
                  <c:v>53.642857142857146</c:v>
                </c:pt>
                <c:pt idx="3">
                  <c:v>52.111111111111114</c:v>
                </c:pt>
                <c:pt idx="4">
                  <c:v>55.466666666666669</c:v>
                </c:pt>
                <c:pt idx="5">
                  <c:v>52.083333333333336</c:v>
                </c:pt>
              </c:numCache>
            </c:numRef>
          </c:val>
          <c:extLst>
            <c:ext xmlns:c16="http://schemas.microsoft.com/office/drawing/2014/chart" uri="{C3380CC4-5D6E-409C-BE32-E72D297353CC}">
              <c16:uniqueId val="{00000001-9BAC-48E9-B567-4D96458C5EB6}"/>
            </c:ext>
          </c:extLst>
        </c:ser>
        <c:ser>
          <c:idx val="2"/>
          <c:order val="2"/>
          <c:tx>
            <c:strRef>
              <c:f>CN!$H$201</c:f>
              <c:strCache>
                <c:ptCount val="1"/>
                <c:pt idx="0">
                  <c:v>2018</c:v>
                </c:pt>
              </c:strCache>
            </c:strRef>
          </c:tx>
          <c:spPr>
            <a:ln>
              <a:prstDash val="sysDash"/>
            </a:ln>
          </c:spPr>
          <c:cat>
            <c:strRef>
              <c:f>CN!$E$202:$E$207</c:f>
              <c:strCache>
                <c:ptCount val="6"/>
                <c:pt idx="0">
                  <c:v>COMUNA 1</c:v>
                </c:pt>
                <c:pt idx="1">
                  <c:v>COMUNA 2</c:v>
                </c:pt>
                <c:pt idx="2">
                  <c:v>COMUNA 3</c:v>
                </c:pt>
                <c:pt idx="3">
                  <c:v>COMUNA 4</c:v>
                </c:pt>
                <c:pt idx="4">
                  <c:v>COMUNA 5</c:v>
                </c:pt>
                <c:pt idx="5">
                  <c:v>COMUNA 6</c:v>
                </c:pt>
              </c:strCache>
            </c:strRef>
          </c:cat>
          <c:val>
            <c:numRef>
              <c:f>CN!$H$202:$H$207</c:f>
              <c:numCache>
                <c:formatCode>0</c:formatCode>
                <c:ptCount val="6"/>
                <c:pt idx="0">
                  <c:v>50.846153846153847</c:v>
                </c:pt>
                <c:pt idx="1">
                  <c:v>51.764705882352942</c:v>
                </c:pt>
                <c:pt idx="2">
                  <c:v>52.428571428571431</c:v>
                </c:pt>
                <c:pt idx="3">
                  <c:v>51.111111111111114</c:v>
                </c:pt>
                <c:pt idx="4">
                  <c:v>54.125</c:v>
                </c:pt>
                <c:pt idx="5">
                  <c:v>51.18181818181818</c:v>
                </c:pt>
              </c:numCache>
            </c:numRef>
          </c:val>
          <c:extLst>
            <c:ext xmlns:c16="http://schemas.microsoft.com/office/drawing/2014/chart" uri="{C3380CC4-5D6E-409C-BE32-E72D297353CC}">
              <c16:uniqueId val="{00000002-9BAC-48E9-B567-4D96458C5EB6}"/>
            </c:ext>
          </c:extLst>
        </c:ser>
        <c:ser>
          <c:idx val="3"/>
          <c:order val="3"/>
          <c:tx>
            <c:strRef>
              <c:f>CN!$I$201</c:f>
              <c:strCache>
                <c:ptCount val="1"/>
                <c:pt idx="0">
                  <c:v>2019</c:v>
                </c:pt>
              </c:strCache>
            </c:strRef>
          </c:tx>
          <c:cat>
            <c:strRef>
              <c:f>CN!$E$202:$E$207</c:f>
              <c:strCache>
                <c:ptCount val="6"/>
                <c:pt idx="0">
                  <c:v>COMUNA 1</c:v>
                </c:pt>
                <c:pt idx="1">
                  <c:v>COMUNA 2</c:v>
                </c:pt>
                <c:pt idx="2">
                  <c:v>COMUNA 3</c:v>
                </c:pt>
                <c:pt idx="3">
                  <c:v>COMUNA 4</c:v>
                </c:pt>
                <c:pt idx="4">
                  <c:v>COMUNA 5</c:v>
                </c:pt>
                <c:pt idx="5">
                  <c:v>COMUNA 6</c:v>
                </c:pt>
              </c:strCache>
            </c:strRef>
          </c:cat>
          <c:val>
            <c:numRef>
              <c:f>CN!$I$202:$I$207</c:f>
              <c:numCache>
                <c:formatCode>0</c:formatCode>
                <c:ptCount val="6"/>
                <c:pt idx="0">
                  <c:v>49.46153846153846</c:v>
                </c:pt>
                <c:pt idx="1">
                  <c:v>51.5</c:v>
                </c:pt>
                <c:pt idx="2">
                  <c:v>51.142857142857146</c:v>
                </c:pt>
                <c:pt idx="3">
                  <c:v>49.375</c:v>
                </c:pt>
                <c:pt idx="4">
                  <c:v>52.470588235294116</c:v>
                </c:pt>
                <c:pt idx="5">
                  <c:v>50.833333333333336</c:v>
                </c:pt>
              </c:numCache>
            </c:numRef>
          </c:val>
          <c:extLst>
            <c:ext xmlns:c16="http://schemas.microsoft.com/office/drawing/2014/chart" uri="{C3380CC4-5D6E-409C-BE32-E72D297353CC}">
              <c16:uniqueId val="{00000003-9BAC-48E9-B567-4D96458C5EB6}"/>
            </c:ext>
          </c:extLst>
        </c:ser>
        <c:ser>
          <c:idx val="4"/>
          <c:order val="4"/>
          <c:tx>
            <c:strRef>
              <c:f>CN!$J$201</c:f>
              <c:strCache>
                <c:ptCount val="1"/>
                <c:pt idx="0">
                  <c:v>2020</c:v>
                </c:pt>
              </c:strCache>
            </c:strRef>
          </c:tx>
          <c:cat>
            <c:strRef>
              <c:f>CN!$E$202:$E$207</c:f>
              <c:strCache>
                <c:ptCount val="6"/>
                <c:pt idx="0">
                  <c:v>COMUNA 1</c:v>
                </c:pt>
                <c:pt idx="1">
                  <c:v>COMUNA 2</c:v>
                </c:pt>
                <c:pt idx="2">
                  <c:v>COMUNA 3</c:v>
                </c:pt>
                <c:pt idx="3">
                  <c:v>COMUNA 4</c:v>
                </c:pt>
                <c:pt idx="4">
                  <c:v>COMUNA 5</c:v>
                </c:pt>
                <c:pt idx="5">
                  <c:v>COMUNA 6</c:v>
                </c:pt>
              </c:strCache>
            </c:strRef>
          </c:cat>
          <c:val>
            <c:numRef>
              <c:f>CN!$J$202:$J$207</c:f>
              <c:numCache>
                <c:formatCode>0</c:formatCode>
                <c:ptCount val="6"/>
                <c:pt idx="0">
                  <c:v>49.769230769230766</c:v>
                </c:pt>
                <c:pt idx="1">
                  <c:v>49.81818181818182</c:v>
                </c:pt>
                <c:pt idx="2">
                  <c:v>51.4</c:v>
                </c:pt>
                <c:pt idx="3">
                  <c:v>48.571428571428569</c:v>
                </c:pt>
                <c:pt idx="4">
                  <c:v>53.25</c:v>
                </c:pt>
                <c:pt idx="5">
                  <c:v>49.428571428571431</c:v>
                </c:pt>
              </c:numCache>
            </c:numRef>
          </c:val>
          <c:extLst>
            <c:ext xmlns:c16="http://schemas.microsoft.com/office/drawing/2014/chart" uri="{C3380CC4-5D6E-409C-BE32-E72D297353CC}">
              <c16:uniqueId val="{00000001-8DC5-4FD2-9FAB-193726B04AB9}"/>
            </c:ext>
          </c:extLst>
        </c:ser>
        <c:ser>
          <c:idx val="5"/>
          <c:order val="5"/>
          <c:tx>
            <c:strRef>
              <c:f>CN!$K$201</c:f>
              <c:strCache>
                <c:ptCount val="1"/>
                <c:pt idx="0">
                  <c:v>2021</c:v>
                </c:pt>
              </c:strCache>
            </c:strRef>
          </c:tx>
          <c:cat>
            <c:strRef>
              <c:f>CN!$E$202:$E$207</c:f>
              <c:strCache>
                <c:ptCount val="6"/>
                <c:pt idx="0">
                  <c:v>COMUNA 1</c:v>
                </c:pt>
                <c:pt idx="1">
                  <c:v>COMUNA 2</c:v>
                </c:pt>
                <c:pt idx="2">
                  <c:v>COMUNA 3</c:v>
                </c:pt>
                <c:pt idx="3">
                  <c:v>COMUNA 4</c:v>
                </c:pt>
                <c:pt idx="4">
                  <c:v>COMUNA 5</c:v>
                </c:pt>
                <c:pt idx="5">
                  <c:v>COMUNA 6</c:v>
                </c:pt>
              </c:strCache>
            </c:strRef>
          </c:cat>
          <c:val>
            <c:numRef>
              <c:f>CN!$K$202:$K$207</c:f>
              <c:numCache>
                <c:formatCode>0</c:formatCode>
                <c:ptCount val="6"/>
                <c:pt idx="0">
                  <c:v>50</c:v>
                </c:pt>
                <c:pt idx="1">
                  <c:v>50.3</c:v>
                </c:pt>
                <c:pt idx="2">
                  <c:v>51.666666666666664</c:v>
                </c:pt>
                <c:pt idx="3">
                  <c:v>48.75</c:v>
                </c:pt>
                <c:pt idx="4">
                  <c:v>52.75</c:v>
                </c:pt>
                <c:pt idx="5">
                  <c:v>49.571428571428569</c:v>
                </c:pt>
              </c:numCache>
            </c:numRef>
          </c:val>
          <c:extLst>
            <c:ext xmlns:c16="http://schemas.microsoft.com/office/drawing/2014/chart" uri="{C3380CC4-5D6E-409C-BE32-E72D297353CC}">
              <c16:uniqueId val="{00000000-44EA-4848-A6CD-3D79A8BC91EB}"/>
            </c:ext>
          </c:extLst>
        </c:ser>
        <c:ser>
          <c:idx val="6"/>
          <c:order val="6"/>
          <c:tx>
            <c:strRef>
              <c:f>CN!$L$201</c:f>
              <c:strCache>
                <c:ptCount val="1"/>
                <c:pt idx="0">
                  <c:v>2022</c:v>
                </c:pt>
              </c:strCache>
            </c:strRef>
          </c:tx>
          <c:cat>
            <c:strRef>
              <c:f>CN!$E$202:$E$207</c:f>
              <c:strCache>
                <c:ptCount val="6"/>
                <c:pt idx="0">
                  <c:v>COMUNA 1</c:v>
                </c:pt>
                <c:pt idx="1">
                  <c:v>COMUNA 2</c:v>
                </c:pt>
                <c:pt idx="2">
                  <c:v>COMUNA 3</c:v>
                </c:pt>
                <c:pt idx="3">
                  <c:v>COMUNA 4</c:v>
                </c:pt>
                <c:pt idx="4">
                  <c:v>COMUNA 5</c:v>
                </c:pt>
                <c:pt idx="5">
                  <c:v>COMUNA 6</c:v>
                </c:pt>
              </c:strCache>
            </c:strRef>
          </c:cat>
          <c:val>
            <c:numRef>
              <c:f>CN!$L$202:$L$207</c:f>
              <c:numCache>
                <c:formatCode>0</c:formatCode>
                <c:ptCount val="6"/>
                <c:pt idx="0">
                  <c:v>50.846153846153847</c:v>
                </c:pt>
                <c:pt idx="1">
                  <c:v>51.857142857142854</c:v>
                </c:pt>
                <c:pt idx="2">
                  <c:v>52.125</c:v>
                </c:pt>
                <c:pt idx="3">
                  <c:v>50.25</c:v>
                </c:pt>
                <c:pt idx="4">
                  <c:v>54.133333333333333</c:v>
                </c:pt>
                <c:pt idx="5">
                  <c:v>49.875</c:v>
                </c:pt>
              </c:numCache>
            </c:numRef>
          </c:val>
          <c:extLst>
            <c:ext xmlns:c16="http://schemas.microsoft.com/office/drawing/2014/chart" uri="{C3380CC4-5D6E-409C-BE32-E72D297353CC}">
              <c16:uniqueId val="{00000000-B238-4850-8255-24F3789D8DCE}"/>
            </c:ext>
          </c:extLst>
        </c:ser>
        <c:ser>
          <c:idx val="7"/>
          <c:order val="7"/>
          <c:tx>
            <c:strRef>
              <c:f>CN!$M$201</c:f>
              <c:strCache>
                <c:ptCount val="1"/>
                <c:pt idx="0">
                  <c:v>2023</c:v>
                </c:pt>
              </c:strCache>
            </c:strRef>
          </c:tx>
          <c:cat>
            <c:strRef>
              <c:f>CN!$E$202:$E$207</c:f>
              <c:strCache>
                <c:ptCount val="6"/>
                <c:pt idx="0">
                  <c:v>COMUNA 1</c:v>
                </c:pt>
                <c:pt idx="1">
                  <c:v>COMUNA 2</c:v>
                </c:pt>
                <c:pt idx="2">
                  <c:v>COMUNA 3</c:v>
                </c:pt>
                <c:pt idx="3">
                  <c:v>COMUNA 4</c:v>
                </c:pt>
                <c:pt idx="4">
                  <c:v>COMUNA 5</c:v>
                </c:pt>
                <c:pt idx="5">
                  <c:v>COMUNA 6</c:v>
                </c:pt>
              </c:strCache>
            </c:strRef>
          </c:cat>
          <c:val>
            <c:numRef>
              <c:f>CN!$M$202:$M$207</c:f>
              <c:numCache>
                <c:formatCode>0</c:formatCode>
                <c:ptCount val="6"/>
                <c:pt idx="0">
                  <c:v>52</c:v>
                </c:pt>
                <c:pt idx="1">
                  <c:v>51.68181818181818</c:v>
                </c:pt>
                <c:pt idx="2">
                  <c:v>52.9375</c:v>
                </c:pt>
                <c:pt idx="3">
                  <c:v>48.888888888888886</c:v>
                </c:pt>
                <c:pt idx="4">
                  <c:v>55.133333333333333</c:v>
                </c:pt>
                <c:pt idx="5">
                  <c:v>51.235294117647058</c:v>
                </c:pt>
              </c:numCache>
            </c:numRef>
          </c:val>
          <c:extLst>
            <c:ext xmlns:c16="http://schemas.microsoft.com/office/drawing/2014/chart" uri="{C3380CC4-5D6E-409C-BE32-E72D297353CC}">
              <c16:uniqueId val="{00000000-F2B1-4CA7-92B5-8FE0D6D2C23D}"/>
            </c:ext>
          </c:extLst>
        </c:ser>
        <c:ser>
          <c:idx val="8"/>
          <c:order val="8"/>
          <c:tx>
            <c:strRef>
              <c:f>CN!$N$201</c:f>
              <c:strCache>
                <c:ptCount val="1"/>
                <c:pt idx="0">
                  <c:v>2024</c:v>
                </c:pt>
              </c:strCache>
            </c:strRef>
          </c:tx>
          <c:cat>
            <c:strRef>
              <c:f>CN!$E$202:$E$207</c:f>
              <c:strCache>
                <c:ptCount val="6"/>
                <c:pt idx="0">
                  <c:v>COMUNA 1</c:v>
                </c:pt>
                <c:pt idx="1">
                  <c:v>COMUNA 2</c:v>
                </c:pt>
                <c:pt idx="2">
                  <c:v>COMUNA 3</c:v>
                </c:pt>
                <c:pt idx="3">
                  <c:v>COMUNA 4</c:v>
                </c:pt>
                <c:pt idx="4">
                  <c:v>COMUNA 5</c:v>
                </c:pt>
                <c:pt idx="5">
                  <c:v>COMUNA 6</c:v>
                </c:pt>
              </c:strCache>
            </c:strRef>
          </c:cat>
          <c:val>
            <c:numRef>
              <c:f>CN!$N$202:$N$207</c:f>
              <c:numCache>
                <c:formatCode>0</c:formatCode>
                <c:ptCount val="6"/>
                <c:pt idx="0">
                  <c:v>51.53846153846154</c:v>
                </c:pt>
                <c:pt idx="1">
                  <c:v>52.65</c:v>
                </c:pt>
                <c:pt idx="2">
                  <c:v>53.375</c:v>
                </c:pt>
                <c:pt idx="3">
                  <c:v>51.857142857142854</c:v>
                </c:pt>
                <c:pt idx="4">
                  <c:v>52.866666666666667</c:v>
                </c:pt>
                <c:pt idx="5">
                  <c:v>51.5</c:v>
                </c:pt>
              </c:numCache>
            </c:numRef>
          </c:val>
          <c:extLst>
            <c:ext xmlns:c16="http://schemas.microsoft.com/office/drawing/2014/chart" uri="{C3380CC4-5D6E-409C-BE32-E72D297353CC}">
              <c16:uniqueId val="{00000000-7A64-476D-BCAB-905A0B078E37}"/>
            </c:ext>
          </c:extLst>
        </c:ser>
        <c:dLbls>
          <c:showLegendKey val="0"/>
          <c:showVal val="0"/>
          <c:showCatName val="0"/>
          <c:showSerName val="0"/>
          <c:showPercent val="0"/>
          <c:showBubbleSize val="0"/>
        </c:dLbls>
        <c:axId val="39929728"/>
        <c:axId val="39931264"/>
      </c:radarChart>
      <c:catAx>
        <c:axId val="39929728"/>
        <c:scaling>
          <c:orientation val="minMax"/>
        </c:scaling>
        <c:delete val="0"/>
        <c:axPos val="b"/>
        <c:majorGridlines/>
        <c:numFmt formatCode="General" sourceLinked="0"/>
        <c:majorTickMark val="none"/>
        <c:minorTickMark val="none"/>
        <c:tickLblPos val="nextTo"/>
        <c:spPr>
          <a:ln w="9525">
            <a:noFill/>
          </a:ln>
        </c:spPr>
        <c:crossAx val="39931264"/>
        <c:crosses val="autoZero"/>
        <c:auto val="1"/>
        <c:lblAlgn val="ctr"/>
        <c:lblOffset val="100"/>
        <c:noMultiLvlLbl val="0"/>
      </c:catAx>
      <c:valAx>
        <c:axId val="39931264"/>
        <c:scaling>
          <c:orientation val="minMax"/>
          <c:max val="58"/>
          <c:min val="46"/>
        </c:scaling>
        <c:delete val="0"/>
        <c:axPos val="l"/>
        <c:majorGridlines/>
        <c:numFmt formatCode="0" sourceLinked="1"/>
        <c:majorTickMark val="none"/>
        <c:minorTickMark val="none"/>
        <c:tickLblPos val="nextTo"/>
        <c:crossAx val="39929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400" b="1" i="0" baseline="0">
                <a:effectLst/>
              </a:rPr>
              <a:t>Resultados Ciencias Naturales Instituciones Oficiales por Comunas 2016 - 2024</a:t>
            </a:r>
            <a:endParaRPr lang="es-CO" sz="1400">
              <a:effectLst/>
            </a:endParaRPr>
          </a:p>
        </c:rich>
      </c:tx>
      <c:overlay val="0"/>
    </c:title>
    <c:autoTitleDeleted val="0"/>
    <c:plotArea>
      <c:layout/>
      <c:radarChart>
        <c:radarStyle val="marker"/>
        <c:varyColors val="0"/>
        <c:ser>
          <c:idx val="0"/>
          <c:order val="0"/>
          <c:tx>
            <c:strRef>
              <c:f>CN!$V$201</c:f>
              <c:strCache>
                <c:ptCount val="1"/>
                <c:pt idx="0">
                  <c:v>2016</c:v>
                </c:pt>
              </c:strCache>
            </c:strRef>
          </c:tx>
          <c:spPr>
            <a:ln>
              <a:prstDash val="lgDashDot"/>
            </a:ln>
          </c:spPr>
          <c:cat>
            <c:strRef>
              <c:f>CN!$U$202:$U$207</c:f>
              <c:strCache>
                <c:ptCount val="6"/>
                <c:pt idx="0">
                  <c:v>COMUNA 1</c:v>
                </c:pt>
                <c:pt idx="1">
                  <c:v>COMUNA 2</c:v>
                </c:pt>
                <c:pt idx="2">
                  <c:v>COMUNA 3</c:v>
                </c:pt>
                <c:pt idx="3">
                  <c:v>COMUNA 4</c:v>
                </c:pt>
                <c:pt idx="4">
                  <c:v>COMUNA 5</c:v>
                </c:pt>
                <c:pt idx="5">
                  <c:v>COMUNA 6</c:v>
                </c:pt>
              </c:strCache>
            </c:strRef>
          </c:cat>
          <c:val>
            <c:numRef>
              <c:f>CN!$V$202:$V$207</c:f>
              <c:numCache>
                <c:formatCode>0</c:formatCode>
                <c:ptCount val="6"/>
                <c:pt idx="0">
                  <c:v>54</c:v>
                </c:pt>
                <c:pt idx="1">
                  <c:v>54</c:v>
                </c:pt>
                <c:pt idx="2">
                  <c:v>53.333333333333336</c:v>
                </c:pt>
                <c:pt idx="3">
                  <c:v>50.5</c:v>
                </c:pt>
                <c:pt idx="4">
                  <c:v>54</c:v>
                </c:pt>
                <c:pt idx="5">
                  <c:v>53.333333333333336</c:v>
                </c:pt>
              </c:numCache>
            </c:numRef>
          </c:val>
          <c:extLst>
            <c:ext xmlns:c16="http://schemas.microsoft.com/office/drawing/2014/chart" uri="{C3380CC4-5D6E-409C-BE32-E72D297353CC}">
              <c16:uniqueId val="{00000000-41D8-4C9B-B01E-CA2FB3F8B326}"/>
            </c:ext>
          </c:extLst>
        </c:ser>
        <c:ser>
          <c:idx val="1"/>
          <c:order val="1"/>
          <c:tx>
            <c:strRef>
              <c:f>CN!$W$201</c:f>
              <c:strCache>
                <c:ptCount val="1"/>
                <c:pt idx="0">
                  <c:v>2017</c:v>
                </c:pt>
              </c:strCache>
            </c:strRef>
          </c:tx>
          <c:cat>
            <c:strRef>
              <c:f>CN!$U$202:$U$207</c:f>
              <c:strCache>
                <c:ptCount val="6"/>
                <c:pt idx="0">
                  <c:v>COMUNA 1</c:v>
                </c:pt>
                <c:pt idx="1">
                  <c:v>COMUNA 2</c:v>
                </c:pt>
                <c:pt idx="2">
                  <c:v>COMUNA 3</c:v>
                </c:pt>
                <c:pt idx="3">
                  <c:v>COMUNA 4</c:v>
                </c:pt>
                <c:pt idx="4">
                  <c:v>COMUNA 5</c:v>
                </c:pt>
                <c:pt idx="5">
                  <c:v>COMUNA 6</c:v>
                </c:pt>
              </c:strCache>
            </c:strRef>
          </c:cat>
          <c:val>
            <c:numRef>
              <c:f>CN!$W$202:$W$207</c:f>
              <c:numCache>
                <c:formatCode>0</c:formatCode>
                <c:ptCount val="6"/>
                <c:pt idx="0">
                  <c:v>53</c:v>
                </c:pt>
                <c:pt idx="1">
                  <c:v>53.5</c:v>
                </c:pt>
                <c:pt idx="2">
                  <c:v>51.333333333333336</c:v>
                </c:pt>
                <c:pt idx="3">
                  <c:v>49.833333333333336</c:v>
                </c:pt>
                <c:pt idx="4">
                  <c:v>51.5</c:v>
                </c:pt>
                <c:pt idx="5">
                  <c:v>52</c:v>
                </c:pt>
              </c:numCache>
            </c:numRef>
          </c:val>
          <c:extLst>
            <c:ext xmlns:c16="http://schemas.microsoft.com/office/drawing/2014/chart" uri="{C3380CC4-5D6E-409C-BE32-E72D297353CC}">
              <c16:uniqueId val="{00000001-41D8-4C9B-B01E-CA2FB3F8B326}"/>
            </c:ext>
          </c:extLst>
        </c:ser>
        <c:ser>
          <c:idx val="2"/>
          <c:order val="2"/>
          <c:tx>
            <c:strRef>
              <c:f>CN!$X$201</c:f>
              <c:strCache>
                <c:ptCount val="1"/>
                <c:pt idx="0">
                  <c:v>2018</c:v>
                </c:pt>
              </c:strCache>
            </c:strRef>
          </c:tx>
          <c:spPr>
            <a:ln>
              <a:prstDash val="sysDash"/>
            </a:ln>
          </c:spPr>
          <c:cat>
            <c:strRef>
              <c:f>CN!$U$202:$U$207</c:f>
              <c:strCache>
                <c:ptCount val="6"/>
                <c:pt idx="0">
                  <c:v>COMUNA 1</c:v>
                </c:pt>
                <c:pt idx="1">
                  <c:v>COMUNA 2</c:v>
                </c:pt>
                <c:pt idx="2">
                  <c:v>COMUNA 3</c:v>
                </c:pt>
                <c:pt idx="3">
                  <c:v>COMUNA 4</c:v>
                </c:pt>
                <c:pt idx="4">
                  <c:v>COMUNA 5</c:v>
                </c:pt>
                <c:pt idx="5">
                  <c:v>COMUNA 6</c:v>
                </c:pt>
              </c:strCache>
            </c:strRef>
          </c:cat>
          <c:val>
            <c:numRef>
              <c:f>CN!$X$202:$X$207</c:f>
              <c:numCache>
                <c:formatCode>0</c:formatCode>
                <c:ptCount val="6"/>
                <c:pt idx="0">
                  <c:v>50.5</c:v>
                </c:pt>
                <c:pt idx="1">
                  <c:v>51</c:v>
                </c:pt>
                <c:pt idx="2">
                  <c:v>50.666666666666664</c:v>
                </c:pt>
                <c:pt idx="3">
                  <c:v>46.5</c:v>
                </c:pt>
                <c:pt idx="4">
                  <c:v>49.5</c:v>
                </c:pt>
                <c:pt idx="5">
                  <c:v>50.333333333333336</c:v>
                </c:pt>
              </c:numCache>
            </c:numRef>
          </c:val>
          <c:extLst>
            <c:ext xmlns:c16="http://schemas.microsoft.com/office/drawing/2014/chart" uri="{C3380CC4-5D6E-409C-BE32-E72D297353CC}">
              <c16:uniqueId val="{00000002-41D8-4C9B-B01E-CA2FB3F8B326}"/>
            </c:ext>
          </c:extLst>
        </c:ser>
        <c:ser>
          <c:idx val="3"/>
          <c:order val="3"/>
          <c:tx>
            <c:strRef>
              <c:f>CN!$Y$201</c:f>
              <c:strCache>
                <c:ptCount val="1"/>
                <c:pt idx="0">
                  <c:v>2019</c:v>
                </c:pt>
              </c:strCache>
            </c:strRef>
          </c:tx>
          <c:cat>
            <c:strRef>
              <c:f>CN!$U$202:$U$207</c:f>
              <c:strCache>
                <c:ptCount val="6"/>
                <c:pt idx="0">
                  <c:v>COMUNA 1</c:v>
                </c:pt>
                <c:pt idx="1">
                  <c:v>COMUNA 2</c:v>
                </c:pt>
                <c:pt idx="2">
                  <c:v>COMUNA 3</c:v>
                </c:pt>
                <c:pt idx="3">
                  <c:v>COMUNA 4</c:v>
                </c:pt>
                <c:pt idx="4">
                  <c:v>COMUNA 5</c:v>
                </c:pt>
                <c:pt idx="5">
                  <c:v>COMUNA 6</c:v>
                </c:pt>
              </c:strCache>
            </c:strRef>
          </c:cat>
          <c:val>
            <c:numRef>
              <c:f>CN!$Y$202:$Y$207</c:f>
              <c:numCache>
                <c:formatCode>0</c:formatCode>
                <c:ptCount val="6"/>
                <c:pt idx="0">
                  <c:v>49.5</c:v>
                </c:pt>
                <c:pt idx="1">
                  <c:v>49</c:v>
                </c:pt>
                <c:pt idx="2">
                  <c:v>48.666666666666664</c:v>
                </c:pt>
                <c:pt idx="3">
                  <c:v>45.5</c:v>
                </c:pt>
                <c:pt idx="4">
                  <c:v>49.5</c:v>
                </c:pt>
                <c:pt idx="5">
                  <c:v>48.333333333333336</c:v>
                </c:pt>
              </c:numCache>
            </c:numRef>
          </c:val>
          <c:extLst>
            <c:ext xmlns:c16="http://schemas.microsoft.com/office/drawing/2014/chart" uri="{C3380CC4-5D6E-409C-BE32-E72D297353CC}">
              <c16:uniqueId val="{00000003-41D8-4C9B-B01E-CA2FB3F8B326}"/>
            </c:ext>
          </c:extLst>
        </c:ser>
        <c:ser>
          <c:idx val="4"/>
          <c:order val="4"/>
          <c:tx>
            <c:strRef>
              <c:f>CN!$Z$201</c:f>
              <c:strCache>
                <c:ptCount val="1"/>
                <c:pt idx="0">
                  <c:v>2020</c:v>
                </c:pt>
              </c:strCache>
            </c:strRef>
          </c:tx>
          <c:cat>
            <c:strRef>
              <c:f>CN!$U$202:$U$207</c:f>
              <c:strCache>
                <c:ptCount val="6"/>
                <c:pt idx="0">
                  <c:v>COMUNA 1</c:v>
                </c:pt>
                <c:pt idx="1">
                  <c:v>COMUNA 2</c:v>
                </c:pt>
                <c:pt idx="2">
                  <c:v>COMUNA 3</c:v>
                </c:pt>
                <c:pt idx="3">
                  <c:v>COMUNA 4</c:v>
                </c:pt>
                <c:pt idx="4">
                  <c:v>COMUNA 5</c:v>
                </c:pt>
                <c:pt idx="5">
                  <c:v>COMUNA 6</c:v>
                </c:pt>
              </c:strCache>
            </c:strRef>
          </c:cat>
          <c:val>
            <c:numRef>
              <c:f>CN!$Z$202:$Z$207</c:f>
              <c:numCache>
                <c:formatCode>0</c:formatCode>
                <c:ptCount val="6"/>
                <c:pt idx="0">
                  <c:v>49</c:v>
                </c:pt>
                <c:pt idx="1">
                  <c:v>49</c:v>
                </c:pt>
                <c:pt idx="2">
                  <c:v>49.25</c:v>
                </c:pt>
                <c:pt idx="3">
                  <c:v>45.166666666666664</c:v>
                </c:pt>
                <c:pt idx="4">
                  <c:v>49</c:v>
                </c:pt>
                <c:pt idx="5">
                  <c:v>48.333333333333336</c:v>
                </c:pt>
              </c:numCache>
            </c:numRef>
          </c:val>
          <c:extLst>
            <c:ext xmlns:c16="http://schemas.microsoft.com/office/drawing/2014/chart" uri="{C3380CC4-5D6E-409C-BE32-E72D297353CC}">
              <c16:uniqueId val="{00000001-D1C0-45CF-9990-115616822364}"/>
            </c:ext>
          </c:extLst>
        </c:ser>
        <c:ser>
          <c:idx val="5"/>
          <c:order val="5"/>
          <c:tx>
            <c:strRef>
              <c:f>CN!$AA$201</c:f>
              <c:strCache>
                <c:ptCount val="1"/>
                <c:pt idx="0">
                  <c:v>2021</c:v>
                </c:pt>
              </c:strCache>
            </c:strRef>
          </c:tx>
          <c:cat>
            <c:strRef>
              <c:f>CN!$U$202:$U$207</c:f>
              <c:strCache>
                <c:ptCount val="6"/>
                <c:pt idx="0">
                  <c:v>COMUNA 1</c:v>
                </c:pt>
                <c:pt idx="1">
                  <c:v>COMUNA 2</c:v>
                </c:pt>
                <c:pt idx="2">
                  <c:v>COMUNA 3</c:v>
                </c:pt>
                <c:pt idx="3">
                  <c:v>COMUNA 4</c:v>
                </c:pt>
                <c:pt idx="4">
                  <c:v>COMUNA 5</c:v>
                </c:pt>
                <c:pt idx="5">
                  <c:v>COMUNA 6</c:v>
                </c:pt>
              </c:strCache>
            </c:strRef>
          </c:cat>
          <c:val>
            <c:numRef>
              <c:f>CN!$AA$202:$AA$207</c:f>
              <c:numCache>
                <c:formatCode>0</c:formatCode>
                <c:ptCount val="6"/>
                <c:pt idx="0">
                  <c:v>48.75</c:v>
                </c:pt>
                <c:pt idx="1">
                  <c:v>49</c:v>
                </c:pt>
                <c:pt idx="2">
                  <c:v>49</c:v>
                </c:pt>
                <c:pt idx="3">
                  <c:v>46</c:v>
                </c:pt>
                <c:pt idx="4">
                  <c:v>48.5</c:v>
                </c:pt>
                <c:pt idx="5">
                  <c:v>47.666666666666664</c:v>
                </c:pt>
              </c:numCache>
            </c:numRef>
          </c:val>
          <c:extLst>
            <c:ext xmlns:c16="http://schemas.microsoft.com/office/drawing/2014/chart" uri="{C3380CC4-5D6E-409C-BE32-E72D297353CC}">
              <c16:uniqueId val="{00000000-3D58-4AE8-8B82-13EED9E137A3}"/>
            </c:ext>
          </c:extLst>
        </c:ser>
        <c:ser>
          <c:idx val="6"/>
          <c:order val="6"/>
          <c:tx>
            <c:strRef>
              <c:f>CN!$AB$201</c:f>
              <c:strCache>
                <c:ptCount val="1"/>
                <c:pt idx="0">
                  <c:v>2022</c:v>
                </c:pt>
              </c:strCache>
            </c:strRef>
          </c:tx>
          <c:cat>
            <c:strRef>
              <c:f>CN!$U$202:$U$207</c:f>
              <c:strCache>
                <c:ptCount val="6"/>
                <c:pt idx="0">
                  <c:v>COMUNA 1</c:v>
                </c:pt>
                <c:pt idx="1">
                  <c:v>COMUNA 2</c:v>
                </c:pt>
                <c:pt idx="2">
                  <c:v>COMUNA 3</c:v>
                </c:pt>
                <c:pt idx="3">
                  <c:v>COMUNA 4</c:v>
                </c:pt>
                <c:pt idx="4">
                  <c:v>COMUNA 5</c:v>
                </c:pt>
                <c:pt idx="5">
                  <c:v>COMUNA 6</c:v>
                </c:pt>
              </c:strCache>
            </c:strRef>
          </c:cat>
          <c:val>
            <c:numRef>
              <c:f>CN!$AB$202:$AB$207</c:f>
              <c:numCache>
                <c:formatCode>0</c:formatCode>
                <c:ptCount val="6"/>
                <c:pt idx="0">
                  <c:v>49.2</c:v>
                </c:pt>
                <c:pt idx="1">
                  <c:v>49.75</c:v>
                </c:pt>
                <c:pt idx="2">
                  <c:v>49.833333333333336</c:v>
                </c:pt>
                <c:pt idx="3">
                  <c:v>46.166666666666664</c:v>
                </c:pt>
                <c:pt idx="4">
                  <c:v>50.5</c:v>
                </c:pt>
                <c:pt idx="5">
                  <c:v>49</c:v>
                </c:pt>
              </c:numCache>
            </c:numRef>
          </c:val>
          <c:extLst>
            <c:ext xmlns:c16="http://schemas.microsoft.com/office/drawing/2014/chart" uri="{C3380CC4-5D6E-409C-BE32-E72D297353CC}">
              <c16:uniqueId val="{00000000-9316-4847-ADB5-305A264106B0}"/>
            </c:ext>
          </c:extLst>
        </c:ser>
        <c:ser>
          <c:idx val="7"/>
          <c:order val="7"/>
          <c:tx>
            <c:strRef>
              <c:f>CN!$AC$201</c:f>
              <c:strCache>
                <c:ptCount val="1"/>
                <c:pt idx="0">
                  <c:v>2023</c:v>
                </c:pt>
              </c:strCache>
            </c:strRef>
          </c:tx>
          <c:cat>
            <c:strRef>
              <c:f>CN!$U$202:$U$207</c:f>
              <c:strCache>
                <c:ptCount val="6"/>
                <c:pt idx="0">
                  <c:v>COMUNA 1</c:v>
                </c:pt>
                <c:pt idx="1">
                  <c:v>COMUNA 2</c:v>
                </c:pt>
                <c:pt idx="2">
                  <c:v>COMUNA 3</c:v>
                </c:pt>
                <c:pt idx="3">
                  <c:v>COMUNA 4</c:v>
                </c:pt>
                <c:pt idx="4">
                  <c:v>COMUNA 5</c:v>
                </c:pt>
                <c:pt idx="5">
                  <c:v>COMUNA 6</c:v>
                </c:pt>
              </c:strCache>
            </c:strRef>
          </c:cat>
          <c:val>
            <c:numRef>
              <c:f>CN!$AC$202:$AC$207</c:f>
              <c:numCache>
                <c:formatCode>0</c:formatCode>
                <c:ptCount val="6"/>
                <c:pt idx="0">
                  <c:v>50</c:v>
                </c:pt>
                <c:pt idx="1">
                  <c:v>49.75</c:v>
                </c:pt>
                <c:pt idx="2">
                  <c:v>50.5</c:v>
                </c:pt>
                <c:pt idx="3">
                  <c:v>46.666666666666664</c:v>
                </c:pt>
                <c:pt idx="4">
                  <c:v>50.5</c:v>
                </c:pt>
                <c:pt idx="5">
                  <c:v>49</c:v>
                </c:pt>
              </c:numCache>
            </c:numRef>
          </c:val>
          <c:extLst>
            <c:ext xmlns:c16="http://schemas.microsoft.com/office/drawing/2014/chart" uri="{C3380CC4-5D6E-409C-BE32-E72D297353CC}">
              <c16:uniqueId val="{00000000-32CA-4D2A-8250-DEEB48DF8C1E}"/>
            </c:ext>
          </c:extLst>
        </c:ser>
        <c:ser>
          <c:idx val="8"/>
          <c:order val="8"/>
          <c:tx>
            <c:strRef>
              <c:f>CN!$AD$201</c:f>
              <c:strCache>
                <c:ptCount val="1"/>
                <c:pt idx="0">
                  <c:v>2024</c:v>
                </c:pt>
              </c:strCache>
            </c:strRef>
          </c:tx>
          <c:cat>
            <c:strRef>
              <c:f>CN!$U$202:$U$207</c:f>
              <c:strCache>
                <c:ptCount val="6"/>
                <c:pt idx="0">
                  <c:v>COMUNA 1</c:v>
                </c:pt>
                <c:pt idx="1">
                  <c:v>COMUNA 2</c:v>
                </c:pt>
                <c:pt idx="2">
                  <c:v>COMUNA 3</c:v>
                </c:pt>
                <c:pt idx="3">
                  <c:v>COMUNA 4</c:v>
                </c:pt>
                <c:pt idx="4">
                  <c:v>COMUNA 5</c:v>
                </c:pt>
                <c:pt idx="5">
                  <c:v>COMUNA 6</c:v>
                </c:pt>
              </c:strCache>
            </c:strRef>
          </c:cat>
          <c:val>
            <c:numRef>
              <c:f>CN!$AD$202:$AD$207</c:f>
              <c:numCache>
                <c:formatCode>0</c:formatCode>
                <c:ptCount val="6"/>
                <c:pt idx="0">
                  <c:v>50.4</c:v>
                </c:pt>
                <c:pt idx="1">
                  <c:v>51</c:v>
                </c:pt>
                <c:pt idx="2">
                  <c:v>51</c:v>
                </c:pt>
                <c:pt idx="3">
                  <c:v>47</c:v>
                </c:pt>
                <c:pt idx="4">
                  <c:v>52.666666666666664</c:v>
                </c:pt>
                <c:pt idx="5">
                  <c:v>49.5</c:v>
                </c:pt>
              </c:numCache>
            </c:numRef>
          </c:val>
          <c:extLst>
            <c:ext xmlns:c16="http://schemas.microsoft.com/office/drawing/2014/chart" uri="{C3380CC4-5D6E-409C-BE32-E72D297353CC}">
              <c16:uniqueId val="{00000000-52A8-4B09-BF63-D6FA7D149B16}"/>
            </c:ext>
          </c:extLst>
        </c:ser>
        <c:dLbls>
          <c:showLegendKey val="0"/>
          <c:showVal val="0"/>
          <c:showCatName val="0"/>
          <c:showSerName val="0"/>
          <c:showPercent val="0"/>
          <c:showBubbleSize val="0"/>
        </c:dLbls>
        <c:axId val="39171968"/>
        <c:axId val="39173504"/>
      </c:radarChart>
      <c:catAx>
        <c:axId val="39171968"/>
        <c:scaling>
          <c:orientation val="minMax"/>
        </c:scaling>
        <c:delete val="0"/>
        <c:axPos val="b"/>
        <c:majorGridlines/>
        <c:numFmt formatCode="General" sourceLinked="0"/>
        <c:majorTickMark val="none"/>
        <c:minorTickMark val="none"/>
        <c:tickLblPos val="nextTo"/>
        <c:spPr>
          <a:ln w="9525">
            <a:noFill/>
          </a:ln>
        </c:spPr>
        <c:crossAx val="39173504"/>
        <c:crosses val="autoZero"/>
        <c:auto val="1"/>
        <c:lblAlgn val="ctr"/>
        <c:lblOffset val="100"/>
        <c:noMultiLvlLbl val="0"/>
      </c:catAx>
      <c:valAx>
        <c:axId val="39173504"/>
        <c:scaling>
          <c:orientation val="minMax"/>
          <c:max val="56"/>
          <c:min val="44"/>
        </c:scaling>
        <c:delete val="0"/>
        <c:axPos val="l"/>
        <c:majorGridlines/>
        <c:numFmt formatCode="0" sourceLinked="1"/>
        <c:majorTickMark val="none"/>
        <c:minorTickMark val="none"/>
        <c:tickLblPos val="nextTo"/>
        <c:crossAx val="39171968"/>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Ciencias Naturales Saber 11 2016 - 2024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CN!$E$239</c:f>
              <c:strCache>
                <c:ptCount val="1"/>
                <c:pt idx="0">
                  <c:v>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CN!$F$237:$AO$238</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CN!$F$239:$AO$239</c:f>
              <c:numCache>
                <c:formatCode>0%</c:formatCode>
                <c:ptCount val="36"/>
                <c:pt idx="0">
                  <c:v>0.09</c:v>
                </c:pt>
                <c:pt idx="1">
                  <c:v>0.05</c:v>
                </c:pt>
                <c:pt idx="2">
                  <c:v>0.06</c:v>
                </c:pt>
                <c:pt idx="3">
                  <c:v>0.03</c:v>
                </c:pt>
                <c:pt idx="4">
                  <c:v>0.12</c:v>
                </c:pt>
                <c:pt idx="5">
                  <c:v>0.08</c:v>
                </c:pt>
                <c:pt idx="6">
                  <c:v>0.09</c:v>
                </c:pt>
                <c:pt idx="7">
                  <c:v>0.06</c:v>
                </c:pt>
                <c:pt idx="8">
                  <c:v>0.17</c:v>
                </c:pt>
                <c:pt idx="9">
                  <c:v>0.11</c:v>
                </c:pt>
                <c:pt idx="10">
                  <c:v>0.14000000000000001</c:v>
                </c:pt>
                <c:pt idx="11">
                  <c:v>0.08</c:v>
                </c:pt>
                <c:pt idx="12">
                  <c:v>0.21</c:v>
                </c:pt>
                <c:pt idx="13">
                  <c:v>0.14000000000000001</c:v>
                </c:pt>
                <c:pt idx="14">
                  <c:v>0.18</c:v>
                </c:pt>
                <c:pt idx="15">
                  <c:v>0.1</c:v>
                </c:pt>
                <c:pt idx="16">
                  <c:v>0.23</c:v>
                </c:pt>
                <c:pt idx="17">
                  <c:v>0.16</c:v>
                </c:pt>
                <c:pt idx="18">
                  <c:v>0.19</c:v>
                </c:pt>
                <c:pt idx="19">
                  <c:v>0.14000000000000001</c:v>
                </c:pt>
                <c:pt idx="20">
                  <c:v>0.22</c:v>
                </c:pt>
                <c:pt idx="21">
                  <c:v>0.14000000000000001</c:v>
                </c:pt>
                <c:pt idx="22">
                  <c:v>0.17</c:v>
                </c:pt>
                <c:pt idx="23">
                  <c:v>0.1</c:v>
                </c:pt>
                <c:pt idx="24">
                  <c:v>0.21</c:v>
                </c:pt>
                <c:pt idx="25">
                  <c:v>0.14000000000000001</c:v>
                </c:pt>
                <c:pt idx="26">
                  <c:v>0.17</c:v>
                </c:pt>
                <c:pt idx="27">
                  <c:v>0.12</c:v>
                </c:pt>
                <c:pt idx="28">
                  <c:v>0.19</c:v>
                </c:pt>
                <c:pt idx="29">
                  <c:v>0.13</c:v>
                </c:pt>
                <c:pt idx="30">
                  <c:v>0.16</c:v>
                </c:pt>
                <c:pt idx="31">
                  <c:v>0.09</c:v>
                </c:pt>
                <c:pt idx="32">
                  <c:v>0.18</c:v>
                </c:pt>
                <c:pt idx="33">
                  <c:v>0.12</c:v>
                </c:pt>
                <c:pt idx="34">
                  <c:v>0.15</c:v>
                </c:pt>
                <c:pt idx="35">
                  <c:v>0.09</c:v>
                </c:pt>
              </c:numCache>
            </c:numRef>
          </c:val>
          <c:extLst>
            <c:ext xmlns:c16="http://schemas.microsoft.com/office/drawing/2014/chart" uri="{C3380CC4-5D6E-409C-BE32-E72D297353CC}">
              <c16:uniqueId val="{00000000-7ECA-481F-B401-9E861CD34B0B}"/>
            </c:ext>
          </c:extLst>
        </c:ser>
        <c:ser>
          <c:idx val="1"/>
          <c:order val="1"/>
          <c:tx>
            <c:strRef>
              <c:f>CN!$E$240</c:f>
              <c:strCache>
                <c:ptCount val="1"/>
                <c:pt idx="0">
                  <c:v>2</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CN!$F$237:$AO$238</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CN!$F$240:$AO$240</c:f>
              <c:numCache>
                <c:formatCode>0%</c:formatCode>
                <c:ptCount val="36"/>
                <c:pt idx="0">
                  <c:v>0.5</c:v>
                </c:pt>
                <c:pt idx="1">
                  <c:v>0.54</c:v>
                </c:pt>
                <c:pt idx="2">
                  <c:v>0.59</c:v>
                </c:pt>
                <c:pt idx="3">
                  <c:v>0.5</c:v>
                </c:pt>
                <c:pt idx="4">
                  <c:v>0.49</c:v>
                </c:pt>
                <c:pt idx="5">
                  <c:v>0.53</c:v>
                </c:pt>
                <c:pt idx="6">
                  <c:v>0.56999999999999995</c:v>
                </c:pt>
                <c:pt idx="7">
                  <c:v>0.49</c:v>
                </c:pt>
                <c:pt idx="8">
                  <c:v>0.5</c:v>
                </c:pt>
                <c:pt idx="9">
                  <c:v>0.56999999999999995</c:v>
                </c:pt>
                <c:pt idx="10">
                  <c:v>0.6</c:v>
                </c:pt>
                <c:pt idx="11">
                  <c:v>0.53</c:v>
                </c:pt>
                <c:pt idx="12">
                  <c:v>0.5</c:v>
                </c:pt>
                <c:pt idx="13">
                  <c:v>0.6</c:v>
                </c:pt>
                <c:pt idx="14">
                  <c:v>0.61</c:v>
                </c:pt>
                <c:pt idx="15">
                  <c:v>0.56999999999999995</c:v>
                </c:pt>
                <c:pt idx="16">
                  <c:v>0.5</c:v>
                </c:pt>
                <c:pt idx="17">
                  <c:v>0.56000000000000005</c:v>
                </c:pt>
                <c:pt idx="18">
                  <c:v>0.59</c:v>
                </c:pt>
                <c:pt idx="19">
                  <c:v>0.53</c:v>
                </c:pt>
                <c:pt idx="20">
                  <c:v>0.53</c:v>
                </c:pt>
                <c:pt idx="21">
                  <c:v>0.6</c:v>
                </c:pt>
                <c:pt idx="22">
                  <c:v>0.64</c:v>
                </c:pt>
                <c:pt idx="23">
                  <c:v>0.56999999999999995</c:v>
                </c:pt>
                <c:pt idx="24">
                  <c:v>0.5</c:v>
                </c:pt>
                <c:pt idx="25">
                  <c:v>0.55000000000000004</c:v>
                </c:pt>
                <c:pt idx="26">
                  <c:v>0.59</c:v>
                </c:pt>
                <c:pt idx="27">
                  <c:v>0.5</c:v>
                </c:pt>
                <c:pt idx="28">
                  <c:v>0.49</c:v>
                </c:pt>
                <c:pt idx="29">
                  <c:v>0.54</c:v>
                </c:pt>
                <c:pt idx="30">
                  <c:v>0.57999999999999996</c:v>
                </c:pt>
                <c:pt idx="31">
                  <c:v>0.49</c:v>
                </c:pt>
                <c:pt idx="32">
                  <c:v>0.47</c:v>
                </c:pt>
                <c:pt idx="33">
                  <c:v>0.52</c:v>
                </c:pt>
                <c:pt idx="34">
                  <c:v>0.55000000000000004</c:v>
                </c:pt>
                <c:pt idx="35">
                  <c:v>0.47</c:v>
                </c:pt>
              </c:numCache>
            </c:numRef>
          </c:val>
          <c:extLst>
            <c:ext xmlns:c16="http://schemas.microsoft.com/office/drawing/2014/chart" uri="{C3380CC4-5D6E-409C-BE32-E72D297353CC}">
              <c16:uniqueId val="{00000001-7ECA-481F-B401-9E861CD34B0B}"/>
            </c:ext>
          </c:extLst>
        </c:ser>
        <c:ser>
          <c:idx val="2"/>
          <c:order val="2"/>
          <c:tx>
            <c:strRef>
              <c:f>CN!$E$241</c:f>
              <c:strCache>
                <c:ptCount val="1"/>
                <c:pt idx="0">
                  <c:v>3</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CN!$F$237:$AO$238</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CN!$F$241:$AO$241</c:f>
              <c:numCache>
                <c:formatCode>0%</c:formatCode>
                <c:ptCount val="36"/>
                <c:pt idx="0">
                  <c:v>0.38</c:v>
                </c:pt>
                <c:pt idx="1">
                  <c:v>0.4</c:v>
                </c:pt>
                <c:pt idx="2">
                  <c:v>0.35</c:v>
                </c:pt>
                <c:pt idx="3">
                  <c:v>0.46</c:v>
                </c:pt>
                <c:pt idx="4">
                  <c:v>0.36</c:v>
                </c:pt>
                <c:pt idx="5">
                  <c:v>0.38</c:v>
                </c:pt>
                <c:pt idx="6">
                  <c:v>0.33</c:v>
                </c:pt>
                <c:pt idx="7">
                  <c:v>0.44</c:v>
                </c:pt>
                <c:pt idx="8">
                  <c:v>0.31</c:v>
                </c:pt>
                <c:pt idx="9">
                  <c:v>0.31</c:v>
                </c:pt>
                <c:pt idx="10">
                  <c:v>0.25</c:v>
                </c:pt>
                <c:pt idx="11">
                  <c:v>0.38</c:v>
                </c:pt>
                <c:pt idx="12">
                  <c:v>0.27</c:v>
                </c:pt>
                <c:pt idx="13">
                  <c:v>0.25</c:v>
                </c:pt>
                <c:pt idx="14">
                  <c:v>0.2</c:v>
                </c:pt>
                <c:pt idx="15">
                  <c:v>0.31</c:v>
                </c:pt>
                <c:pt idx="16">
                  <c:v>0.25</c:v>
                </c:pt>
                <c:pt idx="17">
                  <c:v>0.27</c:v>
                </c:pt>
                <c:pt idx="18">
                  <c:v>0.22</c:v>
                </c:pt>
                <c:pt idx="19">
                  <c:v>0.32</c:v>
                </c:pt>
                <c:pt idx="20">
                  <c:v>0.23</c:v>
                </c:pt>
                <c:pt idx="21">
                  <c:v>0.25</c:v>
                </c:pt>
                <c:pt idx="22">
                  <c:v>0.18</c:v>
                </c:pt>
                <c:pt idx="23">
                  <c:v>0.32</c:v>
                </c:pt>
                <c:pt idx="24">
                  <c:v>0.27</c:v>
                </c:pt>
                <c:pt idx="25">
                  <c:v>0.28999999999999998</c:v>
                </c:pt>
                <c:pt idx="26">
                  <c:v>0.23</c:v>
                </c:pt>
                <c:pt idx="27">
                  <c:v>0.36</c:v>
                </c:pt>
                <c:pt idx="28">
                  <c:v>0.28999999999999998</c:v>
                </c:pt>
                <c:pt idx="29">
                  <c:v>0.32</c:v>
                </c:pt>
                <c:pt idx="30">
                  <c:v>0.25</c:v>
                </c:pt>
                <c:pt idx="31">
                  <c:v>0.4</c:v>
                </c:pt>
                <c:pt idx="32">
                  <c:v>0.31</c:v>
                </c:pt>
                <c:pt idx="33">
                  <c:v>0.34</c:v>
                </c:pt>
                <c:pt idx="34">
                  <c:v>0.28000000000000003</c:v>
                </c:pt>
                <c:pt idx="35">
                  <c:v>0.41</c:v>
                </c:pt>
              </c:numCache>
            </c:numRef>
          </c:val>
          <c:extLst>
            <c:ext xmlns:c16="http://schemas.microsoft.com/office/drawing/2014/chart" uri="{C3380CC4-5D6E-409C-BE32-E72D297353CC}">
              <c16:uniqueId val="{00000002-7ECA-481F-B401-9E861CD34B0B}"/>
            </c:ext>
          </c:extLst>
        </c:ser>
        <c:ser>
          <c:idx val="3"/>
          <c:order val="3"/>
          <c:tx>
            <c:strRef>
              <c:f>CN!$E$242</c:f>
              <c:strCache>
                <c:ptCount val="1"/>
                <c:pt idx="0">
                  <c:v>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CN!$F$237:$AO$238</c:f>
              <c:multiLvlStrCache>
                <c:ptCount val="36"/>
                <c:lvl>
                  <c:pt idx="0">
                    <c:v>COLOMBIA</c:v>
                  </c:pt>
                  <c:pt idx="1">
                    <c:v>SOACHA</c:v>
                  </c:pt>
                  <c:pt idx="2">
                    <c:v>SOACHA OFICIAL</c:v>
                  </c:pt>
                  <c:pt idx="3">
                    <c:v>SOACHA NO OFICIAL</c:v>
                  </c:pt>
                  <c:pt idx="4">
                    <c:v>COLOMBIA</c:v>
                  </c:pt>
                  <c:pt idx="5">
                    <c:v>SOACHA</c:v>
                  </c:pt>
                  <c:pt idx="6">
                    <c:v>SOACHA OFICIAL</c:v>
                  </c:pt>
                  <c:pt idx="7">
                    <c:v>SOACHA NO OFICIAL</c:v>
                  </c:pt>
                  <c:pt idx="8">
                    <c:v>COLOMBIA</c:v>
                  </c:pt>
                  <c:pt idx="9">
                    <c:v>SOACHA</c:v>
                  </c:pt>
                  <c:pt idx="10">
                    <c:v>SOACHA OFICIAL</c:v>
                  </c:pt>
                  <c:pt idx="11">
                    <c:v>SOACHA NO OFICIAL</c:v>
                  </c:pt>
                  <c:pt idx="12">
                    <c:v>COLOMBIA</c:v>
                  </c:pt>
                  <c:pt idx="13">
                    <c:v>SOACHA</c:v>
                  </c:pt>
                  <c:pt idx="14">
                    <c:v>SOACHA OFICIAL</c:v>
                  </c:pt>
                  <c:pt idx="15">
                    <c:v>SOACHA NO OFICIAL</c:v>
                  </c:pt>
                  <c:pt idx="16">
                    <c:v>COLOMBIA</c:v>
                  </c:pt>
                  <c:pt idx="17">
                    <c:v>SOACHA</c:v>
                  </c:pt>
                  <c:pt idx="18">
                    <c:v>SOACHA OFICIAL</c:v>
                  </c:pt>
                  <c:pt idx="19">
                    <c:v>SOACHA NO OFICIAL</c:v>
                  </c:pt>
                  <c:pt idx="20">
                    <c:v>COLOMBIA</c:v>
                  </c:pt>
                  <c:pt idx="21">
                    <c:v>SOACHA</c:v>
                  </c:pt>
                  <c:pt idx="22">
                    <c:v>SOACHA OFICIAL</c:v>
                  </c:pt>
                  <c:pt idx="23">
                    <c:v>SOACHA NO OFICIAL</c:v>
                  </c:pt>
                  <c:pt idx="24">
                    <c:v>COLOMBIA</c:v>
                  </c:pt>
                  <c:pt idx="25">
                    <c:v>SOACHA</c:v>
                  </c:pt>
                  <c:pt idx="26">
                    <c:v>SOACHA OFICIAL</c:v>
                  </c:pt>
                  <c:pt idx="27">
                    <c:v>SOACHA NO OFICIAL</c:v>
                  </c:pt>
                  <c:pt idx="28">
                    <c:v>COLOMBIA</c:v>
                  </c:pt>
                  <c:pt idx="29">
                    <c:v>SOACHA</c:v>
                  </c:pt>
                  <c:pt idx="30">
                    <c:v>SOACHA OFICIAL</c:v>
                  </c:pt>
                  <c:pt idx="31">
                    <c:v>SOACHA NO OFICIAL</c:v>
                  </c:pt>
                  <c:pt idx="32">
                    <c:v>COLOMBIA</c:v>
                  </c:pt>
                  <c:pt idx="33">
                    <c:v>SOACHA</c:v>
                  </c:pt>
                  <c:pt idx="34">
                    <c:v>SOACHA OFICIAL</c:v>
                  </c:pt>
                  <c:pt idx="35">
                    <c:v>SOACHA NO OFICIAL</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CN!$F$242:$AO$242</c:f>
              <c:numCache>
                <c:formatCode>0%</c:formatCode>
                <c:ptCount val="36"/>
                <c:pt idx="0">
                  <c:v>0.03</c:v>
                </c:pt>
                <c:pt idx="1">
                  <c:v>0.01</c:v>
                </c:pt>
                <c:pt idx="2">
                  <c:v>0.01</c:v>
                </c:pt>
                <c:pt idx="3">
                  <c:v>0.01</c:v>
                </c:pt>
                <c:pt idx="4">
                  <c:v>0.03</c:v>
                </c:pt>
                <c:pt idx="5">
                  <c:v>0.01</c:v>
                </c:pt>
                <c:pt idx="6">
                  <c:v>0.01</c:v>
                </c:pt>
                <c:pt idx="7">
                  <c:v>0.02</c:v>
                </c:pt>
                <c:pt idx="8">
                  <c:v>0.03</c:v>
                </c:pt>
                <c:pt idx="9">
                  <c:v>0.01</c:v>
                </c:pt>
                <c:pt idx="10">
                  <c:v>0.01</c:v>
                </c:pt>
                <c:pt idx="11">
                  <c:v>0.02</c:v>
                </c:pt>
                <c:pt idx="12">
                  <c:v>0.03</c:v>
                </c:pt>
                <c:pt idx="13">
                  <c:v>0.01</c:v>
                </c:pt>
                <c:pt idx="14">
                  <c:v>0.01</c:v>
                </c:pt>
                <c:pt idx="15">
                  <c:v>0.02</c:v>
                </c:pt>
                <c:pt idx="16">
                  <c:v>0.02</c:v>
                </c:pt>
                <c:pt idx="17">
                  <c:v>0.01</c:v>
                </c:pt>
                <c:pt idx="18">
                  <c:v>0.01</c:v>
                </c:pt>
                <c:pt idx="19">
                  <c:v>0.01</c:v>
                </c:pt>
                <c:pt idx="20">
                  <c:v>0.02</c:v>
                </c:pt>
                <c:pt idx="21">
                  <c:v>0.01</c:v>
                </c:pt>
                <c:pt idx="22">
                  <c:v>0</c:v>
                </c:pt>
                <c:pt idx="23">
                  <c:v>0.01</c:v>
                </c:pt>
                <c:pt idx="24">
                  <c:v>0.03</c:v>
                </c:pt>
                <c:pt idx="25">
                  <c:v>0.01</c:v>
                </c:pt>
                <c:pt idx="26">
                  <c:v>0.01</c:v>
                </c:pt>
                <c:pt idx="27">
                  <c:v>0.02</c:v>
                </c:pt>
                <c:pt idx="28">
                  <c:v>0.03</c:v>
                </c:pt>
                <c:pt idx="29">
                  <c:v>0.02</c:v>
                </c:pt>
                <c:pt idx="30">
                  <c:v>0.01</c:v>
                </c:pt>
                <c:pt idx="31">
                  <c:v>0.02</c:v>
                </c:pt>
                <c:pt idx="32">
                  <c:v>0.04</c:v>
                </c:pt>
                <c:pt idx="33">
                  <c:v>0.02</c:v>
                </c:pt>
                <c:pt idx="34">
                  <c:v>0.01</c:v>
                </c:pt>
                <c:pt idx="35">
                  <c:v>0.02</c:v>
                </c:pt>
              </c:numCache>
            </c:numRef>
          </c:val>
          <c:extLst>
            <c:ext xmlns:c16="http://schemas.microsoft.com/office/drawing/2014/chart" uri="{C3380CC4-5D6E-409C-BE32-E72D297353CC}">
              <c16:uniqueId val="{00000003-7ECA-481F-B401-9E861CD34B0B}"/>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Resultados Inglés </a:t>
            </a:r>
            <a:r>
              <a:rPr lang="es-CO" sz="1400" baseline="0"/>
              <a:t>por Comunas 2016 - 2024</a:t>
            </a:r>
            <a:endParaRPr lang="es-CO" sz="1400"/>
          </a:p>
        </c:rich>
      </c:tx>
      <c:overlay val="0"/>
    </c:title>
    <c:autoTitleDeleted val="0"/>
    <c:plotArea>
      <c:layout/>
      <c:radarChart>
        <c:radarStyle val="marker"/>
        <c:varyColors val="0"/>
        <c:ser>
          <c:idx val="0"/>
          <c:order val="0"/>
          <c:tx>
            <c:strRef>
              <c:f>INGLES!$Z$176</c:f>
              <c:strCache>
                <c:ptCount val="1"/>
                <c:pt idx="0">
                  <c:v>2016</c:v>
                </c:pt>
              </c:strCache>
            </c:strRef>
          </c:tx>
          <c:spPr>
            <a:ln>
              <a:prstDash val="lgDashDot"/>
            </a:ln>
          </c:spPr>
          <c:cat>
            <c:strRef>
              <c:f>INGLES!$Y$177:$Y$182</c:f>
              <c:strCache>
                <c:ptCount val="6"/>
                <c:pt idx="0">
                  <c:v>COMUNA 1</c:v>
                </c:pt>
                <c:pt idx="1">
                  <c:v>COMUNA 2</c:v>
                </c:pt>
                <c:pt idx="2">
                  <c:v>COMUNA 3</c:v>
                </c:pt>
                <c:pt idx="3">
                  <c:v>COMUNA 4</c:v>
                </c:pt>
                <c:pt idx="4">
                  <c:v>COMUNA 5</c:v>
                </c:pt>
                <c:pt idx="5">
                  <c:v>COMUNA 6</c:v>
                </c:pt>
              </c:strCache>
            </c:strRef>
          </c:cat>
          <c:val>
            <c:numRef>
              <c:f>INGLES!$Z$177:$Z$182</c:f>
              <c:numCache>
                <c:formatCode>0</c:formatCode>
                <c:ptCount val="6"/>
                <c:pt idx="0">
                  <c:v>52.647058823529413</c:v>
                </c:pt>
                <c:pt idx="1">
                  <c:v>54.7</c:v>
                </c:pt>
                <c:pt idx="2">
                  <c:v>54.5</c:v>
                </c:pt>
                <c:pt idx="3">
                  <c:v>50.785714285714285</c:v>
                </c:pt>
                <c:pt idx="4">
                  <c:v>57</c:v>
                </c:pt>
                <c:pt idx="5">
                  <c:v>54.2</c:v>
                </c:pt>
              </c:numCache>
            </c:numRef>
          </c:val>
          <c:extLst>
            <c:ext xmlns:c16="http://schemas.microsoft.com/office/drawing/2014/chart" uri="{C3380CC4-5D6E-409C-BE32-E72D297353CC}">
              <c16:uniqueId val="{00000000-680B-417E-A672-FFD22B16563E}"/>
            </c:ext>
          </c:extLst>
        </c:ser>
        <c:ser>
          <c:idx val="1"/>
          <c:order val="1"/>
          <c:tx>
            <c:strRef>
              <c:f>INGLES!$AA$176</c:f>
              <c:strCache>
                <c:ptCount val="1"/>
                <c:pt idx="0">
                  <c:v>2017</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INGLES!$AA$177:$AA$182</c:f>
              <c:numCache>
                <c:formatCode>0</c:formatCode>
                <c:ptCount val="6"/>
                <c:pt idx="0">
                  <c:v>50.4375</c:v>
                </c:pt>
                <c:pt idx="1">
                  <c:v>52.315789473684212</c:v>
                </c:pt>
                <c:pt idx="2">
                  <c:v>51.117647058823529</c:v>
                </c:pt>
                <c:pt idx="3">
                  <c:v>49.466666666666669</c:v>
                </c:pt>
                <c:pt idx="4">
                  <c:v>55.411764705882355</c:v>
                </c:pt>
                <c:pt idx="5">
                  <c:v>50.93333333333333</c:v>
                </c:pt>
              </c:numCache>
            </c:numRef>
          </c:val>
          <c:extLst>
            <c:ext xmlns:c16="http://schemas.microsoft.com/office/drawing/2014/chart" uri="{C3380CC4-5D6E-409C-BE32-E72D297353CC}">
              <c16:uniqueId val="{00000001-680B-417E-A672-FFD22B16563E}"/>
            </c:ext>
          </c:extLst>
        </c:ser>
        <c:ser>
          <c:idx val="2"/>
          <c:order val="2"/>
          <c:tx>
            <c:strRef>
              <c:f>INGLES!$AB$176</c:f>
              <c:strCache>
                <c:ptCount val="1"/>
                <c:pt idx="0">
                  <c:v>2018</c:v>
                </c:pt>
              </c:strCache>
            </c:strRef>
          </c:tx>
          <c:spPr>
            <a:ln>
              <a:prstDash val="sysDash"/>
            </a:ln>
          </c:spPr>
          <c:cat>
            <c:strRef>
              <c:f>INGLES!$Y$177:$Y$182</c:f>
              <c:strCache>
                <c:ptCount val="6"/>
                <c:pt idx="0">
                  <c:v>COMUNA 1</c:v>
                </c:pt>
                <c:pt idx="1">
                  <c:v>COMUNA 2</c:v>
                </c:pt>
                <c:pt idx="2">
                  <c:v>COMUNA 3</c:v>
                </c:pt>
                <c:pt idx="3">
                  <c:v>COMUNA 4</c:v>
                </c:pt>
                <c:pt idx="4">
                  <c:v>COMUNA 5</c:v>
                </c:pt>
                <c:pt idx="5">
                  <c:v>COMUNA 6</c:v>
                </c:pt>
              </c:strCache>
            </c:strRef>
          </c:cat>
          <c:val>
            <c:numRef>
              <c:f>INGLES!$AB$177:$AB$182</c:f>
              <c:numCache>
                <c:formatCode>0</c:formatCode>
                <c:ptCount val="6"/>
                <c:pt idx="0">
                  <c:v>52.117647058823529</c:v>
                </c:pt>
                <c:pt idx="1">
                  <c:v>54</c:v>
                </c:pt>
                <c:pt idx="2">
                  <c:v>52.882352941176471</c:v>
                </c:pt>
                <c:pt idx="3">
                  <c:v>52.133333333333333</c:v>
                </c:pt>
                <c:pt idx="4">
                  <c:v>55.833333333333336</c:v>
                </c:pt>
                <c:pt idx="5">
                  <c:v>52.357142857142854</c:v>
                </c:pt>
              </c:numCache>
            </c:numRef>
          </c:val>
          <c:extLst>
            <c:ext xmlns:c16="http://schemas.microsoft.com/office/drawing/2014/chart" uri="{C3380CC4-5D6E-409C-BE32-E72D297353CC}">
              <c16:uniqueId val="{00000002-680B-417E-A672-FFD22B16563E}"/>
            </c:ext>
          </c:extLst>
        </c:ser>
        <c:ser>
          <c:idx val="3"/>
          <c:order val="3"/>
          <c:tx>
            <c:strRef>
              <c:f>INGLES!$AC$176</c:f>
              <c:strCache>
                <c:ptCount val="1"/>
                <c:pt idx="0">
                  <c:v>2019</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INGLES!$AC$177:$AC$182</c:f>
              <c:numCache>
                <c:formatCode>0</c:formatCode>
                <c:ptCount val="6"/>
                <c:pt idx="0">
                  <c:v>50.058823529411768</c:v>
                </c:pt>
                <c:pt idx="1">
                  <c:v>53.45</c:v>
                </c:pt>
                <c:pt idx="2">
                  <c:v>51.764705882352942</c:v>
                </c:pt>
                <c:pt idx="3">
                  <c:v>48.785714285714285</c:v>
                </c:pt>
                <c:pt idx="4">
                  <c:v>55.10526315789474</c:v>
                </c:pt>
                <c:pt idx="5">
                  <c:v>51.733333333333334</c:v>
                </c:pt>
              </c:numCache>
            </c:numRef>
          </c:val>
          <c:extLst>
            <c:ext xmlns:c16="http://schemas.microsoft.com/office/drawing/2014/chart" uri="{C3380CC4-5D6E-409C-BE32-E72D297353CC}">
              <c16:uniqueId val="{00000003-680B-417E-A672-FFD22B16563E}"/>
            </c:ext>
          </c:extLst>
        </c:ser>
        <c:ser>
          <c:idx val="4"/>
          <c:order val="4"/>
          <c:tx>
            <c:strRef>
              <c:f>INGLES!$AD$176</c:f>
              <c:strCache>
                <c:ptCount val="1"/>
                <c:pt idx="0">
                  <c:v>2020</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INGLES!$AD$177:$AD$182</c:f>
              <c:numCache>
                <c:formatCode>0</c:formatCode>
                <c:ptCount val="6"/>
                <c:pt idx="0">
                  <c:v>48.058823529411768</c:v>
                </c:pt>
                <c:pt idx="1">
                  <c:v>48.583333333333336</c:v>
                </c:pt>
                <c:pt idx="2">
                  <c:v>49.10526315789474</c:v>
                </c:pt>
                <c:pt idx="3">
                  <c:v>45.846153846153847</c:v>
                </c:pt>
                <c:pt idx="4">
                  <c:v>51.166666666666664</c:v>
                </c:pt>
                <c:pt idx="5">
                  <c:v>47.588235294117645</c:v>
                </c:pt>
              </c:numCache>
            </c:numRef>
          </c:val>
          <c:extLst>
            <c:ext xmlns:c16="http://schemas.microsoft.com/office/drawing/2014/chart" uri="{C3380CC4-5D6E-409C-BE32-E72D297353CC}">
              <c16:uniqueId val="{00000001-7F88-4DA8-82E7-5561B8B34109}"/>
            </c:ext>
          </c:extLst>
        </c:ser>
        <c:ser>
          <c:idx val="5"/>
          <c:order val="5"/>
          <c:tx>
            <c:strRef>
              <c:f>INGLES!$AE$176</c:f>
              <c:strCache>
                <c:ptCount val="1"/>
                <c:pt idx="0">
                  <c:v>2021</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INGLES!$AE$177:$AE$182</c:f>
              <c:numCache>
                <c:formatCode>0</c:formatCode>
                <c:ptCount val="6"/>
                <c:pt idx="0">
                  <c:v>52</c:v>
                </c:pt>
                <c:pt idx="1">
                  <c:v>53.227272727272727</c:v>
                </c:pt>
                <c:pt idx="2">
                  <c:v>52.25</c:v>
                </c:pt>
                <c:pt idx="3">
                  <c:v>48.857142857142854</c:v>
                </c:pt>
                <c:pt idx="4">
                  <c:v>56.111111111111114</c:v>
                </c:pt>
                <c:pt idx="5">
                  <c:v>53.117647058823529</c:v>
                </c:pt>
              </c:numCache>
            </c:numRef>
          </c:val>
          <c:extLst>
            <c:ext xmlns:c16="http://schemas.microsoft.com/office/drawing/2014/chart" uri="{C3380CC4-5D6E-409C-BE32-E72D297353CC}">
              <c16:uniqueId val="{00000000-07EC-4A60-B227-E69C7F5F9BFD}"/>
            </c:ext>
          </c:extLst>
        </c:ser>
        <c:ser>
          <c:idx val="6"/>
          <c:order val="6"/>
          <c:tx>
            <c:strRef>
              <c:f>INGLES!$AF$176</c:f>
              <c:strCache>
                <c:ptCount val="1"/>
                <c:pt idx="0">
                  <c:v>2022</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INGLES!$AF$177:$AF$182</c:f>
              <c:numCache>
                <c:formatCode>0</c:formatCode>
                <c:ptCount val="6"/>
                <c:pt idx="0">
                  <c:v>52</c:v>
                </c:pt>
                <c:pt idx="1">
                  <c:v>54.96</c:v>
                </c:pt>
                <c:pt idx="2">
                  <c:v>54.363636363636367</c:v>
                </c:pt>
                <c:pt idx="3">
                  <c:v>49.785714285714285</c:v>
                </c:pt>
                <c:pt idx="4">
                  <c:v>57.117647058823529</c:v>
                </c:pt>
                <c:pt idx="5">
                  <c:v>53.842105263157897</c:v>
                </c:pt>
              </c:numCache>
            </c:numRef>
          </c:val>
          <c:extLst>
            <c:ext xmlns:c16="http://schemas.microsoft.com/office/drawing/2014/chart" uri="{C3380CC4-5D6E-409C-BE32-E72D297353CC}">
              <c16:uniqueId val="{00000000-CBEC-4CE0-829F-A912CF2EA407}"/>
            </c:ext>
          </c:extLst>
        </c:ser>
        <c:ser>
          <c:idx val="7"/>
          <c:order val="7"/>
          <c:tx>
            <c:strRef>
              <c:f>INGLES!$AG$176</c:f>
              <c:strCache>
                <c:ptCount val="1"/>
                <c:pt idx="0">
                  <c:v>2023</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INGLES!$AG$177:$AG$182</c:f>
              <c:numCache>
                <c:formatCode>0</c:formatCode>
                <c:ptCount val="6"/>
                <c:pt idx="0">
                  <c:v>53.058823529411768</c:v>
                </c:pt>
                <c:pt idx="1">
                  <c:v>54.42307692307692</c:v>
                </c:pt>
                <c:pt idx="2">
                  <c:v>54.409090909090907</c:v>
                </c:pt>
                <c:pt idx="3">
                  <c:v>49.266666666666666</c:v>
                </c:pt>
                <c:pt idx="4">
                  <c:v>57.470588235294116</c:v>
                </c:pt>
                <c:pt idx="5">
                  <c:v>53.8</c:v>
                </c:pt>
              </c:numCache>
            </c:numRef>
          </c:val>
          <c:extLst>
            <c:ext xmlns:c16="http://schemas.microsoft.com/office/drawing/2014/chart" uri="{C3380CC4-5D6E-409C-BE32-E72D297353CC}">
              <c16:uniqueId val="{00000001-CBEC-4CE0-829F-A912CF2EA407}"/>
            </c:ext>
          </c:extLst>
        </c:ser>
        <c:ser>
          <c:idx val="8"/>
          <c:order val="8"/>
          <c:tx>
            <c:strRef>
              <c:f>INGLES!$AH$176</c:f>
              <c:strCache>
                <c:ptCount val="1"/>
                <c:pt idx="0">
                  <c:v>2024</c:v>
                </c:pt>
              </c:strCache>
            </c:strRef>
          </c:tx>
          <c:cat>
            <c:strRef>
              <c:f>INGLES!$Y$177:$Y$182</c:f>
              <c:strCache>
                <c:ptCount val="6"/>
                <c:pt idx="0">
                  <c:v>COMUNA 1</c:v>
                </c:pt>
                <c:pt idx="1">
                  <c:v>COMUNA 2</c:v>
                </c:pt>
                <c:pt idx="2">
                  <c:v>COMUNA 3</c:v>
                </c:pt>
                <c:pt idx="3">
                  <c:v>COMUNA 4</c:v>
                </c:pt>
                <c:pt idx="4">
                  <c:v>COMUNA 5</c:v>
                </c:pt>
                <c:pt idx="5">
                  <c:v>COMUNA 6</c:v>
                </c:pt>
              </c:strCache>
            </c:strRef>
          </c:cat>
          <c:val>
            <c:numRef>
              <c:f>INGLES!$AH$177:$AH$182</c:f>
              <c:numCache>
                <c:formatCode>0</c:formatCode>
                <c:ptCount val="6"/>
                <c:pt idx="0">
                  <c:v>54</c:v>
                </c:pt>
                <c:pt idx="1">
                  <c:v>56.041666666666664</c:v>
                </c:pt>
                <c:pt idx="2">
                  <c:v>55.227272727272727</c:v>
                </c:pt>
                <c:pt idx="3">
                  <c:v>50.692307692307693</c:v>
                </c:pt>
                <c:pt idx="4">
                  <c:v>56.222222222222221</c:v>
                </c:pt>
                <c:pt idx="5">
                  <c:v>54.833333333333336</c:v>
                </c:pt>
              </c:numCache>
            </c:numRef>
          </c:val>
          <c:extLst>
            <c:ext xmlns:c16="http://schemas.microsoft.com/office/drawing/2014/chart" uri="{C3380CC4-5D6E-409C-BE32-E72D297353CC}">
              <c16:uniqueId val="{00000000-CCDF-4B74-BD83-DA77A103BA5D}"/>
            </c:ext>
          </c:extLst>
        </c:ser>
        <c:dLbls>
          <c:showLegendKey val="0"/>
          <c:showVal val="0"/>
          <c:showCatName val="0"/>
          <c:showSerName val="0"/>
          <c:showPercent val="0"/>
          <c:showBubbleSize val="0"/>
        </c:dLbls>
        <c:axId val="39741696"/>
        <c:axId val="39743488"/>
      </c:radarChart>
      <c:catAx>
        <c:axId val="39741696"/>
        <c:scaling>
          <c:orientation val="minMax"/>
        </c:scaling>
        <c:delete val="0"/>
        <c:axPos val="b"/>
        <c:majorGridlines/>
        <c:numFmt formatCode="General" sourceLinked="0"/>
        <c:majorTickMark val="none"/>
        <c:minorTickMark val="none"/>
        <c:tickLblPos val="nextTo"/>
        <c:spPr>
          <a:ln w="9525">
            <a:noFill/>
          </a:ln>
        </c:spPr>
        <c:crossAx val="39743488"/>
        <c:crosses val="autoZero"/>
        <c:auto val="1"/>
        <c:lblAlgn val="ctr"/>
        <c:lblOffset val="100"/>
        <c:noMultiLvlLbl val="0"/>
      </c:catAx>
      <c:valAx>
        <c:axId val="39743488"/>
        <c:scaling>
          <c:orientation val="minMax"/>
          <c:max val="58"/>
          <c:min val="44"/>
        </c:scaling>
        <c:delete val="0"/>
        <c:axPos val="l"/>
        <c:majorGridlines/>
        <c:numFmt formatCode="0" sourceLinked="1"/>
        <c:majorTickMark val="none"/>
        <c:minorTickMark val="none"/>
        <c:tickLblPos val="nextTo"/>
        <c:crossAx val="39741696"/>
        <c:crosses val="autoZero"/>
        <c:crossBetween val="between"/>
        <c:majorUnit val="2"/>
      </c:valAx>
    </c:plotArea>
    <c:legend>
      <c:legendPos val="r"/>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200" b="1" i="0" baseline="0">
                <a:effectLst/>
                <a:latin typeface="Arial" panose="020B0604020202020204" pitchFamily="34" charset="0"/>
                <a:cs typeface="Arial" panose="020B0604020202020204" pitchFamily="34" charset="0"/>
              </a:rPr>
              <a:t>Resultados Inglés Instituciones Oficiales por Comunas 2016 - 2024</a:t>
            </a:r>
            <a:endParaRPr lang="es-CO" sz="1200">
              <a:effectLst/>
              <a:latin typeface="Arial" panose="020B0604020202020204" pitchFamily="34" charset="0"/>
              <a:cs typeface="Arial" panose="020B0604020202020204" pitchFamily="34" charset="0"/>
            </a:endParaRPr>
          </a:p>
        </c:rich>
      </c:tx>
      <c:overlay val="0"/>
    </c:title>
    <c:autoTitleDeleted val="0"/>
    <c:plotArea>
      <c:layout/>
      <c:radarChart>
        <c:radarStyle val="marker"/>
        <c:varyColors val="0"/>
        <c:ser>
          <c:idx val="0"/>
          <c:order val="0"/>
          <c:tx>
            <c:strRef>
              <c:f>INGLES!$L$199</c:f>
              <c:strCache>
                <c:ptCount val="1"/>
                <c:pt idx="0">
                  <c:v>2016</c:v>
                </c:pt>
              </c:strCache>
            </c:strRef>
          </c:tx>
          <c:spPr>
            <a:ln>
              <a:prstDash val="lgDashDot"/>
            </a:ln>
          </c:spPr>
          <c:cat>
            <c:strRef>
              <c:f>INGLES!$K$200:$K$205</c:f>
              <c:strCache>
                <c:ptCount val="6"/>
                <c:pt idx="0">
                  <c:v>COMUNA 1</c:v>
                </c:pt>
                <c:pt idx="1">
                  <c:v>COMUNA 2</c:v>
                </c:pt>
                <c:pt idx="2">
                  <c:v>COMUNA 3</c:v>
                </c:pt>
                <c:pt idx="3">
                  <c:v>COMUNA 4</c:v>
                </c:pt>
                <c:pt idx="4">
                  <c:v>COMUNA 5</c:v>
                </c:pt>
                <c:pt idx="5">
                  <c:v>COMUNA 6</c:v>
                </c:pt>
              </c:strCache>
            </c:strRef>
          </c:cat>
          <c:val>
            <c:numRef>
              <c:f>INGLES!$L$200:$L$205</c:f>
              <c:numCache>
                <c:formatCode>0</c:formatCode>
                <c:ptCount val="6"/>
                <c:pt idx="0">
                  <c:v>52.25</c:v>
                </c:pt>
                <c:pt idx="1">
                  <c:v>52</c:v>
                </c:pt>
                <c:pt idx="2">
                  <c:v>51.666666666666664</c:v>
                </c:pt>
                <c:pt idx="3">
                  <c:v>49.333333333333336</c:v>
                </c:pt>
                <c:pt idx="4">
                  <c:v>53</c:v>
                </c:pt>
                <c:pt idx="5">
                  <c:v>52.333333333333336</c:v>
                </c:pt>
              </c:numCache>
            </c:numRef>
          </c:val>
          <c:extLst>
            <c:ext xmlns:c16="http://schemas.microsoft.com/office/drawing/2014/chart" uri="{C3380CC4-5D6E-409C-BE32-E72D297353CC}">
              <c16:uniqueId val="{00000000-4C97-4A70-AB4F-3C899EA7666A}"/>
            </c:ext>
          </c:extLst>
        </c:ser>
        <c:ser>
          <c:idx val="1"/>
          <c:order val="1"/>
          <c:tx>
            <c:strRef>
              <c:f>INGLES!$M$199</c:f>
              <c:strCache>
                <c:ptCount val="1"/>
                <c:pt idx="0">
                  <c:v>2017</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INGLES!$M$200:$M$205</c:f>
              <c:numCache>
                <c:formatCode>0</c:formatCode>
                <c:ptCount val="6"/>
                <c:pt idx="0">
                  <c:v>49.5</c:v>
                </c:pt>
                <c:pt idx="1">
                  <c:v>50.5</c:v>
                </c:pt>
                <c:pt idx="2">
                  <c:v>49.666666666666664</c:v>
                </c:pt>
                <c:pt idx="3">
                  <c:v>47.333333333333336</c:v>
                </c:pt>
                <c:pt idx="4">
                  <c:v>50</c:v>
                </c:pt>
                <c:pt idx="5">
                  <c:v>49.333333333333336</c:v>
                </c:pt>
              </c:numCache>
            </c:numRef>
          </c:val>
          <c:extLst>
            <c:ext xmlns:c16="http://schemas.microsoft.com/office/drawing/2014/chart" uri="{C3380CC4-5D6E-409C-BE32-E72D297353CC}">
              <c16:uniqueId val="{00000001-4C97-4A70-AB4F-3C899EA7666A}"/>
            </c:ext>
          </c:extLst>
        </c:ser>
        <c:ser>
          <c:idx val="2"/>
          <c:order val="2"/>
          <c:tx>
            <c:strRef>
              <c:f>INGLES!$N$199</c:f>
              <c:strCache>
                <c:ptCount val="1"/>
                <c:pt idx="0">
                  <c:v>2018</c:v>
                </c:pt>
              </c:strCache>
            </c:strRef>
          </c:tx>
          <c:spPr>
            <a:ln>
              <a:prstDash val="sysDash"/>
            </a:ln>
          </c:spPr>
          <c:cat>
            <c:strRef>
              <c:f>INGLES!$K$200:$K$205</c:f>
              <c:strCache>
                <c:ptCount val="6"/>
                <c:pt idx="0">
                  <c:v>COMUNA 1</c:v>
                </c:pt>
                <c:pt idx="1">
                  <c:v>COMUNA 2</c:v>
                </c:pt>
                <c:pt idx="2">
                  <c:v>COMUNA 3</c:v>
                </c:pt>
                <c:pt idx="3">
                  <c:v>COMUNA 4</c:v>
                </c:pt>
                <c:pt idx="4">
                  <c:v>COMUNA 5</c:v>
                </c:pt>
                <c:pt idx="5">
                  <c:v>COMUNA 6</c:v>
                </c:pt>
              </c:strCache>
            </c:strRef>
          </c:cat>
          <c:val>
            <c:numRef>
              <c:f>INGLES!$N$200:$N$205</c:f>
              <c:numCache>
                <c:formatCode>0</c:formatCode>
                <c:ptCount val="6"/>
                <c:pt idx="0">
                  <c:v>51.5</c:v>
                </c:pt>
                <c:pt idx="1">
                  <c:v>51.5</c:v>
                </c:pt>
                <c:pt idx="2">
                  <c:v>51</c:v>
                </c:pt>
                <c:pt idx="3">
                  <c:v>48.5</c:v>
                </c:pt>
                <c:pt idx="4">
                  <c:v>50</c:v>
                </c:pt>
                <c:pt idx="5">
                  <c:v>50.666666666666664</c:v>
                </c:pt>
              </c:numCache>
            </c:numRef>
          </c:val>
          <c:extLst>
            <c:ext xmlns:c16="http://schemas.microsoft.com/office/drawing/2014/chart" uri="{C3380CC4-5D6E-409C-BE32-E72D297353CC}">
              <c16:uniqueId val="{00000002-4C97-4A70-AB4F-3C899EA7666A}"/>
            </c:ext>
          </c:extLst>
        </c:ser>
        <c:ser>
          <c:idx val="3"/>
          <c:order val="3"/>
          <c:tx>
            <c:strRef>
              <c:f>INGLES!$O$199</c:f>
              <c:strCache>
                <c:ptCount val="1"/>
                <c:pt idx="0">
                  <c:v>2019</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INGLES!$O$200:$O$205</c:f>
              <c:numCache>
                <c:formatCode>0</c:formatCode>
                <c:ptCount val="6"/>
                <c:pt idx="0">
                  <c:v>50.25</c:v>
                </c:pt>
                <c:pt idx="1">
                  <c:v>51</c:v>
                </c:pt>
                <c:pt idx="2">
                  <c:v>49</c:v>
                </c:pt>
                <c:pt idx="3">
                  <c:v>46.833333333333336</c:v>
                </c:pt>
                <c:pt idx="4">
                  <c:v>50</c:v>
                </c:pt>
                <c:pt idx="5">
                  <c:v>50</c:v>
                </c:pt>
              </c:numCache>
            </c:numRef>
          </c:val>
          <c:extLst>
            <c:ext xmlns:c16="http://schemas.microsoft.com/office/drawing/2014/chart" uri="{C3380CC4-5D6E-409C-BE32-E72D297353CC}">
              <c16:uniqueId val="{00000003-4C97-4A70-AB4F-3C899EA7666A}"/>
            </c:ext>
          </c:extLst>
        </c:ser>
        <c:ser>
          <c:idx val="4"/>
          <c:order val="4"/>
          <c:tx>
            <c:strRef>
              <c:f>INGLES!$P$199</c:f>
              <c:strCache>
                <c:ptCount val="1"/>
                <c:pt idx="0">
                  <c:v>2020</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INGLES!$P$200:$P$205</c:f>
              <c:numCache>
                <c:formatCode>0</c:formatCode>
                <c:ptCount val="6"/>
                <c:pt idx="0">
                  <c:v>46.5</c:v>
                </c:pt>
                <c:pt idx="1">
                  <c:v>47</c:v>
                </c:pt>
                <c:pt idx="2">
                  <c:v>46.75</c:v>
                </c:pt>
                <c:pt idx="3">
                  <c:v>44</c:v>
                </c:pt>
                <c:pt idx="4">
                  <c:v>46.5</c:v>
                </c:pt>
                <c:pt idx="5">
                  <c:v>47</c:v>
                </c:pt>
              </c:numCache>
            </c:numRef>
          </c:val>
          <c:extLst>
            <c:ext xmlns:c16="http://schemas.microsoft.com/office/drawing/2014/chart" uri="{C3380CC4-5D6E-409C-BE32-E72D297353CC}">
              <c16:uniqueId val="{00000001-9193-4367-83A9-0D99386E0A3E}"/>
            </c:ext>
          </c:extLst>
        </c:ser>
        <c:ser>
          <c:idx val="5"/>
          <c:order val="5"/>
          <c:tx>
            <c:strRef>
              <c:f>INGLES!$Q$199</c:f>
              <c:strCache>
                <c:ptCount val="1"/>
                <c:pt idx="0">
                  <c:v>2021</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INGLES!$Q$200:$Q$205</c:f>
              <c:numCache>
                <c:formatCode>0</c:formatCode>
                <c:ptCount val="6"/>
                <c:pt idx="0">
                  <c:v>49.5</c:v>
                </c:pt>
                <c:pt idx="1">
                  <c:v>50</c:v>
                </c:pt>
                <c:pt idx="2">
                  <c:v>49</c:v>
                </c:pt>
                <c:pt idx="3">
                  <c:v>46</c:v>
                </c:pt>
                <c:pt idx="4">
                  <c:v>49.5</c:v>
                </c:pt>
                <c:pt idx="5">
                  <c:v>50.333333333333336</c:v>
                </c:pt>
              </c:numCache>
            </c:numRef>
          </c:val>
          <c:extLst>
            <c:ext xmlns:c16="http://schemas.microsoft.com/office/drawing/2014/chart" uri="{C3380CC4-5D6E-409C-BE32-E72D297353CC}">
              <c16:uniqueId val="{00000000-444F-4C03-9A33-A21C3B35482D}"/>
            </c:ext>
          </c:extLst>
        </c:ser>
        <c:ser>
          <c:idx val="6"/>
          <c:order val="6"/>
          <c:tx>
            <c:strRef>
              <c:f>INGLES!$R$199</c:f>
              <c:strCache>
                <c:ptCount val="1"/>
                <c:pt idx="0">
                  <c:v>2022</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INGLES!$R$200:$R$205</c:f>
              <c:numCache>
                <c:formatCode>0</c:formatCode>
                <c:ptCount val="6"/>
                <c:pt idx="0">
                  <c:v>49.6</c:v>
                </c:pt>
                <c:pt idx="1">
                  <c:v>50.5</c:v>
                </c:pt>
                <c:pt idx="2">
                  <c:v>51.666666666666664</c:v>
                </c:pt>
                <c:pt idx="3">
                  <c:v>48.333333333333336</c:v>
                </c:pt>
                <c:pt idx="4">
                  <c:v>52</c:v>
                </c:pt>
                <c:pt idx="5">
                  <c:v>52</c:v>
                </c:pt>
              </c:numCache>
            </c:numRef>
          </c:val>
          <c:extLst>
            <c:ext xmlns:c16="http://schemas.microsoft.com/office/drawing/2014/chart" uri="{C3380CC4-5D6E-409C-BE32-E72D297353CC}">
              <c16:uniqueId val="{00000000-D6AE-4B8A-AA87-69E6F7753B03}"/>
            </c:ext>
          </c:extLst>
        </c:ser>
        <c:ser>
          <c:idx val="7"/>
          <c:order val="7"/>
          <c:tx>
            <c:strRef>
              <c:f>INGLES!$S$199</c:f>
              <c:strCache>
                <c:ptCount val="1"/>
                <c:pt idx="0">
                  <c:v>2023</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INGLES!$S$200:$S$205</c:f>
              <c:numCache>
                <c:formatCode>0</c:formatCode>
                <c:ptCount val="6"/>
                <c:pt idx="0">
                  <c:v>49.8</c:v>
                </c:pt>
                <c:pt idx="1">
                  <c:v>51</c:v>
                </c:pt>
                <c:pt idx="2">
                  <c:v>51.333333333333336</c:v>
                </c:pt>
                <c:pt idx="3">
                  <c:v>47.666666666666664</c:v>
                </c:pt>
                <c:pt idx="4">
                  <c:v>52</c:v>
                </c:pt>
                <c:pt idx="5">
                  <c:v>50.666666666666664</c:v>
                </c:pt>
              </c:numCache>
            </c:numRef>
          </c:val>
          <c:extLst>
            <c:ext xmlns:c16="http://schemas.microsoft.com/office/drawing/2014/chart" uri="{C3380CC4-5D6E-409C-BE32-E72D297353CC}">
              <c16:uniqueId val="{00000000-541D-4D2D-80FF-82506B089929}"/>
            </c:ext>
          </c:extLst>
        </c:ser>
        <c:ser>
          <c:idx val="8"/>
          <c:order val="8"/>
          <c:tx>
            <c:strRef>
              <c:f>INGLES!$T$199</c:f>
              <c:strCache>
                <c:ptCount val="1"/>
                <c:pt idx="0">
                  <c:v>2024</c:v>
                </c:pt>
              </c:strCache>
            </c:strRef>
          </c:tx>
          <c:cat>
            <c:strRef>
              <c:f>INGLES!$K$200:$K$205</c:f>
              <c:strCache>
                <c:ptCount val="6"/>
                <c:pt idx="0">
                  <c:v>COMUNA 1</c:v>
                </c:pt>
                <c:pt idx="1">
                  <c:v>COMUNA 2</c:v>
                </c:pt>
                <c:pt idx="2">
                  <c:v>COMUNA 3</c:v>
                </c:pt>
                <c:pt idx="3">
                  <c:v>COMUNA 4</c:v>
                </c:pt>
                <c:pt idx="4">
                  <c:v>COMUNA 5</c:v>
                </c:pt>
                <c:pt idx="5">
                  <c:v>COMUNA 6</c:v>
                </c:pt>
              </c:strCache>
            </c:strRef>
          </c:cat>
          <c:val>
            <c:numRef>
              <c:f>INGLES!$T$200:$T$205</c:f>
              <c:numCache>
                <c:formatCode>0</c:formatCode>
                <c:ptCount val="6"/>
                <c:pt idx="0">
                  <c:v>50.6</c:v>
                </c:pt>
                <c:pt idx="1">
                  <c:v>53</c:v>
                </c:pt>
                <c:pt idx="2">
                  <c:v>52.333333333333336</c:v>
                </c:pt>
                <c:pt idx="3">
                  <c:v>47.833333333333336</c:v>
                </c:pt>
                <c:pt idx="4">
                  <c:v>54.666666666666664</c:v>
                </c:pt>
                <c:pt idx="5">
                  <c:v>51.75</c:v>
                </c:pt>
              </c:numCache>
            </c:numRef>
          </c:val>
          <c:extLst>
            <c:ext xmlns:c16="http://schemas.microsoft.com/office/drawing/2014/chart" uri="{C3380CC4-5D6E-409C-BE32-E72D297353CC}">
              <c16:uniqueId val="{00000000-E176-4C89-9C14-2E0C1CA5F44F}"/>
            </c:ext>
          </c:extLst>
        </c:ser>
        <c:dLbls>
          <c:showLegendKey val="0"/>
          <c:showVal val="0"/>
          <c:showCatName val="0"/>
          <c:showSerName val="0"/>
          <c:showPercent val="0"/>
          <c:showBubbleSize val="0"/>
        </c:dLbls>
        <c:axId val="39393536"/>
        <c:axId val="39395328"/>
      </c:radarChart>
      <c:catAx>
        <c:axId val="39393536"/>
        <c:scaling>
          <c:orientation val="minMax"/>
        </c:scaling>
        <c:delete val="0"/>
        <c:axPos val="b"/>
        <c:majorGridlines/>
        <c:numFmt formatCode="General" sourceLinked="0"/>
        <c:majorTickMark val="none"/>
        <c:minorTickMark val="none"/>
        <c:tickLblPos val="nextTo"/>
        <c:spPr>
          <a:ln w="9525">
            <a:noFill/>
          </a:ln>
        </c:spPr>
        <c:txPr>
          <a:bodyPr/>
          <a:lstStyle/>
          <a:p>
            <a:pPr>
              <a:defRPr>
                <a:latin typeface="Arial" panose="020B0604020202020204" pitchFamily="34" charset="0"/>
                <a:cs typeface="Arial" panose="020B0604020202020204" pitchFamily="34" charset="0"/>
              </a:defRPr>
            </a:pPr>
            <a:endParaRPr lang="es-CO"/>
          </a:p>
        </c:txPr>
        <c:crossAx val="39395328"/>
        <c:crosses val="autoZero"/>
        <c:auto val="1"/>
        <c:lblAlgn val="ctr"/>
        <c:lblOffset val="100"/>
        <c:noMultiLvlLbl val="0"/>
      </c:catAx>
      <c:valAx>
        <c:axId val="39395328"/>
        <c:scaling>
          <c:orientation val="minMax"/>
          <c:max val="56"/>
          <c:min val="42"/>
        </c:scaling>
        <c:delete val="0"/>
        <c:axPos val="l"/>
        <c:majorGridlines/>
        <c:numFmt formatCode="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s-CO"/>
          </a:p>
        </c:txPr>
        <c:crossAx val="39393536"/>
        <c:crosses val="autoZero"/>
        <c:crossBetween val="between"/>
        <c:majorUnit val="2"/>
      </c:valAx>
    </c:plotArea>
    <c:legend>
      <c:legendPos val="r"/>
      <c:overlay val="0"/>
      <c:txPr>
        <a:bodyPr/>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sz="1200" b="1" i="0" baseline="0">
                <a:effectLst/>
                <a:latin typeface="Arial" panose="020B0604020202020204" pitchFamily="34" charset="0"/>
                <a:cs typeface="Arial" panose="020B0604020202020204" pitchFamily="34" charset="0"/>
              </a:rPr>
              <a:t>Resultados Inglés Instituciones No Oficiales por Comunas 2016 - 2024</a:t>
            </a:r>
          </a:p>
        </c:rich>
      </c:tx>
      <c:overlay val="0"/>
    </c:title>
    <c:autoTitleDeleted val="0"/>
    <c:plotArea>
      <c:layout/>
      <c:radarChart>
        <c:radarStyle val="marker"/>
        <c:varyColors val="0"/>
        <c:ser>
          <c:idx val="0"/>
          <c:order val="0"/>
          <c:tx>
            <c:strRef>
              <c:f>INGLES!$Y$199</c:f>
              <c:strCache>
                <c:ptCount val="1"/>
                <c:pt idx="0">
                  <c:v>2016</c:v>
                </c:pt>
              </c:strCache>
            </c:strRef>
          </c:tx>
          <c:spPr>
            <a:ln>
              <a:prstDash val="lgDashDot"/>
            </a:ln>
          </c:spPr>
          <c:cat>
            <c:strRef>
              <c:f>INGLES!$X$200:$X$205</c:f>
              <c:strCache>
                <c:ptCount val="6"/>
                <c:pt idx="0">
                  <c:v>COMUNA 1</c:v>
                </c:pt>
                <c:pt idx="1">
                  <c:v>COMUNA 2</c:v>
                </c:pt>
                <c:pt idx="2">
                  <c:v>COMUNA 3</c:v>
                </c:pt>
                <c:pt idx="3">
                  <c:v>COMUNA 4</c:v>
                </c:pt>
                <c:pt idx="4">
                  <c:v>COMUNA 5</c:v>
                </c:pt>
                <c:pt idx="5">
                  <c:v>COMUNA 6</c:v>
                </c:pt>
              </c:strCache>
            </c:strRef>
          </c:cat>
          <c:val>
            <c:numRef>
              <c:f>INGLES!$Y$200:$Y$205</c:f>
              <c:numCache>
                <c:formatCode>0</c:formatCode>
                <c:ptCount val="6"/>
                <c:pt idx="0">
                  <c:v>52.769230769230766</c:v>
                </c:pt>
                <c:pt idx="1">
                  <c:v>55</c:v>
                </c:pt>
                <c:pt idx="2">
                  <c:v>55.153846153846153</c:v>
                </c:pt>
                <c:pt idx="3">
                  <c:v>51.875</c:v>
                </c:pt>
                <c:pt idx="4">
                  <c:v>57.533333333333331</c:v>
                </c:pt>
                <c:pt idx="5">
                  <c:v>54.666666666666664</c:v>
                </c:pt>
              </c:numCache>
            </c:numRef>
          </c:val>
          <c:extLst>
            <c:ext xmlns:c16="http://schemas.microsoft.com/office/drawing/2014/chart" uri="{C3380CC4-5D6E-409C-BE32-E72D297353CC}">
              <c16:uniqueId val="{00000000-4F9C-47D5-A5FC-8B596A8504AF}"/>
            </c:ext>
          </c:extLst>
        </c:ser>
        <c:ser>
          <c:idx val="1"/>
          <c:order val="1"/>
          <c:tx>
            <c:strRef>
              <c:f>INGLES!$Z$199</c:f>
              <c:strCache>
                <c:ptCount val="1"/>
                <c:pt idx="0">
                  <c:v>2017</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INGLES!$Z$200:$Z$205</c:f>
              <c:numCache>
                <c:formatCode>0</c:formatCode>
                <c:ptCount val="6"/>
                <c:pt idx="0">
                  <c:v>50.75</c:v>
                </c:pt>
                <c:pt idx="1">
                  <c:v>52.529411764705884</c:v>
                </c:pt>
                <c:pt idx="2">
                  <c:v>51.428571428571431</c:v>
                </c:pt>
                <c:pt idx="3">
                  <c:v>50.888888888888886</c:v>
                </c:pt>
                <c:pt idx="4">
                  <c:v>56.133333333333333</c:v>
                </c:pt>
                <c:pt idx="5">
                  <c:v>51.333333333333336</c:v>
                </c:pt>
              </c:numCache>
            </c:numRef>
          </c:val>
          <c:extLst>
            <c:ext xmlns:c16="http://schemas.microsoft.com/office/drawing/2014/chart" uri="{C3380CC4-5D6E-409C-BE32-E72D297353CC}">
              <c16:uniqueId val="{00000001-4F9C-47D5-A5FC-8B596A8504AF}"/>
            </c:ext>
          </c:extLst>
        </c:ser>
        <c:ser>
          <c:idx val="2"/>
          <c:order val="2"/>
          <c:tx>
            <c:strRef>
              <c:f>INGLES!$AA$199</c:f>
              <c:strCache>
                <c:ptCount val="1"/>
                <c:pt idx="0">
                  <c:v>2018</c:v>
                </c:pt>
              </c:strCache>
            </c:strRef>
          </c:tx>
          <c:spPr>
            <a:ln>
              <a:prstDash val="sysDash"/>
            </a:ln>
          </c:spPr>
          <c:cat>
            <c:strRef>
              <c:f>INGLES!$X$200:$X$205</c:f>
              <c:strCache>
                <c:ptCount val="6"/>
                <c:pt idx="0">
                  <c:v>COMUNA 1</c:v>
                </c:pt>
                <c:pt idx="1">
                  <c:v>COMUNA 2</c:v>
                </c:pt>
                <c:pt idx="2">
                  <c:v>COMUNA 3</c:v>
                </c:pt>
                <c:pt idx="3">
                  <c:v>COMUNA 4</c:v>
                </c:pt>
                <c:pt idx="4">
                  <c:v>COMUNA 5</c:v>
                </c:pt>
                <c:pt idx="5">
                  <c:v>COMUNA 6</c:v>
                </c:pt>
              </c:strCache>
            </c:strRef>
          </c:cat>
          <c:val>
            <c:numRef>
              <c:f>INGLES!$AA$200:$AA$205</c:f>
              <c:numCache>
                <c:formatCode>0</c:formatCode>
                <c:ptCount val="6"/>
                <c:pt idx="0">
                  <c:v>52.307692307692307</c:v>
                </c:pt>
                <c:pt idx="1">
                  <c:v>54.294117647058826</c:v>
                </c:pt>
                <c:pt idx="2">
                  <c:v>53.285714285714285</c:v>
                </c:pt>
                <c:pt idx="3">
                  <c:v>54.555555555555557</c:v>
                </c:pt>
                <c:pt idx="4">
                  <c:v>56.5625</c:v>
                </c:pt>
                <c:pt idx="5">
                  <c:v>52.81818181818182</c:v>
                </c:pt>
              </c:numCache>
            </c:numRef>
          </c:val>
          <c:extLst>
            <c:ext xmlns:c16="http://schemas.microsoft.com/office/drawing/2014/chart" uri="{C3380CC4-5D6E-409C-BE32-E72D297353CC}">
              <c16:uniqueId val="{00000002-4F9C-47D5-A5FC-8B596A8504AF}"/>
            </c:ext>
          </c:extLst>
        </c:ser>
        <c:ser>
          <c:idx val="3"/>
          <c:order val="3"/>
          <c:tx>
            <c:strRef>
              <c:f>INGLES!$AB$199</c:f>
              <c:strCache>
                <c:ptCount val="1"/>
                <c:pt idx="0">
                  <c:v>2019</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INGLES!$AB$200:$AB$205</c:f>
              <c:numCache>
                <c:formatCode>0</c:formatCode>
                <c:ptCount val="6"/>
                <c:pt idx="0">
                  <c:v>50</c:v>
                </c:pt>
                <c:pt idx="1">
                  <c:v>53.722222222222221</c:v>
                </c:pt>
                <c:pt idx="2">
                  <c:v>52.357142857142854</c:v>
                </c:pt>
                <c:pt idx="3">
                  <c:v>50.25</c:v>
                </c:pt>
                <c:pt idx="4">
                  <c:v>55.705882352941174</c:v>
                </c:pt>
                <c:pt idx="5">
                  <c:v>52.166666666666664</c:v>
                </c:pt>
              </c:numCache>
            </c:numRef>
          </c:val>
          <c:extLst>
            <c:ext xmlns:c16="http://schemas.microsoft.com/office/drawing/2014/chart" uri="{C3380CC4-5D6E-409C-BE32-E72D297353CC}">
              <c16:uniqueId val="{00000003-4F9C-47D5-A5FC-8B596A8504AF}"/>
            </c:ext>
          </c:extLst>
        </c:ser>
        <c:ser>
          <c:idx val="4"/>
          <c:order val="4"/>
          <c:tx>
            <c:strRef>
              <c:f>INGLES!$AC$199</c:f>
              <c:strCache>
                <c:ptCount val="1"/>
                <c:pt idx="0">
                  <c:v>2020</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INGLES!$AC$200:$AC$205</c:f>
              <c:numCache>
                <c:formatCode>0</c:formatCode>
                <c:ptCount val="6"/>
                <c:pt idx="0">
                  <c:v>48.53846153846154</c:v>
                </c:pt>
                <c:pt idx="1">
                  <c:v>48.727272727272727</c:v>
                </c:pt>
                <c:pt idx="2">
                  <c:v>49.733333333333334</c:v>
                </c:pt>
                <c:pt idx="3">
                  <c:v>47.428571428571431</c:v>
                </c:pt>
                <c:pt idx="4">
                  <c:v>51.666666666666664</c:v>
                </c:pt>
                <c:pt idx="5">
                  <c:v>47.692307692307693</c:v>
                </c:pt>
              </c:numCache>
            </c:numRef>
          </c:val>
          <c:extLst>
            <c:ext xmlns:c16="http://schemas.microsoft.com/office/drawing/2014/chart" uri="{C3380CC4-5D6E-409C-BE32-E72D297353CC}">
              <c16:uniqueId val="{00000001-0218-463A-BF7D-EF5FED84A3E9}"/>
            </c:ext>
          </c:extLst>
        </c:ser>
        <c:ser>
          <c:idx val="5"/>
          <c:order val="5"/>
          <c:tx>
            <c:strRef>
              <c:f>INGLES!$AD$199</c:f>
              <c:strCache>
                <c:ptCount val="1"/>
                <c:pt idx="0">
                  <c:v>2021</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INGLES!$AD$200:$AD$205</c:f>
              <c:numCache>
                <c:formatCode>0</c:formatCode>
                <c:ptCount val="6"/>
                <c:pt idx="0">
                  <c:v>52.769230769230766</c:v>
                </c:pt>
                <c:pt idx="1">
                  <c:v>53.55</c:v>
                </c:pt>
                <c:pt idx="2">
                  <c:v>53.333333333333336</c:v>
                </c:pt>
                <c:pt idx="3">
                  <c:v>51</c:v>
                </c:pt>
                <c:pt idx="4">
                  <c:v>56.9375</c:v>
                </c:pt>
                <c:pt idx="5">
                  <c:v>53.714285714285715</c:v>
                </c:pt>
              </c:numCache>
            </c:numRef>
          </c:val>
          <c:extLst>
            <c:ext xmlns:c16="http://schemas.microsoft.com/office/drawing/2014/chart" uri="{C3380CC4-5D6E-409C-BE32-E72D297353CC}">
              <c16:uniqueId val="{00000000-E7C0-4CD4-BE78-3E3B264E817F}"/>
            </c:ext>
          </c:extLst>
        </c:ser>
        <c:ser>
          <c:idx val="6"/>
          <c:order val="6"/>
          <c:tx>
            <c:strRef>
              <c:f>INGLES!$AE$199</c:f>
              <c:strCache>
                <c:ptCount val="1"/>
                <c:pt idx="0">
                  <c:v>2022</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INGLES!$AE$200:$AE$205</c:f>
              <c:numCache>
                <c:formatCode>0</c:formatCode>
                <c:ptCount val="6"/>
                <c:pt idx="0">
                  <c:v>52.92307692307692</c:v>
                </c:pt>
                <c:pt idx="1">
                  <c:v>55.80952380952381</c:v>
                </c:pt>
                <c:pt idx="2">
                  <c:v>55.375</c:v>
                </c:pt>
                <c:pt idx="3">
                  <c:v>50.875</c:v>
                </c:pt>
                <c:pt idx="4">
                  <c:v>57.8</c:v>
                </c:pt>
                <c:pt idx="5">
                  <c:v>54.1875</c:v>
                </c:pt>
              </c:numCache>
            </c:numRef>
          </c:val>
          <c:extLst>
            <c:ext xmlns:c16="http://schemas.microsoft.com/office/drawing/2014/chart" uri="{C3380CC4-5D6E-409C-BE32-E72D297353CC}">
              <c16:uniqueId val="{00000000-C332-41EA-BBF0-50D9F6BAF867}"/>
            </c:ext>
          </c:extLst>
        </c:ser>
        <c:ser>
          <c:idx val="7"/>
          <c:order val="7"/>
          <c:tx>
            <c:strRef>
              <c:f>INGLES!$AF$199</c:f>
              <c:strCache>
                <c:ptCount val="1"/>
                <c:pt idx="0">
                  <c:v>2023</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INGLES!$AF$200:$AF$205</c:f>
              <c:numCache>
                <c:formatCode>0</c:formatCode>
                <c:ptCount val="6"/>
                <c:pt idx="0">
                  <c:v>54.416666666666664</c:v>
                </c:pt>
                <c:pt idx="1">
                  <c:v>55.045454545454547</c:v>
                </c:pt>
                <c:pt idx="2">
                  <c:v>55.5625</c:v>
                </c:pt>
                <c:pt idx="3">
                  <c:v>50.333333333333336</c:v>
                </c:pt>
                <c:pt idx="4">
                  <c:v>58.2</c:v>
                </c:pt>
                <c:pt idx="5">
                  <c:v>54.352941176470587</c:v>
                </c:pt>
              </c:numCache>
            </c:numRef>
          </c:val>
          <c:extLst>
            <c:ext xmlns:c16="http://schemas.microsoft.com/office/drawing/2014/chart" uri="{C3380CC4-5D6E-409C-BE32-E72D297353CC}">
              <c16:uniqueId val="{00000000-5C6A-4C73-97DA-3FB97BD91DC8}"/>
            </c:ext>
          </c:extLst>
        </c:ser>
        <c:ser>
          <c:idx val="8"/>
          <c:order val="8"/>
          <c:tx>
            <c:strRef>
              <c:f>INGLES!$AG$199</c:f>
              <c:strCache>
                <c:ptCount val="1"/>
                <c:pt idx="0">
                  <c:v>2024</c:v>
                </c:pt>
              </c:strCache>
            </c:strRef>
          </c:tx>
          <c:cat>
            <c:strRef>
              <c:f>INGLES!$X$200:$X$205</c:f>
              <c:strCache>
                <c:ptCount val="6"/>
                <c:pt idx="0">
                  <c:v>COMUNA 1</c:v>
                </c:pt>
                <c:pt idx="1">
                  <c:v>COMUNA 2</c:v>
                </c:pt>
                <c:pt idx="2">
                  <c:v>COMUNA 3</c:v>
                </c:pt>
                <c:pt idx="3">
                  <c:v>COMUNA 4</c:v>
                </c:pt>
                <c:pt idx="4">
                  <c:v>COMUNA 5</c:v>
                </c:pt>
                <c:pt idx="5">
                  <c:v>COMUNA 6</c:v>
                </c:pt>
              </c:strCache>
            </c:strRef>
          </c:cat>
          <c:val>
            <c:numRef>
              <c:f>INGLES!$AG$200:$AG$205</c:f>
              <c:numCache>
                <c:formatCode>0</c:formatCode>
                <c:ptCount val="6"/>
                <c:pt idx="0">
                  <c:v>55.307692307692307</c:v>
                </c:pt>
                <c:pt idx="1">
                  <c:v>56.65</c:v>
                </c:pt>
                <c:pt idx="2">
                  <c:v>56.3125</c:v>
                </c:pt>
                <c:pt idx="3">
                  <c:v>53.142857142857146</c:v>
                </c:pt>
                <c:pt idx="4">
                  <c:v>56.533333333333331</c:v>
                </c:pt>
                <c:pt idx="5">
                  <c:v>55.714285714285715</c:v>
                </c:pt>
              </c:numCache>
            </c:numRef>
          </c:val>
          <c:extLst>
            <c:ext xmlns:c16="http://schemas.microsoft.com/office/drawing/2014/chart" uri="{C3380CC4-5D6E-409C-BE32-E72D297353CC}">
              <c16:uniqueId val="{00000000-D301-44FF-8E12-7A2BD107BA17}"/>
            </c:ext>
          </c:extLst>
        </c:ser>
        <c:dLbls>
          <c:showLegendKey val="0"/>
          <c:showVal val="0"/>
          <c:showCatName val="0"/>
          <c:showSerName val="0"/>
          <c:showPercent val="0"/>
          <c:showBubbleSize val="0"/>
        </c:dLbls>
        <c:axId val="39422208"/>
        <c:axId val="39428096"/>
      </c:radarChart>
      <c:catAx>
        <c:axId val="39422208"/>
        <c:scaling>
          <c:orientation val="minMax"/>
        </c:scaling>
        <c:delete val="0"/>
        <c:axPos val="b"/>
        <c:majorGridlines/>
        <c:numFmt formatCode="General" sourceLinked="0"/>
        <c:majorTickMark val="none"/>
        <c:minorTickMark val="none"/>
        <c:tickLblPos val="nextTo"/>
        <c:spPr>
          <a:ln w="9525">
            <a:noFill/>
          </a:ln>
        </c:spPr>
        <c:txPr>
          <a:bodyPr/>
          <a:lstStyle/>
          <a:p>
            <a:pPr>
              <a:defRPr>
                <a:latin typeface="Arial" panose="020B0604020202020204" pitchFamily="34" charset="0"/>
                <a:cs typeface="Arial" panose="020B0604020202020204" pitchFamily="34" charset="0"/>
              </a:defRPr>
            </a:pPr>
            <a:endParaRPr lang="es-CO"/>
          </a:p>
        </c:txPr>
        <c:crossAx val="39428096"/>
        <c:crosses val="autoZero"/>
        <c:auto val="1"/>
        <c:lblAlgn val="ctr"/>
        <c:lblOffset val="100"/>
        <c:noMultiLvlLbl val="0"/>
      </c:catAx>
      <c:valAx>
        <c:axId val="39428096"/>
        <c:scaling>
          <c:orientation val="minMax"/>
          <c:max val="58"/>
          <c:min val="46"/>
        </c:scaling>
        <c:delete val="0"/>
        <c:axPos val="l"/>
        <c:majorGridlines/>
        <c:numFmt formatCode="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s-CO"/>
          </a:p>
        </c:txPr>
        <c:crossAx val="39422208"/>
        <c:crosses val="autoZero"/>
        <c:crossBetween val="between"/>
      </c:valAx>
    </c:plotArea>
    <c:legend>
      <c:legendPos val="r"/>
      <c:overlay val="0"/>
      <c:txPr>
        <a:bodyPr/>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Niveles</a:t>
            </a:r>
            <a:r>
              <a:rPr lang="es-CO" baseline="0"/>
              <a:t> de Desempeño Inglés Saber 11 2016 - 2024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INGLES!$F$249</c:f>
              <c:strCache>
                <c:ptCount val="1"/>
                <c:pt idx="0">
                  <c:v>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INGLES!$H$247:$AP$248</c:f>
              <c:multiLvlStrCache>
                <c:ptCount val="35"/>
                <c:lvl>
                  <c:pt idx="0">
                    <c:v>SOACHA</c:v>
                  </c:pt>
                  <c:pt idx="1">
                    <c:v>SOACHA OFICIAL</c:v>
                  </c:pt>
                  <c:pt idx="2">
                    <c:v>SOACHA NO OFICIAL</c:v>
                  </c:pt>
                  <c:pt idx="3">
                    <c:v>COLOMBIA</c:v>
                  </c:pt>
                  <c:pt idx="4">
                    <c:v>SOACHA</c:v>
                  </c:pt>
                  <c:pt idx="5">
                    <c:v>SOACHA OFICIAL</c:v>
                  </c:pt>
                  <c:pt idx="6">
                    <c:v>SOACHA NO OFICIAL</c:v>
                  </c:pt>
                  <c:pt idx="7">
                    <c:v>COLOMBIA</c:v>
                  </c:pt>
                  <c:pt idx="8">
                    <c:v>SOACHA</c:v>
                  </c:pt>
                  <c:pt idx="9">
                    <c:v>SOACHA OFICIAL</c:v>
                  </c:pt>
                  <c:pt idx="10">
                    <c:v>SOACHA NO OFICIAL</c:v>
                  </c:pt>
                  <c:pt idx="11">
                    <c:v>COLOMBIA</c:v>
                  </c:pt>
                  <c:pt idx="12">
                    <c:v>SOACHA</c:v>
                  </c:pt>
                  <c:pt idx="13">
                    <c:v>SOACHA OFICIAL</c:v>
                  </c:pt>
                  <c:pt idx="14">
                    <c:v>SOACHA NO OFICIAL</c:v>
                  </c:pt>
                  <c:pt idx="15">
                    <c:v>COLOMBIA</c:v>
                  </c:pt>
                  <c:pt idx="16">
                    <c:v>SOACHA</c:v>
                  </c:pt>
                  <c:pt idx="17">
                    <c:v>SOACHA OFICIAL</c:v>
                  </c:pt>
                  <c:pt idx="18">
                    <c:v>SOACHA NO OFICIAL</c:v>
                  </c:pt>
                  <c:pt idx="19">
                    <c:v>COLOMBIA</c:v>
                  </c:pt>
                  <c:pt idx="20">
                    <c:v>SOACHA</c:v>
                  </c:pt>
                  <c:pt idx="21">
                    <c:v>SOACHA OFICIAL</c:v>
                  </c:pt>
                  <c:pt idx="22">
                    <c:v>SOACHA NO OFICIAL</c:v>
                  </c:pt>
                  <c:pt idx="23">
                    <c:v>COLOMBIA</c:v>
                  </c:pt>
                  <c:pt idx="24">
                    <c:v>SOACHA</c:v>
                  </c:pt>
                  <c:pt idx="25">
                    <c:v>SOACHA OFICIAL</c:v>
                  </c:pt>
                  <c:pt idx="26">
                    <c:v>SOACHA NO OFICIAL</c:v>
                  </c:pt>
                  <c:pt idx="27">
                    <c:v>COLOMBIA</c:v>
                  </c:pt>
                  <c:pt idx="28">
                    <c:v>SOACHA</c:v>
                  </c:pt>
                  <c:pt idx="29">
                    <c:v>SOACHA OFICIAL</c:v>
                  </c:pt>
                  <c:pt idx="30">
                    <c:v>SOACHA NO OFICIAL</c:v>
                  </c:pt>
                  <c:pt idx="31">
                    <c:v>COLOMBIA</c:v>
                  </c:pt>
                  <c:pt idx="32">
                    <c:v>SOACHA</c:v>
                  </c:pt>
                  <c:pt idx="33">
                    <c:v>SOACHA OFICIAL</c:v>
                  </c:pt>
                  <c:pt idx="34">
                    <c:v>SOACHA NO OFICIAL</c:v>
                  </c:pt>
                </c:lvl>
                <c:lvl>
                  <c:pt idx="3">
                    <c:v>2017</c:v>
                  </c:pt>
                  <c:pt idx="7">
                    <c:v>2018</c:v>
                  </c:pt>
                  <c:pt idx="11">
                    <c:v>2019</c:v>
                  </c:pt>
                  <c:pt idx="15">
                    <c:v>2020</c:v>
                  </c:pt>
                  <c:pt idx="19">
                    <c:v>2021</c:v>
                  </c:pt>
                  <c:pt idx="23">
                    <c:v>2022</c:v>
                  </c:pt>
                  <c:pt idx="27">
                    <c:v>2023</c:v>
                  </c:pt>
                  <c:pt idx="31">
                    <c:v>2024</c:v>
                  </c:pt>
                </c:lvl>
              </c:multiLvlStrCache>
            </c:multiLvlStrRef>
          </c:cat>
          <c:val>
            <c:numRef>
              <c:f>INGLES!$H$249:$AP$249</c:f>
              <c:numCache>
                <c:formatCode>0%</c:formatCode>
                <c:ptCount val="35"/>
                <c:pt idx="0">
                  <c:v>0.28999999999999998</c:v>
                </c:pt>
                <c:pt idx="1">
                  <c:v>0.35</c:v>
                </c:pt>
                <c:pt idx="2">
                  <c:v>0.22</c:v>
                </c:pt>
                <c:pt idx="3">
                  <c:v>0.44</c:v>
                </c:pt>
                <c:pt idx="4">
                  <c:v>0.38</c:v>
                </c:pt>
                <c:pt idx="5">
                  <c:v>0.45</c:v>
                </c:pt>
                <c:pt idx="6">
                  <c:v>0.3</c:v>
                </c:pt>
                <c:pt idx="7">
                  <c:v>0.37</c:v>
                </c:pt>
                <c:pt idx="8">
                  <c:v>0.31</c:v>
                </c:pt>
                <c:pt idx="9">
                  <c:v>0.37</c:v>
                </c:pt>
                <c:pt idx="10">
                  <c:v>0.23</c:v>
                </c:pt>
                <c:pt idx="11">
                  <c:v>0.44</c:v>
                </c:pt>
                <c:pt idx="12">
                  <c:v>0.35</c:v>
                </c:pt>
                <c:pt idx="13">
                  <c:v>0.43</c:v>
                </c:pt>
                <c:pt idx="14">
                  <c:v>0.26</c:v>
                </c:pt>
                <c:pt idx="15">
                  <c:v>0.56999999999999995</c:v>
                </c:pt>
                <c:pt idx="16">
                  <c:v>0.51</c:v>
                </c:pt>
                <c:pt idx="17">
                  <c:v>0.59</c:v>
                </c:pt>
                <c:pt idx="18">
                  <c:v>0.43</c:v>
                </c:pt>
                <c:pt idx="19">
                  <c:v>0.47</c:v>
                </c:pt>
                <c:pt idx="20">
                  <c:v>0.35</c:v>
                </c:pt>
                <c:pt idx="21">
                  <c:v>0.44</c:v>
                </c:pt>
                <c:pt idx="22">
                  <c:v>0.24</c:v>
                </c:pt>
                <c:pt idx="23">
                  <c:v>0.44</c:v>
                </c:pt>
                <c:pt idx="24">
                  <c:v>0.3</c:v>
                </c:pt>
                <c:pt idx="25">
                  <c:v>0.39</c:v>
                </c:pt>
                <c:pt idx="26">
                  <c:v>0.21</c:v>
                </c:pt>
                <c:pt idx="27">
                  <c:v>0.42</c:v>
                </c:pt>
                <c:pt idx="28">
                  <c:v>0.31</c:v>
                </c:pt>
                <c:pt idx="29">
                  <c:v>0.39</c:v>
                </c:pt>
                <c:pt idx="30">
                  <c:v>0.22</c:v>
                </c:pt>
                <c:pt idx="31">
                  <c:v>0.39</c:v>
                </c:pt>
                <c:pt idx="32">
                  <c:v>0.28999999999999998</c:v>
                </c:pt>
                <c:pt idx="33">
                  <c:v>0.36</c:v>
                </c:pt>
                <c:pt idx="34">
                  <c:v>0.2</c:v>
                </c:pt>
              </c:numCache>
            </c:numRef>
          </c:val>
          <c:extLst>
            <c:ext xmlns:c16="http://schemas.microsoft.com/office/drawing/2014/chart" uri="{C3380CC4-5D6E-409C-BE32-E72D297353CC}">
              <c16:uniqueId val="{00000000-4DBF-499F-837D-79AD55BDDAA7}"/>
            </c:ext>
          </c:extLst>
        </c:ser>
        <c:ser>
          <c:idx val="1"/>
          <c:order val="1"/>
          <c:tx>
            <c:strRef>
              <c:f>INGLES!$F$250</c:f>
              <c:strCache>
                <c:ptCount val="1"/>
                <c:pt idx="0">
                  <c:v>A1</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INGLES!$H$247:$AP$248</c:f>
              <c:multiLvlStrCache>
                <c:ptCount val="35"/>
                <c:lvl>
                  <c:pt idx="0">
                    <c:v>SOACHA</c:v>
                  </c:pt>
                  <c:pt idx="1">
                    <c:v>SOACHA OFICIAL</c:v>
                  </c:pt>
                  <c:pt idx="2">
                    <c:v>SOACHA NO OFICIAL</c:v>
                  </c:pt>
                  <c:pt idx="3">
                    <c:v>COLOMBIA</c:v>
                  </c:pt>
                  <c:pt idx="4">
                    <c:v>SOACHA</c:v>
                  </c:pt>
                  <c:pt idx="5">
                    <c:v>SOACHA OFICIAL</c:v>
                  </c:pt>
                  <c:pt idx="6">
                    <c:v>SOACHA NO OFICIAL</c:v>
                  </c:pt>
                  <c:pt idx="7">
                    <c:v>COLOMBIA</c:v>
                  </c:pt>
                  <c:pt idx="8">
                    <c:v>SOACHA</c:v>
                  </c:pt>
                  <c:pt idx="9">
                    <c:v>SOACHA OFICIAL</c:v>
                  </c:pt>
                  <c:pt idx="10">
                    <c:v>SOACHA NO OFICIAL</c:v>
                  </c:pt>
                  <c:pt idx="11">
                    <c:v>COLOMBIA</c:v>
                  </c:pt>
                  <c:pt idx="12">
                    <c:v>SOACHA</c:v>
                  </c:pt>
                  <c:pt idx="13">
                    <c:v>SOACHA OFICIAL</c:v>
                  </c:pt>
                  <c:pt idx="14">
                    <c:v>SOACHA NO OFICIAL</c:v>
                  </c:pt>
                  <c:pt idx="15">
                    <c:v>COLOMBIA</c:v>
                  </c:pt>
                  <c:pt idx="16">
                    <c:v>SOACHA</c:v>
                  </c:pt>
                  <c:pt idx="17">
                    <c:v>SOACHA OFICIAL</c:v>
                  </c:pt>
                  <c:pt idx="18">
                    <c:v>SOACHA NO OFICIAL</c:v>
                  </c:pt>
                  <c:pt idx="19">
                    <c:v>COLOMBIA</c:v>
                  </c:pt>
                  <c:pt idx="20">
                    <c:v>SOACHA</c:v>
                  </c:pt>
                  <c:pt idx="21">
                    <c:v>SOACHA OFICIAL</c:v>
                  </c:pt>
                  <c:pt idx="22">
                    <c:v>SOACHA NO OFICIAL</c:v>
                  </c:pt>
                  <c:pt idx="23">
                    <c:v>COLOMBIA</c:v>
                  </c:pt>
                  <c:pt idx="24">
                    <c:v>SOACHA</c:v>
                  </c:pt>
                  <c:pt idx="25">
                    <c:v>SOACHA OFICIAL</c:v>
                  </c:pt>
                  <c:pt idx="26">
                    <c:v>SOACHA NO OFICIAL</c:v>
                  </c:pt>
                  <c:pt idx="27">
                    <c:v>COLOMBIA</c:v>
                  </c:pt>
                  <c:pt idx="28">
                    <c:v>SOACHA</c:v>
                  </c:pt>
                  <c:pt idx="29">
                    <c:v>SOACHA OFICIAL</c:v>
                  </c:pt>
                  <c:pt idx="30">
                    <c:v>SOACHA NO OFICIAL</c:v>
                  </c:pt>
                  <c:pt idx="31">
                    <c:v>COLOMBIA</c:v>
                  </c:pt>
                  <c:pt idx="32">
                    <c:v>SOACHA</c:v>
                  </c:pt>
                  <c:pt idx="33">
                    <c:v>SOACHA OFICIAL</c:v>
                  </c:pt>
                  <c:pt idx="34">
                    <c:v>SOACHA NO OFICIAL</c:v>
                  </c:pt>
                </c:lvl>
                <c:lvl>
                  <c:pt idx="3">
                    <c:v>2017</c:v>
                  </c:pt>
                  <c:pt idx="7">
                    <c:v>2018</c:v>
                  </c:pt>
                  <c:pt idx="11">
                    <c:v>2019</c:v>
                  </c:pt>
                  <c:pt idx="15">
                    <c:v>2020</c:v>
                  </c:pt>
                  <c:pt idx="19">
                    <c:v>2021</c:v>
                  </c:pt>
                  <c:pt idx="23">
                    <c:v>2022</c:v>
                  </c:pt>
                  <c:pt idx="27">
                    <c:v>2023</c:v>
                  </c:pt>
                  <c:pt idx="31">
                    <c:v>2024</c:v>
                  </c:pt>
                </c:lvl>
              </c:multiLvlStrCache>
            </c:multiLvlStrRef>
          </c:cat>
          <c:val>
            <c:numRef>
              <c:f>INGLES!$H$250:$AP$250</c:f>
              <c:numCache>
                <c:formatCode>0%</c:formatCode>
                <c:ptCount val="35"/>
                <c:pt idx="0">
                  <c:v>0.4</c:v>
                </c:pt>
                <c:pt idx="1">
                  <c:v>0.41</c:v>
                </c:pt>
                <c:pt idx="2">
                  <c:v>0.38</c:v>
                </c:pt>
                <c:pt idx="3">
                  <c:v>0.3</c:v>
                </c:pt>
                <c:pt idx="4">
                  <c:v>0.36</c:v>
                </c:pt>
                <c:pt idx="5">
                  <c:v>0.36</c:v>
                </c:pt>
                <c:pt idx="6">
                  <c:v>0.36</c:v>
                </c:pt>
                <c:pt idx="7">
                  <c:v>0.34</c:v>
                </c:pt>
                <c:pt idx="8">
                  <c:v>0.42</c:v>
                </c:pt>
                <c:pt idx="9">
                  <c:v>0.43</c:v>
                </c:pt>
                <c:pt idx="10">
                  <c:v>0.4</c:v>
                </c:pt>
                <c:pt idx="11">
                  <c:v>0.3</c:v>
                </c:pt>
                <c:pt idx="12">
                  <c:v>0.39</c:v>
                </c:pt>
                <c:pt idx="13">
                  <c:v>0.38</c:v>
                </c:pt>
                <c:pt idx="14">
                  <c:v>0.4</c:v>
                </c:pt>
                <c:pt idx="15">
                  <c:v>0.27</c:v>
                </c:pt>
                <c:pt idx="16">
                  <c:v>0.34</c:v>
                </c:pt>
                <c:pt idx="17">
                  <c:v>0.32</c:v>
                </c:pt>
                <c:pt idx="18">
                  <c:v>0.37</c:v>
                </c:pt>
                <c:pt idx="19">
                  <c:v>0.28000000000000003</c:v>
                </c:pt>
                <c:pt idx="20">
                  <c:v>0.37</c:v>
                </c:pt>
                <c:pt idx="21">
                  <c:v>0.37</c:v>
                </c:pt>
                <c:pt idx="22">
                  <c:v>0.37</c:v>
                </c:pt>
                <c:pt idx="23">
                  <c:v>0.28000000000000003</c:v>
                </c:pt>
                <c:pt idx="24">
                  <c:v>0.36</c:v>
                </c:pt>
                <c:pt idx="25">
                  <c:v>0.36</c:v>
                </c:pt>
                <c:pt idx="26">
                  <c:v>0.35</c:v>
                </c:pt>
                <c:pt idx="27">
                  <c:v>0.31</c:v>
                </c:pt>
                <c:pt idx="28">
                  <c:v>0.37</c:v>
                </c:pt>
                <c:pt idx="29">
                  <c:v>0.39</c:v>
                </c:pt>
                <c:pt idx="30">
                  <c:v>0.35</c:v>
                </c:pt>
                <c:pt idx="31">
                  <c:v>0.3</c:v>
                </c:pt>
                <c:pt idx="32">
                  <c:v>0.36</c:v>
                </c:pt>
                <c:pt idx="33">
                  <c:v>0.38</c:v>
                </c:pt>
                <c:pt idx="34">
                  <c:v>0.34</c:v>
                </c:pt>
              </c:numCache>
            </c:numRef>
          </c:val>
          <c:extLst>
            <c:ext xmlns:c16="http://schemas.microsoft.com/office/drawing/2014/chart" uri="{C3380CC4-5D6E-409C-BE32-E72D297353CC}">
              <c16:uniqueId val="{00000001-4DBF-499F-837D-79AD55BDDAA7}"/>
            </c:ext>
          </c:extLst>
        </c:ser>
        <c:ser>
          <c:idx val="2"/>
          <c:order val="2"/>
          <c:tx>
            <c:strRef>
              <c:f>INGLES!$F$251</c:f>
              <c:strCache>
                <c:ptCount val="1"/>
                <c:pt idx="0">
                  <c:v>A2</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INGLES!$H$247:$AP$248</c:f>
              <c:multiLvlStrCache>
                <c:ptCount val="35"/>
                <c:lvl>
                  <c:pt idx="0">
                    <c:v>SOACHA</c:v>
                  </c:pt>
                  <c:pt idx="1">
                    <c:v>SOACHA OFICIAL</c:v>
                  </c:pt>
                  <c:pt idx="2">
                    <c:v>SOACHA NO OFICIAL</c:v>
                  </c:pt>
                  <c:pt idx="3">
                    <c:v>COLOMBIA</c:v>
                  </c:pt>
                  <c:pt idx="4">
                    <c:v>SOACHA</c:v>
                  </c:pt>
                  <c:pt idx="5">
                    <c:v>SOACHA OFICIAL</c:v>
                  </c:pt>
                  <c:pt idx="6">
                    <c:v>SOACHA NO OFICIAL</c:v>
                  </c:pt>
                  <c:pt idx="7">
                    <c:v>COLOMBIA</c:v>
                  </c:pt>
                  <c:pt idx="8">
                    <c:v>SOACHA</c:v>
                  </c:pt>
                  <c:pt idx="9">
                    <c:v>SOACHA OFICIAL</c:v>
                  </c:pt>
                  <c:pt idx="10">
                    <c:v>SOACHA NO OFICIAL</c:v>
                  </c:pt>
                  <c:pt idx="11">
                    <c:v>COLOMBIA</c:v>
                  </c:pt>
                  <c:pt idx="12">
                    <c:v>SOACHA</c:v>
                  </c:pt>
                  <c:pt idx="13">
                    <c:v>SOACHA OFICIAL</c:v>
                  </c:pt>
                  <c:pt idx="14">
                    <c:v>SOACHA NO OFICIAL</c:v>
                  </c:pt>
                  <c:pt idx="15">
                    <c:v>COLOMBIA</c:v>
                  </c:pt>
                  <c:pt idx="16">
                    <c:v>SOACHA</c:v>
                  </c:pt>
                  <c:pt idx="17">
                    <c:v>SOACHA OFICIAL</c:v>
                  </c:pt>
                  <c:pt idx="18">
                    <c:v>SOACHA NO OFICIAL</c:v>
                  </c:pt>
                  <c:pt idx="19">
                    <c:v>COLOMBIA</c:v>
                  </c:pt>
                  <c:pt idx="20">
                    <c:v>SOACHA</c:v>
                  </c:pt>
                  <c:pt idx="21">
                    <c:v>SOACHA OFICIAL</c:v>
                  </c:pt>
                  <c:pt idx="22">
                    <c:v>SOACHA NO OFICIAL</c:v>
                  </c:pt>
                  <c:pt idx="23">
                    <c:v>COLOMBIA</c:v>
                  </c:pt>
                  <c:pt idx="24">
                    <c:v>SOACHA</c:v>
                  </c:pt>
                  <c:pt idx="25">
                    <c:v>SOACHA OFICIAL</c:v>
                  </c:pt>
                  <c:pt idx="26">
                    <c:v>SOACHA NO OFICIAL</c:v>
                  </c:pt>
                  <c:pt idx="27">
                    <c:v>COLOMBIA</c:v>
                  </c:pt>
                  <c:pt idx="28">
                    <c:v>SOACHA</c:v>
                  </c:pt>
                  <c:pt idx="29">
                    <c:v>SOACHA OFICIAL</c:v>
                  </c:pt>
                  <c:pt idx="30">
                    <c:v>SOACHA NO OFICIAL</c:v>
                  </c:pt>
                  <c:pt idx="31">
                    <c:v>COLOMBIA</c:v>
                  </c:pt>
                  <c:pt idx="32">
                    <c:v>SOACHA</c:v>
                  </c:pt>
                  <c:pt idx="33">
                    <c:v>SOACHA OFICIAL</c:v>
                  </c:pt>
                  <c:pt idx="34">
                    <c:v>SOACHA NO OFICIAL</c:v>
                  </c:pt>
                </c:lvl>
                <c:lvl>
                  <c:pt idx="3">
                    <c:v>2017</c:v>
                  </c:pt>
                  <c:pt idx="7">
                    <c:v>2018</c:v>
                  </c:pt>
                  <c:pt idx="11">
                    <c:v>2019</c:v>
                  </c:pt>
                  <c:pt idx="15">
                    <c:v>2020</c:v>
                  </c:pt>
                  <c:pt idx="19">
                    <c:v>2021</c:v>
                  </c:pt>
                  <c:pt idx="23">
                    <c:v>2022</c:v>
                  </c:pt>
                  <c:pt idx="27">
                    <c:v>2023</c:v>
                  </c:pt>
                  <c:pt idx="31">
                    <c:v>2024</c:v>
                  </c:pt>
                </c:lvl>
              </c:multiLvlStrCache>
            </c:multiLvlStrRef>
          </c:cat>
          <c:val>
            <c:numRef>
              <c:f>INGLES!$H$251:$AP$251</c:f>
              <c:numCache>
                <c:formatCode>0%</c:formatCode>
                <c:ptCount val="35"/>
                <c:pt idx="0">
                  <c:v>0.24</c:v>
                </c:pt>
                <c:pt idx="1">
                  <c:v>0.2</c:v>
                </c:pt>
                <c:pt idx="2">
                  <c:v>0.28000000000000003</c:v>
                </c:pt>
                <c:pt idx="3">
                  <c:v>0.16</c:v>
                </c:pt>
                <c:pt idx="4">
                  <c:v>0.2</c:v>
                </c:pt>
                <c:pt idx="5">
                  <c:v>0.16</c:v>
                </c:pt>
                <c:pt idx="6">
                  <c:v>0.25</c:v>
                </c:pt>
                <c:pt idx="7">
                  <c:v>0.19</c:v>
                </c:pt>
                <c:pt idx="8">
                  <c:v>0.21</c:v>
                </c:pt>
                <c:pt idx="9">
                  <c:v>0.16</c:v>
                </c:pt>
                <c:pt idx="10">
                  <c:v>0.28000000000000003</c:v>
                </c:pt>
                <c:pt idx="11">
                  <c:v>0.17</c:v>
                </c:pt>
                <c:pt idx="12">
                  <c:v>0.2</c:v>
                </c:pt>
                <c:pt idx="13">
                  <c:v>0.15</c:v>
                </c:pt>
                <c:pt idx="14">
                  <c:v>0.25</c:v>
                </c:pt>
                <c:pt idx="15">
                  <c:v>0.09</c:v>
                </c:pt>
                <c:pt idx="16">
                  <c:v>0.1</c:v>
                </c:pt>
                <c:pt idx="17">
                  <c:v>7.0000000000000007E-2</c:v>
                </c:pt>
                <c:pt idx="18">
                  <c:v>0.14000000000000001</c:v>
                </c:pt>
                <c:pt idx="19">
                  <c:v>0.15</c:v>
                </c:pt>
                <c:pt idx="20">
                  <c:v>0.2</c:v>
                </c:pt>
                <c:pt idx="21">
                  <c:v>0.15</c:v>
                </c:pt>
                <c:pt idx="22">
                  <c:v>0.27</c:v>
                </c:pt>
                <c:pt idx="23">
                  <c:v>0.17</c:v>
                </c:pt>
                <c:pt idx="24">
                  <c:v>0.24</c:v>
                </c:pt>
                <c:pt idx="25">
                  <c:v>0.19</c:v>
                </c:pt>
                <c:pt idx="26">
                  <c:v>0.28999999999999998</c:v>
                </c:pt>
                <c:pt idx="27">
                  <c:v>0.16</c:v>
                </c:pt>
                <c:pt idx="28">
                  <c:v>0.22</c:v>
                </c:pt>
                <c:pt idx="29">
                  <c:v>0.17</c:v>
                </c:pt>
                <c:pt idx="30">
                  <c:v>0.27</c:v>
                </c:pt>
                <c:pt idx="31">
                  <c:v>0.17</c:v>
                </c:pt>
                <c:pt idx="32">
                  <c:v>0.23</c:v>
                </c:pt>
                <c:pt idx="33">
                  <c:v>0.18</c:v>
                </c:pt>
                <c:pt idx="34">
                  <c:v>0.28000000000000003</c:v>
                </c:pt>
              </c:numCache>
            </c:numRef>
          </c:val>
          <c:extLst>
            <c:ext xmlns:c16="http://schemas.microsoft.com/office/drawing/2014/chart" uri="{C3380CC4-5D6E-409C-BE32-E72D297353CC}">
              <c16:uniqueId val="{00000002-4DBF-499F-837D-79AD55BDDAA7}"/>
            </c:ext>
          </c:extLst>
        </c:ser>
        <c:ser>
          <c:idx val="3"/>
          <c:order val="3"/>
          <c:tx>
            <c:strRef>
              <c:f>INGLES!$F$252</c:f>
              <c:strCache>
                <c:ptCount val="1"/>
                <c:pt idx="0">
                  <c:v>B1</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INGLES!$H$247:$AP$248</c:f>
              <c:multiLvlStrCache>
                <c:ptCount val="35"/>
                <c:lvl>
                  <c:pt idx="0">
                    <c:v>SOACHA</c:v>
                  </c:pt>
                  <c:pt idx="1">
                    <c:v>SOACHA OFICIAL</c:v>
                  </c:pt>
                  <c:pt idx="2">
                    <c:v>SOACHA NO OFICIAL</c:v>
                  </c:pt>
                  <c:pt idx="3">
                    <c:v>COLOMBIA</c:v>
                  </c:pt>
                  <c:pt idx="4">
                    <c:v>SOACHA</c:v>
                  </c:pt>
                  <c:pt idx="5">
                    <c:v>SOACHA OFICIAL</c:v>
                  </c:pt>
                  <c:pt idx="6">
                    <c:v>SOACHA NO OFICIAL</c:v>
                  </c:pt>
                  <c:pt idx="7">
                    <c:v>COLOMBIA</c:v>
                  </c:pt>
                  <c:pt idx="8">
                    <c:v>SOACHA</c:v>
                  </c:pt>
                  <c:pt idx="9">
                    <c:v>SOACHA OFICIAL</c:v>
                  </c:pt>
                  <c:pt idx="10">
                    <c:v>SOACHA NO OFICIAL</c:v>
                  </c:pt>
                  <c:pt idx="11">
                    <c:v>COLOMBIA</c:v>
                  </c:pt>
                  <c:pt idx="12">
                    <c:v>SOACHA</c:v>
                  </c:pt>
                  <c:pt idx="13">
                    <c:v>SOACHA OFICIAL</c:v>
                  </c:pt>
                  <c:pt idx="14">
                    <c:v>SOACHA NO OFICIAL</c:v>
                  </c:pt>
                  <c:pt idx="15">
                    <c:v>COLOMBIA</c:v>
                  </c:pt>
                  <c:pt idx="16">
                    <c:v>SOACHA</c:v>
                  </c:pt>
                  <c:pt idx="17">
                    <c:v>SOACHA OFICIAL</c:v>
                  </c:pt>
                  <c:pt idx="18">
                    <c:v>SOACHA NO OFICIAL</c:v>
                  </c:pt>
                  <c:pt idx="19">
                    <c:v>COLOMBIA</c:v>
                  </c:pt>
                  <c:pt idx="20">
                    <c:v>SOACHA</c:v>
                  </c:pt>
                  <c:pt idx="21">
                    <c:v>SOACHA OFICIAL</c:v>
                  </c:pt>
                  <c:pt idx="22">
                    <c:v>SOACHA NO OFICIAL</c:v>
                  </c:pt>
                  <c:pt idx="23">
                    <c:v>COLOMBIA</c:v>
                  </c:pt>
                  <c:pt idx="24">
                    <c:v>SOACHA</c:v>
                  </c:pt>
                  <c:pt idx="25">
                    <c:v>SOACHA OFICIAL</c:v>
                  </c:pt>
                  <c:pt idx="26">
                    <c:v>SOACHA NO OFICIAL</c:v>
                  </c:pt>
                  <c:pt idx="27">
                    <c:v>COLOMBIA</c:v>
                  </c:pt>
                  <c:pt idx="28">
                    <c:v>SOACHA</c:v>
                  </c:pt>
                  <c:pt idx="29">
                    <c:v>SOACHA OFICIAL</c:v>
                  </c:pt>
                  <c:pt idx="30">
                    <c:v>SOACHA NO OFICIAL</c:v>
                  </c:pt>
                  <c:pt idx="31">
                    <c:v>COLOMBIA</c:v>
                  </c:pt>
                  <c:pt idx="32">
                    <c:v>SOACHA</c:v>
                  </c:pt>
                  <c:pt idx="33">
                    <c:v>SOACHA OFICIAL</c:v>
                  </c:pt>
                  <c:pt idx="34">
                    <c:v>SOACHA NO OFICIAL</c:v>
                  </c:pt>
                </c:lvl>
                <c:lvl>
                  <c:pt idx="3">
                    <c:v>2017</c:v>
                  </c:pt>
                  <c:pt idx="7">
                    <c:v>2018</c:v>
                  </c:pt>
                  <c:pt idx="11">
                    <c:v>2019</c:v>
                  </c:pt>
                  <c:pt idx="15">
                    <c:v>2020</c:v>
                  </c:pt>
                  <c:pt idx="19">
                    <c:v>2021</c:v>
                  </c:pt>
                  <c:pt idx="23">
                    <c:v>2022</c:v>
                  </c:pt>
                  <c:pt idx="27">
                    <c:v>2023</c:v>
                  </c:pt>
                  <c:pt idx="31">
                    <c:v>2024</c:v>
                  </c:pt>
                </c:lvl>
              </c:multiLvlStrCache>
            </c:multiLvlStrRef>
          </c:cat>
          <c:val>
            <c:numRef>
              <c:f>INGLES!$H$252:$AP$252</c:f>
              <c:numCache>
                <c:formatCode>0%</c:formatCode>
                <c:ptCount val="35"/>
                <c:pt idx="0">
                  <c:v>0.08</c:v>
                </c:pt>
                <c:pt idx="1">
                  <c:v>0.04</c:v>
                </c:pt>
                <c:pt idx="2">
                  <c:v>0.11</c:v>
                </c:pt>
                <c:pt idx="3">
                  <c:v>0.08</c:v>
                </c:pt>
                <c:pt idx="4">
                  <c:v>0.05</c:v>
                </c:pt>
                <c:pt idx="5">
                  <c:v>0.03</c:v>
                </c:pt>
                <c:pt idx="6">
                  <c:v>7.0000000000000007E-2</c:v>
                </c:pt>
                <c:pt idx="7">
                  <c:v>0.08</c:v>
                </c:pt>
                <c:pt idx="8">
                  <c:v>0.06</c:v>
                </c:pt>
                <c:pt idx="9">
                  <c:v>0.03</c:v>
                </c:pt>
                <c:pt idx="10">
                  <c:v>0.08</c:v>
                </c:pt>
                <c:pt idx="11">
                  <c:v>7.0000000000000007E-2</c:v>
                </c:pt>
                <c:pt idx="12">
                  <c:v>0.06</c:v>
                </c:pt>
                <c:pt idx="13">
                  <c:v>0.03</c:v>
                </c:pt>
                <c:pt idx="14">
                  <c:v>0.08</c:v>
                </c:pt>
                <c:pt idx="15">
                  <c:v>0.06</c:v>
                </c:pt>
                <c:pt idx="16">
                  <c:v>0.04</c:v>
                </c:pt>
                <c:pt idx="17">
                  <c:v>0.02</c:v>
                </c:pt>
                <c:pt idx="18">
                  <c:v>0.06</c:v>
                </c:pt>
                <c:pt idx="19">
                  <c:v>0.08</c:v>
                </c:pt>
                <c:pt idx="20">
                  <c:v>7.0000000000000007E-2</c:v>
                </c:pt>
                <c:pt idx="21">
                  <c:v>0.04</c:v>
                </c:pt>
                <c:pt idx="22">
                  <c:v>0.11</c:v>
                </c:pt>
                <c:pt idx="23">
                  <c:v>0.09</c:v>
                </c:pt>
                <c:pt idx="24">
                  <c:v>0.09</c:v>
                </c:pt>
                <c:pt idx="25">
                  <c:v>0.05</c:v>
                </c:pt>
                <c:pt idx="26">
                  <c:v>0.13</c:v>
                </c:pt>
                <c:pt idx="27">
                  <c:v>0.09</c:v>
                </c:pt>
                <c:pt idx="28">
                  <c:v>0.09</c:v>
                </c:pt>
                <c:pt idx="29">
                  <c:v>0.05</c:v>
                </c:pt>
                <c:pt idx="30">
                  <c:v>0.15</c:v>
                </c:pt>
                <c:pt idx="31">
                  <c:v>0.1</c:v>
                </c:pt>
                <c:pt idx="32">
                  <c:v>0.1</c:v>
                </c:pt>
                <c:pt idx="33">
                  <c:v>7.0000000000000007E-2</c:v>
                </c:pt>
                <c:pt idx="34">
                  <c:v>0.15</c:v>
                </c:pt>
              </c:numCache>
            </c:numRef>
          </c:val>
          <c:extLst>
            <c:ext xmlns:c16="http://schemas.microsoft.com/office/drawing/2014/chart" uri="{C3380CC4-5D6E-409C-BE32-E72D297353CC}">
              <c16:uniqueId val="{00000003-4DBF-499F-837D-79AD55BDDAA7}"/>
            </c:ext>
          </c:extLst>
        </c:ser>
        <c:ser>
          <c:idx val="4"/>
          <c:order val="4"/>
          <c:tx>
            <c:strRef>
              <c:f>INGLES!$F$253</c:f>
              <c:strCache>
                <c:ptCount val="1"/>
                <c:pt idx="0">
                  <c:v>B+</c:v>
                </c:pt>
              </c:strCache>
            </c:strRef>
          </c:tx>
          <c:spPr>
            <a:solidFill>
              <a:schemeClr val="accent5"/>
            </a:solidFill>
            <a:ln>
              <a:noFill/>
            </a:ln>
            <a:effectLst/>
          </c:spPr>
          <c:invertIfNegative val="0"/>
          <c:dLbls>
            <c:dLbl>
              <c:idx val="2"/>
              <c:layout>
                <c:manualLayout>
                  <c:x val="-2.2807299535614145E-17"/>
                  <c:y val="-7.7097507504359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BF-499F-837D-79AD55BDDAA7}"/>
                </c:ext>
              </c:extLst>
            </c:dLbl>
            <c:dLbl>
              <c:idx val="5"/>
              <c:layout>
                <c:manualLayout>
                  <c:x val="0"/>
                  <c:y val="-7.7097507504359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BF-499F-837D-79AD55BDDAA7}"/>
                </c:ext>
              </c:extLst>
            </c:dLbl>
            <c:dLbl>
              <c:idx val="6"/>
              <c:layout>
                <c:manualLayout>
                  <c:x val="0"/>
                  <c:y val="-1.2849584584059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BF-499F-837D-79AD55BDDAA7}"/>
                </c:ext>
              </c:extLst>
            </c:dLbl>
            <c:dLbl>
              <c:idx val="10"/>
              <c:layout>
                <c:manualLayout>
                  <c:x val="0"/>
                  <c:y val="-7.7097507504359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BF-499F-837D-79AD55BDDAA7}"/>
                </c:ext>
              </c:extLst>
            </c:dLbl>
            <c:dLbl>
              <c:idx val="13"/>
              <c:layout>
                <c:manualLayout>
                  <c:x val="0"/>
                  <c:y val="-7.7097507504359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BF-499F-837D-79AD55BDDAA7}"/>
                </c:ext>
              </c:extLst>
            </c:dLbl>
            <c:dLbl>
              <c:idx val="14"/>
              <c:layout>
                <c:manualLayout>
                  <c:x val="0"/>
                  <c:y val="-1.0279667667247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BF-499F-837D-79AD55BDDAA7}"/>
                </c:ext>
              </c:extLst>
            </c:dLbl>
            <c:dLbl>
              <c:idx val="17"/>
              <c:layout>
                <c:manualLayout>
                  <c:x val="0"/>
                  <c:y val="-1.0279667667247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BF-499F-837D-79AD55BDDAA7}"/>
                </c:ext>
              </c:extLst>
            </c:dLbl>
            <c:dLbl>
              <c:idx val="18"/>
              <c:layout>
                <c:manualLayout>
                  <c:x val="-1.8245839628491316E-16"/>
                  <c:y val="-1.0279667667247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BF-499F-837D-79AD55BDDAA7}"/>
                </c:ext>
              </c:extLst>
            </c:dLbl>
            <c:dLbl>
              <c:idx val="19"/>
              <c:layout>
                <c:manualLayout>
                  <c:x val="1.244048891317342E-3"/>
                  <c:y val="-7.7097507504359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BF-499F-837D-79AD55BDDA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INGLES!$H$247:$AP$248</c:f>
              <c:multiLvlStrCache>
                <c:ptCount val="35"/>
                <c:lvl>
                  <c:pt idx="0">
                    <c:v>SOACHA</c:v>
                  </c:pt>
                  <c:pt idx="1">
                    <c:v>SOACHA OFICIAL</c:v>
                  </c:pt>
                  <c:pt idx="2">
                    <c:v>SOACHA NO OFICIAL</c:v>
                  </c:pt>
                  <c:pt idx="3">
                    <c:v>COLOMBIA</c:v>
                  </c:pt>
                  <c:pt idx="4">
                    <c:v>SOACHA</c:v>
                  </c:pt>
                  <c:pt idx="5">
                    <c:v>SOACHA OFICIAL</c:v>
                  </c:pt>
                  <c:pt idx="6">
                    <c:v>SOACHA NO OFICIAL</c:v>
                  </c:pt>
                  <c:pt idx="7">
                    <c:v>COLOMBIA</c:v>
                  </c:pt>
                  <c:pt idx="8">
                    <c:v>SOACHA</c:v>
                  </c:pt>
                  <c:pt idx="9">
                    <c:v>SOACHA OFICIAL</c:v>
                  </c:pt>
                  <c:pt idx="10">
                    <c:v>SOACHA NO OFICIAL</c:v>
                  </c:pt>
                  <c:pt idx="11">
                    <c:v>COLOMBIA</c:v>
                  </c:pt>
                  <c:pt idx="12">
                    <c:v>SOACHA</c:v>
                  </c:pt>
                  <c:pt idx="13">
                    <c:v>SOACHA OFICIAL</c:v>
                  </c:pt>
                  <c:pt idx="14">
                    <c:v>SOACHA NO OFICIAL</c:v>
                  </c:pt>
                  <c:pt idx="15">
                    <c:v>COLOMBIA</c:v>
                  </c:pt>
                  <c:pt idx="16">
                    <c:v>SOACHA</c:v>
                  </c:pt>
                  <c:pt idx="17">
                    <c:v>SOACHA OFICIAL</c:v>
                  </c:pt>
                  <c:pt idx="18">
                    <c:v>SOACHA NO OFICIAL</c:v>
                  </c:pt>
                  <c:pt idx="19">
                    <c:v>COLOMBIA</c:v>
                  </c:pt>
                  <c:pt idx="20">
                    <c:v>SOACHA</c:v>
                  </c:pt>
                  <c:pt idx="21">
                    <c:v>SOACHA OFICIAL</c:v>
                  </c:pt>
                  <c:pt idx="22">
                    <c:v>SOACHA NO OFICIAL</c:v>
                  </c:pt>
                  <c:pt idx="23">
                    <c:v>COLOMBIA</c:v>
                  </c:pt>
                  <c:pt idx="24">
                    <c:v>SOACHA</c:v>
                  </c:pt>
                  <c:pt idx="25">
                    <c:v>SOACHA OFICIAL</c:v>
                  </c:pt>
                  <c:pt idx="26">
                    <c:v>SOACHA NO OFICIAL</c:v>
                  </c:pt>
                  <c:pt idx="27">
                    <c:v>COLOMBIA</c:v>
                  </c:pt>
                  <c:pt idx="28">
                    <c:v>SOACHA</c:v>
                  </c:pt>
                  <c:pt idx="29">
                    <c:v>SOACHA OFICIAL</c:v>
                  </c:pt>
                  <c:pt idx="30">
                    <c:v>SOACHA NO OFICIAL</c:v>
                  </c:pt>
                  <c:pt idx="31">
                    <c:v>COLOMBIA</c:v>
                  </c:pt>
                  <c:pt idx="32">
                    <c:v>SOACHA</c:v>
                  </c:pt>
                  <c:pt idx="33">
                    <c:v>SOACHA OFICIAL</c:v>
                  </c:pt>
                  <c:pt idx="34">
                    <c:v>SOACHA NO OFICIAL</c:v>
                  </c:pt>
                </c:lvl>
                <c:lvl>
                  <c:pt idx="3">
                    <c:v>2017</c:v>
                  </c:pt>
                  <c:pt idx="7">
                    <c:v>2018</c:v>
                  </c:pt>
                  <c:pt idx="11">
                    <c:v>2019</c:v>
                  </c:pt>
                  <c:pt idx="15">
                    <c:v>2020</c:v>
                  </c:pt>
                  <c:pt idx="19">
                    <c:v>2021</c:v>
                  </c:pt>
                  <c:pt idx="23">
                    <c:v>2022</c:v>
                  </c:pt>
                  <c:pt idx="27">
                    <c:v>2023</c:v>
                  </c:pt>
                  <c:pt idx="31">
                    <c:v>2024</c:v>
                  </c:pt>
                </c:lvl>
              </c:multiLvlStrCache>
            </c:multiLvlStrRef>
          </c:cat>
          <c:val>
            <c:numRef>
              <c:f>INGLES!$H$253:$AP$253</c:f>
              <c:numCache>
                <c:formatCode>0%</c:formatCode>
                <c:ptCount val="35"/>
                <c:pt idx="0">
                  <c:v>0</c:v>
                </c:pt>
                <c:pt idx="1">
                  <c:v>0</c:v>
                </c:pt>
                <c:pt idx="2">
                  <c:v>0</c:v>
                </c:pt>
                <c:pt idx="3">
                  <c:v>0.02</c:v>
                </c:pt>
                <c:pt idx="4">
                  <c:v>0</c:v>
                </c:pt>
                <c:pt idx="5">
                  <c:v>0</c:v>
                </c:pt>
                <c:pt idx="6">
                  <c:v>0.01</c:v>
                </c:pt>
                <c:pt idx="7">
                  <c:v>0.02</c:v>
                </c:pt>
                <c:pt idx="8">
                  <c:v>0.01</c:v>
                </c:pt>
                <c:pt idx="9">
                  <c:v>0</c:v>
                </c:pt>
                <c:pt idx="10">
                  <c:v>0.01</c:v>
                </c:pt>
                <c:pt idx="11">
                  <c:v>0.02</c:v>
                </c:pt>
                <c:pt idx="12">
                  <c:v>0</c:v>
                </c:pt>
                <c:pt idx="13">
                  <c:v>0</c:v>
                </c:pt>
                <c:pt idx="14">
                  <c:v>0.01</c:v>
                </c:pt>
                <c:pt idx="15">
                  <c:v>0.01</c:v>
                </c:pt>
                <c:pt idx="16">
                  <c:v>0</c:v>
                </c:pt>
                <c:pt idx="17">
                  <c:v>0</c:v>
                </c:pt>
                <c:pt idx="18">
                  <c:v>0</c:v>
                </c:pt>
                <c:pt idx="19">
                  <c:v>0.02</c:v>
                </c:pt>
                <c:pt idx="20">
                  <c:v>0.01</c:v>
                </c:pt>
                <c:pt idx="21">
                  <c:v>0</c:v>
                </c:pt>
                <c:pt idx="22">
                  <c:v>0.01</c:v>
                </c:pt>
                <c:pt idx="23">
                  <c:v>0.02</c:v>
                </c:pt>
                <c:pt idx="24">
                  <c:v>0.01</c:v>
                </c:pt>
                <c:pt idx="25">
                  <c:v>0</c:v>
                </c:pt>
                <c:pt idx="26">
                  <c:v>0.01</c:v>
                </c:pt>
                <c:pt idx="27">
                  <c:v>0.03</c:v>
                </c:pt>
                <c:pt idx="28">
                  <c:v>0.01</c:v>
                </c:pt>
                <c:pt idx="29">
                  <c:v>0</c:v>
                </c:pt>
                <c:pt idx="30">
                  <c:v>0.02</c:v>
                </c:pt>
                <c:pt idx="31">
                  <c:v>0.03</c:v>
                </c:pt>
                <c:pt idx="32">
                  <c:v>0.02</c:v>
                </c:pt>
                <c:pt idx="33">
                  <c:v>0.01</c:v>
                </c:pt>
                <c:pt idx="34">
                  <c:v>0.03</c:v>
                </c:pt>
              </c:numCache>
            </c:numRef>
          </c:val>
          <c:extLst>
            <c:ext xmlns:c16="http://schemas.microsoft.com/office/drawing/2014/chart" uri="{C3380CC4-5D6E-409C-BE32-E72D297353CC}">
              <c16:uniqueId val="{00000004-4DBF-499F-837D-79AD55BDDAA7}"/>
            </c:ext>
          </c:extLst>
        </c:ser>
        <c:dLbls>
          <c:showLegendKey val="0"/>
          <c:showVal val="0"/>
          <c:showCatName val="0"/>
          <c:showSerName val="0"/>
          <c:showPercent val="0"/>
          <c:showBubbleSize val="0"/>
        </c:dLbls>
        <c:gapWidth val="150"/>
        <c:overlap val="100"/>
        <c:axId val="744346207"/>
        <c:axId val="634479663"/>
      </c:barChart>
      <c:catAx>
        <c:axId val="74434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479663"/>
        <c:crosses val="autoZero"/>
        <c:auto val="1"/>
        <c:lblAlgn val="ctr"/>
        <c:lblOffset val="100"/>
        <c:noMultiLvlLbl val="0"/>
      </c:catAx>
      <c:valAx>
        <c:axId val="6344796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46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'4 AprenLectura'!$I$13</c:f>
              <c:strCache>
                <c:ptCount val="1"/>
                <c:pt idx="0">
                  <c:v>Identifica y entiende los contenidos locales que conforman un texto.
(25% de las preguntas)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AprenLectura'!$H$15:$H$23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'4 AprenLectura'!$I$15:$I$23</c:f>
              <c:numCache>
                <c:formatCode>0%</c:formatCode>
                <c:ptCount val="9"/>
                <c:pt idx="0">
                  <c:v>0.41532467532467543</c:v>
                </c:pt>
                <c:pt idx="1">
                  <c:v>0.41298701298701301</c:v>
                </c:pt>
                <c:pt idx="2">
                  <c:v>0.45858974358974364</c:v>
                </c:pt>
                <c:pt idx="3">
                  <c:v>0.34524999999999995</c:v>
                </c:pt>
                <c:pt idx="4">
                  <c:v>0.41882352941176465</c:v>
                </c:pt>
                <c:pt idx="5">
                  <c:v>0.32095238095238093</c:v>
                </c:pt>
                <c:pt idx="6">
                  <c:v>0.31080459770114938</c:v>
                </c:pt>
                <c:pt idx="7">
                  <c:v>0</c:v>
                </c:pt>
                <c:pt idx="8">
                  <c:v>0</c:v>
                </c:pt>
              </c:numCache>
            </c:numRef>
          </c:val>
          <c:smooth val="0"/>
          <c:extLst xmlns:c15="http://schemas.microsoft.com/office/drawing/2012/chart">
            <c:ext xmlns:c16="http://schemas.microsoft.com/office/drawing/2014/chart" uri="{C3380CC4-5D6E-409C-BE32-E72D297353CC}">
              <c16:uniqueId val="{00000001-18C9-431E-AA7B-F13BAAF7FBC8}"/>
            </c:ext>
          </c:extLst>
        </c:ser>
        <c:ser>
          <c:idx val="1"/>
          <c:order val="1"/>
          <c:tx>
            <c:strRef>
              <c:f>'4 AprenLectura'!$J$13</c:f>
              <c:strCache>
                <c:ptCount val="1"/>
                <c:pt idx="0">
                  <c:v>Comprende cómo se articulan las partes de un texto para darle un sentido global.
(42% de las preguntas)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AprenLectura'!$H$15:$H$23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'4 AprenLectura'!$J$15:$J$23</c:f>
              <c:numCache>
                <c:formatCode>0%</c:formatCode>
                <c:ptCount val="9"/>
                <c:pt idx="0">
                  <c:v>0.46571428571428564</c:v>
                </c:pt>
                <c:pt idx="1">
                  <c:v>0.45337662337662327</c:v>
                </c:pt>
                <c:pt idx="2">
                  <c:v>0.40987179487179493</c:v>
                </c:pt>
                <c:pt idx="3">
                  <c:v>0.39425000000000016</c:v>
                </c:pt>
                <c:pt idx="4">
                  <c:v>0.45058823529411768</c:v>
                </c:pt>
                <c:pt idx="5">
                  <c:v>0.4204761904761905</c:v>
                </c:pt>
                <c:pt idx="6">
                  <c:v>0.43459770114942542</c:v>
                </c:pt>
                <c:pt idx="7">
                  <c:v>0</c:v>
                </c:pt>
                <c:pt idx="8">
                  <c:v>0</c:v>
                </c:pt>
              </c:numCache>
            </c:numRef>
          </c:val>
          <c:smooth val="0"/>
          <c:extLst>
            <c:ext xmlns:c16="http://schemas.microsoft.com/office/drawing/2014/chart" uri="{C3380CC4-5D6E-409C-BE32-E72D297353CC}">
              <c16:uniqueId val="{00000000-F488-4893-9F84-D6C7887A7062}"/>
            </c:ext>
          </c:extLst>
        </c:ser>
        <c:ser>
          <c:idx val="2"/>
          <c:order val="2"/>
          <c:tx>
            <c:strRef>
              <c:f>'4 AprenLectura'!$K$13</c:f>
              <c:strCache>
                <c:ptCount val="1"/>
                <c:pt idx="0">
                  <c:v>Reflexiona a partir de un texto y evalúa su contenido.
(33% de las preguntas)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AprenLectura'!$H$15:$H$23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'4 AprenLectura'!$K$15:$K$23</c:f>
              <c:numCache>
                <c:formatCode>0%</c:formatCode>
                <c:ptCount val="9"/>
                <c:pt idx="0">
                  <c:v>0.53220779220779235</c:v>
                </c:pt>
                <c:pt idx="1">
                  <c:v>0.44974025974025966</c:v>
                </c:pt>
                <c:pt idx="2">
                  <c:v>0.48025641025641008</c:v>
                </c:pt>
                <c:pt idx="3">
                  <c:v>0.39174999999999993</c:v>
                </c:pt>
                <c:pt idx="4">
                  <c:v>0.35247058823529415</c:v>
                </c:pt>
                <c:pt idx="5">
                  <c:v>0.51488095238095211</c:v>
                </c:pt>
                <c:pt idx="6">
                  <c:v>0.4056321839080459</c:v>
                </c:pt>
                <c:pt idx="7">
                  <c:v>0</c:v>
                </c:pt>
                <c:pt idx="8">
                  <c:v>0</c:v>
                </c:pt>
              </c:numCache>
            </c:numRef>
          </c:val>
          <c:smooth val="0"/>
          <c:extLst>
            <c:ext xmlns:c16="http://schemas.microsoft.com/office/drawing/2014/chart" uri="{C3380CC4-5D6E-409C-BE32-E72D297353CC}">
              <c16:uniqueId val="{00000001-F488-4893-9F84-D6C7887A7062}"/>
            </c:ext>
          </c:extLst>
        </c:ser>
        <c:dLbls>
          <c:showLegendKey val="0"/>
          <c:showVal val="1"/>
          <c:showCatName val="0"/>
          <c:showSerName val="0"/>
          <c:showPercent val="0"/>
          <c:showBubbleSize val="0"/>
        </c:dLbls>
        <c:smooth val="0"/>
        <c:axId val="-2031620336"/>
        <c:axId val="-2031625232"/>
        <c:extLst/>
      </c:lineChart>
      <c:catAx>
        <c:axId val="-203162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031625232"/>
        <c:crosses val="autoZero"/>
        <c:auto val="1"/>
        <c:lblAlgn val="ctr"/>
        <c:lblOffset val="100"/>
        <c:noMultiLvlLbl val="0"/>
      </c:catAx>
      <c:valAx>
        <c:axId val="-2031625232"/>
        <c:scaling>
          <c:orientation val="minMax"/>
          <c:max val="1"/>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031620336"/>
        <c:crosses val="autoZero"/>
        <c:crossBetween val="between"/>
        <c:majorUnit val="0.1"/>
      </c:valAx>
      <c:spPr>
        <a:noFill/>
        <a:ln>
          <a:noFill/>
        </a:ln>
        <a:effectLst/>
      </c:spPr>
    </c:plotArea>
    <c:legend>
      <c:legendPos val="b"/>
      <c:layout>
        <c:manualLayout>
          <c:xMode val="edge"/>
          <c:yMode val="edge"/>
          <c:x val="1.3319856838474666E-2"/>
          <c:y val="0.78436479588259078"/>
          <c:w val="0.84281617201361636"/>
          <c:h val="0.1921751178016394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050" b="1">
          <a:solidFill>
            <a:sysClr val="windowText" lastClr="000000"/>
          </a:solidFill>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257835099610394E-2"/>
          <c:y val="3.0503583734818148E-2"/>
          <c:w val="0.88344462878190955"/>
          <c:h val="0.630119918130568"/>
        </c:manualLayout>
      </c:layout>
      <c:lineChart>
        <c:grouping val="standard"/>
        <c:varyColors val="0"/>
        <c:ser>
          <c:idx val="0"/>
          <c:order val="0"/>
          <c:tx>
            <c:strRef>
              <c:f>'5 AprenMate'!$J$13</c:f>
              <c:strCache>
                <c:ptCount val="1"/>
                <c:pt idx="0">
                  <c:v>Comprende y transforma la información cuantitativa y esquemática presentada en distintos formatos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AprenMate'!$I$15:$I$23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 AprenMate'!$J$15:$J$23</c:f>
              <c:numCache>
                <c:formatCode>0%</c:formatCode>
                <c:ptCount val="9"/>
                <c:pt idx="0">
                  <c:v>0.53</c:v>
                </c:pt>
                <c:pt idx="1">
                  <c:v>0.36</c:v>
                </c:pt>
                <c:pt idx="2">
                  <c:v>0.42</c:v>
                </c:pt>
                <c:pt idx="3">
                  <c:v>0.28999999999999998</c:v>
                </c:pt>
                <c:pt idx="4">
                  <c:v>0.34</c:v>
                </c:pt>
                <c:pt idx="5">
                  <c:v>0.32</c:v>
                </c:pt>
                <c:pt idx="6">
                  <c:v>0.37</c:v>
                </c:pt>
                <c:pt idx="7">
                  <c:v>0.45</c:v>
                </c:pt>
                <c:pt idx="8">
                  <c:v>0.41</c:v>
                </c:pt>
              </c:numCache>
            </c:numRef>
          </c:val>
          <c:smooth val="0"/>
          <c:extLst xmlns:c15="http://schemas.microsoft.com/office/drawing/2012/chart">
            <c:ext xmlns:c16="http://schemas.microsoft.com/office/drawing/2014/chart" uri="{C3380CC4-5D6E-409C-BE32-E72D297353CC}">
              <c16:uniqueId val="{00000001-5F44-49FB-8072-86A7C9DD1ADF}"/>
            </c:ext>
          </c:extLst>
        </c:ser>
        <c:ser>
          <c:idx val="1"/>
          <c:order val="1"/>
          <c:tx>
            <c:strRef>
              <c:f>'5 AprenMate'!$K$13</c:f>
              <c:strCache>
                <c:ptCount val="1"/>
                <c:pt idx="0">
                  <c:v>Frente a un problema que involucre información cuantitativa, plantea e implementa estrategias que lleven a soluciones adecuadas.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AprenMate'!$I$15:$I$23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 AprenMate'!$K$15:$K$23</c:f>
              <c:numCache>
                <c:formatCode>0%</c:formatCode>
                <c:ptCount val="9"/>
                <c:pt idx="0">
                  <c:v>0.52</c:v>
                </c:pt>
                <c:pt idx="1">
                  <c:v>0.61</c:v>
                </c:pt>
                <c:pt idx="2">
                  <c:v>0.52</c:v>
                </c:pt>
                <c:pt idx="3">
                  <c:v>0.52</c:v>
                </c:pt>
                <c:pt idx="4">
                  <c:v>0.61</c:v>
                </c:pt>
                <c:pt idx="5">
                  <c:v>0.56000000000000005</c:v>
                </c:pt>
                <c:pt idx="6">
                  <c:v>0.61</c:v>
                </c:pt>
                <c:pt idx="7">
                  <c:v>0.63</c:v>
                </c:pt>
                <c:pt idx="8">
                  <c:v>0.6</c:v>
                </c:pt>
              </c:numCache>
            </c:numRef>
          </c:val>
          <c:smooth val="0"/>
          <c:extLst>
            <c:ext xmlns:c16="http://schemas.microsoft.com/office/drawing/2014/chart" uri="{C3380CC4-5D6E-409C-BE32-E72D297353CC}">
              <c16:uniqueId val="{00000000-F67B-47E1-882F-5130B5C37ADB}"/>
            </c:ext>
          </c:extLst>
        </c:ser>
        <c:ser>
          <c:idx val="2"/>
          <c:order val="2"/>
          <c:tx>
            <c:strRef>
              <c:f>'5 AprenMate'!$L$13</c:f>
              <c:strCache>
                <c:ptCount val="1"/>
                <c:pt idx="0">
                  <c:v>Valida procedimientos y  estrategias matemáticas utilizadas para dar solución a problemas.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AprenMate'!$I$15:$I$23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 AprenMate'!$L$15:$L$23</c:f>
              <c:numCache>
                <c:formatCode>0%</c:formatCode>
                <c:ptCount val="9"/>
                <c:pt idx="0">
                  <c:v>0.43</c:v>
                </c:pt>
                <c:pt idx="1">
                  <c:v>0.52</c:v>
                </c:pt>
                <c:pt idx="2">
                  <c:v>0.61</c:v>
                </c:pt>
                <c:pt idx="3">
                  <c:v>0.5</c:v>
                </c:pt>
                <c:pt idx="4">
                  <c:v>0.65</c:v>
                </c:pt>
                <c:pt idx="5">
                  <c:v>0.52</c:v>
                </c:pt>
                <c:pt idx="6">
                  <c:v>0.63</c:v>
                </c:pt>
                <c:pt idx="7">
                  <c:v>0.6</c:v>
                </c:pt>
                <c:pt idx="8">
                  <c:v>0.66</c:v>
                </c:pt>
              </c:numCache>
            </c:numRef>
          </c:val>
          <c:smooth val="0"/>
          <c:extLst>
            <c:ext xmlns:c16="http://schemas.microsoft.com/office/drawing/2014/chart" uri="{C3380CC4-5D6E-409C-BE32-E72D297353CC}">
              <c16:uniqueId val="{00000001-F67B-47E1-882F-5130B5C37ADB}"/>
            </c:ext>
          </c:extLst>
        </c:ser>
        <c:dLbls>
          <c:showLegendKey val="0"/>
          <c:showVal val="1"/>
          <c:showCatName val="0"/>
          <c:showSerName val="0"/>
          <c:showPercent val="0"/>
          <c:showBubbleSize val="0"/>
        </c:dLbls>
        <c:smooth val="0"/>
        <c:axId val="-2031613264"/>
        <c:axId val="-2031612720"/>
        <c:extLst/>
      </c:lineChart>
      <c:catAx>
        <c:axId val="-203161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031612720"/>
        <c:crosses val="autoZero"/>
        <c:auto val="1"/>
        <c:lblAlgn val="ctr"/>
        <c:lblOffset val="100"/>
        <c:noMultiLvlLbl val="0"/>
      </c:catAx>
      <c:valAx>
        <c:axId val="-2031612720"/>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crossAx val="-2031613264"/>
        <c:crosses val="autoZero"/>
        <c:crossBetween val="between"/>
        <c:majorUnit val="0.2"/>
      </c:valAx>
      <c:spPr>
        <a:noFill/>
        <a:ln>
          <a:noFill/>
        </a:ln>
        <a:effectLst/>
      </c:spPr>
    </c:plotArea>
    <c:legend>
      <c:legendPos val="b"/>
      <c:layout>
        <c:manualLayout>
          <c:xMode val="edge"/>
          <c:yMode val="edge"/>
          <c:x val="5.9807983826773069E-2"/>
          <c:y val="0.74037588956594169"/>
          <c:w val="0.91406882206781082"/>
          <c:h val="0.2592285597003647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050" b="1">
          <a:solidFill>
            <a:sysClr val="windowText" lastClr="000000"/>
          </a:solidFill>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5756764773159"/>
          <c:y val="5.1543602362086757E-2"/>
          <c:w val="0.84862851890460544"/>
          <c:h val="0.53799528253832041"/>
        </c:manualLayout>
      </c:layout>
      <c:lineChart>
        <c:grouping val="standard"/>
        <c:varyColors val="0"/>
        <c:ser>
          <c:idx val="0"/>
          <c:order val="0"/>
          <c:tx>
            <c:strRef>
              <c:f>'6 AprenSyC'!$D$13</c:f>
              <c:strCache>
                <c:ptCount val="1"/>
                <c:pt idx="0">
                  <c:v>Comprende modelos conceptuales, sus características y contextos de aplicación.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AprenSyC'!$C$15:$C$23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'6 AprenSyC'!$D$15:$D$23</c:f>
              <c:numCache>
                <c:formatCode>0%</c:formatCode>
                <c:ptCount val="9"/>
                <c:pt idx="0">
                  <c:v>0.45</c:v>
                </c:pt>
                <c:pt idx="1">
                  <c:v>0.45</c:v>
                </c:pt>
                <c:pt idx="2">
                  <c:v>0.44</c:v>
                </c:pt>
                <c:pt idx="3">
                  <c:v>0.48</c:v>
                </c:pt>
                <c:pt idx="4">
                  <c:v>0.42</c:v>
                </c:pt>
                <c:pt idx="5">
                  <c:v>0.43</c:v>
                </c:pt>
                <c:pt idx="6">
                  <c:v>0.43</c:v>
                </c:pt>
                <c:pt idx="7">
                  <c:v>0.33</c:v>
                </c:pt>
                <c:pt idx="8">
                  <c:v>0.52</c:v>
                </c:pt>
              </c:numCache>
            </c:numRef>
          </c:val>
          <c:smooth val="0"/>
          <c:extLst>
            <c:ext xmlns:c16="http://schemas.microsoft.com/office/drawing/2014/chart" uri="{C3380CC4-5D6E-409C-BE32-E72D297353CC}">
              <c16:uniqueId val="{00000001-6C4C-4FB4-98EE-2A6883D7E8AF}"/>
            </c:ext>
          </c:extLst>
        </c:ser>
        <c:ser>
          <c:idx val="1"/>
          <c:order val="1"/>
          <c:tx>
            <c:strRef>
              <c:f>'6 AprenSyC'!$E$13</c:f>
              <c:strCache>
                <c:ptCount val="1"/>
                <c:pt idx="0">
                  <c:v>Comprende dimensiones espaciales y temporales de eventos, problemáticas y prácticas sociales.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AprenSyC'!$C$15:$C$23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'6 AprenSyC'!$E$15:$E$23</c:f>
              <c:numCache>
                <c:formatCode>0%</c:formatCode>
                <c:ptCount val="9"/>
                <c:pt idx="0">
                  <c:v>0.54</c:v>
                </c:pt>
                <c:pt idx="1">
                  <c:v>0.52</c:v>
                </c:pt>
                <c:pt idx="2">
                  <c:v>0.55000000000000004</c:v>
                </c:pt>
                <c:pt idx="3">
                  <c:v>0.51</c:v>
                </c:pt>
                <c:pt idx="4">
                  <c:v>0.47</c:v>
                </c:pt>
                <c:pt idx="5">
                  <c:v>0.54</c:v>
                </c:pt>
                <c:pt idx="6">
                  <c:v>0.52</c:v>
                </c:pt>
                <c:pt idx="7">
                  <c:v>0.57999999999999996</c:v>
                </c:pt>
                <c:pt idx="8">
                  <c:v>0.5</c:v>
                </c:pt>
              </c:numCache>
            </c:numRef>
          </c:val>
          <c:smooth val="0"/>
          <c:extLst>
            <c:ext xmlns:c16="http://schemas.microsoft.com/office/drawing/2014/chart" uri="{C3380CC4-5D6E-409C-BE32-E72D297353CC}">
              <c16:uniqueId val="{00000000-B373-45BF-B07D-ED277193D878}"/>
            </c:ext>
          </c:extLst>
        </c:ser>
        <c:dLbls>
          <c:showLegendKey val="0"/>
          <c:showVal val="1"/>
          <c:showCatName val="0"/>
          <c:showSerName val="0"/>
          <c:showPercent val="0"/>
          <c:showBubbleSize val="0"/>
        </c:dLbls>
        <c:smooth val="0"/>
        <c:axId val="-2012189584"/>
        <c:axId val="-2012181968"/>
      </c:lineChart>
      <c:catAx>
        <c:axId val="-201218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crossAx val="-2012181968"/>
        <c:crosses val="autoZero"/>
        <c:auto val="1"/>
        <c:lblAlgn val="ctr"/>
        <c:lblOffset val="100"/>
        <c:noMultiLvlLbl val="0"/>
      </c:catAx>
      <c:valAx>
        <c:axId val="-2012181968"/>
        <c:scaling>
          <c:orientation val="minMax"/>
          <c:max val="0.70000000000000007"/>
          <c:min val="0.30000000000000004"/>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crossAx val="-2012189584"/>
        <c:crosses val="autoZero"/>
        <c:crossBetween val="between"/>
        <c:majorUnit val="0.1"/>
      </c:valAx>
      <c:spPr>
        <a:noFill/>
        <a:ln>
          <a:noFill/>
        </a:ln>
        <a:effectLst/>
      </c:spPr>
    </c:plotArea>
    <c:legend>
      <c:legendPos val="b"/>
      <c:layout>
        <c:manualLayout>
          <c:xMode val="edge"/>
          <c:yMode val="edge"/>
          <c:x val="5.7334452747520435E-2"/>
          <c:y val="0.78542650719664597"/>
          <c:w val="0.91794482452228798"/>
          <c:h val="0.1917412659241298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239072803803582E-2"/>
          <c:y val="9.0943013416734539E-2"/>
          <c:w val="0.95182643515955268"/>
          <c:h val="0.61093640000971028"/>
        </c:manualLayout>
      </c:layout>
      <c:lineChart>
        <c:grouping val="standard"/>
        <c:varyColors val="0"/>
        <c:ser>
          <c:idx val="0"/>
          <c:order val="0"/>
          <c:tx>
            <c:strRef>
              <c:f>'6 AprenSyC'!$H$13</c:f>
              <c:strCache>
                <c:ptCount val="1"/>
                <c:pt idx="0">
                  <c:v>Evalúa usos sociales de las ciencias sociales.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AprenSyC'!$C$15:$C$23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'6 AprenSyC'!$H$15:$H$23</c:f>
              <c:numCache>
                <c:formatCode>0%</c:formatCode>
                <c:ptCount val="9"/>
                <c:pt idx="0">
                  <c:v>0.65</c:v>
                </c:pt>
                <c:pt idx="1">
                  <c:v>0.59</c:v>
                </c:pt>
                <c:pt idx="2">
                  <c:v>0.52</c:v>
                </c:pt>
                <c:pt idx="3">
                  <c:v>0.56000000000000005</c:v>
                </c:pt>
                <c:pt idx="4">
                  <c:v>0.51</c:v>
                </c:pt>
                <c:pt idx="5">
                  <c:v>0.47</c:v>
                </c:pt>
                <c:pt idx="6">
                  <c:v>0.55000000000000004</c:v>
                </c:pt>
                <c:pt idx="7">
                  <c:v>0.53</c:v>
                </c:pt>
                <c:pt idx="8">
                  <c:v>0.53</c:v>
                </c:pt>
              </c:numCache>
            </c:numRef>
          </c:val>
          <c:smooth val="0"/>
          <c:extLst>
            <c:ext xmlns:c16="http://schemas.microsoft.com/office/drawing/2014/chart" uri="{C3380CC4-5D6E-409C-BE32-E72D297353CC}">
              <c16:uniqueId val="{00000001-BAFE-421F-B084-FECEFF804D71}"/>
            </c:ext>
          </c:extLst>
        </c:ser>
        <c:ser>
          <c:idx val="1"/>
          <c:order val="1"/>
          <c:tx>
            <c:strRef>
              <c:f>'6 AprenSyC'!$I$13</c:f>
              <c:strCache>
                <c:ptCount val="1"/>
                <c:pt idx="0">
                  <c:v>Comprende que los problemas y sus soluciones involucran distintas dimensiones y reconoce relaciones entre estas.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AprenSyC'!$C$15:$C$23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'6 AprenSyC'!$I$15:$I$23</c:f>
              <c:numCache>
                <c:formatCode>0%</c:formatCode>
                <c:ptCount val="9"/>
                <c:pt idx="0">
                  <c:v>0.47</c:v>
                </c:pt>
                <c:pt idx="1">
                  <c:v>0.48</c:v>
                </c:pt>
                <c:pt idx="2">
                  <c:v>0.42</c:v>
                </c:pt>
                <c:pt idx="3">
                  <c:v>0.49</c:v>
                </c:pt>
                <c:pt idx="4">
                  <c:v>0.46</c:v>
                </c:pt>
                <c:pt idx="5">
                  <c:v>0.46</c:v>
                </c:pt>
                <c:pt idx="6">
                  <c:v>0.52</c:v>
                </c:pt>
                <c:pt idx="7">
                  <c:v>0.65</c:v>
                </c:pt>
                <c:pt idx="8">
                  <c:v>0.38</c:v>
                </c:pt>
              </c:numCache>
            </c:numRef>
          </c:val>
          <c:smooth val="0"/>
          <c:extLst>
            <c:ext xmlns:c16="http://schemas.microsoft.com/office/drawing/2014/chart" uri="{C3380CC4-5D6E-409C-BE32-E72D297353CC}">
              <c16:uniqueId val="{00000000-19E6-4E8E-8919-037C7C9F5B02}"/>
            </c:ext>
          </c:extLst>
        </c:ser>
        <c:dLbls>
          <c:showLegendKey val="0"/>
          <c:showVal val="1"/>
          <c:showCatName val="0"/>
          <c:showSerName val="0"/>
          <c:showPercent val="0"/>
          <c:showBubbleSize val="0"/>
        </c:dLbls>
        <c:smooth val="0"/>
        <c:axId val="-2012183056"/>
        <c:axId val="-2012184144"/>
      </c:lineChart>
      <c:catAx>
        <c:axId val="-201218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crossAx val="-2012184144"/>
        <c:crosses val="autoZero"/>
        <c:auto val="1"/>
        <c:lblAlgn val="ctr"/>
        <c:lblOffset val="100"/>
        <c:noMultiLvlLbl val="0"/>
      </c:catAx>
      <c:valAx>
        <c:axId val="-2012184144"/>
        <c:scaling>
          <c:orientation val="minMax"/>
          <c:min val="0.2"/>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crossAx val="-2012183056"/>
        <c:crosses val="autoZero"/>
        <c:crossBetween val="between"/>
      </c:valAx>
      <c:spPr>
        <a:noFill/>
        <a:ln>
          <a:noFill/>
        </a:ln>
        <a:effectLst/>
      </c:spPr>
    </c:plotArea>
    <c:legend>
      <c:legendPos val="b"/>
      <c:layout>
        <c:manualLayout>
          <c:xMode val="edge"/>
          <c:yMode val="edge"/>
          <c:x val="9.1740918682274075E-2"/>
          <c:y val="0.80424093544783626"/>
          <c:w val="0.86674198719338102"/>
          <c:h val="0.1623389353715226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600" b="1">
          <a:solidFill>
            <a:sysClr val="windowText" lastClr="000000"/>
          </a:solidFill>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27947583883005E-2"/>
          <c:y val="4.4393638858479516E-2"/>
          <c:w val="0.91979006425060261"/>
          <c:h val="0.65704306874723128"/>
        </c:manualLayout>
      </c:layout>
      <c:lineChart>
        <c:grouping val="standard"/>
        <c:varyColors val="0"/>
        <c:ser>
          <c:idx val="0"/>
          <c:order val="0"/>
          <c:tx>
            <c:strRef>
              <c:f>'6 AprenSyC'!$F$13</c:f>
              <c:strCache>
                <c:ptCount val="1"/>
                <c:pt idx="0">
                  <c:v>Contextualiza y evalúa usos de fuentes y argumentos.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AprenSyC'!$C$15:$C$23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'6 AprenSyC'!$F$15:$F$23</c:f>
              <c:numCache>
                <c:formatCode>0%</c:formatCode>
                <c:ptCount val="9"/>
                <c:pt idx="0">
                  <c:v>0.56000000000000005</c:v>
                </c:pt>
                <c:pt idx="1">
                  <c:v>0.46</c:v>
                </c:pt>
                <c:pt idx="2">
                  <c:v>0.51</c:v>
                </c:pt>
                <c:pt idx="3">
                  <c:v>0.51</c:v>
                </c:pt>
                <c:pt idx="4">
                  <c:v>0.44</c:v>
                </c:pt>
                <c:pt idx="5">
                  <c:v>0.49</c:v>
                </c:pt>
                <c:pt idx="6">
                  <c:v>0.56999999999999995</c:v>
                </c:pt>
                <c:pt idx="7">
                  <c:v>0.59</c:v>
                </c:pt>
                <c:pt idx="8">
                  <c:v>0.48</c:v>
                </c:pt>
              </c:numCache>
            </c:numRef>
          </c:val>
          <c:smooth val="0"/>
          <c:extLst>
            <c:ext xmlns:c16="http://schemas.microsoft.com/office/drawing/2014/chart" uri="{C3380CC4-5D6E-409C-BE32-E72D297353CC}">
              <c16:uniqueId val="{00000000-D184-43D1-AAAE-1AE7F022B472}"/>
            </c:ext>
          </c:extLst>
        </c:ser>
        <c:ser>
          <c:idx val="1"/>
          <c:order val="1"/>
          <c:tx>
            <c:strRef>
              <c:f>'6 AprenSyC'!$G$13</c:f>
              <c:strCache>
                <c:ptCount val="1"/>
                <c:pt idx="0">
                  <c:v>Comprende perspectivas de distintos actores y grupos sociales.</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AprenSyC'!$C$15:$C$23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'6 AprenSyC'!$G$15:$G$23</c:f>
              <c:numCache>
                <c:formatCode>0%</c:formatCode>
                <c:ptCount val="9"/>
                <c:pt idx="0">
                  <c:v>0.51</c:v>
                </c:pt>
                <c:pt idx="1">
                  <c:v>0.5</c:v>
                </c:pt>
                <c:pt idx="2">
                  <c:v>0.42</c:v>
                </c:pt>
                <c:pt idx="3">
                  <c:v>0.5</c:v>
                </c:pt>
                <c:pt idx="4">
                  <c:v>0.39</c:v>
                </c:pt>
                <c:pt idx="5">
                  <c:v>0.54</c:v>
                </c:pt>
                <c:pt idx="6">
                  <c:v>0.39</c:v>
                </c:pt>
                <c:pt idx="7">
                  <c:v>0.51</c:v>
                </c:pt>
                <c:pt idx="8">
                  <c:v>0.61</c:v>
                </c:pt>
              </c:numCache>
            </c:numRef>
          </c:val>
          <c:smooth val="0"/>
          <c:extLst>
            <c:ext xmlns:c16="http://schemas.microsoft.com/office/drawing/2014/chart" uri="{C3380CC4-5D6E-409C-BE32-E72D297353CC}">
              <c16:uniqueId val="{00000001-D184-43D1-AAAE-1AE7F022B472}"/>
            </c:ext>
          </c:extLst>
        </c:ser>
        <c:dLbls>
          <c:showLegendKey val="0"/>
          <c:showVal val="1"/>
          <c:showCatName val="0"/>
          <c:showSerName val="0"/>
          <c:showPercent val="0"/>
          <c:showBubbleSize val="0"/>
        </c:dLbls>
        <c:smooth val="0"/>
        <c:axId val="-2012185232"/>
        <c:axId val="-2012195024"/>
      </c:lineChart>
      <c:catAx>
        <c:axId val="-201218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crossAx val="-2012195024"/>
        <c:crosses val="autoZero"/>
        <c:auto val="1"/>
        <c:lblAlgn val="ctr"/>
        <c:lblOffset val="100"/>
        <c:noMultiLvlLbl val="0"/>
      </c:catAx>
      <c:valAx>
        <c:axId val="-2012195024"/>
        <c:scaling>
          <c:orientation val="minMax"/>
          <c:max val="0.8"/>
          <c:min val="0.2"/>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crossAx val="-2012185232"/>
        <c:crosses val="autoZero"/>
        <c:crossBetween val="between"/>
        <c:majorUnit val="0.1"/>
      </c:valAx>
      <c:spPr>
        <a:noFill/>
        <a:ln>
          <a:noFill/>
        </a:ln>
        <a:effectLst/>
      </c:spPr>
    </c:plotArea>
    <c:legend>
      <c:legendPos val="b"/>
      <c:layout>
        <c:manualLayout>
          <c:xMode val="edge"/>
          <c:yMode val="edge"/>
          <c:x val="7.5608434701634905E-2"/>
          <c:y val="0.81288300968643867"/>
          <c:w val="0.8103415254997175"/>
          <c:h val="0.135580084908467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95560464589006"/>
          <c:y val="5.4675121629348566E-2"/>
          <c:w val="0.79682451085615236"/>
          <c:h val="0.61562709581368957"/>
        </c:manualLayout>
      </c:layout>
      <c:lineChart>
        <c:grouping val="standard"/>
        <c:varyColors val="0"/>
        <c:ser>
          <c:idx val="0"/>
          <c:order val="0"/>
          <c:tx>
            <c:strRef>
              <c:f>'7 AprenCNProVivos'!$C$14</c:f>
              <c:strCache>
                <c:ptCount val="1"/>
                <c:pt idx="0">
                  <c:v>Modelar fenómenos de la naturaleza basado en el análisis de variables, la relación entre dos o más conceptos del conocimiento científico y de la evidencia derivada de investigaciones científicas. - Procesos vivos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AprenCNProVivos'!$C$16:$C$24</c:f>
              <c:numCache>
                <c:formatCode>0%</c:formatCode>
                <c:ptCount val="9"/>
                <c:pt idx="0">
                  <c:v>0.53</c:v>
                </c:pt>
                <c:pt idx="1">
                  <c:v>0.22</c:v>
                </c:pt>
                <c:pt idx="2">
                  <c:v>0.47</c:v>
                </c:pt>
                <c:pt idx="3">
                  <c:v>0.56999999999999995</c:v>
                </c:pt>
                <c:pt idx="4">
                  <c:v>0.47</c:v>
                </c:pt>
                <c:pt idx="5">
                  <c:v>0.47</c:v>
                </c:pt>
                <c:pt idx="6">
                  <c:v>0.48</c:v>
                </c:pt>
                <c:pt idx="7">
                  <c:v>0.55000000000000004</c:v>
                </c:pt>
                <c:pt idx="8">
                  <c:v>0.51</c:v>
                </c:pt>
              </c:numCache>
            </c:numRef>
          </c:val>
          <c:smooth val="0"/>
          <c:extLst xmlns:c15="http://schemas.microsoft.com/office/drawing/2012/chart">
            <c:ext xmlns:c16="http://schemas.microsoft.com/office/drawing/2014/chart" uri="{C3380CC4-5D6E-409C-BE32-E72D297353CC}">
              <c16:uniqueId val="{00000002-B0BA-4C3F-837D-EA94EC7A71CB}"/>
            </c:ext>
          </c:extLst>
        </c:ser>
        <c:ser>
          <c:idx val="1"/>
          <c:order val="1"/>
          <c:tx>
            <c:strRef>
              <c:f>'7 AprenCNProVivos'!$D$14</c:f>
              <c:strCache>
                <c:ptCount val="1"/>
                <c:pt idx="0">
                  <c:v>Explicar cómo ocurren algunos fenómenos de la naturaleza basado en observaciones, en patrones y  en conceptos propios del conocimiento científico. - Procesos vivos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AprenCNProVivos'!$D$16:$D$24</c:f>
              <c:numCache>
                <c:formatCode>0%</c:formatCode>
                <c:ptCount val="9"/>
                <c:pt idx="0">
                  <c:v>0.41</c:v>
                </c:pt>
                <c:pt idx="1">
                  <c:v>0.44</c:v>
                </c:pt>
                <c:pt idx="2">
                  <c:v>0.37</c:v>
                </c:pt>
                <c:pt idx="3">
                  <c:v>0.49</c:v>
                </c:pt>
                <c:pt idx="4">
                  <c:v>0.68</c:v>
                </c:pt>
                <c:pt idx="5">
                  <c:v>0.49</c:v>
                </c:pt>
                <c:pt idx="6">
                  <c:v>0.55000000000000004</c:v>
                </c:pt>
                <c:pt idx="7">
                  <c:v>0.54</c:v>
                </c:pt>
                <c:pt idx="8">
                  <c:v>0.49</c:v>
                </c:pt>
              </c:numCache>
            </c:numRef>
          </c:val>
          <c:smooth val="0"/>
          <c:extLst>
            <c:ext xmlns:c16="http://schemas.microsoft.com/office/drawing/2014/chart" uri="{C3380CC4-5D6E-409C-BE32-E72D297353CC}">
              <c16:uniqueId val="{00000000-B0BA-4C3F-837D-EA94EC7A71CB}"/>
            </c:ext>
          </c:extLst>
        </c:ser>
        <c:dLbls>
          <c:showLegendKey val="0"/>
          <c:showVal val="1"/>
          <c:showCatName val="0"/>
          <c:showSerName val="0"/>
          <c:showPercent val="0"/>
          <c:showBubbleSize val="0"/>
        </c:dLbls>
        <c:smooth val="0"/>
        <c:axId val="-2011121104"/>
        <c:axId val="-2011130352"/>
        <c:extLst/>
      </c:lineChart>
      <c:catAx>
        <c:axId val="-201112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11130352"/>
        <c:crosses val="autoZero"/>
        <c:auto val="1"/>
        <c:lblAlgn val="ctr"/>
        <c:lblOffset val="100"/>
        <c:noMultiLvlLbl val="0"/>
      </c:catAx>
      <c:valAx>
        <c:axId val="-201113035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11121104"/>
        <c:crosses val="autoZero"/>
        <c:crossBetween val="between"/>
      </c:valAx>
      <c:spPr>
        <a:noFill/>
        <a:ln>
          <a:noFill/>
        </a:ln>
        <a:effectLst/>
      </c:spPr>
    </c:plotArea>
    <c:legend>
      <c:legendPos val="b"/>
      <c:layout>
        <c:manualLayout>
          <c:xMode val="edge"/>
          <c:yMode val="edge"/>
          <c:x val="7.0251166131395468E-2"/>
          <c:y val="0.75527361667434689"/>
          <c:w val="0.89444671813817667"/>
          <c:h val="0.2085283011295032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'7 AprenCNProVivos'!$E$14</c:f>
              <c:strCache>
                <c:ptCount val="1"/>
                <c:pt idx="0">
                  <c:v>Comprender que a partir de la investigación científica se construyen explicaciones sobre el mundo natural. - Procesos vivos</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AprenCNProVivos'!$E$16:$E$24</c:f>
              <c:numCache>
                <c:formatCode>0%</c:formatCode>
                <c:ptCount val="9"/>
                <c:pt idx="0">
                  <c:v>0.82</c:v>
                </c:pt>
                <c:pt idx="1">
                  <c:v>0.6</c:v>
                </c:pt>
                <c:pt idx="2">
                  <c:v>0.6</c:v>
                </c:pt>
                <c:pt idx="3">
                  <c:v>0.5</c:v>
                </c:pt>
                <c:pt idx="4">
                  <c:v>0.45</c:v>
                </c:pt>
                <c:pt idx="5">
                  <c:v>0.52</c:v>
                </c:pt>
                <c:pt idx="6">
                  <c:v>0</c:v>
                </c:pt>
                <c:pt idx="7">
                  <c:v>0.35</c:v>
                </c:pt>
                <c:pt idx="8">
                  <c:v>0.53</c:v>
                </c:pt>
              </c:numCache>
            </c:numRef>
          </c:val>
          <c:smooth val="0"/>
          <c:extLst>
            <c:ext xmlns:c16="http://schemas.microsoft.com/office/drawing/2014/chart" uri="{C3380CC4-5D6E-409C-BE32-E72D297353CC}">
              <c16:uniqueId val="{00000000-CA9D-40E9-93A4-D9E1955F4A0E}"/>
            </c:ext>
          </c:extLst>
        </c:ser>
        <c:ser>
          <c:idx val="5"/>
          <c:order val="1"/>
          <c:tx>
            <c:strRef>
              <c:f>'7 AprenCNProVivos'!$F$14</c:f>
              <c:strCache>
                <c:ptCount val="1"/>
                <c:pt idx="0">
                  <c:v>Derivar conclusiones para algunos fenómenos de la naturaleza basándose en conocimientos científicos y en la evidencia de su propia investigación y de la de otros. - Procesos vivos</c:v>
                </c:pt>
              </c:strCache>
            </c:strRef>
          </c:tx>
          <c:marker>
            <c:symbol val="none"/>
          </c:marker>
          <c:dLbls>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AprenCNProVivos'!$F$16:$F$24</c:f>
              <c:numCache>
                <c:formatCode>0%</c:formatCode>
                <c:ptCount val="9"/>
                <c:pt idx="0">
                  <c:v>0.32</c:v>
                </c:pt>
                <c:pt idx="1">
                  <c:v>0.39</c:v>
                </c:pt>
                <c:pt idx="2">
                  <c:v>0.34</c:v>
                </c:pt>
                <c:pt idx="3">
                  <c:v>0.35</c:v>
                </c:pt>
                <c:pt idx="4">
                  <c:v>0.36</c:v>
                </c:pt>
                <c:pt idx="5">
                  <c:v>0.53</c:v>
                </c:pt>
                <c:pt idx="6">
                  <c:v>0.56000000000000005</c:v>
                </c:pt>
                <c:pt idx="7">
                  <c:v>0.55000000000000004</c:v>
                </c:pt>
                <c:pt idx="8">
                  <c:v>0.51</c:v>
                </c:pt>
              </c:numCache>
            </c:numRef>
          </c:val>
          <c:smooth val="0"/>
          <c:extLst>
            <c:ext xmlns:c16="http://schemas.microsoft.com/office/drawing/2014/chart" uri="{C3380CC4-5D6E-409C-BE32-E72D297353CC}">
              <c16:uniqueId val="{00000001-CA9D-40E9-93A4-D9E1955F4A0E}"/>
            </c:ext>
          </c:extLst>
        </c:ser>
        <c:dLbls>
          <c:dLblPos val="r"/>
          <c:showLegendKey val="0"/>
          <c:showVal val="1"/>
          <c:showCatName val="0"/>
          <c:showSerName val="0"/>
          <c:showPercent val="0"/>
          <c:showBubbleSize val="0"/>
        </c:dLbls>
        <c:smooth val="0"/>
        <c:axId val="-2011125456"/>
        <c:axId val="-2011126544"/>
        <c:extLst/>
      </c:lineChart>
      <c:catAx>
        <c:axId val="-201112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O"/>
          </a:p>
        </c:txPr>
        <c:crossAx val="-2011126544"/>
        <c:crosses val="autoZero"/>
        <c:auto val="1"/>
        <c:lblAlgn val="ctr"/>
        <c:lblOffset val="100"/>
        <c:noMultiLvlLbl val="0"/>
      </c:catAx>
      <c:valAx>
        <c:axId val="-2011126544"/>
        <c:scaling>
          <c:orientation val="minMax"/>
          <c:max val="1"/>
        </c:scaling>
        <c:delete val="0"/>
        <c:axPos val="l"/>
        <c:numFmt formatCode="0%" sourceLinked="1"/>
        <c:majorTickMark val="none"/>
        <c:minorTickMark val="none"/>
        <c:tickLblPos val="nextTo"/>
        <c:spPr>
          <a:noFill/>
          <a:ln>
            <a:noFill/>
          </a:ln>
          <a:effectLst/>
        </c:spPr>
        <c:txPr>
          <a:bodyPr rot="-60000000" vert="horz"/>
          <a:lstStyle/>
          <a:p>
            <a:pPr>
              <a:defRPr/>
            </a:pPr>
            <a:endParaRPr lang="es-CO"/>
          </a:p>
        </c:txPr>
        <c:crossAx val="-2011125456"/>
        <c:crosses val="autoZero"/>
        <c:crossBetween val="between"/>
      </c:valAx>
    </c:plotArea>
    <c:legend>
      <c:legendPos val="r"/>
      <c:overlay val="0"/>
      <c:spPr>
        <a:noFill/>
        <a:ln>
          <a:noFill/>
        </a:ln>
        <a:effectLst/>
      </c:spPr>
      <c:txPr>
        <a:bodyPr rot="0" vert="horz"/>
        <a:lstStyle/>
        <a:p>
          <a:pPr>
            <a:defRPr sz="1100"/>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02965466749243"/>
          <c:y val="5.7925814946674183E-2"/>
          <c:w val="0.79963138728663807"/>
          <c:h val="0.5859803686856595"/>
        </c:manualLayout>
      </c:layout>
      <c:lineChart>
        <c:grouping val="standard"/>
        <c:varyColors val="0"/>
        <c:ser>
          <c:idx val="0"/>
          <c:order val="0"/>
          <c:tx>
            <c:strRef>
              <c:f>'7 AprenCNProVivos'!$I$14</c:f>
              <c:strCache>
                <c:ptCount val="1"/>
                <c:pt idx="0">
                  <c:v>Asociar fenómenos naturales con conceptos propios del conocimiento científico. - Procesos vivos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AprenCNProVivos'!$I$16:$I$24</c:f>
              <c:numCache>
                <c:formatCode>0%</c:formatCode>
                <c:ptCount val="9"/>
                <c:pt idx="0">
                  <c:v>0.4</c:v>
                </c:pt>
                <c:pt idx="1">
                  <c:v>0.56999999999999995</c:v>
                </c:pt>
                <c:pt idx="2">
                  <c:v>0.51</c:v>
                </c:pt>
                <c:pt idx="3">
                  <c:v>0.56000000000000005</c:v>
                </c:pt>
                <c:pt idx="4">
                  <c:v>0.56000000000000005</c:v>
                </c:pt>
                <c:pt idx="5">
                  <c:v>0.52</c:v>
                </c:pt>
                <c:pt idx="6">
                  <c:v>0.43</c:v>
                </c:pt>
                <c:pt idx="7">
                  <c:v>0.51</c:v>
                </c:pt>
                <c:pt idx="8">
                  <c:v>0.47</c:v>
                </c:pt>
              </c:numCache>
            </c:numRef>
          </c:val>
          <c:smooth val="0"/>
          <c:extLst>
            <c:ext xmlns:c16="http://schemas.microsoft.com/office/drawing/2014/chart" uri="{C3380CC4-5D6E-409C-BE32-E72D297353CC}">
              <c16:uniqueId val="{00000000-C8CB-4157-B892-A9B109E0B5F5}"/>
            </c:ext>
          </c:extLst>
        </c:ser>
        <c:ser>
          <c:idx val="1"/>
          <c:order val="1"/>
          <c:tx>
            <c:strRef>
              <c:f>'7 AprenCNProVivos'!$J$14</c:f>
              <c:strCache>
                <c:ptCount val="1"/>
                <c:pt idx="0">
                  <c:v>Identificar las características  de algunos fenómenos de la naturaleza basado en el análisis de información  y  conceptos propios del conocimiento científico. - Procesos vivos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AprenCNProVivos'!$J$16:$J$24</c:f>
              <c:numCache>
                <c:formatCode>0%</c:formatCode>
                <c:ptCount val="9"/>
                <c:pt idx="0">
                  <c:v>0.48</c:v>
                </c:pt>
                <c:pt idx="1">
                  <c:v>0.46</c:v>
                </c:pt>
                <c:pt idx="2">
                  <c:v>0.46</c:v>
                </c:pt>
                <c:pt idx="3">
                  <c:v>0.42</c:v>
                </c:pt>
                <c:pt idx="4">
                  <c:v>0.52</c:v>
                </c:pt>
                <c:pt idx="5">
                  <c:v>0.31</c:v>
                </c:pt>
                <c:pt idx="6">
                  <c:v>0.61</c:v>
                </c:pt>
                <c:pt idx="7">
                  <c:v>0.5</c:v>
                </c:pt>
                <c:pt idx="8">
                  <c:v>0.53</c:v>
                </c:pt>
              </c:numCache>
            </c:numRef>
          </c:val>
          <c:smooth val="0"/>
          <c:extLst>
            <c:ext xmlns:c16="http://schemas.microsoft.com/office/drawing/2014/chart" uri="{C3380CC4-5D6E-409C-BE32-E72D297353CC}">
              <c16:uniqueId val="{00000001-C8CB-4157-B892-A9B109E0B5F5}"/>
            </c:ext>
          </c:extLst>
        </c:ser>
        <c:dLbls>
          <c:showLegendKey val="0"/>
          <c:showVal val="1"/>
          <c:showCatName val="0"/>
          <c:showSerName val="0"/>
          <c:showPercent val="0"/>
          <c:showBubbleSize val="0"/>
        </c:dLbls>
        <c:smooth val="0"/>
        <c:axId val="-2022824784"/>
        <c:axId val="-2022817712"/>
      </c:lineChart>
      <c:catAx>
        <c:axId val="-202282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17712"/>
        <c:crosses val="autoZero"/>
        <c:auto val="1"/>
        <c:lblAlgn val="ctr"/>
        <c:lblOffset val="100"/>
        <c:noMultiLvlLbl val="0"/>
      </c:catAx>
      <c:valAx>
        <c:axId val="-202281771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24784"/>
        <c:crosses val="autoZero"/>
        <c:crossBetween val="between"/>
      </c:valAx>
      <c:spPr>
        <a:noFill/>
        <a:ln>
          <a:noFill/>
        </a:ln>
        <a:effectLst/>
      </c:spPr>
    </c:plotArea>
    <c:legend>
      <c:legendPos val="b"/>
      <c:layout>
        <c:manualLayout>
          <c:xMode val="edge"/>
          <c:yMode val="edge"/>
          <c:x val="7.6436000342970933E-2"/>
          <c:y val="0.76804096164093694"/>
          <c:w val="0.85851702193350932"/>
          <c:h val="0.1698682718527542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'7 AprenCNProVivos'!$G$14</c:f>
              <c:strCache>
                <c:ptCount val="1"/>
                <c:pt idx="0">
                  <c:v>Observar y relacionar patrones en los datos para evaluar las predicciones. - Procesos vivos</c:v>
                </c:pt>
              </c:strCache>
            </c:strRef>
          </c:tx>
          <c:marker>
            <c:symbol val="none"/>
          </c:marker>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AprenCNProVivos'!$G$16:$G$24</c:f>
              <c:numCache>
                <c:formatCode>0%</c:formatCode>
                <c:ptCount val="9"/>
                <c:pt idx="0">
                  <c:v>0.3</c:v>
                </c:pt>
                <c:pt idx="1">
                  <c:v>0.56999999999999995</c:v>
                </c:pt>
                <c:pt idx="2">
                  <c:v>0.42</c:v>
                </c:pt>
                <c:pt idx="3">
                  <c:v>0.35</c:v>
                </c:pt>
                <c:pt idx="4">
                  <c:v>0.45</c:v>
                </c:pt>
                <c:pt idx="5">
                  <c:v>0.43</c:v>
                </c:pt>
                <c:pt idx="6">
                  <c:v>0.57999999999999996</c:v>
                </c:pt>
                <c:pt idx="7">
                  <c:v>0.45</c:v>
                </c:pt>
                <c:pt idx="8">
                  <c:v>0.54</c:v>
                </c:pt>
              </c:numCache>
            </c:numRef>
          </c:val>
          <c:smooth val="0"/>
          <c:extLst xmlns:c15="http://schemas.microsoft.com/office/drawing/2012/chart">
            <c:ext xmlns:c16="http://schemas.microsoft.com/office/drawing/2014/chart" uri="{C3380CC4-5D6E-409C-BE32-E72D297353CC}">
              <c16:uniqueId val="{00000002-1940-455C-9FA7-58440C4F0D88}"/>
            </c:ext>
          </c:extLst>
        </c:ser>
        <c:ser>
          <c:idx val="5"/>
          <c:order val="1"/>
          <c:tx>
            <c:strRef>
              <c:f>'7 AprenCNProVivos'!$H$14</c:f>
              <c:strCache>
                <c:ptCount val="1"/>
                <c:pt idx="0">
                  <c:v>Utilizar algunas habilidades de pensamiento y de procedimiento para  evaluar predicciones - Procesos vivos</c:v>
                </c:pt>
              </c:strCache>
            </c:strRef>
          </c:tx>
          <c:marker>
            <c:symbol val="none"/>
          </c:marker>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f>'7 AprenCNProVivos'!$B$16:$B$24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'7 AprenCNProVivos'!$H$16:$H$24</c:f>
              <c:numCache>
                <c:formatCode>0%</c:formatCode>
                <c:ptCount val="9"/>
                <c:pt idx="0">
                  <c:v>0.67</c:v>
                </c:pt>
                <c:pt idx="1">
                  <c:v>0</c:v>
                </c:pt>
                <c:pt idx="2">
                  <c:v>0.49</c:v>
                </c:pt>
                <c:pt idx="3">
                  <c:v>0.49</c:v>
                </c:pt>
                <c:pt idx="4">
                  <c:v>0</c:v>
                </c:pt>
                <c:pt idx="5">
                  <c:v>0.5</c:v>
                </c:pt>
                <c:pt idx="6">
                  <c:v>0.48</c:v>
                </c:pt>
                <c:pt idx="7">
                  <c:v>0.51</c:v>
                </c:pt>
                <c:pt idx="8">
                  <c:v>0.53</c:v>
                </c:pt>
              </c:numCache>
            </c:numRef>
          </c:val>
          <c:smooth val="0"/>
          <c:extLst xmlns:c15="http://schemas.microsoft.com/office/drawing/2012/chart">
            <c:ext xmlns:c16="http://schemas.microsoft.com/office/drawing/2014/chart" uri="{C3380CC4-5D6E-409C-BE32-E72D297353CC}">
              <c16:uniqueId val="{00000003-1940-455C-9FA7-58440C4F0D88}"/>
            </c:ext>
          </c:extLst>
        </c:ser>
        <c:dLbls>
          <c:showLegendKey val="0"/>
          <c:showVal val="1"/>
          <c:showCatName val="0"/>
          <c:showSerName val="0"/>
          <c:showPercent val="0"/>
          <c:showBubbleSize val="0"/>
        </c:dLbls>
        <c:smooth val="0"/>
        <c:axId val="-2011125456"/>
        <c:axId val="-2011126544"/>
        <c:extLst/>
      </c:lineChart>
      <c:catAx>
        <c:axId val="-201112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O"/>
          </a:p>
        </c:txPr>
        <c:crossAx val="-2011126544"/>
        <c:crosses val="autoZero"/>
        <c:auto val="1"/>
        <c:lblAlgn val="ctr"/>
        <c:lblOffset val="100"/>
        <c:noMultiLvlLbl val="0"/>
      </c:catAx>
      <c:valAx>
        <c:axId val="-2011126544"/>
        <c:scaling>
          <c:orientation val="minMax"/>
          <c:max val="1"/>
        </c:scaling>
        <c:delete val="0"/>
        <c:axPos val="l"/>
        <c:numFmt formatCode="0%" sourceLinked="1"/>
        <c:majorTickMark val="none"/>
        <c:minorTickMark val="none"/>
        <c:tickLblPos val="nextTo"/>
        <c:spPr>
          <a:noFill/>
          <a:ln>
            <a:noFill/>
          </a:ln>
          <a:effectLst/>
        </c:spPr>
        <c:txPr>
          <a:bodyPr rot="-60000000" vert="horz"/>
          <a:lstStyle/>
          <a:p>
            <a:pPr>
              <a:defRPr/>
            </a:pPr>
            <a:endParaRPr lang="es-CO"/>
          </a:p>
        </c:txPr>
        <c:crossAx val="-2011125456"/>
        <c:crosses val="autoZero"/>
        <c:crossBetween val="between"/>
      </c:valAx>
    </c:plotArea>
    <c:legend>
      <c:legendPos val="r"/>
      <c:layout>
        <c:manualLayout>
          <c:xMode val="edge"/>
          <c:yMode val="edge"/>
          <c:x val="0.67514699642061504"/>
          <c:y val="0.43499696889587025"/>
          <c:w val="0.32485300357938496"/>
          <c:h val="0.26960723156041683"/>
        </c:manualLayout>
      </c:layout>
      <c:overlay val="0"/>
      <c:spPr>
        <a:noFill/>
        <a:ln>
          <a:noFill/>
        </a:ln>
        <a:effectLst/>
      </c:spPr>
      <c:txPr>
        <a:bodyPr rot="0" vert="horz"/>
        <a:lstStyle/>
        <a:p>
          <a:pPr>
            <a:defRPr sz="1100"/>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934010750435009E-2"/>
          <c:y val="4.5398631820608625E-2"/>
          <c:w val="0.90274871962543546"/>
          <c:h val="0.62226773847140882"/>
        </c:manualLayout>
      </c:layout>
      <c:lineChart>
        <c:grouping val="standard"/>
        <c:varyColors val="0"/>
        <c:ser>
          <c:idx val="0"/>
          <c:order val="0"/>
          <c:tx>
            <c:strRef>
              <c:f>'8 AprenCNProQuímicos'!$C$13</c:f>
              <c:strCache>
                <c:ptCount val="1"/>
                <c:pt idx="0">
                  <c:v>Modelar fenómenos de la naturaleza basado en el análisis de variables, la relación entre dos o más conceptos del conocimiento científico y de la evidencia derivada de investigaciones científicas. - Procesos químicos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AprenCNProQuímicos'!$C$15:$C$23</c:f>
              <c:numCache>
                <c:formatCode>0%</c:formatCode>
                <c:ptCount val="9"/>
                <c:pt idx="0">
                  <c:v>0.5</c:v>
                </c:pt>
                <c:pt idx="1">
                  <c:v>0.38</c:v>
                </c:pt>
                <c:pt idx="2">
                  <c:v>0.83</c:v>
                </c:pt>
                <c:pt idx="3">
                  <c:v>0</c:v>
                </c:pt>
                <c:pt idx="4">
                  <c:v>0</c:v>
                </c:pt>
                <c:pt idx="5">
                  <c:v>0.65</c:v>
                </c:pt>
                <c:pt idx="6">
                  <c:v>0.44</c:v>
                </c:pt>
                <c:pt idx="7">
                  <c:v>0.45</c:v>
                </c:pt>
                <c:pt idx="8">
                  <c:v>0.54</c:v>
                </c:pt>
              </c:numCache>
            </c:numRef>
          </c:val>
          <c:smooth val="0"/>
          <c:extLst>
            <c:ext xmlns:c16="http://schemas.microsoft.com/office/drawing/2014/chart" uri="{C3380CC4-5D6E-409C-BE32-E72D297353CC}">
              <c16:uniqueId val="{00000001-40E8-4211-B987-BCDAB507B584}"/>
            </c:ext>
          </c:extLst>
        </c:ser>
        <c:ser>
          <c:idx val="1"/>
          <c:order val="1"/>
          <c:tx>
            <c:strRef>
              <c:f>'8 AprenCNProQuímicos'!$D$13</c:f>
              <c:strCache>
                <c:ptCount val="1"/>
                <c:pt idx="0">
                  <c:v>Explicar cómo ocurren algunos fenómenos de la naturaleza basado en observaciones, en patrones y  en conceptos propios del conocimiento científico. - Procesos químicos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AprenCNProQuímicos'!$D$15:$D$23</c:f>
              <c:numCache>
                <c:formatCode>0%</c:formatCode>
                <c:ptCount val="9"/>
                <c:pt idx="0">
                  <c:v>0.46</c:v>
                </c:pt>
                <c:pt idx="1">
                  <c:v>0.61</c:v>
                </c:pt>
                <c:pt idx="2">
                  <c:v>0.51</c:v>
                </c:pt>
                <c:pt idx="3">
                  <c:v>0.56999999999999995</c:v>
                </c:pt>
                <c:pt idx="4">
                  <c:v>0.48</c:v>
                </c:pt>
                <c:pt idx="5">
                  <c:v>0.5</c:v>
                </c:pt>
                <c:pt idx="6">
                  <c:v>0.48</c:v>
                </c:pt>
                <c:pt idx="7">
                  <c:v>0.63</c:v>
                </c:pt>
                <c:pt idx="8">
                  <c:v>0.3</c:v>
                </c:pt>
              </c:numCache>
            </c:numRef>
          </c:val>
          <c:smooth val="0"/>
          <c:extLst>
            <c:ext xmlns:c16="http://schemas.microsoft.com/office/drawing/2014/chart" uri="{C3380CC4-5D6E-409C-BE32-E72D297353CC}">
              <c16:uniqueId val="{00000000-7F2E-48C1-906C-D45DBF92F648}"/>
            </c:ext>
          </c:extLst>
        </c:ser>
        <c:dLbls>
          <c:showLegendKey val="0"/>
          <c:showVal val="1"/>
          <c:showCatName val="0"/>
          <c:showSerName val="0"/>
          <c:showPercent val="0"/>
          <c:showBubbleSize val="0"/>
        </c:dLbls>
        <c:smooth val="0"/>
        <c:axId val="-2022810096"/>
        <c:axId val="-2022809552"/>
      </c:lineChart>
      <c:catAx>
        <c:axId val="-202281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09552"/>
        <c:crosses val="autoZero"/>
        <c:auto val="1"/>
        <c:lblAlgn val="ctr"/>
        <c:lblOffset val="100"/>
        <c:noMultiLvlLbl val="0"/>
      </c:catAx>
      <c:valAx>
        <c:axId val="-202280955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10096"/>
        <c:crosses val="autoZero"/>
        <c:crossBetween val="between"/>
      </c:valAx>
      <c:spPr>
        <a:noFill/>
        <a:ln>
          <a:noFill/>
        </a:ln>
        <a:effectLst/>
      </c:spPr>
    </c:plotArea>
    <c:legend>
      <c:legendPos val="b"/>
      <c:layout>
        <c:manualLayout>
          <c:xMode val="edge"/>
          <c:yMode val="edge"/>
          <c:x val="6.0322223445232491E-2"/>
          <c:y val="0.78084242712627694"/>
          <c:w val="0.87091356819489851"/>
          <c:h val="0.1545621912189665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55861270728057E-2"/>
          <c:y val="4.6640984720434986E-2"/>
          <c:w val="0.90743566842409851"/>
          <c:h val="0.58438357635200322"/>
        </c:manualLayout>
      </c:layout>
      <c:lineChart>
        <c:grouping val="standard"/>
        <c:varyColors val="0"/>
        <c:ser>
          <c:idx val="0"/>
          <c:order val="0"/>
          <c:tx>
            <c:strRef>
              <c:f>'8 AprenCNProQuímicos'!$I$13</c:f>
              <c:strCache>
                <c:ptCount val="1"/>
                <c:pt idx="0">
                  <c:v>Asociar fenómenos naturales con conceptos propios del conocimiento científico. - Procesos químicos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AprenCNProQuímicos'!$I$15:$I$23</c:f>
              <c:numCache>
                <c:formatCode>0%</c:formatCode>
                <c:ptCount val="9"/>
                <c:pt idx="0">
                  <c:v>0.49</c:v>
                </c:pt>
                <c:pt idx="1">
                  <c:v>0.45</c:v>
                </c:pt>
                <c:pt idx="2">
                  <c:v>0.33</c:v>
                </c:pt>
                <c:pt idx="3">
                  <c:v>0.36</c:v>
                </c:pt>
                <c:pt idx="4">
                  <c:v>0.38</c:v>
                </c:pt>
                <c:pt idx="5">
                  <c:v>0.62</c:v>
                </c:pt>
                <c:pt idx="6">
                  <c:v>0.39</c:v>
                </c:pt>
                <c:pt idx="7">
                  <c:v>0.42</c:v>
                </c:pt>
                <c:pt idx="8">
                  <c:v>0.47</c:v>
                </c:pt>
              </c:numCache>
            </c:numRef>
          </c:val>
          <c:smooth val="0"/>
          <c:extLst>
            <c:ext xmlns:c16="http://schemas.microsoft.com/office/drawing/2014/chart" uri="{C3380CC4-5D6E-409C-BE32-E72D297353CC}">
              <c16:uniqueId val="{00000001-00DF-48BC-9C13-65D4DC5E4F02}"/>
            </c:ext>
          </c:extLst>
        </c:ser>
        <c:ser>
          <c:idx val="1"/>
          <c:order val="1"/>
          <c:tx>
            <c:strRef>
              <c:f>'8 AprenCNProQuímicos'!$J$13</c:f>
              <c:strCache>
                <c:ptCount val="1"/>
                <c:pt idx="0">
                  <c:v>Identificar las características  de algunos fenómenos de la naturaleza basado en el análisis de información  y  conceptos propios del conocimiento científico. - Procesos químicos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AprenCNProQuímicos'!$J$15:$J$23</c:f>
              <c:numCache>
                <c:formatCode>0%</c:formatCode>
                <c:ptCount val="9"/>
                <c:pt idx="0">
                  <c:v>0.51</c:v>
                </c:pt>
                <c:pt idx="1">
                  <c:v>0.64</c:v>
                </c:pt>
                <c:pt idx="2">
                  <c:v>0.41</c:v>
                </c:pt>
                <c:pt idx="3">
                  <c:v>0.35</c:v>
                </c:pt>
                <c:pt idx="4">
                  <c:v>0.35</c:v>
                </c:pt>
                <c:pt idx="5">
                  <c:v>0.28999999999999998</c:v>
                </c:pt>
                <c:pt idx="6">
                  <c:v>0.56000000000000005</c:v>
                </c:pt>
                <c:pt idx="7">
                  <c:v>0.37</c:v>
                </c:pt>
                <c:pt idx="8">
                  <c:v>0.39</c:v>
                </c:pt>
              </c:numCache>
            </c:numRef>
          </c:val>
          <c:smooth val="0"/>
          <c:extLst>
            <c:ext xmlns:c16="http://schemas.microsoft.com/office/drawing/2014/chart" uri="{C3380CC4-5D6E-409C-BE32-E72D297353CC}">
              <c16:uniqueId val="{00000000-B15E-4CF6-A30E-241188E59C0F}"/>
            </c:ext>
          </c:extLst>
        </c:ser>
        <c:dLbls>
          <c:showLegendKey val="0"/>
          <c:showVal val="1"/>
          <c:showCatName val="0"/>
          <c:showSerName val="0"/>
          <c:showPercent val="0"/>
          <c:showBubbleSize val="0"/>
        </c:dLbls>
        <c:smooth val="0"/>
        <c:axId val="-2022820432"/>
        <c:axId val="-2022816624"/>
      </c:lineChart>
      <c:catAx>
        <c:axId val="-202282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16624"/>
        <c:crosses val="autoZero"/>
        <c:auto val="1"/>
        <c:lblAlgn val="ctr"/>
        <c:lblOffset val="100"/>
        <c:noMultiLvlLbl val="0"/>
      </c:catAx>
      <c:valAx>
        <c:axId val="-2022816624"/>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20432"/>
        <c:crosses val="autoZero"/>
        <c:crossBetween val="between"/>
      </c:valAx>
      <c:spPr>
        <a:noFill/>
        <a:ln>
          <a:noFill/>
        </a:ln>
        <a:effectLst/>
      </c:spPr>
    </c:plotArea>
    <c:legend>
      <c:legendPos val="b"/>
      <c:layout>
        <c:manualLayout>
          <c:xMode val="edge"/>
          <c:yMode val="edge"/>
          <c:x val="5.6523497486887606E-2"/>
          <c:y val="0.74729772891556134"/>
          <c:w val="0.85818153001167363"/>
          <c:h val="0.130651929957732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787047822362E-2"/>
          <c:y val="3.6258228242976351E-2"/>
          <c:w val="0.89429236266172452"/>
          <c:h val="0.65281209359382675"/>
        </c:manualLayout>
      </c:layout>
      <c:lineChart>
        <c:grouping val="standard"/>
        <c:varyColors val="0"/>
        <c:ser>
          <c:idx val="0"/>
          <c:order val="0"/>
          <c:tx>
            <c:strRef>
              <c:f>'8 AprenCNProQuímicos'!$E$13</c:f>
              <c:strCache>
                <c:ptCount val="1"/>
                <c:pt idx="0">
                  <c:v>Comprender que a partir de la investigación científica se construyen explicaciones sobre el mundo natural. - Procesos químicos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AprenCNProQuímicos'!$E$15:$E$23</c:f>
              <c:numCache>
                <c:formatCode>0%</c:formatCode>
                <c:ptCount val="9"/>
                <c:pt idx="0">
                  <c:v>0.33</c:v>
                </c:pt>
                <c:pt idx="1">
                  <c:v>0</c:v>
                </c:pt>
                <c:pt idx="2">
                  <c:v>0.34</c:v>
                </c:pt>
                <c:pt idx="3">
                  <c:v>0.48</c:v>
                </c:pt>
                <c:pt idx="4">
                  <c:v>0.12</c:v>
                </c:pt>
                <c:pt idx="5">
                  <c:v>0.37</c:v>
                </c:pt>
                <c:pt idx="6">
                  <c:v>0.33</c:v>
                </c:pt>
                <c:pt idx="7">
                  <c:v>0.27</c:v>
                </c:pt>
                <c:pt idx="8">
                  <c:v>0.6</c:v>
                </c:pt>
              </c:numCache>
            </c:numRef>
          </c:val>
          <c:smooth val="0"/>
          <c:extLst>
            <c:ext xmlns:c16="http://schemas.microsoft.com/office/drawing/2014/chart" uri="{C3380CC4-5D6E-409C-BE32-E72D297353CC}">
              <c16:uniqueId val="{00000001-6F7D-407D-884D-2671FCFDC509}"/>
            </c:ext>
          </c:extLst>
        </c:ser>
        <c:ser>
          <c:idx val="1"/>
          <c:order val="1"/>
          <c:tx>
            <c:strRef>
              <c:f>'8 AprenCNProQuímicos'!$F$13</c:f>
              <c:strCache>
                <c:ptCount val="1"/>
                <c:pt idx="0">
                  <c:v>Derivar conclusiones para algunos fenómenos de la naturaleza basándose en conocimientos científicos y en la evidencia de su propia investigación y de la de otros. - Procesos químicos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AprenCNProQuímicos'!$F$15:$F$23</c:f>
              <c:numCache>
                <c:formatCode>0%</c:formatCode>
                <c:ptCount val="9"/>
                <c:pt idx="0">
                  <c:v>0.38</c:v>
                </c:pt>
                <c:pt idx="1">
                  <c:v>0.55000000000000004</c:v>
                </c:pt>
                <c:pt idx="2">
                  <c:v>0.27</c:v>
                </c:pt>
                <c:pt idx="3">
                  <c:v>0.2</c:v>
                </c:pt>
                <c:pt idx="4">
                  <c:v>0.24</c:v>
                </c:pt>
                <c:pt idx="5">
                  <c:v>0.47</c:v>
                </c:pt>
                <c:pt idx="6">
                  <c:v>0.67</c:v>
                </c:pt>
                <c:pt idx="7">
                  <c:v>0.26</c:v>
                </c:pt>
                <c:pt idx="8">
                  <c:v>0.52</c:v>
                </c:pt>
              </c:numCache>
            </c:numRef>
          </c:val>
          <c:smooth val="0"/>
          <c:extLst>
            <c:ext xmlns:c16="http://schemas.microsoft.com/office/drawing/2014/chart" uri="{C3380CC4-5D6E-409C-BE32-E72D297353CC}">
              <c16:uniqueId val="{00000000-35A4-4B78-85AC-3CB602EEB951}"/>
            </c:ext>
          </c:extLst>
        </c:ser>
        <c:dLbls>
          <c:showLegendKey val="0"/>
          <c:showVal val="1"/>
          <c:showCatName val="0"/>
          <c:showSerName val="0"/>
          <c:showPercent val="0"/>
          <c:showBubbleSize val="0"/>
        </c:dLbls>
        <c:smooth val="0"/>
        <c:axId val="-2022813904"/>
        <c:axId val="-2022812816"/>
      </c:lineChart>
      <c:catAx>
        <c:axId val="-20228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12816"/>
        <c:crosses val="autoZero"/>
        <c:auto val="1"/>
        <c:lblAlgn val="ctr"/>
        <c:lblOffset val="100"/>
        <c:noMultiLvlLbl val="0"/>
      </c:catAx>
      <c:valAx>
        <c:axId val="-2022812816"/>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13904"/>
        <c:crosses val="autoZero"/>
        <c:crossBetween val="between"/>
        <c:majorUnit val="0.2"/>
      </c:valAx>
      <c:spPr>
        <a:noFill/>
        <a:ln>
          <a:noFill/>
        </a:ln>
        <a:effectLst/>
      </c:spPr>
    </c:plotArea>
    <c:legend>
      <c:legendPos val="b"/>
      <c:layout>
        <c:manualLayout>
          <c:xMode val="edge"/>
          <c:yMode val="edge"/>
          <c:x val="6.5448777191168525E-2"/>
          <c:y val="0.81693621649421522"/>
          <c:w val="0.87967531618111483"/>
          <c:h val="0.1228249661976346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 AprenCNProQuímicos'!$G$13</c:f>
              <c:strCache>
                <c:ptCount val="1"/>
                <c:pt idx="0">
                  <c:v>Observar y relacionar patrones en los datos para evaluar las predicciones. - Procesos químicos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AprenCNProQuímicos'!$G$15:$G$23</c:f>
              <c:numCache>
                <c:formatCode>0%</c:formatCode>
                <c:ptCount val="9"/>
                <c:pt idx="0">
                  <c:v>0</c:v>
                </c:pt>
                <c:pt idx="1">
                  <c:v>0.25</c:v>
                </c:pt>
                <c:pt idx="2">
                  <c:v>0.21</c:v>
                </c:pt>
                <c:pt idx="3">
                  <c:v>0.32</c:v>
                </c:pt>
                <c:pt idx="4">
                  <c:v>0.73</c:v>
                </c:pt>
                <c:pt idx="5">
                  <c:v>0.33</c:v>
                </c:pt>
                <c:pt idx="6">
                  <c:v>0.23</c:v>
                </c:pt>
                <c:pt idx="7">
                  <c:v>0.27</c:v>
                </c:pt>
                <c:pt idx="8">
                  <c:v>0.35</c:v>
                </c:pt>
              </c:numCache>
            </c:numRef>
          </c:val>
          <c:smooth val="0"/>
          <c:extLst>
            <c:ext xmlns:c16="http://schemas.microsoft.com/office/drawing/2014/chart" uri="{C3380CC4-5D6E-409C-BE32-E72D297353CC}">
              <c16:uniqueId val="{00000001-3A58-4A56-87F3-4BBA44ED23CD}"/>
            </c:ext>
          </c:extLst>
        </c:ser>
        <c:ser>
          <c:idx val="1"/>
          <c:order val="1"/>
          <c:tx>
            <c:strRef>
              <c:f>'8 AprenCNProQuímicos'!$H$13</c:f>
              <c:strCache>
                <c:ptCount val="1"/>
                <c:pt idx="0">
                  <c:v>Utilizar algunas habilidades de pensamiento y de procedimiento para  evaluar predicciones - Procesos químicos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AprenCNProQuímicos'!$B$15:$B$23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'8 AprenCNProQuímicos'!$H$15:$H$23</c:f>
              <c:numCache>
                <c:formatCode>0%</c:formatCode>
                <c:ptCount val="9"/>
                <c:pt idx="0">
                  <c:v>0.03</c:v>
                </c:pt>
                <c:pt idx="1">
                  <c:v>0.19</c:v>
                </c:pt>
                <c:pt idx="2">
                  <c:v>0.53</c:v>
                </c:pt>
                <c:pt idx="3">
                  <c:v>0.2</c:v>
                </c:pt>
                <c:pt idx="4">
                  <c:v>0.06</c:v>
                </c:pt>
                <c:pt idx="5">
                  <c:v>0.36</c:v>
                </c:pt>
                <c:pt idx="6">
                  <c:v>0.32</c:v>
                </c:pt>
                <c:pt idx="7">
                  <c:v>0.59</c:v>
                </c:pt>
                <c:pt idx="8">
                  <c:v>0.5</c:v>
                </c:pt>
              </c:numCache>
            </c:numRef>
          </c:val>
          <c:smooth val="0"/>
          <c:extLst>
            <c:ext xmlns:c16="http://schemas.microsoft.com/office/drawing/2014/chart" uri="{C3380CC4-5D6E-409C-BE32-E72D297353CC}">
              <c16:uniqueId val="{00000000-FC13-493E-96F6-345903081151}"/>
            </c:ext>
          </c:extLst>
        </c:ser>
        <c:dLbls>
          <c:showLegendKey val="0"/>
          <c:showVal val="1"/>
          <c:showCatName val="0"/>
          <c:showSerName val="0"/>
          <c:showPercent val="0"/>
          <c:showBubbleSize val="0"/>
        </c:dLbls>
        <c:smooth val="0"/>
        <c:axId val="-2022811728"/>
        <c:axId val="-2009386352"/>
      </c:lineChart>
      <c:catAx>
        <c:axId val="-202281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386352"/>
        <c:crosses val="autoZero"/>
        <c:auto val="1"/>
        <c:lblAlgn val="ctr"/>
        <c:lblOffset val="100"/>
        <c:noMultiLvlLbl val="0"/>
      </c:catAx>
      <c:valAx>
        <c:axId val="-200938635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2281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08999883604744E-2"/>
          <c:y val="4.8991077877190946E-2"/>
          <c:w val="0.89148520908692708"/>
          <c:h val="0.57534221216698689"/>
        </c:manualLayout>
      </c:layout>
      <c:lineChart>
        <c:grouping val="standard"/>
        <c:varyColors val="0"/>
        <c:ser>
          <c:idx val="0"/>
          <c:order val="0"/>
          <c:tx>
            <c:strRef>
              <c:f>'9 AprenCNProFísicos'!$C$14</c:f>
              <c:strCache>
                <c:ptCount val="1"/>
                <c:pt idx="0">
                  <c:v>Modelar fenómenos de la naturaleza basado en el análisis de variables, la relación entre dos o más conceptos del conocimiento científico y de la evidencia derivada de investigaciones científicas. - Procesos físicos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AprenCNProFísicos'!$C$16:$C$24</c:f>
              <c:numCache>
                <c:formatCode>0%</c:formatCode>
                <c:ptCount val="9"/>
                <c:pt idx="0">
                  <c:v>0</c:v>
                </c:pt>
                <c:pt idx="1">
                  <c:v>0.65</c:v>
                </c:pt>
                <c:pt idx="2">
                  <c:v>0.61</c:v>
                </c:pt>
                <c:pt idx="3">
                  <c:v>0.48</c:v>
                </c:pt>
                <c:pt idx="4">
                  <c:v>0.54</c:v>
                </c:pt>
                <c:pt idx="5">
                  <c:v>0.52</c:v>
                </c:pt>
                <c:pt idx="6">
                  <c:v>0.44</c:v>
                </c:pt>
                <c:pt idx="7">
                  <c:v>0.59</c:v>
                </c:pt>
                <c:pt idx="8">
                  <c:v>0.4</c:v>
                </c:pt>
              </c:numCache>
            </c:numRef>
          </c:val>
          <c:smooth val="0"/>
          <c:extLst>
            <c:ext xmlns:c16="http://schemas.microsoft.com/office/drawing/2014/chart" uri="{C3380CC4-5D6E-409C-BE32-E72D297353CC}">
              <c16:uniqueId val="{00000001-063A-4B16-8D93-4BCF9B3E8BCD}"/>
            </c:ext>
          </c:extLst>
        </c:ser>
        <c:ser>
          <c:idx val="1"/>
          <c:order val="1"/>
          <c:tx>
            <c:strRef>
              <c:f>'9 AprenCNProFísicos'!$D$14</c:f>
              <c:strCache>
                <c:ptCount val="1"/>
                <c:pt idx="0">
                  <c:v>Explicar cómo ocurren algunos fenómenos de la naturaleza basado en observaciones, en patrones y  en conceptos propios del conocimiento científico. - Procesos físicos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AprenCNProFísicos'!$D$16:$D$24</c:f>
              <c:numCache>
                <c:formatCode>0%</c:formatCode>
                <c:ptCount val="9"/>
                <c:pt idx="0">
                  <c:v>0.05</c:v>
                </c:pt>
                <c:pt idx="1">
                  <c:v>0.45</c:v>
                </c:pt>
                <c:pt idx="2">
                  <c:v>0.51</c:v>
                </c:pt>
                <c:pt idx="3">
                  <c:v>0.62</c:v>
                </c:pt>
                <c:pt idx="4">
                  <c:v>0.54</c:v>
                </c:pt>
                <c:pt idx="5">
                  <c:v>0.42</c:v>
                </c:pt>
                <c:pt idx="6">
                  <c:v>0.55000000000000004</c:v>
                </c:pt>
                <c:pt idx="7">
                  <c:v>0.43</c:v>
                </c:pt>
                <c:pt idx="8">
                  <c:v>0.42</c:v>
                </c:pt>
              </c:numCache>
            </c:numRef>
          </c:val>
          <c:smooth val="0"/>
          <c:extLst>
            <c:ext xmlns:c16="http://schemas.microsoft.com/office/drawing/2014/chart" uri="{C3380CC4-5D6E-409C-BE32-E72D297353CC}">
              <c16:uniqueId val="{00000000-5468-42CC-9E33-A1E62548E5D7}"/>
            </c:ext>
          </c:extLst>
        </c:ser>
        <c:dLbls>
          <c:showLegendKey val="0"/>
          <c:showVal val="1"/>
          <c:showCatName val="0"/>
          <c:showSerName val="0"/>
          <c:showPercent val="0"/>
          <c:showBubbleSize val="0"/>
        </c:dLbls>
        <c:smooth val="0"/>
        <c:axId val="-2009538192"/>
        <c:axId val="-2009545264"/>
      </c:lineChart>
      <c:catAx>
        <c:axId val="-200953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545264"/>
        <c:crosses val="autoZero"/>
        <c:auto val="1"/>
        <c:lblAlgn val="ctr"/>
        <c:lblOffset val="100"/>
        <c:noMultiLvlLbl val="0"/>
      </c:catAx>
      <c:valAx>
        <c:axId val="-2009545264"/>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538192"/>
        <c:crosses val="autoZero"/>
        <c:crossBetween val="between"/>
        <c:majorUnit val="0.2"/>
      </c:valAx>
      <c:spPr>
        <a:noFill/>
        <a:ln>
          <a:noFill/>
        </a:ln>
        <a:effectLst/>
      </c:spPr>
    </c:plotArea>
    <c:legend>
      <c:legendPos val="b"/>
      <c:layout>
        <c:manualLayout>
          <c:xMode val="edge"/>
          <c:yMode val="edge"/>
          <c:x val="7.9430371739456815E-2"/>
          <c:y val="0.74541562146139628"/>
          <c:w val="0.89385382442759675"/>
          <c:h val="0.1699990772574725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032780371309497E-2"/>
          <c:y val="3.9401653567979714E-2"/>
          <c:w val="0.87130138753243036"/>
          <c:h val="0.63519232989267571"/>
        </c:manualLayout>
      </c:layout>
      <c:lineChart>
        <c:grouping val="standard"/>
        <c:varyColors val="0"/>
        <c:ser>
          <c:idx val="0"/>
          <c:order val="0"/>
          <c:tx>
            <c:strRef>
              <c:f>'9 AprenCNProFísicos'!$E$14</c:f>
              <c:strCache>
                <c:ptCount val="1"/>
                <c:pt idx="0">
                  <c:v>Comprender que a partir de la investigación científica se construyen explicaciones sobre el mundo natural. - Procesos físicos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AprenCNProFísicos'!$E$16:$E$24</c:f>
              <c:numCache>
                <c:formatCode>0%</c:formatCode>
                <c:ptCount val="9"/>
                <c:pt idx="0">
                  <c:v>0.33</c:v>
                </c:pt>
                <c:pt idx="1">
                  <c:v>0.65</c:v>
                </c:pt>
                <c:pt idx="2">
                  <c:v>0.26</c:v>
                </c:pt>
                <c:pt idx="3">
                  <c:v>0.39</c:v>
                </c:pt>
                <c:pt idx="4">
                  <c:v>0.22</c:v>
                </c:pt>
                <c:pt idx="5">
                  <c:v>0.25</c:v>
                </c:pt>
                <c:pt idx="6">
                  <c:v>0</c:v>
                </c:pt>
                <c:pt idx="7">
                  <c:v>0</c:v>
                </c:pt>
                <c:pt idx="8">
                  <c:v>0.39</c:v>
                </c:pt>
              </c:numCache>
            </c:numRef>
          </c:val>
          <c:smooth val="0"/>
          <c:extLst>
            <c:ext xmlns:c16="http://schemas.microsoft.com/office/drawing/2014/chart" uri="{C3380CC4-5D6E-409C-BE32-E72D297353CC}">
              <c16:uniqueId val="{00000001-1B62-4A05-AEDE-4E887618E87B}"/>
            </c:ext>
          </c:extLst>
        </c:ser>
        <c:ser>
          <c:idx val="1"/>
          <c:order val="1"/>
          <c:tx>
            <c:strRef>
              <c:f>'9 AprenCNProFísicos'!$F$14</c:f>
              <c:strCache>
                <c:ptCount val="1"/>
                <c:pt idx="0">
                  <c:v>Derivar conclusiones para algunos fenómenos de la naturaleza basándose en conocimientos científicos y en la evidencia de su propia investigación y de la de otros. - Procesos físicos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AprenCNProFísicos'!$F$16:$F$24</c:f>
              <c:numCache>
                <c:formatCode>0%</c:formatCode>
                <c:ptCount val="9"/>
                <c:pt idx="0">
                  <c:v>0</c:v>
                </c:pt>
                <c:pt idx="1">
                  <c:v>0.62</c:v>
                </c:pt>
                <c:pt idx="2">
                  <c:v>0.26</c:v>
                </c:pt>
                <c:pt idx="3">
                  <c:v>0.33</c:v>
                </c:pt>
                <c:pt idx="4">
                  <c:v>0.42</c:v>
                </c:pt>
                <c:pt idx="5">
                  <c:v>0.52</c:v>
                </c:pt>
                <c:pt idx="6">
                  <c:v>0.33</c:v>
                </c:pt>
                <c:pt idx="7">
                  <c:v>0.37</c:v>
                </c:pt>
                <c:pt idx="8">
                  <c:v>0.63</c:v>
                </c:pt>
              </c:numCache>
            </c:numRef>
          </c:val>
          <c:smooth val="0"/>
          <c:extLst>
            <c:ext xmlns:c16="http://schemas.microsoft.com/office/drawing/2014/chart" uri="{C3380CC4-5D6E-409C-BE32-E72D297353CC}">
              <c16:uniqueId val="{00000000-2E29-482F-BA21-46049744E204}"/>
            </c:ext>
          </c:extLst>
        </c:ser>
        <c:dLbls>
          <c:showLegendKey val="0"/>
          <c:showVal val="1"/>
          <c:showCatName val="0"/>
          <c:showSerName val="0"/>
          <c:showPercent val="0"/>
          <c:showBubbleSize val="0"/>
        </c:dLbls>
        <c:smooth val="0"/>
        <c:axId val="-2009540368"/>
        <c:axId val="-2009544720"/>
      </c:lineChart>
      <c:catAx>
        <c:axId val="-200954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544720"/>
        <c:crosses val="autoZero"/>
        <c:auto val="1"/>
        <c:lblAlgn val="ctr"/>
        <c:lblOffset val="100"/>
        <c:noMultiLvlLbl val="0"/>
      </c:catAx>
      <c:valAx>
        <c:axId val="-2009544720"/>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540368"/>
        <c:crosses val="autoZero"/>
        <c:crossBetween val="between"/>
      </c:valAx>
      <c:spPr>
        <a:noFill/>
        <a:ln>
          <a:noFill/>
        </a:ln>
        <a:effectLst/>
      </c:spPr>
    </c:plotArea>
    <c:legend>
      <c:legendPos val="b"/>
      <c:layout>
        <c:manualLayout>
          <c:xMode val="edge"/>
          <c:yMode val="edge"/>
          <c:x val="6.2328851825403146E-2"/>
          <c:y val="0.78652064486219353"/>
          <c:w val="0.89089245586168098"/>
          <c:h val="0.1447226012551242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39575593273855E-2"/>
          <c:y val="4.7194984773244811E-2"/>
          <c:w val="0.8853697408831519"/>
          <c:h val="0.65465883837691019"/>
        </c:manualLayout>
      </c:layout>
      <c:lineChart>
        <c:grouping val="standard"/>
        <c:varyColors val="0"/>
        <c:ser>
          <c:idx val="0"/>
          <c:order val="0"/>
          <c:tx>
            <c:strRef>
              <c:f>'9 AprenCNProFísicos'!$G$14</c:f>
              <c:strCache>
                <c:ptCount val="1"/>
                <c:pt idx="0">
                  <c:v>Observar y relacionar patrones en los datos para evaluar las predicciones. - Procesos físicos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AprenCNProFísicos'!$G$16:$G$24</c:f>
              <c:numCache>
                <c:formatCode>0%</c:formatCode>
                <c:ptCount val="9"/>
                <c:pt idx="0">
                  <c:v>0.13</c:v>
                </c:pt>
                <c:pt idx="1">
                  <c:v>0.48</c:v>
                </c:pt>
                <c:pt idx="2">
                  <c:v>0.61</c:v>
                </c:pt>
                <c:pt idx="3">
                  <c:v>0.47</c:v>
                </c:pt>
                <c:pt idx="4">
                  <c:v>0.37</c:v>
                </c:pt>
                <c:pt idx="5">
                  <c:v>0.36</c:v>
                </c:pt>
                <c:pt idx="6">
                  <c:v>0.25</c:v>
                </c:pt>
                <c:pt idx="7">
                  <c:v>0.59</c:v>
                </c:pt>
                <c:pt idx="8">
                  <c:v>0.37</c:v>
                </c:pt>
              </c:numCache>
            </c:numRef>
          </c:val>
          <c:smooth val="0"/>
          <c:extLst>
            <c:ext xmlns:c16="http://schemas.microsoft.com/office/drawing/2014/chart" uri="{C3380CC4-5D6E-409C-BE32-E72D297353CC}">
              <c16:uniqueId val="{00000001-1A78-4CCF-AAAF-2AF887F2B7C2}"/>
            </c:ext>
          </c:extLst>
        </c:ser>
        <c:ser>
          <c:idx val="1"/>
          <c:order val="1"/>
          <c:tx>
            <c:strRef>
              <c:f>'9 AprenCNProFísicos'!$H$14</c:f>
              <c:strCache>
                <c:ptCount val="1"/>
                <c:pt idx="0">
                  <c:v>Utilizar algunas habilidades de pensamiento y de procedimiento para  evaluar predicciones - Procesos físicos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AprenCNProFísicos'!$H$16:$H$24</c:f>
              <c:numCache>
                <c:formatCode>0%</c:formatCode>
                <c:ptCount val="9"/>
                <c:pt idx="0">
                  <c:v>0.42</c:v>
                </c:pt>
                <c:pt idx="1">
                  <c:v>0.42</c:v>
                </c:pt>
                <c:pt idx="2">
                  <c:v>0.67</c:v>
                </c:pt>
                <c:pt idx="3">
                  <c:v>0.43</c:v>
                </c:pt>
                <c:pt idx="4">
                  <c:v>0.53</c:v>
                </c:pt>
                <c:pt idx="5">
                  <c:v>0.32</c:v>
                </c:pt>
                <c:pt idx="6">
                  <c:v>0.45</c:v>
                </c:pt>
                <c:pt idx="7">
                  <c:v>0.53</c:v>
                </c:pt>
                <c:pt idx="8">
                  <c:v>0.68</c:v>
                </c:pt>
              </c:numCache>
            </c:numRef>
          </c:val>
          <c:smooth val="0"/>
          <c:extLst>
            <c:ext xmlns:c16="http://schemas.microsoft.com/office/drawing/2014/chart" uri="{C3380CC4-5D6E-409C-BE32-E72D297353CC}">
              <c16:uniqueId val="{00000000-7ACC-4DD5-8376-AC58D6C8FF14}"/>
            </c:ext>
          </c:extLst>
        </c:ser>
        <c:dLbls>
          <c:showLegendKey val="0"/>
          <c:showVal val="1"/>
          <c:showCatName val="0"/>
          <c:showSerName val="0"/>
          <c:showPercent val="0"/>
          <c:showBubbleSize val="0"/>
        </c:dLbls>
        <c:smooth val="0"/>
        <c:axId val="-2009549072"/>
        <c:axId val="-2009544176"/>
      </c:lineChart>
      <c:catAx>
        <c:axId val="-200954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544176"/>
        <c:crosses val="autoZero"/>
        <c:auto val="1"/>
        <c:lblAlgn val="ctr"/>
        <c:lblOffset val="100"/>
        <c:noMultiLvlLbl val="0"/>
      </c:catAx>
      <c:valAx>
        <c:axId val="-2009544176"/>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9549072"/>
        <c:crosses val="autoZero"/>
        <c:crossBetween val="between"/>
      </c:valAx>
      <c:spPr>
        <a:noFill/>
        <a:ln>
          <a:noFill/>
        </a:ln>
        <a:effectLst/>
      </c:spPr>
    </c:plotArea>
    <c:legend>
      <c:legendPos val="b"/>
      <c:layout>
        <c:manualLayout>
          <c:xMode val="edge"/>
          <c:yMode val="edge"/>
          <c:x val="0.12643562046821916"/>
          <c:y val="0.78879333561565679"/>
          <c:w val="0.80972512349118919"/>
          <c:h val="0.1812408992354216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100" b="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32266942892719E-2"/>
          <c:y val="4.5273986032574869E-2"/>
          <c:w val="0.88322559061138017"/>
          <c:h val="0.6142471947372784"/>
        </c:manualLayout>
      </c:layout>
      <c:lineChart>
        <c:grouping val="standard"/>
        <c:varyColors val="0"/>
        <c:ser>
          <c:idx val="0"/>
          <c:order val="0"/>
          <c:tx>
            <c:strRef>
              <c:f>'9 AprenCNProFísicos'!$I$14</c:f>
              <c:strCache>
                <c:ptCount val="1"/>
                <c:pt idx="0">
                  <c:v>Asociar fenómenos naturales con conceptos propios del conocimiento científico. - Procesos físicos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AprenCNProFísicos'!$I$16:$I$24</c:f>
              <c:numCache>
                <c:formatCode>0%</c:formatCode>
                <c:ptCount val="9"/>
                <c:pt idx="0">
                  <c:v>0.43</c:v>
                </c:pt>
                <c:pt idx="1">
                  <c:v>0.38</c:v>
                </c:pt>
                <c:pt idx="2">
                  <c:v>0.33</c:v>
                </c:pt>
                <c:pt idx="3">
                  <c:v>0.61</c:v>
                </c:pt>
                <c:pt idx="4">
                  <c:v>0.2</c:v>
                </c:pt>
                <c:pt idx="5">
                  <c:v>0.48</c:v>
                </c:pt>
                <c:pt idx="6">
                  <c:v>0.44</c:v>
                </c:pt>
                <c:pt idx="7">
                  <c:v>0.62</c:v>
                </c:pt>
                <c:pt idx="8">
                  <c:v>0.26</c:v>
                </c:pt>
              </c:numCache>
            </c:numRef>
          </c:val>
          <c:smooth val="0"/>
          <c:extLst>
            <c:ext xmlns:c16="http://schemas.microsoft.com/office/drawing/2014/chart" uri="{C3380CC4-5D6E-409C-BE32-E72D297353CC}">
              <c16:uniqueId val="{00000001-0605-47B6-8006-8F6D2E120AD3}"/>
            </c:ext>
          </c:extLst>
        </c:ser>
        <c:ser>
          <c:idx val="1"/>
          <c:order val="1"/>
          <c:tx>
            <c:strRef>
              <c:f>'9 AprenCNProFísicos'!$J$14</c:f>
              <c:strCache>
                <c:ptCount val="1"/>
                <c:pt idx="0">
                  <c:v>Identificar las características  de algunos fenómenos de la naturaleza basado en el análisis de información  y  conceptos propios del conocimiento científico. - Procesos físicos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AprenCNProFísicos'!$B$16:$B$24</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'9 AprenCNProFísicos'!$J$16:$J$24</c:f>
              <c:numCache>
                <c:formatCode>0%</c:formatCode>
                <c:ptCount val="9"/>
                <c:pt idx="0">
                  <c:v>0.56999999999999995</c:v>
                </c:pt>
                <c:pt idx="1">
                  <c:v>0.35</c:v>
                </c:pt>
                <c:pt idx="2">
                  <c:v>0.53</c:v>
                </c:pt>
                <c:pt idx="3">
                  <c:v>0.42</c:v>
                </c:pt>
                <c:pt idx="4">
                  <c:v>0.52</c:v>
                </c:pt>
                <c:pt idx="5">
                  <c:v>0.64</c:v>
                </c:pt>
                <c:pt idx="6">
                  <c:v>0.62</c:v>
                </c:pt>
                <c:pt idx="7">
                  <c:v>0.55000000000000004</c:v>
                </c:pt>
                <c:pt idx="8">
                  <c:v>0.49</c:v>
                </c:pt>
              </c:numCache>
            </c:numRef>
          </c:val>
          <c:smooth val="0"/>
          <c:extLst>
            <c:ext xmlns:c16="http://schemas.microsoft.com/office/drawing/2014/chart" uri="{C3380CC4-5D6E-409C-BE32-E72D297353CC}">
              <c16:uniqueId val="{00000000-FCE9-4D0E-BEBE-F858696F21C5}"/>
            </c:ext>
          </c:extLst>
        </c:ser>
        <c:dLbls>
          <c:showLegendKey val="0"/>
          <c:showVal val="1"/>
          <c:showCatName val="0"/>
          <c:showSerName val="0"/>
          <c:showPercent val="0"/>
          <c:showBubbleSize val="0"/>
        </c:dLbls>
        <c:smooth val="0"/>
        <c:axId val="-2031361936"/>
        <c:axId val="-2031348880"/>
      </c:lineChart>
      <c:catAx>
        <c:axId val="-203136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348880"/>
        <c:crosses val="autoZero"/>
        <c:auto val="1"/>
        <c:lblAlgn val="ctr"/>
        <c:lblOffset val="100"/>
        <c:noMultiLvlLbl val="0"/>
      </c:catAx>
      <c:valAx>
        <c:axId val="-2031348880"/>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361936"/>
        <c:crosses val="autoZero"/>
        <c:crossBetween val="between"/>
      </c:valAx>
      <c:spPr>
        <a:noFill/>
        <a:ln>
          <a:noFill/>
        </a:ln>
        <a:effectLst/>
      </c:spPr>
    </c:plotArea>
    <c:legend>
      <c:legendPos val="b"/>
      <c:layout>
        <c:manualLayout>
          <c:xMode val="edge"/>
          <c:yMode val="edge"/>
          <c:x val="5.4390856028668035E-2"/>
          <c:y val="0.77810164611382127"/>
          <c:w val="0.87253872942571642"/>
          <c:h val="0.1398101162794782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419766840708858"/>
          <c:y val="3.611751776614723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'10 AprenCNCTS'!$D$15</c:f>
              <c:strCache>
                <c:ptCount val="1"/>
                <c:pt idx="0">
                  <c:v>Identificar las características  de algunos fenómenos de la naturaleza basado en el análisis de información  y  conceptos propios del conocimiento científico. - CTS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 AprenCNCTS'!$C$17:$C$25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 AprenCNCTS'!$D$17:$D$25</c:f>
              <c:numCache>
                <c:formatCode>0%</c:formatCode>
                <c:ptCount val="9"/>
                <c:pt idx="0">
                  <c:v>0</c:v>
                </c:pt>
                <c:pt idx="1">
                  <c:v>0.44</c:v>
                </c:pt>
                <c:pt idx="2">
                  <c:v>0.63</c:v>
                </c:pt>
                <c:pt idx="3">
                  <c:v>0.56999999999999995</c:v>
                </c:pt>
                <c:pt idx="4">
                  <c:v>0.51</c:v>
                </c:pt>
                <c:pt idx="5">
                  <c:v>0.5</c:v>
                </c:pt>
                <c:pt idx="6">
                  <c:v>0.41</c:v>
                </c:pt>
                <c:pt idx="7">
                  <c:v>0.39</c:v>
                </c:pt>
                <c:pt idx="8">
                  <c:v>0.45</c:v>
                </c:pt>
              </c:numCache>
            </c:numRef>
          </c:val>
          <c:smooth val="0"/>
          <c:extLst>
            <c:ext xmlns:c16="http://schemas.microsoft.com/office/drawing/2014/chart" uri="{C3380CC4-5D6E-409C-BE32-E72D297353CC}">
              <c16:uniqueId val="{00000001-7AEB-47C5-8360-4A34E655C0FB}"/>
            </c:ext>
          </c:extLst>
        </c:ser>
        <c:dLbls>
          <c:showLegendKey val="0"/>
          <c:showVal val="1"/>
          <c:showCatName val="0"/>
          <c:showSerName val="0"/>
          <c:showPercent val="0"/>
          <c:showBubbleSize val="0"/>
        </c:dLbls>
        <c:smooth val="0"/>
        <c:axId val="-2031348336"/>
        <c:axId val="-2031347792"/>
      </c:lineChart>
      <c:catAx>
        <c:axId val="-203134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347792"/>
        <c:crosses val="autoZero"/>
        <c:auto val="1"/>
        <c:lblAlgn val="ctr"/>
        <c:lblOffset val="100"/>
        <c:noMultiLvlLbl val="0"/>
      </c:catAx>
      <c:valAx>
        <c:axId val="-203134779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3483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3507367238344323"/>
          <c:y val="4.459264133164991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'10 AprenCNCTS'!$E$15</c:f>
              <c:strCache>
                <c:ptCount val="1"/>
                <c:pt idx="0">
                  <c:v>Analizar  el potencial del uso de recursos  naturales  o artefactos  y sus efectos sobre el entorno y la salud , así como las posibilidades de desarrollo para las comunidades. - CTS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 AprenCNCTS'!$C$17:$C$25</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'10 AprenCNCTS'!$E$17:$E$25</c:f>
              <c:numCache>
                <c:formatCode>0%</c:formatCode>
                <c:ptCount val="9"/>
                <c:pt idx="0">
                  <c:v>0.4</c:v>
                </c:pt>
                <c:pt idx="1">
                  <c:v>0.42</c:v>
                </c:pt>
                <c:pt idx="2">
                  <c:v>0.4</c:v>
                </c:pt>
                <c:pt idx="3">
                  <c:v>0.47</c:v>
                </c:pt>
                <c:pt idx="4">
                  <c:v>0.34</c:v>
                </c:pt>
                <c:pt idx="5">
                  <c:v>0.59</c:v>
                </c:pt>
                <c:pt idx="6">
                  <c:v>0.47</c:v>
                </c:pt>
                <c:pt idx="7">
                  <c:v>0.35</c:v>
                </c:pt>
                <c:pt idx="8">
                  <c:v>0.47</c:v>
                </c:pt>
              </c:numCache>
            </c:numRef>
          </c:val>
          <c:smooth val="0"/>
          <c:extLst>
            <c:ext xmlns:c16="http://schemas.microsoft.com/office/drawing/2014/chart" uri="{C3380CC4-5D6E-409C-BE32-E72D297353CC}">
              <c16:uniqueId val="{00000001-933F-42B1-A744-254664DA681B}"/>
            </c:ext>
          </c:extLst>
        </c:ser>
        <c:dLbls>
          <c:showLegendKey val="0"/>
          <c:showVal val="1"/>
          <c:showCatName val="0"/>
          <c:showSerName val="0"/>
          <c:showPercent val="0"/>
          <c:showBubbleSize val="0"/>
        </c:dLbls>
        <c:smooth val="0"/>
        <c:axId val="-2031346704"/>
        <c:axId val="-2031361392"/>
      </c:lineChart>
      <c:catAx>
        <c:axId val="-203134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361392"/>
        <c:crosses val="autoZero"/>
        <c:auto val="1"/>
        <c:lblAlgn val="ctr"/>
        <c:lblOffset val="100"/>
        <c:noMultiLvlLbl val="0"/>
      </c:catAx>
      <c:valAx>
        <c:axId val="-203136139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3134670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3 Promediosyniveles'!A1"/><Relationship Id="rId13" Type="http://schemas.openxmlformats.org/officeDocument/2006/relationships/image" Target="../media/image9.svg"/><Relationship Id="rId18" Type="http://schemas.openxmlformats.org/officeDocument/2006/relationships/image" Target="../media/image12.png"/><Relationship Id="rId3" Type="http://schemas.openxmlformats.org/officeDocument/2006/relationships/image" Target="../media/image2.png"/><Relationship Id="rId21" Type="http://schemas.openxmlformats.org/officeDocument/2006/relationships/hyperlink" Target="#'9 AprenCNProF&#237;sicos'!A1"/><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7 AprenCNProVivos'!A1"/><Relationship Id="rId2" Type="http://schemas.openxmlformats.org/officeDocument/2006/relationships/hyperlink" Target="#'2 PuntajeGlobal'!A1"/><Relationship Id="rId16" Type="http://schemas.openxmlformats.org/officeDocument/2006/relationships/image" Target="../media/image11.svg"/><Relationship Id="rId20" Type="http://schemas.openxmlformats.org/officeDocument/2006/relationships/hyperlink" Target="#'8 AprenCNProQu&#237;micos'!A1"/><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5 AprenMate'!A1"/><Relationship Id="rId5" Type="http://schemas.openxmlformats.org/officeDocument/2006/relationships/hyperlink" Target="#'4 AprenLectura'!A1"/><Relationship Id="rId15" Type="http://schemas.openxmlformats.org/officeDocument/2006/relationships/image" Target="../media/image10.png"/><Relationship Id="rId23" Type="http://schemas.openxmlformats.org/officeDocument/2006/relationships/image" Target="../media/image14.png"/><Relationship Id="rId10" Type="http://schemas.openxmlformats.org/officeDocument/2006/relationships/image" Target="../media/image7.svg"/><Relationship Id="rId19" Type="http://schemas.openxmlformats.org/officeDocument/2006/relationships/image" Target="../media/image13.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6 AprenSyC'!A1"/><Relationship Id="rId22" Type="http://schemas.openxmlformats.org/officeDocument/2006/relationships/hyperlink" Target="#'10 AprenCNCTS'!A1"/></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chart" Target="../charts/chart11.xml"/><Relationship Id="rId7" Type="http://schemas.openxmlformats.org/officeDocument/2006/relationships/image" Target="../media/image17.svg"/><Relationship Id="rId2" Type="http://schemas.openxmlformats.org/officeDocument/2006/relationships/chart" Target="../charts/chart10.xml"/><Relationship Id="rId1" Type="http://schemas.openxmlformats.org/officeDocument/2006/relationships/image" Target="../media/image15.png"/><Relationship Id="rId6" Type="http://schemas.openxmlformats.org/officeDocument/2006/relationships/image" Target="../media/image16.png"/><Relationship Id="rId5" Type="http://schemas.openxmlformats.org/officeDocument/2006/relationships/hyperlink" Target="#'GU&#205;A DE USO'!A1"/><Relationship Id="rId10" Type="http://schemas.openxmlformats.org/officeDocument/2006/relationships/image" Target="../media/image14.png"/><Relationship Id="rId4" Type="http://schemas.openxmlformats.org/officeDocument/2006/relationships/image" Target="../media/image1.png"/><Relationship Id="rId9" Type="http://schemas.openxmlformats.org/officeDocument/2006/relationships/image" Target="../media/image19.svg"/></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image" Target="../media/image16.png"/><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hyperlink" Target="#'GU&#205;A DE USO'!A1"/><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image" Target="../media/image1.png"/><Relationship Id="rId5" Type="http://schemas.openxmlformats.org/officeDocument/2006/relationships/chart" Target="../charts/chart16.xml"/><Relationship Id="rId15" Type="http://schemas.openxmlformats.org/officeDocument/2006/relationships/image" Target="../media/image14.png"/><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image" Target="../media/image17.svg"/></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3.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5" Type="http://schemas.openxmlformats.org/officeDocument/2006/relationships/chart" Target="../charts/chart3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chart" Target="../charts/chart54.xml"/></Relationships>
</file>

<file path=xl/drawings/_rels/drawing10.xml.rels><?xml version="1.0" encoding="UTF-8" standalone="yes"?>
<Relationships xmlns="http://schemas.openxmlformats.org/package/2006/relationships"><Relationship Id="rId3" Type="http://schemas.openxmlformats.org/officeDocument/2006/relationships/hyperlink" Target="#'GU&#205;A DE USO'!A1"/><Relationship Id="rId2" Type="http://schemas.openxmlformats.org/officeDocument/2006/relationships/image" Target="../media/image1.png"/><Relationship Id="rId1" Type="http://schemas.openxmlformats.org/officeDocument/2006/relationships/chart" Target="../charts/chart55.xml"/><Relationship Id="rId6" Type="http://schemas.openxmlformats.org/officeDocument/2006/relationships/image" Target="../media/image14.png"/><Relationship Id="rId5" Type="http://schemas.openxmlformats.org/officeDocument/2006/relationships/image" Target="../media/image17.svg"/><Relationship Id="rId4"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3" Type="http://schemas.openxmlformats.org/officeDocument/2006/relationships/hyperlink" Target="#'GU&#205;A DE USO'!A1"/><Relationship Id="rId2" Type="http://schemas.openxmlformats.org/officeDocument/2006/relationships/image" Target="../media/image1.png"/><Relationship Id="rId1" Type="http://schemas.openxmlformats.org/officeDocument/2006/relationships/chart" Target="../charts/chart56.xml"/><Relationship Id="rId6" Type="http://schemas.openxmlformats.org/officeDocument/2006/relationships/image" Target="../media/image14.png"/><Relationship Id="rId5" Type="http://schemas.openxmlformats.org/officeDocument/2006/relationships/image" Target="../media/image17.svg"/><Relationship Id="rId4"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png"/><Relationship Id="rId7" Type="http://schemas.openxmlformats.org/officeDocument/2006/relationships/image" Target="../media/image17.svg"/><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image" Target="../media/image16.png"/><Relationship Id="rId5" Type="http://schemas.openxmlformats.org/officeDocument/2006/relationships/hyperlink" Target="#'GU&#205;A DE USO'!A1"/><Relationship Id="rId4" Type="http://schemas.openxmlformats.org/officeDocument/2006/relationships/chart" Target="../charts/chart59.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62.xml"/><Relationship Id="rId7" Type="http://schemas.openxmlformats.org/officeDocument/2006/relationships/image" Target="../media/image17.svg"/><Relationship Id="rId2" Type="http://schemas.openxmlformats.org/officeDocument/2006/relationships/chart" Target="../charts/chart61.xml"/><Relationship Id="rId1" Type="http://schemas.openxmlformats.org/officeDocument/2006/relationships/chart" Target="../charts/chart60.xml"/><Relationship Id="rId6" Type="http://schemas.openxmlformats.org/officeDocument/2006/relationships/image" Target="../media/image16.png"/><Relationship Id="rId5" Type="http://schemas.openxmlformats.org/officeDocument/2006/relationships/hyperlink" Target="#'GU&#205;A DE USO'!A1"/><Relationship Id="rId4" Type="http://schemas.openxmlformats.org/officeDocument/2006/relationships/image" Target="../media/image1.png"/><Relationship Id="rId9"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7.svg"/><Relationship Id="rId3" Type="http://schemas.openxmlformats.org/officeDocument/2006/relationships/chart" Target="../charts/chart66.xml"/><Relationship Id="rId7" Type="http://schemas.openxmlformats.org/officeDocument/2006/relationships/image" Target="../media/image16.png"/><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hyperlink" Target="#'GU&#205;A DE USO'!A1"/><Relationship Id="rId5" Type="http://schemas.openxmlformats.org/officeDocument/2006/relationships/image" Target="../media/image1.png"/><Relationship Id="rId4" Type="http://schemas.openxmlformats.org/officeDocument/2006/relationships/chart" Target="../charts/chart67.xml"/><Relationship Id="rId9"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7.svg"/><Relationship Id="rId3" Type="http://schemas.openxmlformats.org/officeDocument/2006/relationships/chart" Target="../charts/chart70.xml"/><Relationship Id="rId7" Type="http://schemas.openxmlformats.org/officeDocument/2006/relationships/image" Target="../media/image16.png"/><Relationship Id="rId2" Type="http://schemas.openxmlformats.org/officeDocument/2006/relationships/chart" Target="../charts/chart69.xml"/><Relationship Id="rId1" Type="http://schemas.openxmlformats.org/officeDocument/2006/relationships/chart" Target="../charts/chart68.xml"/><Relationship Id="rId6" Type="http://schemas.openxmlformats.org/officeDocument/2006/relationships/hyperlink" Target="#'GU&#205;A DE USO'!A1"/><Relationship Id="rId5" Type="http://schemas.openxmlformats.org/officeDocument/2006/relationships/image" Target="../media/image1.png"/><Relationship Id="rId4" Type="http://schemas.openxmlformats.org/officeDocument/2006/relationships/chart" Target="../charts/chart71.xml"/><Relationship Id="rId9"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14.png"/><Relationship Id="rId2" Type="http://schemas.openxmlformats.org/officeDocument/2006/relationships/chart" Target="../charts/chart73.xml"/><Relationship Id="rId1" Type="http://schemas.openxmlformats.org/officeDocument/2006/relationships/chart" Target="../charts/chart72.xml"/><Relationship Id="rId6" Type="http://schemas.openxmlformats.org/officeDocument/2006/relationships/image" Target="../media/image17.svg"/><Relationship Id="rId5" Type="http://schemas.openxmlformats.org/officeDocument/2006/relationships/image" Target="../media/image16.png"/><Relationship Id="rId4" Type="http://schemas.openxmlformats.org/officeDocument/2006/relationships/hyperlink" Target="#'GU&#205;A DE USO'!A1"/></Relationships>
</file>

<file path=xl/drawings/drawing1.xml><?xml version="1.0" encoding="utf-8"?>
<xdr:wsDr xmlns:xdr="http://schemas.openxmlformats.org/drawingml/2006/spreadsheetDrawing" xmlns:a="http://schemas.openxmlformats.org/drawingml/2006/main">
  <xdr:twoCellAnchor editAs="oneCell">
    <xdr:from>
      <xdr:col>15</xdr:col>
      <xdr:colOff>276306</xdr:colOff>
      <xdr:row>0</xdr:row>
      <xdr:rowOff>0</xdr:rowOff>
    </xdr:from>
    <xdr:to>
      <xdr:col>16</xdr:col>
      <xdr:colOff>796216</xdr:colOff>
      <xdr:row>6</xdr:row>
      <xdr:rowOff>71075</xdr:rowOff>
    </xdr:to>
    <xdr:pic>
      <xdr:nvPicPr>
        <xdr:cNvPr id="6" name="Imagen 5">
          <a:extLst>
            <a:ext uri="{FF2B5EF4-FFF2-40B4-BE49-F238E27FC236}">
              <a16:creationId xmlns:a16="http://schemas.microsoft.com/office/drawing/2014/main" id="{CD0C5813-7508-4F5F-8B1C-ED08939586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704"/>
        <a:stretch/>
      </xdr:blipFill>
      <xdr:spPr>
        <a:xfrm>
          <a:off x="16758366" y="0"/>
          <a:ext cx="1380970" cy="1412195"/>
        </a:xfrm>
        <a:prstGeom prst="rect">
          <a:avLst/>
        </a:prstGeom>
      </xdr:spPr>
    </xdr:pic>
    <xdr:clientData/>
  </xdr:twoCellAnchor>
  <xdr:twoCellAnchor editAs="oneCell">
    <xdr:from>
      <xdr:col>3</xdr:col>
      <xdr:colOff>62916</xdr:colOff>
      <xdr:row>9</xdr:row>
      <xdr:rowOff>378599</xdr:rowOff>
    </xdr:from>
    <xdr:to>
      <xdr:col>3</xdr:col>
      <xdr:colOff>977316</xdr:colOff>
      <xdr:row>11</xdr:row>
      <xdr:rowOff>345942</xdr:rowOff>
    </xdr:to>
    <xdr:pic>
      <xdr:nvPicPr>
        <xdr:cNvPr id="10" name="Gráfico 9" descr="Flecha lineal: curva ligera">
          <a:hlinkClick xmlns:r="http://schemas.openxmlformats.org/officeDocument/2006/relationships" r:id="rId2"/>
          <a:extLst>
            <a:ext uri="{FF2B5EF4-FFF2-40B4-BE49-F238E27FC236}">
              <a16:creationId xmlns:a16="http://schemas.microsoft.com/office/drawing/2014/main" id="{C1855657-64AC-4A5A-935A-0688E925C1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08887" y="2947628"/>
          <a:ext cx="914400" cy="914400"/>
        </a:xfrm>
        <a:prstGeom prst="rect">
          <a:avLst/>
        </a:prstGeom>
      </xdr:spPr>
    </xdr:pic>
    <xdr:clientData/>
  </xdr:twoCellAnchor>
  <xdr:twoCellAnchor editAs="oneCell">
    <xdr:from>
      <xdr:col>2</xdr:col>
      <xdr:colOff>1924373</xdr:colOff>
      <xdr:row>13</xdr:row>
      <xdr:rowOff>356829</xdr:rowOff>
    </xdr:from>
    <xdr:to>
      <xdr:col>3</xdr:col>
      <xdr:colOff>803145</xdr:colOff>
      <xdr:row>15</xdr:row>
      <xdr:rowOff>258857</xdr:rowOff>
    </xdr:to>
    <xdr:pic>
      <xdr:nvPicPr>
        <xdr:cNvPr id="11" name="Gráfico 10" descr="Flecha lineal: curva ligera">
          <a:hlinkClick xmlns:r="http://schemas.openxmlformats.org/officeDocument/2006/relationships" r:id="rId5"/>
          <a:extLst>
            <a:ext uri="{FF2B5EF4-FFF2-40B4-BE49-F238E27FC236}">
              <a16:creationId xmlns:a16="http://schemas.microsoft.com/office/drawing/2014/main" id="{716AE701-FAD0-4668-A1A2-AD0B74A538A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034716" y="5146543"/>
          <a:ext cx="914400" cy="914400"/>
        </a:xfrm>
        <a:prstGeom prst="rect">
          <a:avLst/>
        </a:prstGeom>
      </xdr:spPr>
    </xdr:pic>
    <xdr:clientData/>
  </xdr:twoCellAnchor>
  <xdr:twoCellAnchor editAs="oneCell">
    <xdr:from>
      <xdr:col>3</xdr:col>
      <xdr:colOff>443916</xdr:colOff>
      <xdr:row>11</xdr:row>
      <xdr:rowOff>672514</xdr:rowOff>
    </xdr:from>
    <xdr:to>
      <xdr:col>4</xdr:col>
      <xdr:colOff>269744</xdr:colOff>
      <xdr:row>13</xdr:row>
      <xdr:rowOff>313286</xdr:rowOff>
    </xdr:to>
    <xdr:pic>
      <xdr:nvPicPr>
        <xdr:cNvPr id="12" name="Gráfico 11" descr="Flecha lineal: curva ligera">
          <a:hlinkClick xmlns:r="http://schemas.openxmlformats.org/officeDocument/2006/relationships" r:id="rId8"/>
          <a:extLst>
            <a:ext uri="{FF2B5EF4-FFF2-40B4-BE49-F238E27FC236}">
              <a16:creationId xmlns:a16="http://schemas.microsoft.com/office/drawing/2014/main" id="{BDBCF594-DFB8-485F-8AAB-049BA0B6BAA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589887" y="4188600"/>
          <a:ext cx="914400" cy="914400"/>
        </a:xfrm>
        <a:prstGeom prst="rect">
          <a:avLst/>
        </a:prstGeom>
      </xdr:spPr>
    </xdr:pic>
    <xdr:clientData/>
  </xdr:twoCellAnchor>
  <xdr:twoCellAnchor editAs="oneCell">
    <xdr:from>
      <xdr:col>2</xdr:col>
      <xdr:colOff>1739316</xdr:colOff>
      <xdr:row>15</xdr:row>
      <xdr:rowOff>378601</xdr:rowOff>
    </xdr:from>
    <xdr:to>
      <xdr:col>3</xdr:col>
      <xdr:colOff>618088</xdr:colOff>
      <xdr:row>17</xdr:row>
      <xdr:rowOff>313287</xdr:rowOff>
    </xdr:to>
    <xdr:pic>
      <xdr:nvPicPr>
        <xdr:cNvPr id="7" name="Gráfico 6" descr="Flecha lineal: curva ligera">
          <a:hlinkClick xmlns:r="http://schemas.openxmlformats.org/officeDocument/2006/relationships" r:id="rId11"/>
          <a:extLst>
            <a:ext uri="{FF2B5EF4-FFF2-40B4-BE49-F238E27FC236}">
              <a16:creationId xmlns:a16="http://schemas.microsoft.com/office/drawing/2014/main" id="{8310A7AE-96E0-4B25-96D3-C20C387CEB1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2849659" y="6126258"/>
          <a:ext cx="914400" cy="914400"/>
        </a:xfrm>
        <a:prstGeom prst="rect">
          <a:avLst/>
        </a:prstGeom>
      </xdr:spPr>
    </xdr:pic>
    <xdr:clientData/>
  </xdr:twoCellAnchor>
  <xdr:twoCellAnchor editAs="oneCell">
    <xdr:from>
      <xdr:col>2</xdr:col>
      <xdr:colOff>1619574</xdr:colOff>
      <xdr:row>17</xdr:row>
      <xdr:rowOff>226201</xdr:rowOff>
    </xdr:from>
    <xdr:to>
      <xdr:col>3</xdr:col>
      <xdr:colOff>498346</xdr:colOff>
      <xdr:row>19</xdr:row>
      <xdr:rowOff>237087</xdr:rowOff>
    </xdr:to>
    <xdr:pic>
      <xdr:nvPicPr>
        <xdr:cNvPr id="8" name="Gráfico 7" descr="Flecha lineal: curva ligera">
          <a:hlinkClick xmlns:r="http://schemas.openxmlformats.org/officeDocument/2006/relationships" r:id="rId14"/>
          <a:extLst>
            <a:ext uri="{FF2B5EF4-FFF2-40B4-BE49-F238E27FC236}">
              <a16:creationId xmlns:a16="http://schemas.microsoft.com/office/drawing/2014/main" id="{271349B9-3099-4E95-9F3A-721C9A093BA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729917" y="6953572"/>
          <a:ext cx="914400" cy="914400"/>
        </a:xfrm>
        <a:prstGeom prst="rect">
          <a:avLst/>
        </a:prstGeom>
      </xdr:spPr>
    </xdr:pic>
    <xdr:clientData/>
  </xdr:twoCellAnchor>
  <xdr:twoCellAnchor editAs="oneCell">
    <xdr:from>
      <xdr:col>3</xdr:col>
      <xdr:colOff>182660</xdr:colOff>
      <xdr:row>19</xdr:row>
      <xdr:rowOff>291514</xdr:rowOff>
    </xdr:from>
    <xdr:to>
      <xdr:col>4</xdr:col>
      <xdr:colOff>8488</xdr:colOff>
      <xdr:row>21</xdr:row>
      <xdr:rowOff>215314</xdr:rowOff>
    </xdr:to>
    <xdr:pic>
      <xdr:nvPicPr>
        <xdr:cNvPr id="9" name="Gráfico 8" descr="Flecha lineal: curva ligera">
          <a:hlinkClick xmlns:r="http://schemas.openxmlformats.org/officeDocument/2006/relationships" r:id="rId17"/>
          <a:extLst>
            <a:ext uri="{FF2B5EF4-FFF2-40B4-BE49-F238E27FC236}">
              <a16:creationId xmlns:a16="http://schemas.microsoft.com/office/drawing/2014/main" id="{56C3E9B6-F953-4F23-B966-EEF02B335CD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3328631" y="7922400"/>
          <a:ext cx="914400" cy="914400"/>
        </a:xfrm>
        <a:prstGeom prst="rect">
          <a:avLst/>
        </a:prstGeom>
      </xdr:spPr>
    </xdr:pic>
    <xdr:clientData/>
  </xdr:twoCellAnchor>
  <xdr:twoCellAnchor editAs="oneCell">
    <xdr:from>
      <xdr:col>3</xdr:col>
      <xdr:colOff>476574</xdr:colOff>
      <xdr:row>21</xdr:row>
      <xdr:rowOff>237085</xdr:rowOff>
    </xdr:from>
    <xdr:to>
      <xdr:col>4</xdr:col>
      <xdr:colOff>302402</xdr:colOff>
      <xdr:row>23</xdr:row>
      <xdr:rowOff>193542</xdr:rowOff>
    </xdr:to>
    <xdr:pic>
      <xdr:nvPicPr>
        <xdr:cNvPr id="13" name="Gráfico 12" descr="Flecha lineal: curva ligera">
          <a:hlinkClick xmlns:r="http://schemas.openxmlformats.org/officeDocument/2006/relationships" r:id="rId20"/>
          <a:extLst>
            <a:ext uri="{FF2B5EF4-FFF2-40B4-BE49-F238E27FC236}">
              <a16:creationId xmlns:a16="http://schemas.microsoft.com/office/drawing/2014/main" id="{84AEC6C5-62DA-4CFD-BEDA-A1D2A1454FF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3622545" y="8858571"/>
          <a:ext cx="914400" cy="914400"/>
        </a:xfrm>
        <a:prstGeom prst="rect">
          <a:avLst/>
        </a:prstGeom>
      </xdr:spPr>
    </xdr:pic>
    <xdr:clientData/>
  </xdr:twoCellAnchor>
  <xdr:twoCellAnchor editAs="oneCell">
    <xdr:from>
      <xdr:col>3</xdr:col>
      <xdr:colOff>313288</xdr:colOff>
      <xdr:row>23</xdr:row>
      <xdr:rowOff>237085</xdr:rowOff>
    </xdr:from>
    <xdr:to>
      <xdr:col>4</xdr:col>
      <xdr:colOff>139116</xdr:colOff>
      <xdr:row>25</xdr:row>
      <xdr:rowOff>247971</xdr:rowOff>
    </xdr:to>
    <xdr:pic>
      <xdr:nvPicPr>
        <xdr:cNvPr id="14" name="Gráfico 13" descr="Flecha lineal: curva ligera">
          <a:hlinkClick xmlns:r="http://schemas.openxmlformats.org/officeDocument/2006/relationships" r:id="rId21"/>
          <a:extLst>
            <a:ext uri="{FF2B5EF4-FFF2-40B4-BE49-F238E27FC236}">
              <a16:creationId xmlns:a16="http://schemas.microsoft.com/office/drawing/2014/main" id="{30B967D7-3D81-45DC-9982-5750EA09DF5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3459259" y="9816514"/>
          <a:ext cx="914400" cy="914400"/>
        </a:xfrm>
        <a:prstGeom prst="rect">
          <a:avLst/>
        </a:prstGeom>
      </xdr:spPr>
    </xdr:pic>
    <xdr:clientData/>
  </xdr:twoCellAnchor>
  <xdr:twoCellAnchor editAs="oneCell">
    <xdr:from>
      <xdr:col>2</xdr:col>
      <xdr:colOff>1924374</xdr:colOff>
      <xdr:row>25</xdr:row>
      <xdr:rowOff>302400</xdr:rowOff>
    </xdr:from>
    <xdr:to>
      <xdr:col>3</xdr:col>
      <xdr:colOff>803146</xdr:colOff>
      <xdr:row>27</xdr:row>
      <xdr:rowOff>226200</xdr:rowOff>
    </xdr:to>
    <xdr:pic>
      <xdr:nvPicPr>
        <xdr:cNvPr id="15" name="Gráfico 14" descr="Flecha lineal: curva ligera">
          <a:hlinkClick xmlns:r="http://schemas.openxmlformats.org/officeDocument/2006/relationships" r:id="rId22"/>
          <a:extLst>
            <a:ext uri="{FF2B5EF4-FFF2-40B4-BE49-F238E27FC236}">
              <a16:creationId xmlns:a16="http://schemas.microsoft.com/office/drawing/2014/main" id="{6762E9D9-E113-4091-AD7B-D12CF45BE60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3034717" y="10785343"/>
          <a:ext cx="914400" cy="914400"/>
        </a:xfrm>
        <a:prstGeom prst="rect">
          <a:avLst/>
        </a:prstGeom>
      </xdr:spPr>
    </xdr:pic>
    <xdr:clientData/>
  </xdr:twoCellAnchor>
  <xdr:twoCellAnchor editAs="oneCell">
    <xdr:from>
      <xdr:col>0</xdr:col>
      <xdr:colOff>9526</xdr:colOff>
      <xdr:row>0</xdr:row>
      <xdr:rowOff>57150</xdr:rowOff>
    </xdr:from>
    <xdr:to>
      <xdr:col>4</xdr:col>
      <xdr:colOff>152401</xdr:colOff>
      <xdr:row>4</xdr:row>
      <xdr:rowOff>186071</xdr:rowOff>
    </xdr:to>
    <xdr:pic>
      <xdr:nvPicPr>
        <xdr:cNvPr id="2" name="Imagen 1">
          <a:extLst>
            <a:ext uri="{FF2B5EF4-FFF2-40B4-BE49-F238E27FC236}">
              <a16:creationId xmlns:a16="http://schemas.microsoft.com/office/drawing/2014/main" id="{074E6265-562B-4D4A-9BE2-92366C6F3DEA}"/>
            </a:ext>
          </a:extLst>
        </xdr:cNvPr>
        <xdr:cNvPicPr>
          <a:picLocks noChangeAspect="1"/>
        </xdr:cNvPicPr>
      </xdr:nvPicPr>
      <xdr:blipFill>
        <a:blip xmlns:r="http://schemas.openxmlformats.org/officeDocument/2006/relationships" r:embed="rId23"/>
        <a:stretch>
          <a:fillRect/>
        </a:stretch>
      </xdr:blipFill>
      <xdr:spPr>
        <a:xfrm>
          <a:off x="9526" y="57150"/>
          <a:ext cx="4267200" cy="929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552450</xdr:colOff>
      <xdr:row>185</xdr:row>
      <xdr:rowOff>156582</xdr:rowOff>
    </xdr:from>
    <xdr:to>
      <xdr:col>38</xdr:col>
      <xdr:colOff>46464</xdr:colOff>
      <xdr:row>211</xdr:row>
      <xdr:rowOff>6275</xdr:rowOff>
    </xdr:to>
    <xdr:graphicFrame macro="">
      <xdr:nvGraphicFramePr>
        <xdr:cNvPr id="9" name="8 Gráfico" title="Resultados Soacha por Comunas">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634225</xdr:colOff>
      <xdr:row>240</xdr:row>
      <xdr:rowOff>15566</xdr:rowOff>
    </xdr:from>
    <xdr:to>
      <xdr:col>17</xdr:col>
      <xdr:colOff>314325</xdr:colOff>
      <xdr:row>266</xdr:row>
      <xdr:rowOff>27183</xdr:rowOff>
    </xdr:to>
    <xdr:graphicFrame macro="">
      <xdr:nvGraphicFramePr>
        <xdr:cNvPr id="10" name="9 Gráfico" title="Resultados Soacha por Comunas">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778495</xdr:colOff>
      <xdr:row>241</xdr:row>
      <xdr:rowOff>27180</xdr:rowOff>
    </xdr:from>
    <xdr:to>
      <xdr:col>31</xdr:col>
      <xdr:colOff>336164</xdr:colOff>
      <xdr:row>267</xdr:row>
      <xdr:rowOff>38100</xdr:rowOff>
    </xdr:to>
    <xdr:graphicFrame macro="">
      <xdr:nvGraphicFramePr>
        <xdr:cNvPr id="11" name="10 Gráfico">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281801</xdr:colOff>
      <xdr:row>284</xdr:row>
      <xdr:rowOff>51110</xdr:rowOff>
    </xdr:from>
    <xdr:to>
      <xdr:col>26</xdr:col>
      <xdr:colOff>38101</xdr:colOff>
      <xdr:row>309</xdr:row>
      <xdr:rowOff>152401</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808074</xdr:colOff>
      <xdr:row>360</xdr:row>
      <xdr:rowOff>38100</xdr:rowOff>
    </xdr:from>
    <xdr:to>
      <xdr:col>15</xdr:col>
      <xdr:colOff>261257</xdr:colOff>
      <xdr:row>385</xdr:row>
      <xdr:rowOff>35663</xdr:rowOff>
    </xdr:to>
    <xdr:graphicFrame macro="">
      <xdr:nvGraphicFramePr>
        <xdr:cNvPr id="4" name="Gráfico 3">
          <a:extLst>
            <a:ext uri="{FF2B5EF4-FFF2-40B4-BE49-F238E27FC236}">
              <a16:creationId xmlns:a16="http://schemas.microsoft.com/office/drawing/2014/main" id="{39236EEF-240C-4CAD-B860-4171EC2BA0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693965</xdr:colOff>
      <xdr:row>402</xdr:row>
      <xdr:rowOff>108855</xdr:rowOff>
    </xdr:from>
    <xdr:to>
      <xdr:col>10</xdr:col>
      <xdr:colOff>554126</xdr:colOff>
      <xdr:row>429</xdr:row>
      <xdr:rowOff>13606</xdr:rowOff>
    </xdr:to>
    <xdr:graphicFrame macro="">
      <xdr:nvGraphicFramePr>
        <xdr:cNvPr id="5" name="Gráfico 4">
          <a:extLst>
            <a:ext uri="{FF2B5EF4-FFF2-40B4-BE49-F238E27FC236}">
              <a16:creationId xmlns:a16="http://schemas.microsoft.com/office/drawing/2014/main" id="{EE98B1D4-9D56-4183-8287-BA60DDB1D7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971768</xdr:colOff>
      <xdr:row>403</xdr:row>
      <xdr:rowOff>25754</xdr:rowOff>
    </xdr:from>
    <xdr:to>
      <xdr:col>20</xdr:col>
      <xdr:colOff>408214</xdr:colOff>
      <xdr:row>429</xdr:row>
      <xdr:rowOff>13606</xdr:rowOff>
    </xdr:to>
    <xdr:graphicFrame macro="">
      <xdr:nvGraphicFramePr>
        <xdr:cNvPr id="6" name="Gráfico 5">
          <a:extLst>
            <a:ext uri="{FF2B5EF4-FFF2-40B4-BE49-F238E27FC236}">
              <a16:creationId xmlns:a16="http://schemas.microsoft.com/office/drawing/2014/main" id="{EAE0D14B-DB53-48AC-B166-7A7C2B79B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433</xdr:row>
      <xdr:rowOff>0</xdr:rowOff>
    </xdr:from>
    <xdr:to>
      <xdr:col>11</xdr:col>
      <xdr:colOff>673837</xdr:colOff>
      <xdr:row>459</xdr:row>
      <xdr:rowOff>52025</xdr:rowOff>
    </xdr:to>
    <xdr:graphicFrame macro="">
      <xdr:nvGraphicFramePr>
        <xdr:cNvPr id="7" name="Gráfico 6">
          <a:extLst>
            <a:ext uri="{FF2B5EF4-FFF2-40B4-BE49-F238E27FC236}">
              <a16:creationId xmlns:a16="http://schemas.microsoft.com/office/drawing/2014/main" id="{9539899B-644F-415B-8256-C2F1BDEBB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742950</xdr:colOff>
      <xdr:row>433</xdr:row>
      <xdr:rowOff>19050</xdr:rowOff>
    </xdr:from>
    <xdr:to>
      <xdr:col>22</xdr:col>
      <xdr:colOff>235687</xdr:colOff>
      <xdr:row>459</xdr:row>
      <xdr:rowOff>71075</xdr:rowOff>
    </xdr:to>
    <xdr:graphicFrame macro="">
      <xdr:nvGraphicFramePr>
        <xdr:cNvPr id="2" name="Gráfico 1">
          <a:extLst>
            <a:ext uri="{FF2B5EF4-FFF2-40B4-BE49-F238E27FC236}">
              <a16:creationId xmlns:a16="http://schemas.microsoft.com/office/drawing/2014/main" id="{CB735144-BD59-4BD5-A9C3-A94DEB8BB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285446</xdr:colOff>
      <xdr:row>23</xdr:row>
      <xdr:rowOff>199268</xdr:rowOff>
    </xdr:from>
    <xdr:to>
      <xdr:col>16</xdr:col>
      <xdr:colOff>332651</xdr:colOff>
      <xdr:row>32</xdr:row>
      <xdr:rowOff>52846</xdr:rowOff>
    </xdr:to>
    <xdr:pic>
      <xdr:nvPicPr>
        <xdr:cNvPr id="3" name="Imagen 2">
          <a:extLst>
            <a:ext uri="{FF2B5EF4-FFF2-40B4-BE49-F238E27FC236}">
              <a16:creationId xmlns:a16="http://schemas.microsoft.com/office/drawing/2014/main" id="{FD0D18DA-92EC-4B88-81B1-2421FD26C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5571" y="7311268"/>
          <a:ext cx="2571330" cy="2060203"/>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728427</xdr:colOff>
      <xdr:row>11</xdr:row>
      <xdr:rowOff>119547</xdr:rowOff>
    </xdr:from>
    <xdr:to>
      <xdr:col>12</xdr:col>
      <xdr:colOff>552701</xdr:colOff>
      <xdr:row>23</xdr:row>
      <xdr:rowOff>54118</xdr:rowOff>
    </xdr:to>
    <xdr:graphicFrame macro="">
      <xdr:nvGraphicFramePr>
        <xdr:cNvPr id="7" name="Gráfico 6">
          <a:extLst>
            <a:ext uri="{FF2B5EF4-FFF2-40B4-BE49-F238E27FC236}">
              <a16:creationId xmlns:a16="http://schemas.microsoft.com/office/drawing/2014/main" id="{D1EF9E40-E0F1-4428-AC6C-F42565093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75234</xdr:colOff>
      <xdr:row>25</xdr:row>
      <xdr:rowOff>111105</xdr:rowOff>
    </xdr:from>
    <xdr:to>
      <xdr:col>8</xdr:col>
      <xdr:colOff>382360</xdr:colOff>
      <xdr:row>41</xdr:row>
      <xdr:rowOff>127907</xdr:rowOff>
    </xdr:to>
    <xdr:graphicFrame macro="">
      <xdr:nvGraphicFramePr>
        <xdr:cNvPr id="4" name="Gráfico 3">
          <a:extLst>
            <a:ext uri="{FF2B5EF4-FFF2-40B4-BE49-F238E27FC236}">
              <a16:creationId xmlns:a16="http://schemas.microsoft.com/office/drawing/2014/main" id="{2423D020-CCBA-4DB0-A784-710351AE4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276306</xdr:colOff>
      <xdr:row>0</xdr:row>
      <xdr:rowOff>0</xdr:rowOff>
    </xdr:from>
    <xdr:to>
      <xdr:col>16</xdr:col>
      <xdr:colOff>796216</xdr:colOff>
      <xdr:row>6</xdr:row>
      <xdr:rowOff>223475</xdr:rowOff>
    </xdr:to>
    <xdr:pic>
      <xdr:nvPicPr>
        <xdr:cNvPr id="11" name="Imagen 10">
          <a:extLst>
            <a:ext uri="{FF2B5EF4-FFF2-40B4-BE49-F238E27FC236}">
              <a16:creationId xmlns:a16="http://schemas.microsoft.com/office/drawing/2014/main" id="{C4E1D69D-B025-4AE9-8FF0-AFE0A433F48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7704"/>
        <a:stretch/>
      </xdr:blipFill>
      <xdr:spPr>
        <a:xfrm>
          <a:off x="16748953" y="0"/>
          <a:ext cx="1382763" cy="1433710"/>
        </a:xfrm>
        <a:prstGeom prst="rect">
          <a:avLst/>
        </a:prstGeom>
      </xdr:spPr>
    </xdr:pic>
    <xdr:clientData/>
  </xdr:twoCellAnchor>
  <xdr:twoCellAnchor>
    <xdr:from>
      <xdr:col>13</xdr:col>
      <xdr:colOff>805541</xdr:colOff>
      <xdr:row>3</xdr:row>
      <xdr:rowOff>87084</xdr:rowOff>
    </xdr:from>
    <xdr:to>
      <xdr:col>16</xdr:col>
      <xdr:colOff>729342</xdr:colOff>
      <xdr:row>6</xdr:row>
      <xdr:rowOff>163285</xdr:rowOff>
    </xdr:to>
    <xdr:grpSp>
      <xdr:nvGrpSpPr>
        <xdr:cNvPr id="12" name="Grupo 11">
          <a:hlinkClick xmlns:r="http://schemas.openxmlformats.org/officeDocument/2006/relationships" r:id="rId5"/>
          <a:extLst>
            <a:ext uri="{FF2B5EF4-FFF2-40B4-BE49-F238E27FC236}">
              <a16:creationId xmlns:a16="http://schemas.microsoft.com/office/drawing/2014/main" id="{708907F8-617F-4D59-8456-4830650AFEBC}"/>
            </a:ext>
          </a:extLst>
        </xdr:cNvPr>
        <xdr:cNvGrpSpPr/>
      </xdr:nvGrpSpPr>
      <xdr:grpSpPr>
        <a:xfrm>
          <a:off x="15800612" y="699405"/>
          <a:ext cx="2454730" cy="688523"/>
          <a:chOff x="15620999" y="402771"/>
          <a:chExt cx="2503715" cy="664029"/>
        </a:xfrm>
      </xdr:grpSpPr>
      <xdr:pic>
        <xdr:nvPicPr>
          <xdr:cNvPr id="5" name="Gráfico 4" descr="Flecha lineal: giro a la izquierda">
            <a:extLst>
              <a:ext uri="{FF2B5EF4-FFF2-40B4-BE49-F238E27FC236}">
                <a16:creationId xmlns:a16="http://schemas.microsoft.com/office/drawing/2014/main" id="{9FB191DE-F551-4E3F-9987-69A87D4ADF7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620999" y="402771"/>
            <a:ext cx="664029" cy="664029"/>
          </a:xfrm>
          <a:prstGeom prst="rect">
            <a:avLst/>
          </a:prstGeom>
        </xdr:spPr>
      </xdr:pic>
      <xdr:sp macro="" textlink="">
        <xdr:nvSpPr>
          <xdr:cNvPr id="9" name="CuadroTexto 8">
            <a:extLst>
              <a:ext uri="{FF2B5EF4-FFF2-40B4-BE49-F238E27FC236}">
                <a16:creationId xmlns:a16="http://schemas.microsoft.com/office/drawing/2014/main" id="{F97A0B23-CC9E-433A-9310-6877E141A466}"/>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12</xdr:col>
      <xdr:colOff>163286</xdr:colOff>
      <xdr:row>7</xdr:row>
      <xdr:rowOff>239486</xdr:rowOff>
    </xdr:from>
    <xdr:to>
      <xdr:col>12</xdr:col>
      <xdr:colOff>1077686</xdr:colOff>
      <xdr:row>9</xdr:row>
      <xdr:rowOff>228600</xdr:rowOff>
    </xdr:to>
    <xdr:pic>
      <xdr:nvPicPr>
        <xdr:cNvPr id="14" name="Gráfico 13" descr="Flecha recta">
          <a:extLst>
            <a:ext uri="{FF2B5EF4-FFF2-40B4-BE49-F238E27FC236}">
              <a16:creationId xmlns:a16="http://schemas.microsoft.com/office/drawing/2014/main" id="{BBA13B79-EC77-42D8-9D12-561E9BC5DB7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4434457" y="1992086"/>
          <a:ext cx="914400" cy="914400"/>
        </a:xfrm>
        <a:prstGeom prst="rect">
          <a:avLst/>
        </a:prstGeom>
      </xdr:spPr>
    </xdr:pic>
    <xdr:clientData/>
  </xdr:twoCellAnchor>
  <xdr:twoCellAnchor editAs="oneCell">
    <xdr:from>
      <xdr:col>0</xdr:col>
      <xdr:colOff>59531</xdr:colOff>
      <xdr:row>0</xdr:row>
      <xdr:rowOff>130969</xdr:rowOff>
    </xdr:from>
    <xdr:to>
      <xdr:col>4</xdr:col>
      <xdr:colOff>781771</xdr:colOff>
      <xdr:row>6</xdr:row>
      <xdr:rowOff>40638</xdr:rowOff>
    </xdr:to>
    <xdr:pic>
      <xdr:nvPicPr>
        <xdr:cNvPr id="2" name="Imagen 1">
          <a:extLst>
            <a:ext uri="{FF2B5EF4-FFF2-40B4-BE49-F238E27FC236}">
              <a16:creationId xmlns:a16="http://schemas.microsoft.com/office/drawing/2014/main" id="{329C8B3E-DF2E-4FDB-9A29-FEFD7D23E1E8}"/>
            </a:ext>
          </a:extLst>
        </xdr:cNvPr>
        <xdr:cNvPicPr>
          <a:picLocks noChangeAspect="1"/>
        </xdr:cNvPicPr>
      </xdr:nvPicPr>
      <xdr:blipFill>
        <a:blip xmlns:r="http://schemas.openxmlformats.org/officeDocument/2006/relationships" r:embed="rId10"/>
        <a:stretch>
          <a:fillRect/>
        </a:stretch>
      </xdr:blipFill>
      <xdr:spPr>
        <a:xfrm>
          <a:off x="59531" y="130969"/>
          <a:ext cx="5163271" cy="1124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370093</xdr:colOff>
      <xdr:row>23</xdr:row>
      <xdr:rowOff>196548</xdr:rowOff>
    </xdr:from>
    <xdr:to>
      <xdr:col>6</xdr:col>
      <xdr:colOff>1517952</xdr:colOff>
      <xdr:row>39</xdr:row>
      <xdr:rowOff>148166</xdr:rowOff>
    </xdr:to>
    <xdr:graphicFrame macro="">
      <xdr:nvGraphicFramePr>
        <xdr:cNvPr id="2" name="Gráfico 1">
          <a:extLst>
            <a:ext uri="{FF2B5EF4-FFF2-40B4-BE49-F238E27FC236}">
              <a16:creationId xmlns:a16="http://schemas.microsoft.com/office/drawing/2014/main" id="{0F847F52-908E-4D2C-BD48-5B83B637D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268537</xdr:colOff>
      <xdr:row>82</xdr:row>
      <xdr:rowOff>249552</xdr:rowOff>
    </xdr:from>
    <xdr:to>
      <xdr:col>6</xdr:col>
      <xdr:colOff>1482272</xdr:colOff>
      <xdr:row>98</xdr:row>
      <xdr:rowOff>231624</xdr:rowOff>
    </xdr:to>
    <xdr:graphicFrame macro="">
      <xdr:nvGraphicFramePr>
        <xdr:cNvPr id="3" name="Gráfico 2">
          <a:extLst>
            <a:ext uri="{FF2B5EF4-FFF2-40B4-BE49-F238E27FC236}">
              <a16:creationId xmlns:a16="http://schemas.microsoft.com/office/drawing/2014/main" id="{408A83CA-D293-4809-B1A2-DDF01644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327422</xdr:colOff>
      <xdr:row>146</xdr:row>
      <xdr:rowOff>2347</xdr:rowOff>
    </xdr:from>
    <xdr:to>
      <xdr:col>6</xdr:col>
      <xdr:colOff>1524000</xdr:colOff>
      <xdr:row>163</xdr:row>
      <xdr:rowOff>0</xdr:rowOff>
    </xdr:to>
    <xdr:graphicFrame macro="">
      <xdr:nvGraphicFramePr>
        <xdr:cNvPr id="4" name="Gráfico 3">
          <a:extLst>
            <a:ext uri="{FF2B5EF4-FFF2-40B4-BE49-F238E27FC236}">
              <a16:creationId xmlns:a16="http://schemas.microsoft.com/office/drawing/2014/main" id="{A0349B7F-5895-485A-AF20-7ACFD0429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304204</xdr:colOff>
      <xdr:row>212</xdr:row>
      <xdr:rowOff>86917</xdr:rowOff>
    </xdr:from>
    <xdr:to>
      <xdr:col>6</xdr:col>
      <xdr:colOff>1413328</xdr:colOff>
      <xdr:row>228</xdr:row>
      <xdr:rowOff>105531</xdr:rowOff>
    </xdr:to>
    <xdr:graphicFrame macro="">
      <xdr:nvGraphicFramePr>
        <xdr:cNvPr id="5" name="Gráfico 4">
          <a:extLst>
            <a:ext uri="{FF2B5EF4-FFF2-40B4-BE49-F238E27FC236}">
              <a16:creationId xmlns:a16="http://schemas.microsoft.com/office/drawing/2014/main" id="{9204A1F2-2E9B-4AD4-B9DA-E395395A4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239573</xdr:colOff>
      <xdr:row>273</xdr:row>
      <xdr:rowOff>57148</xdr:rowOff>
    </xdr:from>
    <xdr:to>
      <xdr:col>6</xdr:col>
      <xdr:colOff>1437518</xdr:colOff>
      <xdr:row>287</xdr:row>
      <xdr:rowOff>149678</xdr:rowOff>
    </xdr:to>
    <xdr:graphicFrame macro="">
      <xdr:nvGraphicFramePr>
        <xdr:cNvPr id="6" name="Gráfico 5">
          <a:extLst>
            <a:ext uri="{FF2B5EF4-FFF2-40B4-BE49-F238E27FC236}">
              <a16:creationId xmlns:a16="http://schemas.microsoft.com/office/drawing/2014/main" id="{B6A736FD-1DF9-4EE8-8ABC-268101EFE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36073</xdr:colOff>
      <xdr:row>41</xdr:row>
      <xdr:rowOff>148827</xdr:rowOff>
    </xdr:from>
    <xdr:to>
      <xdr:col>12</xdr:col>
      <xdr:colOff>267890</xdr:colOff>
      <xdr:row>68</xdr:row>
      <xdr:rowOff>89297</xdr:rowOff>
    </xdr:to>
    <xdr:graphicFrame macro="">
      <xdr:nvGraphicFramePr>
        <xdr:cNvPr id="8" name="Gráfico 7">
          <a:extLst>
            <a:ext uri="{FF2B5EF4-FFF2-40B4-BE49-F238E27FC236}">
              <a16:creationId xmlns:a16="http://schemas.microsoft.com/office/drawing/2014/main" id="{CD3BC0B8-0CB7-4859-8BD4-F6ECE7445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59529</xdr:colOff>
      <xdr:row>101</xdr:row>
      <xdr:rowOff>230707</xdr:rowOff>
    </xdr:from>
    <xdr:to>
      <xdr:col>13</xdr:col>
      <xdr:colOff>967619</xdr:colOff>
      <xdr:row>127</xdr:row>
      <xdr:rowOff>181429</xdr:rowOff>
    </xdr:to>
    <xdr:graphicFrame macro="">
      <xdr:nvGraphicFramePr>
        <xdr:cNvPr id="9" name="Gráfico 8">
          <a:extLst>
            <a:ext uri="{FF2B5EF4-FFF2-40B4-BE49-F238E27FC236}">
              <a16:creationId xmlns:a16="http://schemas.microsoft.com/office/drawing/2014/main" id="{405E5EC8-B69B-4277-A804-5EB6E0CCF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310710</xdr:colOff>
      <xdr:row>166</xdr:row>
      <xdr:rowOff>26372</xdr:rowOff>
    </xdr:from>
    <xdr:to>
      <xdr:col>13</xdr:col>
      <xdr:colOff>919237</xdr:colOff>
      <xdr:row>197</xdr:row>
      <xdr:rowOff>12096</xdr:rowOff>
    </xdr:to>
    <xdr:graphicFrame macro="">
      <xdr:nvGraphicFramePr>
        <xdr:cNvPr id="10" name="Gráfico 9">
          <a:extLst>
            <a:ext uri="{FF2B5EF4-FFF2-40B4-BE49-F238E27FC236}">
              <a16:creationId xmlns:a16="http://schemas.microsoft.com/office/drawing/2014/main" id="{38335704-F297-4E0E-9869-7B3570CE1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340789</xdr:colOff>
      <xdr:row>230</xdr:row>
      <xdr:rowOff>174047</xdr:rowOff>
    </xdr:from>
    <xdr:to>
      <xdr:col>12</xdr:col>
      <xdr:colOff>668211</xdr:colOff>
      <xdr:row>259</xdr:row>
      <xdr:rowOff>26737</xdr:rowOff>
    </xdr:to>
    <xdr:graphicFrame macro="">
      <xdr:nvGraphicFramePr>
        <xdr:cNvPr id="11" name="Gráfico 10">
          <a:extLst>
            <a:ext uri="{FF2B5EF4-FFF2-40B4-BE49-F238E27FC236}">
              <a16:creationId xmlns:a16="http://schemas.microsoft.com/office/drawing/2014/main" id="{8CAEE1D5-387E-4626-AB85-6BE14A66A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44649</xdr:colOff>
      <xdr:row>291</xdr:row>
      <xdr:rowOff>178591</xdr:rowOff>
    </xdr:from>
    <xdr:to>
      <xdr:col>14</xdr:col>
      <xdr:colOff>822476</xdr:colOff>
      <xdr:row>332</xdr:row>
      <xdr:rowOff>157238</xdr:rowOff>
    </xdr:to>
    <xdr:graphicFrame macro="">
      <xdr:nvGraphicFramePr>
        <xdr:cNvPr id="12" name="Gráfico 11">
          <a:extLst>
            <a:ext uri="{FF2B5EF4-FFF2-40B4-BE49-F238E27FC236}">
              <a16:creationId xmlns:a16="http://schemas.microsoft.com/office/drawing/2014/main" id="{260D33CB-A0B2-4A77-B4E2-4D7DDD874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24</xdr:col>
      <xdr:colOff>195710</xdr:colOff>
      <xdr:row>1</xdr:row>
      <xdr:rowOff>42012</xdr:rowOff>
    </xdr:from>
    <xdr:to>
      <xdr:col>25</xdr:col>
      <xdr:colOff>718438</xdr:colOff>
      <xdr:row>5</xdr:row>
      <xdr:rowOff>359141</xdr:rowOff>
    </xdr:to>
    <xdr:pic>
      <xdr:nvPicPr>
        <xdr:cNvPr id="14" name="Imagen 13">
          <a:extLst>
            <a:ext uri="{FF2B5EF4-FFF2-40B4-BE49-F238E27FC236}">
              <a16:creationId xmlns:a16="http://schemas.microsoft.com/office/drawing/2014/main" id="{E7EACE38-D0D6-4050-90B1-1145A3B23F46}"/>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77704"/>
        <a:stretch/>
      </xdr:blipFill>
      <xdr:spPr>
        <a:xfrm>
          <a:off x="27458377" y="235536"/>
          <a:ext cx="1381490" cy="1417795"/>
        </a:xfrm>
        <a:prstGeom prst="rect">
          <a:avLst/>
        </a:prstGeom>
      </xdr:spPr>
    </xdr:pic>
    <xdr:clientData/>
  </xdr:twoCellAnchor>
  <xdr:twoCellAnchor>
    <xdr:from>
      <xdr:col>23</xdr:col>
      <xdr:colOff>229812</xdr:colOff>
      <xdr:row>4</xdr:row>
      <xdr:rowOff>193523</xdr:rowOff>
    </xdr:from>
    <xdr:to>
      <xdr:col>26</xdr:col>
      <xdr:colOff>36288</xdr:colOff>
      <xdr:row>5</xdr:row>
      <xdr:rowOff>410029</xdr:rowOff>
    </xdr:to>
    <xdr:grpSp>
      <xdr:nvGrpSpPr>
        <xdr:cNvPr id="15" name="Grupo 14">
          <a:hlinkClick xmlns:r="http://schemas.openxmlformats.org/officeDocument/2006/relationships" r:id="rId12"/>
          <a:extLst>
            <a:ext uri="{FF2B5EF4-FFF2-40B4-BE49-F238E27FC236}">
              <a16:creationId xmlns:a16="http://schemas.microsoft.com/office/drawing/2014/main" id="{6B6DF5D6-D53D-471A-9C0D-1F0B1350A949}"/>
            </a:ext>
          </a:extLst>
        </xdr:cNvPr>
        <xdr:cNvGrpSpPr/>
      </xdr:nvGrpSpPr>
      <xdr:grpSpPr>
        <a:xfrm>
          <a:off x="29226633" y="1064380"/>
          <a:ext cx="2555119" cy="665542"/>
          <a:chOff x="15620999" y="402771"/>
          <a:chExt cx="2503715" cy="664029"/>
        </a:xfrm>
      </xdr:grpSpPr>
      <xdr:pic>
        <xdr:nvPicPr>
          <xdr:cNvPr id="16" name="Gráfico 15" descr="Flecha lineal: giro a la izquierda">
            <a:extLst>
              <a:ext uri="{FF2B5EF4-FFF2-40B4-BE49-F238E27FC236}">
                <a16:creationId xmlns:a16="http://schemas.microsoft.com/office/drawing/2014/main" id="{9841EFCC-11F5-4D52-B646-DE323F2E038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5620999" y="402771"/>
            <a:ext cx="664029" cy="664029"/>
          </a:xfrm>
          <a:prstGeom prst="rect">
            <a:avLst/>
          </a:prstGeom>
        </xdr:spPr>
      </xdr:pic>
      <xdr:sp macro="" textlink="">
        <xdr:nvSpPr>
          <xdr:cNvPr id="17" name="CuadroTexto 16">
            <a:extLst>
              <a:ext uri="{FF2B5EF4-FFF2-40B4-BE49-F238E27FC236}">
                <a16:creationId xmlns:a16="http://schemas.microsoft.com/office/drawing/2014/main" id="{0E9AAA90-C189-4552-9684-20FC17F42022}"/>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176893</xdr:rowOff>
    </xdr:from>
    <xdr:to>
      <xdr:col>4</xdr:col>
      <xdr:colOff>713735</xdr:colOff>
      <xdr:row>4</xdr:row>
      <xdr:rowOff>430143</xdr:rowOff>
    </xdr:to>
    <xdr:pic>
      <xdr:nvPicPr>
        <xdr:cNvPr id="7" name="Imagen 6">
          <a:extLst>
            <a:ext uri="{FF2B5EF4-FFF2-40B4-BE49-F238E27FC236}">
              <a16:creationId xmlns:a16="http://schemas.microsoft.com/office/drawing/2014/main" id="{3ED1FB11-C6DA-4B91-B4E6-045D38CEFEFD}"/>
            </a:ext>
          </a:extLst>
        </xdr:cNvPr>
        <xdr:cNvPicPr>
          <a:picLocks noChangeAspect="1"/>
        </xdr:cNvPicPr>
      </xdr:nvPicPr>
      <xdr:blipFill>
        <a:blip xmlns:r="http://schemas.openxmlformats.org/officeDocument/2006/relationships" r:embed="rId15"/>
        <a:stretch>
          <a:fillRect/>
        </a:stretch>
      </xdr:blipFill>
      <xdr:spPr>
        <a:xfrm>
          <a:off x="0" y="176893"/>
          <a:ext cx="5163271" cy="11241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1219200</xdr:colOff>
      <xdr:row>213</xdr:row>
      <xdr:rowOff>89102</xdr:rowOff>
    </xdr:from>
    <xdr:to>
      <xdr:col>4</xdr:col>
      <xdr:colOff>533400</xdr:colOff>
      <xdr:row>241</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736798</xdr:colOff>
      <xdr:row>211</xdr:row>
      <xdr:rowOff>66241</xdr:rowOff>
    </xdr:from>
    <xdr:to>
      <xdr:col>23</xdr:col>
      <xdr:colOff>342900</xdr:colOff>
      <xdr:row>240</xdr:row>
      <xdr:rowOff>152400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315912</xdr:colOff>
      <xdr:row>210</xdr:row>
      <xdr:rowOff>143438</xdr:rowOff>
    </xdr:from>
    <xdr:to>
      <xdr:col>14</xdr:col>
      <xdr:colOff>294340</xdr:colOff>
      <xdr:row>240</xdr:row>
      <xdr:rowOff>116681</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100550</xdr:colOff>
      <xdr:row>200</xdr:row>
      <xdr:rowOff>53242</xdr:rowOff>
    </xdr:from>
    <xdr:to>
      <xdr:col>37</xdr:col>
      <xdr:colOff>564653</xdr:colOff>
      <xdr:row>220</xdr:row>
      <xdr:rowOff>67789</xdr:rowOff>
    </xdr:to>
    <xdr:graphicFrame macro="">
      <xdr:nvGraphicFramePr>
        <xdr:cNvPr id="5" name="Gráfico 4">
          <a:extLst>
            <a:ext uri="{FF2B5EF4-FFF2-40B4-BE49-F238E27FC236}">
              <a16:creationId xmlns:a16="http://schemas.microsoft.com/office/drawing/2014/main" id="{13A5482A-3C7E-40FC-8192-4A7BFF12D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541018</xdr:colOff>
      <xdr:row>174</xdr:row>
      <xdr:rowOff>65647</xdr:rowOff>
    </xdr:from>
    <xdr:to>
      <xdr:col>76</xdr:col>
      <xdr:colOff>54427</xdr:colOff>
      <xdr:row>195</xdr:row>
      <xdr:rowOff>149679</xdr:rowOff>
    </xdr:to>
    <xdr:graphicFrame macro="">
      <xdr:nvGraphicFramePr>
        <xdr:cNvPr id="6" name="Gráfico 5">
          <a:extLst>
            <a:ext uri="{FF2B5EF4-FFF2-40B4-BE49-F238E27FC236}">
              <a16:creationId xmlns:a16="http://schemas.microsoft.com/office/drawing/2014/main" id="{DEF481E8-EBA8-48C5-AC58-9A95CDF25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756780</xdr:colOff>
      <xdr:row>211</xdr:row>
      <xdr:rowOff>156574</xdr:rowOff>
    </xdr:from>
    <xdr:to>
      <xdr:col>59</xdr:col>
      <xdr:colOff>548013</xdr:colOff>
      <xdr:row>242</xdr:row>
      <xdr:rowOff>13047</xdr:rowOff>
    </xdr:to>
    <xdr:graphicFrame macro="">
      <xdr:nvGraphicFramePr>
        <xdr:cNvPr id="7" name="Gráfico 6">
          <a:extLst>
            <a:ext uri="{FF2B5EF4-FFF2-40B4-BE49-F238E27FC236}">
              <a16:creationId xmlns:a16="http://schemas.microsoft.com/office/drawing/2014/main" id="{6113A689-B5CC-4DE1-A485-10410852F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581414</xdr:colOff>
      <xdr:row>317</xdr:row>
      <xdr:rowOff>111779</xdr:rowOff>
    </xdr:from>
    <xdr:to>
      <xdr:col>27</xdr:col>
      <xdr:colOff>815914</xdr:colOff>
      <xdr:row>342</xdr:row>
      <xdr:rowOff>90580</xdr:rowOff>
    </xdr:to>
    <xdr:graphicFrame macro="">
      <xdr:nvGraphicFramePr>
        <xdr:cNvPr id="11" name="Gráfico 10">
          <a:extLst>
            <a:ext uri="{FF2B5EF4-FFF2-40B4-BE49-F238E27FC236}">
              <a16:creationId xmlns:a16="http://schemas.microsoft.com/office/drawing/2014/main" id="{DEE6D90B-8455-4308-B48E-A5AB6D586E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202237</xdr:colOff>
      <xdr:row>317</xdr:row>
      <xdr:rowOff>138630</xdr:rowOff>
    </xdr:from>
    <xdr:to>
      <xdr:col>40</xdr:col>
      <xdr:colOff>246237</xdr:colOff>
      <xdr:row>342</xdr:row>
      <xdr:rowOff>126032</xdr:rowOff>
    </xdr:to>
    <xdr:graphicFrame macro="">
      <xdr:nvGraphicFramePr>
        <xdr:cNvPr id="12" name="Gráfico 11">
          <a:extLst>
            <a:ext uri="{FF2B5EF4-FFF2-40B4-BE49-F238E27FC236}">
              <a16:creationId xmlns:a16="http://schemas.microsoft.com/office/drawing/2014/main" id="{800DD522-F5CB-43F1-824E-BD9A14FA4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121278</xdr:colOff>
      <xdr:row>320</xdr:row>
      <xdr:rowOff>15875</xdr:rowOff>
    </xdr:from>
    <xdr:to>
      <xdr:col>51</xdr:col>
      <xdr:colOff>164496</xdr:colOff>
      <xdr:row>342</xdr:row>
      <xdr:rowOff>146890</xdr:rowOff>
    </xdr:to>
    <xdr:graphicFrame macro="">
      <xdr:nvGraphicFramePr>
        <xdr:cNvPr id="13" name="Gráfico 12">
          <a:extLst>
            <a:ext uri="{FF2B5EF4-FFF2-40B4-BE49-F238E27FC236}">
              <a16:creationId xmlns:a16="http://schemas.microsoft.com/office/drawing/2014/main" id="{597E74C9-0B4C-48B4-8E6F-74F68B5D8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174625</xdr:colOff>
      <xdr:row>348</xdr:row>
      <xdr:rowOff>47625</xdr:rowOff>
    </xdr:from>
    <xdr:to>
      <xdr:col>27</xdr:col>
      <xdr:colOff>670694</xdr:colOff>
      <xdr:row>373</xdr:row>
      <xdr:rowOff>11289</xdr:rowOff>
    </xdr:to>
    <xdr:graphicFrame macro="">
      <xdr:nvGraphicFramePr>
        <xdr:cNvPr id="14" name="Gráfico 13">
          <a:extLst>
            <a:ext uri="{FF2B5EF4-FFF2-40B4-BE49-F238E27FC236}">
              <a16:creationId xmlns:a16="http://schemas.microsoft.com/office/drawing/2014/main" id="{A906082E-BD4A-458F-828C-20B0C495B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587375</xdr:colOff>
      <xdr:row>348</xdr:row>
      <xdr:rowOff>15875</xdr:rowOff>
    </xdr:from>
    <xdr:to>
      <xdr:col>40</xdr:col>
      <xdr:colOff>226194</xdr:colOff>
      <xdr:row>372</xdr:row>
      <xdr:rowOff>138290</xdr:rowOff>
    </xdr:to>
    <xdr:graphicFrame macro="">
      <xdr:nvGraphicFramePr>
        <xdr:cNvPr id="15" name="Gráfico 14">
          <a:extLst>
            <a:ext uri="{FF2B5EF4-FFF2-40B4-BE49-F238E27FC236}">
              <a16:creationId xmlns:a16="http://schemas.microsoft.com/office/drawing/2014/main" id="{30AD1887-3C17-44FD-A266-27543CB9F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174625</xdr:colOff>
      <xdr:row>348</xdr:row>
      <xdr:rowOff>15875</xdr:rowOff>
    </xdr:from>
    <xdr:to>
      <xdr:col>50</xdr:col>
      <xdr:colOff>448444</xdr:colOff>
      <xdr:row>370</xdr:row>
      <xdr:rowOff>138291</xdr:rowOff>
    </xdr:to>
    <xdr:graphicFrame macro="">
      <xdr:nvGraphicFramePr>
        <xdr:cNvPr id="16" name="Gráfico 15">
          <a:extLst>
            <a:ext uri="{FF2B5EF4-FFF2-40B4-BE49-F238E27FC236}">
              <a16:creationId xmlns:a16="http://schemas.microsoft.com/office/drawing/2014/main" id="{356B9B2C-1D47-4632-929D-C8D4E5E9B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67064</xdr:colOff>
      <xdr:row>288</xdr:row>
      <xdr:rowOff>41929</xdr:rowOff>
    </xdr:from>
    <xdr:to>
      <xdr:col>27</xdr:col>
      <xdr:colOff>968314</xdr:colOff>
      <xdr:row>313</xdr:row>
      <xdr:rowOff>20730</xdr:rowOff>
    </xdr:to>
    <xdr:graphicFrame macro="">
      <xdr:nvGraphicFramePr>
        <xdr:cNvPr id="8" name="Gráfico 7">
          <a:extLst>
            <a:ext uri="{FF2B5EF4-FFF2-40B4-BE49-F238E27FC236}">
              <a16:creationId xmlns:a16="http://schemas.microsoft.com/office/drawing/2014/main" id="{9BD3E43A-6012-48CC-9B9F-0EEB2B83E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354637</xdr:colOff>
      <xdr:row>288</xdr:row>
      <xdr:rowOff>68780</xdr:rowOff>
    </xdr:from>
    <xdr:to>
      <xdr:col>40</xdr:col>
      <xdr:colOff>398637</xdr:colOff>
      <xdr:row>313</xdr:row>
      <xdr:rowOff>56182</xdr:rowOff>
    </xdr:to>
    <xdr:graphicFrame macro="">
      <xdr:nvGraphicFramePr>
        <xdr:cNvPr id="9" name="Gráfico 8">
          <a:extLst>
            <a:ext uri="{FF2B5EF4-FFF2-40B4-BE49-F238E27FC236}">
              <a16:creationId xmlns:a16="http://schemas.microsoft.com/office/drawing/2014/main" id="{D8DA544C-CF66-4020-B4C7-4979CEEE6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273678</xdr:colOff>
      <xdr:row>290</xdr:row>
      <xdr:rowOff>104775</xdr:rowOff>
    </xdr:from>
    <xdr:to>
      <xdr:col>51</xdr:col>
      <xdr:colOff>316896</xdr:colOff>
      <xdr:row>313</xdr:row>
      <xdr:rowOff>77040</xdr:rowOff>
    </xdr:to>
    <xdr:graphicFrame macro="">
      <xdr:nvGraphicFramePr>
        <xdr:cNvPr id="10" name="Gráfico 9">
          <a:extLst>
            <a:ext uri="{FF2B5EF4-FFF2-40B4-BE49-F238E27FC236}">
              <a16:creationId xmlns:a16="http://schemas.microsoft.com/office/drawing/2014/main" id="{DCD2E88C-D83C-4473-A968-05B7045FE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41</xdr:col>
      <xdr:colOff>25400</xdr:colOff>
      <xdr:row>176</xdr:row>
      <xdr:rowOff>12736</xdr:rowOff>
    </xdr:from>
    <xdr:to>
      <xdr:col>49</xdr:col>
      <xdr:colOff>76200</xdr:colOff>
      <xdr:row>209</xdr:row>
      <xdr:rowOff>-1</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610894</xdr:colOff>
      <xdr:row>211</xdr:row>
      <xdr:rowOff>4669</xdr:rowOff>
    </xdr:from>
    <xdr:to>
      <xdr:col>15</xdr:col>
      <xdr:colOff>335547</xdr:colOff>
      <xdr:row>233</xdr:row>
      <xdr:rowOff>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829141</xdr:colOff>
      <xdr:row>210</xdr:row>
      <xdr:rowOff>84344</xdr:rowOff>
    </xdr:from>
    <xdr:to>
      <xdr:col>8</xdr:col>
      <xdr:colOff>655052</xdr:colOff>
      <xdr:row>232</xdr:row>
      <xdr:rowOff>104941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460663</xdr:colOff>
      <xdr:row>200</xdr:row>
      <xdr:rowOff>6196</xdr:rowOff>
    </xdr:from>
    <xdr:to>
      <xdr:col>72</xdr:col>
      <xdr:colOff>628650</xdr:colOff>
      <xdr:row>231</xdr:row>
      <xdr:rowOff>114299</xdr:rowOff>
    </xdr:to>
    <xdr:graphicFrame macro="">
      <xdr:nvGraphicFramePr>
        <xdr:cNvPr id="6" name="Gráfico 5">
          <a:extLst>
            <a:ext uri="{FF2B5EF4-FFF2-40B4-BE49-F238E27FC236}">
              <a16:creationId xmlns:a16="http://schemas.microsoft.com/office/drawing/2014/main" id="{2754AF51-3BC3-4EF8-A734-5896F1BF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25400</xdr:colOff>
      <xdr:row>251</xdr:row>
      <xdr:rowOff>34882</xdr:rowOff>
    </xdr:from>
    <xdr:to>
      <xdr:col>84</xdr:col>
      <xdr:colOff>222250</xdr:colOff>
      <xdr:row>282</xdr:row>
      <xdr:rowOff>63500</xdr:rowOff>
    </xdr:to>
    <xdr:graphicFrame macro="">
      <xdr:nvGraphicFramePr>
        <xdr:cNvPr id="8" name="Gráfico 7">
          <a:extLst>
            <a:ext uri="{FF2B5EF4-FFF2-40B4-BE49-F238E27FC236}">
              <a16:creationId xmlns:a16="http://schemas.microsoft.com/office/drawing/2014/main" id="{518812F8-5C26-422B-ACBF-D353D1A90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19049</xdr:colOff>
      <xdr:row>301</xdr:row>
      <xdr:rowOff>100011</xdr:rowOff>
    </xdr:from>
    <xdr:to>
      <xdr:col>84</xdr:col>
      <xdr:colOff>357187</xdr:colOff>
      <xdr:row>338</xdr:row>
      <xdr:rowOff>119061</xdr:rowOff>
    </xdr:to>
    <xdr:graphicFrame macro="">
      <xdr:nvGraphicFramePr>
        <xdr:cNvPr id="9" name="Gráfico 8">
          <a:extLst>
            <a:ext uri="{FF2B5EF4-FFF2-40B4-BE49-F238E27FC236}">
              <a16:creationId xmlns:a16="http://schemas.microsoft.com/office/drawing/2014/main" id="{10F446FF-3767-4629-97B6-06647C597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84963</xdr:colOff>
      <xdr:row>291</xdr:row>
      <xdr:rowOff>18746</xdr:rowOff>
    </xdr:from>
    <xdr:to>
      <xdr:col>12</xdr:col>
      <xdr:colOff>55563</xdr:colOff>
      <xdr:row>319</xdr:row>
      <xdr:rowOff>95250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12061</xdr:colOff>
      <xdr:row>208</xdr:row>
      <xdr:rowOff>59070</xdr:rowOff>
    </xdr:from>
    <xdr:to>
      <xdr:col>18</xdr:col>
      <xdr:colOff>46089</xdr:colOff>
      <xdr:row>228</xdr:row>
      <xdr:rowOff>15363</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128522</xdr:colOff>
      <xdr:row>208</xdr:row>
      <xdr:rowOff>16805</xdr:rowOff>
    </xdr:from>
    <xdr:to>
      <xdr:col>11</xdr:col>
      <xdr:colOff>-1</xdr:colOff>
      <xdr:row>228</xdr:row>
      <xdr:rowOff>107540</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30727</xdr:colOff>
      <xdr:row>242</xdr:row>
      <xdr:rowOff>30726</xdr:rowOff>
    </xdr:from>
    <xdr:to>
      <xdr:col>15</xdr:col>
      <xdr:colOff>727996</xdr:colOff>
      <xdr:row>272</xdr:row>
      <xdr:rowOff>12350</xdr:rowOff>
    </xdr:to>
    <xdr:graphicFrame macro="">
      <xdr:nvGraphicFramePr>
        <xdr:cNvPr id="8" name="Gráfico 7">
          <a:extLst>
            <a:ext uri="{FF2B5EF4-FFF2-40B4-BE49-F238E27FC236}">
              <a16:creationId xmlns:a16="http://schemas.microsoft.com/office/drawing/2014/main" id="{1282E5EB-D9F2-418A-9635-35D1DEF84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41</xdr:col>
      <xdr:colOff>657707</xdr:colOff>
      <xdr:row>175</xdr:row>
      <xdr:rowOff>85512</xdr:rowOff>
    </xdr:from>
    <xdr:to>
      <xdr:col>50</xdr:col>
      <xdr:colOff>831271</xdr:colOff>
      <xdr:row>202</xdr:row>
      <xdr:rowOff>86591</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131530</xdr:colOff>
      <xdr:row>208</xdr:row>
      <xdr:rowOff>70340</xdr:rowOff>
    </xdr:from>
    <xdr:to>
      <xdr:col>10</xdr:col>
      <xdr:colOff>351293</xdr:colOff>
      <xdr:row>232</xdr:row>
      <xdr:rowOff>161174</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776376</xdr:colOff>
      <xdr:row>208</xdr:row>
      <xdr:rowOff>102331</xdr:rowOff>
    </xdr:from>
    <xdr:to>
      <xdr:col>26</xdr:col>
      <xdr:colOff>232963</xdr:colOff>
      <xdr:row>232</xdr:row>
      <xdr:rowOff>112453</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245</xdr:row>
      <xdr:rowOff>0</xdr:rowOff>
    </xdr:from>
    <xdr:to>
      <xdr:col>17</xdr:col>
      <xdr:colOff>762959</xdr:colOff>
      <xdr:row>274</xdr:row>
      <xdr:rowOff>135253</xdr:rowOff>
    </xdr:to>
    <xdr:graphicFrame macro="">
      <xdr:nvGraphicFramePr>
        <xdr:cNvPr id="5" name="Gráfico 4">
          <a:extLst>
            <a:ext uri="{FF2B5EF4-FFF2-40B4-BE49-F238E27FC236}">
              <a16:creationId xmlns:a16="http://schemas.microsoft.com/office/drawing/2014/main" id="{4412E5DD-7F44-4BF8-A9C4-A107529A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27</xdr:col>
      <xdr:colOff>748414</xdr:colOff>
      <xdr:row>217</xdr:row>
      <xdr:rowOff>111794</xdr:rowOff>
    </xdr:from>
    <xdr:to>
      <xdr:col>34</xdr:col>
      <xdr:colOff>775655</xdr:colOff>
      <xdr:row>242</xdr:row>
      <xdr:rowOff>30982</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399473</xdr:colOff>
      <xdr:row>210</xdr:row>
      <xdr:rowOff>96696</xdr:rowOff>
    </xdr:from>
    <xdr:to>
      <xdr:col>16</xdr:col>
      <xdr:colOff>408214</xdr:colOff>
      <xdr:row>241</xdr:row>
      <xdr:rowOff>136071</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181428</xdr:colOff>
      <xdr:row>210</xdr:row>
      <xdr:rowOff>119376</xdr:rowOff>
    </xdr:from>
    <xdr:to>
      <xdr:col>26</xdr:col>
      <xdr:colOff>612321</xdr:colOff>
      <xdr:row>242</xdr:row>
      <xdr:rowOff>22679</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256</xdr:row>
      <xdr:rowOff>0</xdr:rowOff>
    </xdr:from>
    <xdr:to>
      <xdr:col>18</xdr:col>
      <xdr:colOff>265668</xdr:colOff>
      <xdr:row>285</xdr:row>
      <xdr:rowOff>150136</xdr:rowOff>
    </xdr:to>
    <xdr:graphicFrame macro="">
      <xdr:nvGraphicFramePr>
        <xdr:cNvPr id="5" name="Gráfico 4">
          <a:extLst>
            <a:ext uri="{FF2B5EF4-FFF2-40B4-BE49-F238E27FC236}">
              <a16:creationId xmlns:a16="http://schemas.microsoft.com/office/drawing/2014/main" id="{7E4AEE11-EBBA-445F-9566-703A555CD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125393</xdr:colOff>
      <xdr:row>11</xdr:row>
      <xdr:rowOff>1323</xdr:rowOff>
    </xdr:from>
    <xdr:to>
      <xdr:col>6</xdr:col>
      <xdr:colOff>1552936</xdr:colOff>
      <xdr:row>22</xdr:row>
      <xdr:rowOff>154329</xdr:rowOff>
    </xdr:to>
    <xdr:graphicFrame macro="">
      <xdr:nvGraphicFramePr>
        <xdr:cNvPr id="2" name="Gráfico 1">
          <a:extLst>
            <a:ext uri="{FF2B5EF4-FFF2-40B4-BE49-F238E27FC236}">
              <a16:creationId xmlns:a16="http://schemas.microsoft.com/office/drawing/2014/main" id="{4177D548-A7A5-4FAC-AF27-6DB154D76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2705124</xdr:colOff>
      <xdr:row>0</xdr:row>
      <xdr:rowOff>19290</xdr:rowOff>
    </xdr:from>
    <xdr:to>
      <xdr:col>11</xdr:col>
      <xdr:colOff>827684</xdr:colOff>
      <xdr:row>4</xdr:row>
      <xdr:rowOff>678905</xdr:rowOff>
    </xdr:to>
    <xdr:pic>
      <xdr:nvPicPr>
        <xdr:cNvPr id="9" name="Imagen 8">
          <a:extLst>
            <a:ext uri="{FF2B5EF4-FFF2-40B4-BE49-F238E27FC236}">
              <a16:creationId xmlns:a16="http://schemas.microsoft.com/office/drawing/2014/main" id="{CCBE0791-61C3-438D-8C22-569423A0617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04"/>
        <a:stretch/>
      </xdr:blipFill>
      <xdr:spPr>
        <a:xfrm>
          <a:off x="16681554" y="19290"/>
          <a:ext cx="1392408" cy="1469843"/>
        </a:xfrm>
        <a:prstGeom prst="rect">
          <a:avLst/>
        </a:prstGeom>
      </xdr:spPr>
    </xdr:pic>
    <xdr:clientData/>
  </xdr:twoCellAnchor>
  <xdr:twoCellAnchor>
    <xdr:from>
      <xdr:col>10</xdr:col>
      <xdr:colOff>1639746</xdr:colOff>
      <xdr:row>2</xdr:row>
      <xdr:rowOff>192911</xdr:rowOff>
    </xdr:from>
    <xdr:to>
      <xdr:col>12</xdr:col>
      <xdr:colOff>15157</xdr:colOff>
      <xdr:row>4</xdr:row>
      <xdr:rowOff>451826</xdr:rowOff>
    </xdr:to>
    <xdr:grpSp>
      <xdr:nvGrpSpPr>
        <xdr:cNvPr id="13" name="Grupo 12">
          <a:hlinkClick xmlns:r="http://schemas.openxmlformats.org/officeDocument/2006/relationships" r:id="rId3"/>
          <a:extLst>
            <a:ext uri="{FF2B5EF4-FFF2-40B4-BE49-F238E27FC236}">
              <a16:creationId xmlns:a16="http://schemas.microsoft.com/office/drawing/2014/main" id="{828605B3-E45E-4C5D-BE80-DD1A169479A9}"/>
            </a:ext>
          </a:extLst>
        </xdr:cNvPr>
        <xdr:cNvGrpSpPr/>
      </xdr:nvGrpSpPr>
      <xdr:grpSpPr>
        <a:xfrm>
          <a:off x="15246889" y="601125"/>
          <a:ext cx="2403125" cy="667130"/>
          <a:chOff x="15620999" y="402771"/>
          <a:chExt cx="2503715" cy="664029"/>
        </a:xfrm>
      </xdr:grpSpPr>
      <xdr:pic>
        <xdr:nvPicPr>
          <xdr:cNvPr id="14" name="Gráfico 13" descr="Flecha lineal: giro a la izquierda">
            <a:extLst>
              <a:ext uri="{FF2B5EF4-FFF2-40B4-BE49-F238E27FC236}">
                <a16:creationId xmlns:a16="http://schemas.microsoft.com/office/drawing/2014/main" id="{3B56B269-AD74-4FA7-BDB1-B3EA129790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620999" y="402771"/>
            <a:ext cx="664029" cy="664029"/>
          </a:xfrm>
          <a:prstGeom prst="rect">
            <a:avLst/>
          </a:prstGeom>
        </xdr:spPr>
      </xdr:pic>
      <xdr:sp macro="" textlink="">
        <xdr:nvSpPr>
          <xdr:cNvPr id="15" name="CuadroTexto 14">
            <a:extLst>
              <a:ext uri="{FF2B5EF4-FFF2-40B4-BE49-F238E27FC236}">
                <a16:creationId xmlns:a16="http://schemas.microsoft.com/office/drawing/2014/main" id="{ED6DC450-55EC-485F-8BA5-19E2FDA0188A}"/>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19050</xdr:rowOff>
    </xdr:from>
    <xdr:to>
      <xdr:col>5</xdr:col>
      <xdr:colOff>287364</xdr:colOff>
      <xdr:row>4</xdr:row>
      <xdr:rowOff>104775</xdr:rowOff>
    </xdr:to>
    <xdr:pic>
      <xdr:nvPicPr>
        <xdr:cNvPr id="3" name="Imagen 2">
          <a:extLst>
            <a:ext uri="{FF2B5EF4-FFF2-40B4-BE49-F238E27FC236}">
              <a16:creationId xmlns:a16="http://schemas.microsoft.com/office/drawing/2014/main" id="{114BAEFD-5568-4154-BC14-3735DDC96317}"/>
            </a:ext>
          </a:extLst>
        </xdr:cNvPr>
        <xdr:cNvPicPr>
          <a:picLocks noChangeAspect="1"/>
        </xdr:cNvPicPr>
      </xdr:nvPicPr>
      <xdr:blipFill>
        <a:blip xmlns:r="http://schemas.openxmlformats.org/officeDocument/2006/relationships" r:embed="rId6"/>
        <a:stretch>
          <a:fillRect/>
        </a:stretch>
      </xdr:blipFill>
      <xdr:spPr>
        <a:xfrm>
          <a:off x="0" y="19050"/>
          <a:ext cx="4068789" cy="885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201705</xdr:colOff>
      <xdr:row>10</xdr:row>
      <xdr:rowOff>92728</xdr:rowOff>
    </xdr:from>
    <xdr:to>
      <xdr:col>7</xdr:col>
      <xdr:colOff>1097797</xdr:colOff>
      <xdr:row>22</xdr:row>
      <xdr:rowOff>90407</xdr:rowOff>
    </xdr:to>
    <xdr:graphicFrame macro="">
      <xdr:nvGraphicFramePr>
        <xdr:cNvPr id="2" name="Gráfico 1">
          <a:extLst>
            <a:ext uri="{FF2B5EF4-FFF2-40B4-BE49-F238E27FC236}">
              <a16:creationId xmlns:a16="http://schemas.microsoft.com/office/drawing/2014/main" id="{4BB9043C-F2BE-40C3-AD74-F678EFD7A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1617651</xdr:colOff>
      <xdr:row>0</xdr:row>
      <xdr:rowOff>0</xdr:rowOff>
    </xdr:from>
    <xdr:to>
      <xdr:col>12</xdr:col>
      <xdr:colOff>200064</xdr:colOff>
      <xdr:row>4</xdr:row>
      <xdr:rowOff>633610</xdr:rowOff>
    </xdr:to>
    <xdr:pic>
      <xdr:nvPicPr>
        <xdr:cNvPr id="7" name="Imagen 6">
          <a:extLst>
            <a:ext uri="{FF2B5EF4-FFF2-40B4-BE49-F238E27FC236}">
              <a16:creationId xmlns:a16="http://schemas.microsoft.com/office/drawing/2014/main" id="{99AF8E12-D244-42D4-B176-21957CE357C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04"/>
        <a:stretch/>
      </xdr:blipFill>
      <xdr:spPr>
        <a:xfrm>
          <a:off x="14724051" y="0"/>
          <a:ext cx="1382763" cy="1433710"/>
        </a:xfrm>
        <a:prstGeom prst="rect">
          <a:avLst/>
        </a:prstGeom>
      </xdr:spPr>
    </xdr:pic>
    <xdr:clientData/>
  </xdr:twoCellAnchor>
  <xdr:twoCellAnchor>
    <xdr:from>
      <xdr:col>11</xdr:col>
      <xdr:colOff>447675</xdr:colOff>
      <xdr:row>3</xdr:row>
      <xdr:rowOff>180975</xdr:rowOff>
    </xdr:from>
    <xdr:to>
      <xdr:col>12</xdr:col>
      <xdr:colOff>151040</xdr:colOff>
      <xdr:row>4</xdr:row>
      <xdr:rowOff>576399</xdr:rowOff>
    </xdr:to>
    <xdr:grpSp>
      <xdr:nvGrpSpPr>
        <xdr:cNvPr id="8" name="Grupo 7">
          <a:hlinkClick xmlns:r="http://schemas.openxmlformats.org/officeDocument/2006/relationships" r:id="rId3"/>
          <a:extLst>
            <a:ext uri="{FF2B5EF4-FFF2-40B4-BE49-F238E27FC236}">
              <a16:creationId xmlns:a16="http://schemas.microsoft.com/office/drawing/2014/main" id="{B42995CB-BAF9-48D5-8B73-A52B52A9370B}"/>
            </a:ext>
          </a:extLst>
        </xdr:cNvPr>
        <xdr:cNvGrpSpPr/>
      </xdr:nvGrpSpPr>
      <xdr:grpSpPr>
        <a:xfrm>
          <a:off x="14032706" y="788194"/>
          <a:ext cx="2417990" cy="597830"/>
          <a:chOff x="15620999" y="402771"/>
          <a:chExt cx="2503715" cy="664029"/>
        </a:xfrm>
      </xdr:grpSpPr>
      <xdr:pic>
        <xdr:nvPicPr>
          <xdr:cNvPr id="9" name="Gráfico 8" descr="Flecha lineal: giro a la izquierda">
            <a:extLst>
              <a:ext uri="{FF2B5EF4-FFF2-40B4-BE49-F238E27FC236}">
                <a16:creationId xmlns:a16="http://schemas.microsoft.com/office/drawing/2014/main" id="{D065B931-DBB5-498D-82F2-6246FADE961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620999" y="402771"/>
            <a:ext cx="664029" cy="664029"/>
          </a:xfrm>
          <a:prstGeom prst="rect">
            <a:avLst/>
          </a:prstGeom>
        </xdr:spPr>
      </xdr:pic>
      <xdr:sp macro="" textlink="">
        <xdr:nvSpPr>
          <xdr:cNvPr id="10" name="CuadroTexto 9">
            <a:extLst>
              <a:ext uri="{FF2B5EF4-FFF2-40B4-BE49-F238E27FC236}">
                <a16:creationId xmlns:a16="http://schemas.microsoft.com/office/drawing/2014/main" id="{5A60C1A2-8B72-411B-9535-F4CFFA0B8ED9}"/>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19051</xdr:rowOff>
    </xdr:from>
    <xdr:to>
      <xdr:col>5</xdr:col>
      <xdr:colOff>19050</xdr:colOff>
      <xdr:row>4</xdr:row>
      <xdr:rowOff>85761</xdr:rowOff>
    </xdr:to>
    <xdr:pic>
      <xdr:nvPicPr>
        <xdr:cNvPr id="3" name="Imagen 2">
          <a:extLst>
            <a:ext uri="{FF2B5EF4-FFF2-40B4-BE49-F238E27FC236}">
              <a16:creationId xmlns:a16="http://schemas.microsoft.com/office/drawing/2014/main" id="{7AE9015A-68F7-4DE0-8C7B-61E2225A3688}"/>
            </a:ext>
          </a:extLst>
        </xdr:cNvPr>
        <xdr:cNvPicPr>
          <a:picLocks noChangeAspect="1"/>
        </xdr:cNvPicPr>
      </xdr:nvPicPr>
      <xdr:blipFill>
        <a:blip xmlns:r="http://schemas.openxmlformats.org/officeDocument/2006/relationships" r:embed="rId6"/>
        <a:stretch>
          <a:fillRect/>
        </a:stretch>
      </xdr:blipFill>
      <xdr:spPr>
        <a:xfrm>
          <a:off x="0" y="19051"/>
          <a:ext cx="3981450" cy="8668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26204</xdr:colOff>
      <xdr:row>26</xdr:row>
      <xdr:rowOff>54890</xdr:rowOff>
    </xdr:from>
    <xdr:to>
      <xdr:col>4</xdr:col>
      <xdr:colOff>2505559</xdr:colOff>
      <xdr:row>49</xdr:row>
      <xdr:rowOff>38747</xdr:rowOff>
    </xdr:to>
    <xdr:graphicFrame macro="">
      <xdr:nvGraphicFramePr>
        <xdr:cNvPr id="2" name="Gráfico 1">
          <a:extLst>
            <a:ext uri="{FF2B5EF4-FFF2-40B4-BE49-F238E27FC236}">
              <a16:creationId xmlns:a16="http://schemas.microsoft.com/office/drawing/2014/main" id="{B2997635-5026-4863-818C-95DB1B544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360920</xdr:colOff>
      <xdr:row>82</xdr:row>
      <xdr:rowOff>193005</xdr:rowOff>
    </xdr:from>
    <xdr:to>
      <xdr:col>5</xdr:col>
      <xdr:colOff>154982</xdr:colOff>
      <xdr:row>102</xdr:row>
      <xdr:rowOff>193729</xdr:rowOff>
    </xdr:to>
    <xdr:graphicFrame macro="">
      <xdr:nvGraphicFramePr>
        <xdr:cNvPr id="6" name="Gráfico 5">
          <a:extLst>
            <a:ext uri="{FF2B5EF4-FFF2-40B4-BE49-F238E27FC236}">
              <a16:creationId xmlns:a16="http://schemas.microsoft.com/office/drawing/2014/main" id="{672325E0-45B1-45E6-B3AB-1B094DF0E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2479564</xdr:colOff>
      <xdr:row>0</xdr:row>
      <xdr:rowOff>103322</xdr:rowOff>
    </xdr:from>
    <xdr:to>
      <xdr:col>11</xdr:col>
      <xdr:colOff>723920</xdr:colOff>
      <xdr:row>4</xdr:row>
      <xdr:rowOff>716417</xdr:rowOff>
    </xdr:to>
    <xdr:pic>
      <xdr:nvPicPr>
        <xdr:cNvPr id="10" name="Imagen 9">
          <a:extLst>
            <a:ext uri="{FF2B5EF4-FFF2-40B4-BE49-F238E27FC236}">
              <a16:creationId xmlns:a16="http://schemas.microsoft.com/office/drawing/2014/main" id="{19ADA632-9212-4657-AE53-A11C8FB326A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7704"/>
        <a:stretch/>
      </xdr:blipFill>
      <xdr:spPr>
        <a:xfrm>
          <a:off x="17357937" y="103322"/>
          <a:ext cx="1382763" cy="1388010"/>
        </a:xfrm>
        <a:prstGeom prst="rect">
          <a:avLst/>
        </a:prstGeom>
      </xdr:spPr>
    </xdr:pic>
    <xdr:clientData/>
  </xdr:twoCellAnchor>
  <xdr:twoCellAnchor>
    <xdr:from>
      <xdr:col>1</xdr:col>
      <xdr:colOff>43298</xdr:colOff>
      <xdr:row>54</xdr:row>
      <xdr:rowOff>160970</xdr:rowOff>
    </xdr:from>
    <xdr:to>
      <xdr:col>5</xdr:col>
      <xdr:colOff>103322</xdr:colOff>
      <xdr:row>75</xdr:row>
      <xdr:rowOff>167898</xdr:rowOff>
    </xdr:to>
    <xdr:graphicFrame macro="">
      <xdr:nvGraphicFramePr>
        <xdr:cNvPr id="14" name="Gráfico 13">
          <a:extLst>
            <a:ext uri="{FF2B5EF4-FFF2-40B4-BE49-F238E27FC236}">
              <a16:creationId xmlns:a16="http://schemas.microsoft.com/office/drawing/2014/main" id="{922D6FF2-45B4-4C66-9A39-F8581055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1356100</xdr:colOff>
      <xdr:row>4</xdr:row>
      <xdr:rowOff>51662</xdr:rowOff>
    </xdr:from>
    <xdr:to>
      <xdr:col>11</xdr:col>
      <xdr:colOff>723668</xdr:colOff>
      <xdr:row>4</xdr:row>
      <xdr:rowOff>640815</xdr:rowOff>
    </xdr:to>
    <xdr:grpSp>
      <xdr:nvGrpSpPr>
        <xdr:cNvPr id="15" name="Grupo 14">
          <a:hlinkClick xmlns:r="http://schemas.openxmlformats.org/officeDocument/2006/relationships" r:id="rId5"/>
          <a:extLst>
            <a:ext uri="{FF2B5EF4-FFF2-40B4-BE49-F238E27FC236}">
              <a16:creationId xmlns:a16="http://schemas.microsoft.com/office/drawing/2014/main" id="{A2B00CA5-E425-4D51-8C08-A58117A533CC}"/>
            </a:ext>
          </a:extLst>
        </xdr:cNvPr>
        <xdr:cNvGrpSpPr/>
      </xdr:nvGrpSpPr>
      <xdr:grpSpPr>
        <a:xfrm>
          <a:off x="15791767" y="855995"/>
          <a:ext cx="2415568" cy="589153"/>
          <a:chOff x="15620999" y="402771"/>
          <a:chExt cx="2503715" cy="664029"/>
        </a:xfrm>
      </xdr:grpSpPr>
      <xdr:pic>
        <xdr:nvPicPr>
          <xdr:cNvPr id="16" name="Gráfico 15" descr="Flecha lineal: giro a la izquierda">
            <a:extLst>
              <a:ext uri="{FF2B5EF4-FFF2-40B4-BE49-F238E27FC236}">
                <a16:creationId xmlns:a16="http://schemas.microsoft.com/office/drawing/2014/main" id="{807286DE-EAA5-40B0-A3B5-800646FB36E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620999" y="402771"/>
            <a:ext cx="664029" cy="664029"/>
          </a:xfrm>
          <a:prstGeom prst="rect">
            <a:avLst/>
          </a:prstGeom>
        </xdr:spPr>
      </xdr:pic>
      <xdr:sp macro="" textlink="">
        <xdr:nvSpPr>
          <xdr:cNvPr id="17" name="CuadroTexto 16">
            <a:extLst>
              <a:ext uri="{FF2B5EF4-FFF2-40B4-BE49-F238E27FC236}">
                <a16:creationId xmlns:a16="http://schemas.microsoft.com/office/drawing/2014/main" id="{CA005C28-9CBB-4F3E-B5C8-AEED4BD36157}"/>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3</xdr:col>
      <xdr:colOff>2066925</xdr:colOff>
      <xdr:row>4</xdr:row>
      <xdr:rowOff>133069</xdr:rowOff>
    </xdr:to>
    <xdr:pic>
      <xdr:nvPicPr>
        <xdr:cNvPr id="3" name="Imagen 2">
          <a:extLst>
            <a:ext uri="{FF2B5EF4-FFF2-40B4-BE49-F238E27FC236}">
              <a16:creationId xmlns:a16="http://schemas.microsoft.com/office/drawing/2014/main" id="{ECDEF49B-48D5-4BC6-99AC-72D6714A416F}"/>
            </a:ext>
          </a:extLst>
        </xdr:cNvPr>
        <xdr:cNvPicPr>
          <a:picLocks noChangeAspect="1"/>
        </xdr:cNvPicPr>
      </xdr:nvPicPr>
      <xdr:blipFill>
        <a:blip xmlns:r="http://schemas.openxmlformats.org/officeDocument/2006/relationships" r:embed="rId8"/>
        <a:stretch>
          <a:fillRect/>
        </a:stretch>
      </xdr:blipFill>
      <xdr:spPr>
        <a:xfrm>
          <a:off x="0" y="0"/>
          <a:ext cx="4286250" cy="9331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40094</xdr:colOff>
      <xdr:row>26</xdr:row>
      <xdr:rowOff>65908</xdr:rowOff>
    </xdr:from>
    <xdr:to>
      <xdr:col>5</xdr:col>
      <xdr:colOff>254000</xdr:colOff>
      <xdr:row>49</xdr:row>
      <xdr:rowOff>112888</xdr:rowOff>
    </xdr:to>
    <xdr:graphicFrame macro="">
      <xdr:nvGraphicFramePr>
        <xdr:cNvPr id="3" name="Gráfico 2">
          <a:extLst>
            <a:ext uri="{FF2B5EF4-FFF2-40B4-BE49-F238E27FC236}">
              <a16:creationId xmlns:a16="http://schemas.microsoft.com/office/drawing/2014/main" id="{0B9C02C1-6B8B-43A1-B9E9-3802FF804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342119</xdr:colOff>
      <xdr:row>51</xdr:row>
      <xdr:rowOff>85531</xdr:rowOff>
    </xdr:from>
    <xdr:to>
      <xdr:col>5</xdr:col>
      <xdr:colOff>205618</xdr:colOff>
      <xdr:row>70</xdr:row>
      <xdr:rowOff>193523</xdr:rowOff>
    </xdr:to>
    <xdr:graphicFrame macro="">
      <xdr:nvGraphicFramePr>
        <xdr:cNvPr id="4" name="Gráfico 3">
          <a:extLst>
            <a:ext uri="{FF2B5EF4-FFF2-40B4-BE49-F238E27FC236}">
              <a16:creationId xmlns:a16="http://schemas.microsoft.com/office/drawing/2014/main" id="{32ED9940-ADAC-4EA9-8EAB-8F5D7A5E9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60294</xdr:colOff>
      <xdr:row>26</xdr:row>
      <xdr:rowOff>74328</xdr:rowOff>
    </xdr:from>
    <xdr:to>
      <xdr:col>9</xdr:col>
      <xdr:colOff>1838478</xdr:colOff>
      <xdr:row>50</xdr:row>
      <xdr:rowOff>120951</xdr:rowOff>
    </xdr:to>
    <xdr:graphicFrame macro="">
      <xdr:nvGraphicFramePr>
        <xdr:cNvPr id="5" name="Gráfico 4">
          <a:extLst>
            <a:ext uri="{FF2B5EF4-FFF2-40B4-BE49-F238E27FC236}">
              <a16:creationId xmlns:a16="http://schemas.microsoft.com/office/drawing/2014/main" id="{FE9245E8-B085-424A-95F5-95B7D48BB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852609</xdr:colOff>
      <xdr:row>0</xdr:row>
      <xdr:rowOff>0</xdr:rowOff>
    </xdr:from>
    <xdr:to>
      <xdr:col>10</xdr:col>
      <xdr:colOff>3600</xdr:colOff>
      <xdr:row>4</xdr:row>
      <xdr:rowOff>611317</xdr:rowOff>
    </xdr:to>
    <xdr:pic>
      <xdr:nvPicPr>
        <xdr:cNvPr id="6" name="Imagen 5">
          <a:extLst>
            <a:ext uri="{FF2B5EF4-FFF2-40B4-BE49-F238E27FC236}">
              <a16:creationId xmlns:a16="http://schemas.microsoft.com/office/drawing/2014/main" id="{AF216915-B44A-48A5-B960-DF34D4CEECA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7704"/>
        <a:stretch/>
      </xdr:blipFill>
      <xdr:spPr>
        <a:xfrm>
          <a:off x="17919321" y="0"/>
          <a:ext cx="1373491" cy="1404632"/>
        </a:xfrm>
        <a:prstGeom prst="rect">
          <a:avLst/>
        </a:prstGeom>
      </xdr:spPr>
    </xdr:pic>
    <xdr:clientData/>
  </xdr:twoCellAnchor>
  <xdr:twoCellAnchor>
    <xdr:from>
      <xdr:col>8</xdr:col>
      <xdr:colOff>1866383</xdr:colOff>
      <xdr:row>4</xdr:row>
      <xdr:rowOff>117426</xdr:rowOff>
    </xdr:from>
    <xdr:to>
      <xdr:col>9</xdr:col>
      <xdr:colOff>2118490</xdr:colOff>
      <xdr:row>5</xdr:row>
      <xdr:rowOff>137354</xdr:rowOff>
    </xdr:to>
    <xdr:grpSp>
      <xdr:nvGrpSpPr>
        <xdr:cNvPr id="7" name="Grupo 6">
          <a:hlinkClick xmlns:r="http://schemas.openxmlformats.org/officeDocument/2006/relationships" r:id="rId5"/>
          <a:extLst>
            <a:ext uri="{FF2B5EF4-FFF2-40B4-BE49-F238E27FC236}">
              <a16:creationId xmlns:a16="http://schemas.microsoft.com/office/drawing/2014/main" id="{A81190EF-847C-44C6-A455-9AD183BA24EA}"/>
            </a:ext>
          </a:extLst>
        </xdr:cNvPr>
        <xdr:cNvGrpSpPr/>
      </xdr:nvGrpSpPr>
      <xdr:grpSpPr>
        <a:xfrm>
          <a:off x="16249133" y="927051"/>
          <a:ext cx="2430951" cy="662866"/>
          <a:chOff x="15620999" y="402771"/>
          <a:chExt cx="2503715" cy="664029"/>
        </a:xfrm>
      </xdr:grpSpPr>
      <xdr:pic>
        <xdr:nvPicPr>
          <xdr:cNvPr id="8" name="Gráfico 7" descr="Flecha lineal: giro a la izquierda">
            <a:extLst>
              <a:ext uri="{FF2B5EF4-FFF2-40B4-BE49-F238E27FC236}">
                <a16:creationId xmlns:a16="http://schemas.microsoft.com/office/drawing/2014/main" id="{1E9F5339-20F9-4758-A754-844099BA38A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620999" y="402771"/>
            <a:ext cx="664029" cy="664029"/>
          </a:xfrm>
          <a:prstGeom prst="rect">
            <a:avLst/>
          </a:prstGeom>
        </xdr:spPr>
      </xdr:pic>
      <xdr:sp macro="" textlink="">
        <xdr:nvSpPr>
          <xdr:cNvPr id="9" name="CuadroTexto 8">
            <a:extLst>
              <a:ext uri="{FF2B5EF4-FFF2-40B4-BE49-F238E27FC236}">
                <a16:creationId xmlns:a16="http://schemas.microsoft.com/office/drawing/2014/main" id="{FA8161FF-D303-4EE9-B762-BDF7A60010CE}"/>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xdr:from>
      <xdr:col>1</xdr:col>
      <xdr:colOff>4320</xdr:colOff>
      <xdr:row>72</xdr:row>
      <xdr:rowOff>55293</xdr:rowOff>
    </xdr:from>
    <xdr:to>
      <xdr:col>5</xdr:col>
      <xdr:colOff>205619</xdr:colOff>
      <xdr:row>95</xdr:row>
      <xdr:rowOff>120953</xdr:rowOff>
    </xdr:to>
    <xdr:graphicFrame macro="">
      <xdr:nvGraphicFramePr>
        <xdr:cNvPr id="10" name="Gráfico 9">
          <a:extLst>
            <a:ext uri="{FF2B5EF4-FFF2-40B4-BE49-F238E27FC236}">
              <a16:creationId xmlns:a16="http://schemas.microsoft.com/office/drawing/2014/main" id="{D44BD4D9-D738-46E0-80E6-3368396D5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104775</xdr:colOff>
      <xdr:row>0</xdr:row>
      <xdr:rowOff>38100</xdr:rowOff>
    </xdr:from>
    <xdr:to>
      <xdr:col>3</xdr:col>
      <xdr:colOff>952500</xdr:colOff>
      <xdr:row>4</xdr:row>
      <xdr:rowOff>181537</xdr:rowOff>
    </xdr:to>
    <xdr:pic>
      <xdr:nvPicPr>
        <xdr:cNvPr id="11" name="Imagen 10">
          <a:extLst>
            <a:ext uri="{FF2B5EF4-FFF2-40B4-BE49-F238E27FC236}">
              <a16:creationId xmlns:a16="http://schemas.microsoft.com/office/drawing/2014/main" id="{9ED710C6-597D-4607-9108-78F9C898A97D}"/>
            </a:ext>
          </a:extLst>
        </xdr:cNvPr>
        <xdr:cNvPicPr>
          <a:picLocks noChangeAspect="1"/>
        </xdr:cNvPicPr>
      </xdr:nvPicPr>
      <xdr:blipFill>
        <a:blip xmlns:r="http://schemas.openxmlformats.org/officeDocument/2006/relationships" r:embed="rId9"/>
        <a:stretch>
          <a:fillRect/>
        </a:stretch>
      </xdr:blipFill>
      <xdr:spPr>
        <a:xfrm>
          <a:off x="104775" y="38100"/>
          <a:ext cx="4333875" cy="943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313151</xdr:colOff>
      <xdr:row>25</xdr:row>
      <xdr:rowOff>93945</xdr:rowOff>
    </xdr:from>
    <xdr:to>
      <xdr:col>4</xdr:col>
      <xdr:colOff>2755726</xdr:colOff>
      <xdr:row>43</xdr:row>
      <xdr:rowOff>10438</xdr:rowOff>
    </xdr:to>
    <xdr:graphicFrame macro="">
      <xdr:nvGraphicFramePr>
        <xdr:cNvPr id="2" name="Gráfico 1">
          <a:extLst>
            <a:ext uri="{FF2B5EF4-FFF2-40B4-BE49-F238E27FC236}">
              <a16:creationId xmlns:a16="http://schemas.microsoft.com/office/drawing/2014/main" id="{A7038DB9-BC82-46E7-BB11-B0248D685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95107</xdr:colOff>
      <xdr:row>25</xdr:row>
      <xdr:rowOff>189540</xdr:rowOff>
    </xdr:from>
    <xdr:to>
      <xdr:col>9</xdr:col>
      <xdr:colOff>931332</xdr:colOff>
      <xdr:row>46</xdr:row>
      <xdr:rowOff>203200</xdr:rowOff>
    </xdr:to>
    <xdr:graphicFrame macro="">
      <xdr:nvGraphicFramePr>
        <xdr:cNvPr id="4" name="Gráfico 3">
          <a:extLst>
            <a:ext uri="{FF2B5EF4-FFF2-40B4-BE49-F238E27FC236}">
              <a16:creationId xmlns:a16="http://schemas.microsoft.com/office/drawing/2014/main" id="{C943436F-1A3D-4086-A50B-682E91538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345527</xdr:colOff>
      <xdr:row>48</xdr:row>
      <xdr:rowOff>67733</xdr:rowOff>
    </xdr:from>
    <xdr:to>
      <xdr:col>5</xdr:col>
      <xdr:colOff>118533</xdr:colOff>
      <xdr:row>71</xdr:row>
      <xdr:rowOff>152400</xdr:rowOff>
    </xdr:to>
    <xdr:graphicFrame macro="">
      <xdr:nvGraphicFramePr>
        <xdr:cNvPr id="5" name="Gráfico 4">
          <a:extLst>
            <a:ext uri="{FF2B5EF4-FFF2-40B4-BE49-F238E27FC236}">
              <a16:creationId xmlns:a16="http://schemas.microsoft.com/office/drawing/2014/main" id="{7330F28C-85F2-48A5-BE9E-2A0DD7D50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345801</xdr:colOff>
      <xdr:row>72</xdr:row>
      <xdr:rowOff>195285</xdr:rowOff>
    </xdr:from>
    <xdr:to>
      <xdr:col>5</xdr:col>
      <xdr:colOff>118534</xdr:colOff>
      <xdr:row>96</xdr:row>
      <xdr:rowOff>50800</xdr:rowOff>
    </xdr:to>
    <xdr:graphicFrame macro="">
      <xdr:nvGraphicFramePr>
        <xdr:cNvPr id="6" name="Gráfico 5">
          <a:extLst>
            <a:ext uri="{FF2B5EF4-FFF2-40B4-BE49-F238E27FC236}">
              <a16:creationId xmlns:a16="http://schemas.microsoft.com/office/drawing/2014/main" id="{9FD14AD6-9E80-4629-90E9-ABDA0D8A5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1410073</xdr:colOff>
      <xdr:row>0</xdr:row>
      <xdr:rowOff>96497</xdr:rowOff>
    </xdr:from>
    <xdr:to>
      <xdr:col>10</xdr:col>
      <xdr:colOff>334023</xdr:colOff>
      <xdr:row>4</xdr:row>
      <xdr:rowOff>736892</xdr:rowOff>
    </xdr:to>
    <xdr:pic>
      <xdr:nvPicPr>
        <xdr:cNvPr id="13" name="Imagen 12">
          <a:extLst>
            <a:ext uri="{FF2B5EF4-FFF2-40B4-BE49-F238E27FC236}">
              <a16:creationId xmlns:a16="http://schemas.microsoft.com/office/drawing/2014/main" id="{B446EAAB-577A-4EBE-BCA9-4160AD35468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77704"/>
        <a:stretch/>
      </xdr:blipFill>
      <xdr:spPr>
        <a:xfrm>
          <a:off x="20104473" y="96497"/>
          <a:ext cx="1379283" cy="1453195"/>
        </a:xfrm>
        <a:prstGeom prst="rect">
          <a:avLst/>
        </a:prstGeom>
      </xdr:spPr>
    </xdr:pic>
    <xdr:clientData/>
  </xdr:twoCellAnchor>
  <xdr:twoCellAnchor>
    <xdr:from>
      <xdr:col>9</xdr:col>
      <xdr:colOff>266759</xdr:colOff>
      <xdr:row>4</xdr:row>
      <xdr:rowOff>595682</xdr:rowOff>
    </xdr:from>
    <xdr:to>
      <xdr:col>9</xdr:col>
      <xdr:colOff>2426599</xdr:colOff>
      <xdr:row>5</xdr:row>
      <xdr:rowOff>506421</xdr:rowOff>
    </xdr:to>
    <xdr:grpSp>
      <xdr:nvGrpSpPr>
        <xdr:cNvPr id="17" name="Grupo 16">
          <a:hlinkClick xmlns:r="http://schemas.openxmlformats.org/officeDocument/2006/relationships" r:id="rId6"/>
          <a:extLst>
            <a:ext uri="{FF2B5EF4-FFF2-40B4-BE49-F238E27FC236}">
              <a16:creationId xmlns:a16="http://schemas.microsoft.com/office/drawing/2014/main" id="{EBF7A35A-D4E4-4D1D-A711-E39C2682A4F8}"/>
            </a:ext>
          </a:extLst>
        </xdr:cNvPr>
        <xdr:cNvGrpSpPr/>
      </xdr:nvGrpSpPr>
      <xdr:grpSpPr>
        <a:xfrm>
          <a:off x="18391473" y="1412111"/>
          <a:ext cx="2112215" cy="659131"/>
          <a:chOff x="15620999" y="402771"/>
          <a:chExt cx="2503715" cy="664029"/>
        </a:xfrm>
      </xdr:grpSpPr>
      <xdr:pic>
        <xdr:nvPicPr>
          <xdr:cNvPr id="18" name="Gráfico 17" descr="Flecha lineal: giro a la izquierda">
            <a:extLst>
              <a:ext uri="{FF2B5EF4-FFF2-40B4-BE49-F238E27FC236}">
                <a16:creationId xmlns:a16="http://schemas.microsoft.com/office/drawing/2014/main" id="{FE024972-1E62-45A5-9E90-3DC90425764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5620999" y="402771"/>
            <a:ext cx="664029" cy="664029"/>
          </a:xfrm>
          <a:prstGeom prst="rect">
            <a:avLst/>
          </a:prstGeom>
        </xdr:spPr>
      </xdr:pic>
      <xdr:sp macro="" textlink="">
        <xdr:nvSpPr>
          <xdr:cNvPr id="19" name="CuadroTexto 18">
            <a:extLst>
              <a:ext uri="{FF2B5EF4-FFF2-40B4-BE49-F238E27FC236}">
                <a16:creationId xmlns:a16="http://schemas.microsoft.com/office/drawing/2014/main" id="{6735E656-2C23-44E5-B4DD-9924A4228696}"/>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3</xdr:col>
      <xdr:colOff>1329458</xdr:colOff>
      <xdr:row>4</xdr:row>
      <xdr:rowOff>314482</xdr:rowOff>
    </xdr:to>
    <xdr:pic>
      <xdr:nvPicPr>
        <xdr:cNvPr id="3" name="Imagen 2">
          <a:extLst>
            <a:ext uri="{FF2B5EF4-FFF2-40B4-BE49-F238E27FC236}">
              <a16:creationId xmlns:a16="http://schemas.microsoft.com/office/drawing/2014/main" id="{59BA6C55-01B6-459C-9FDF-931974C53978}"/>
            </a:ext>
          </a:extLst>
        </xdr:cNvPr>
        <xdr:cNvPicPr>
          <a:picLocks noChangeAspect="1"/>
        </xdr:cNvPicPr>
      </xdr:nvPicPr>
      <xdr:blipFill>
        <a:blip xmlns:r="http://schemas.openxmlformats.org/officeDocument/2006/relationships" r:embed="rId9"/>
        <a:stretch>
          <a:fillRect/>
        </a:stretch>
      </xdr:blipFill>
      <xdr:spPr>
        <a:xfrm>
          <a:off x="0" y="0"/>
          <a:ext cx="5163271" cy="11241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328085</xdr:colOff>
      <xdr:row>26</xdr:row>
      <xdr:rowOff>120928</xdr:rowOff>
    </xdr:from>
    <xdr:to>
      <xdr:col>5</xdr:col>
      <xdr:colOff>25400</xdr:colOff>
      <xdr:row>43</xdr:row>
      <xdr:rowOff>25400</xdr:rowOff>
    </xdr:to>
    <xdr:graphicFrame macro="">
      <xdr:nvGraphicFramePr>
        <xdr:cNvPr id="2" name="Gráfico 1">
          <a:extLst>
            <a:ext uri="{FF2B5EF4-FFF2-40B4-BE49-F238E27FC236}">
              <a16:creationId xmlns:a16="http://schemas.microsoft.com/office/drawing/2014/main" id="{6BD98B67-A21D-475D-9483-F12156BEC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19816</xdr:colOff>
      <xdr:row>46</xdr:row>
      <xdr:rowOff>168068</xdr:rowOff>
    </xdr:from>
    <xdr:to>
      <xdr:col>4</xdr:col>
      <xdr:colOff>2400300</xdr:colOff>
      <xdr:row>66</xdr:row>
      <xdr:rowOff>101600</xdr:rowOff>
    </xdr:to>
    <xdr:graphicFrame macro="">
      <xdr:nvGraphicFramePr>
        <xdr:cNvPr id="4" name="Gráfico 3">
          <a:extLst>
            <a:ext uri="{FF2B5EF4-FFF2-40B4-BE49-F238E27FC236}">
              <a16:creationId xmlns:a16="http://schemas.microsoft.com/office/drawing/2014/main" id="{23243C06-B0BB-46F0-8D9D-12BDD15B3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34793</xdr:colOff>
      <xdr:row>67</xdr:row>
      <xdr:rowOff>127000</xdr:rowOff>
    </xdr:from>
    <xdr:to>
      <xdr:col>4</xdr:col>
      <xdr:colOff>2311400</xdr:colOff>
      <xdr:row>89</xdr:row>
      <xdr:rowOff>38100</xdr:rowOff>
    </xdr:to>
    <xdr:graphicFrame macro="">
      <xdr:nvGraphicFramePr>
        <xdr:cNvPr id="6" name="Gráfico 5">
          <a:extLst>
            <a:ext uri="{FF2B5EF4-FFF2-40B4-BE49-F238E27FC236}">
              <a16:creationId xmlns:a16="http://schemas.microsoft.com/office/drawing/2014/main" id="{C9BEF138-9622-4813-ABCE-5CEFCC857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26710</xdr:colOff>
      <xdr:row>26</xdr:row>
      <xdr:rowOff>124745</xdr:rowOff>
    </xdr:from>
    <xdr:to>
      <xdr:col>9</xdr:col>
      <xdr:colOff>2387600</xdr:colOff>
      <xdr:row>46</xdr:row>
      <xdr:rowOff>88900</xdr:rowOff>
    </xdr:to>
    <xdr:graphicFrame macro="">
      <xdr:nvGraphicFramePr>
        <xdr:cNvPr id="9" name="Gráfico 8">
          <a:extLst>
            <a:ext uri="{FF2B5EF4-FFF2-40B4-BE49-F238E27FC236}">
              <a16:creationId xmlns:a16="http://schemas.microsoft.com/office/drawing/2014/main" id="{62B0FD0F-85BC-4B22-9A41-BEA040690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1661821</xdr:colOff>
      <xdr:row>0</xdr:row>
      <xdr:rowOff>98323</xdr:rowOff>
    </xdr:from>
    <xdr:to>
      <xdr:col>11</xdr:col>
      <xdr:colOff>175623</xdr:colOff>
      <xdr:row>5</xdr:row>
      <xdr:rowOff>599104</xdr:rowOff>
    </xdr:to>
    <xdr:pic>
      <xdr:nvPicPr>
        <xdr:cNvPr id="13" name="Imagen 12">
          <a:extLst>
            <a:ext uri="{FF2B5EF4-FFF2-40B4-BE49-F238E27FC236}">
              <a16:creationId xmlns:a16="http://schemas.microsoft.com/office/drawing/2014/main" id="{8D67E9FE-CD94-443D-9726-EC15EFD06B1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77704"/>
        <a:stretch/>
      </xdr:blipFill>
      <xdr:spPr>
        <a:xfrm>
          <a:off x="22776595" y="98323"/>
          <a:ext cx="1379496" cy="1484007"/>
        </a:xfrm>
        <a:prstGeom prst="rect">
          <a:avLst/>
        </a:prstGeom>
      </xdr:spPr>
    </xdr:pic>
    <xdr:clientData/>
  </xdr:twoCellAnchor>
  <xdr:twoCellAnchor>
    <xdr:from>
      <xdr:col>9</xdr:col>
      <xdr:colOff>626807</xdr:colOff>
      <xdr:row>5</xdr:row>
      <xdr:rowOff>36871</xdr:rowOff>
    </xdr:from>
    <xdr:to>
      <xdr:col>10</xdr:col>
      <xdr:colOff>326600</xdr:colOff>
      <xdr:row>6</xdr:row>
      <xdr:rowOff>84656</xdr:rowOff>
    </xdr:to>
    <xdr:grpSp>
      <xdr:nvGrpSpPr>
        <xdr:cNvPr id="17" name="Grupo 16">
          <a:hlinkClick xmlns:r="http://schemas.openxmlformats.org/officeDocument/2006/relationships" r:id="rId6"/>
          <a:extLst>
            <a:ext uri="{FF2B5EF4-FFF2-40B4-BE49-F238E27FC236}">
              <a16:creationId xmlns:a16="http://schemas.microsoft.com/office/drawing/2014/main" id="{939EB4C3-55ED-468B-B5A1-7B922BEBD455}"/>
            </a:ext>
          </a:extLst>
        </xdr:cNvPr>
        <xdr:cNvGrpSpPr/>
      </xdr:nvGrpSpPr>
      <xdr:grpSpPr>
        <a:xfrm>
          <a:off x="19091700" y="1057407"/>
          <a:ext cx="2081043" cy="660106"/>
          <a:chOff x="15620999" y="402771"/>
          <a:chExt cx="2503715" cy="664029"/>
        </a:xfrm>
      </xdr:grpSpPr>
      <xdr:pic>
        <xdr:nvPicPr>
          <xdr:cNvPr id="18" name="Gráfico 17" descr="Flecha lineal: giro a la izquierda">
            <a:extLst>
              <a:ext uri="{FF2B5EF4-FFF2-40B4-BE49-F238E27FC236}">
                <a16:creationId xmlns:a16="http://schemas.microsoft.com/office/drawing/2014/main" id="{2477FEC7-F05E-42BE-9831-A910CA67F2B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5620999" y="402771"/>
            <a:ext cx="664029" cy="664029"/>
          </a:xfrm>
          <a:prstGeom prst="rect">
            <a:avLst/>
          </a:prstGeom>
        </xdr:spPr>
      </xdr:pic>
      <xdr:sp macro="" textlink="">
        <xdr:nvSpPr>
          <xdr:cNvPr id="19" name="CuadroTexto 18">
            <a:extLst>
              <a:ext uri="{FF2B5EF4-FFF2-40B4-BE49-F238E27FC236}">
                <a16:creationId xmlns:a16="http://schemas.microsoft.com/office/drawing/2014/main" id="{B21174BF-875D-42D0-8069-445EA9FAA9C8}"/>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28576</xdr:rowOff>
    </xdr:from>
    <xdr:to>
      <xdr:col>3</xdr:col>
      <xdr:colOff>283490</xdr:colOff>
      <xdr:row>4</xdr:row>
      <xdr:rowOff>123826</xdr:rowOff>
    </xdr:to>
    <xdr:pic>
      <xdr:nvPicPr>
        <xdr:cNvPr id="3" name="Imagen 2">
          <a:extLst>
            <a:ext uri="{FF2B5EF4-FFF2-40B4-BE49-F238E27FC236}">
              <a16:creationId xmlns:a16="http://schemas.microsoft.com/office/drawing/2014/main" id="{FCBB1F47-7602-4040-A3AD-2213261B0295}"/>
            </a:ext>
          </a:extLst>
        </xdr:cNvPr>
        <xdr:cNvPicPr>
          <a:picLocks noChangeAspect="1"/>
        </xdr:cNvPicPr>
      </xdr:nvPicPr>
      <xdr:blipFill>
        <a:blip xmlns:r="http://schemas.openxmlformats.org/officeDocument/2006/relationships" r:embed="rId9"/>
        <a:stretch>
          <a:fillRect/>
        </a:stretch>
      </xdr:blipFill>
      <xdr:spPr>
        <a:xfrm>
          <a:off x="0" y="28576"/>
          <a:ext cx="4112540" cy="8953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1097280</xdr:colOff>
      <xdr:row>27</xdr:row>
      <xdr:rowOff>172068</xdr:rowOff>
    </xdr:from>
    <xdr:to>
      <xdr:col>4</xdr:col>
      <xdr:colOff>2971800</xdr:colOff>
      <xdr:row>41</xdr:row>
      <xdr:rowOff>106680</xdr:rowOff>
    </xdr:to>
    <xdr:graphicFrame macro="">
      <xdr:nvGraphicFramePr>
        <xdr:cNvPr id="2" name="Gráfico 1">
          <a:extLst>
            <a:ext uri="{FF2B5EF4-FFF2-40B4-BE49-F238E27FC236}">
              <a16:creationId xmlns:a16="http://schemas.microsoft.com/office/drawing/2014/main" id="{22CE9912-AF96-41C2-948A-36764B32D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1112520</xdr:colOff>
      <xdr:row>43</xdr:row>
      <xdr:rowOff>118263</xdr:rowOff>
    </xdr:from>
    <xdr:to>
      <xdr:col>4</xdr:col>
      <xdr:colOff>3063240</xdr:colOff>
      <xdr:row>62</xdr:row>
      <xdr:rowOff>137160</xdr:rowOff>
    </xdr:to>
    <xdr:graphicFrame macro="">
      <xdr:nvGraphicFramePr>
        <xdr:cNvPr id="3" name="Gráfico 2">
          <a:extLst>
            <a:ext uri="{FF2B5EF4-FFF2-40B4-BE49-F238E27FC236}">
              <a16:creationId xmlns:a16="http://schemas.microsoft.com/office/drawing/2014/main" id="{DE45DA78-AA80-4126-BE5D-17FC1A279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367553</xdr:colOff>
      <xdr:row>0</xdr:row>
      <xdr:rowOff>0</xdr:rowOff>
    </xdr:from>
    <xdr:to>
      <xdr:col>6</xdr:col>
      <xdr:colOff>283824</xdr:colOff>
      <xdr:row>6</xdr:row>
      <xdr:rowOff>272205</xdr:rowOff>
    </xdr:to>
    <xdr:pic>
      <xdr:nvPicPr>
        <xdr:cNvPr id="9" name="Imagen 8">
          <a:extLst>
            <a:ext uri="{FF2B5EF4-FFF2-40B4-BE49-F238E27FC236}">
              <a16:creationId xmlns:a16="http://schemas.microsoft.com/office/drawing/2014/main" id="{74608233-3A7E-4B24-8EE5-A7F6FC44453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7704"/>
        <a:stretch/>
      </xdr:blipFill>
      <xdr:spPr>
        <a:xfrm>
          <a:off x="9762565" y="0"/>
          <a:ext cx="1386483" cy="1455546"/>
        </a:xfrm>
        <a:prstGeom prst="rect">
          <a:avLst/>
        </a:prstGeom>
      </xdr:spPr>
    </xdr:pic>
    <xdr:clientData/>
  </xdr:twoCellAnchor>
  <xdr:twoCellAnchor>
    <xdr:from>
      <xdr:col>4</xdr:col>
      <xdr:colOff>2788920</xdr:colOff>
      <xdr:row>3</xdr:row>
      <xdr:rowOff>30480</xdr:rowOff>
    </xdr:from>
    <xdr:to>
      <xdr:col>6</xdr:col>
      <xdr:colOff>322667</xdr:colOff>
      <xdr:row>6</xdr:row>
      <xdr:rowOff>98421</xdr:rowOff>
    </xdr:to>
    <xdr:grpSp>
      <xdr:nvGrpSpPr>
        <xdr:cNvPr id="11" name="Grupo 10">
          <a:hlinkClick xmlns:r="http://schemas.openxmlformats.org/officeDocument/2006/relationships" r:id="rId4"/>
          <a:extLst>
            <a:ext uri="{FF2B5EF4-FFF2-40B4-BE49-F238E27FC236}">
              <a16:creationId xmlns:a16="http://schemas.microsoft.com/office/drawing/2014/main" id="{04821972-E2FC-41AE-B16E-667CF475C57F}"/>
            </a:ext>
          </a:extLst>
        </xdr:cNvPr>
        <xdr:cNvGrpSpPr/>
      </xdr:nvGrpSpPr>
      <xdr:grpSpPr>
        <a:xfrm>
          <a:off x="9414087" y="633730"/>
          <a:ext cx="2349163" cy="671191"/>
          <a:chOff x="15620999" y="402771"/>
          <a:chExt cx="2503715" cy="664029"/>
        </a:xfrm>
      </xdr:grpSpPr>
      <xdr:pic>
        <xdr:nvPicPr>
          <xdr:cNvPr id="12" name="Gráfico 11" descr="Flecha lineal: giro a la izquierda">
            <a:extLst>
              <a:ext uri="{FF2B5EF4-FFF2-40B4-BE49-F238E27FC236}">
                <a16:creationId xmlns:a16="http://schemas.microsoft.com/office/drawing/2014/main" id="{23BAE00E-58AF-4B73-BBA8-322D1E398A9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620999" y="402771"/>
            <a:ext cx="664029" cy="664029"/>
          </a:xfrm>
          <a:prstGeom prst="rect">
            <a:avLst/>
          </a:prstGeom>
        </xdr:spPr>
      </xdr:pic>
      <xdr:sp macro="" textlink="">
        <xdr:nvSpPr>
          <xdr:cNvPr id="13" name="CuadroTexto 12">
            <a:extLst>
              <a:ext uri="{FF2B5EF4-FFF2-40B4-BE49-F238E27FC236}">
                <a16:creationId xmlns:a16="http://schemas.microsoft.com/office/drawing/2014/main" id="{9CDCBE75-D9FC-4E2A-BF39-B8B4D9FDA14D}"/>
              </a:ext>
            </a:extLst>
          </xdr:cNvPr>
          <xdr:cNvSpPr txBox="1"/>
        </xdr:nvSpPr>
        <xdr:spPr>
          <a:xfrm>
            <a:off x="16306800" y="598714"/>
            <a:ext cx="1817914"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C00000"/>
                </a:solidFill>
                <a:latin typeface="Arial" panose="020B0604020202020204" pitchFamily="34" charset="0"/>
                <a:cs typeface="Arial" panose="020B0604020202020204" pitchFamily="34" charset="0"/>
              </a:rPr>
              <a:t>Volver a Guía</a:t>
            </a:r>
            <a:r>
              <a:rPr lang="es-CO" sz="1200" b="1" baseline="0">
                <a:solidFill>
                  <a:srgbClr val="C00000"/>
                </a:solidFill>
                <a:latin typeface="Arial" panose="020B0604020202020204" pitchFamily="34" charset="0"/>
                <a:cs typeface="Arial" panose="020B0604020202020204" pitchFamily="34" charset="0"/>
              </a:rPr>
              <a:t> de Uso</a:t>
            </a:r>
            <a:endParaRPr lang="es-CO" sz="1200" b="1">
              <a:solidFill>
                <a:srgbClr val="C00000"/>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38101</xdr:rowOff>
    </xdr:from>
    <xdr:to>
      <xdr:col>3</xdr:col>
      <xdr:colOff>409575</xdr:colOff>
      <xdr:row>4</xdr:row>
      <xdr:rowOff>32231</xdr:rowOff>
    </xdr:to>
    <xdr:pic>
      <xdr:nvPicPr>
        <xdr:cNvPr id="5" name="Imagen 4">
          <a:extLst>
            <a:ext uri="{FF2B5EF4-FFF2-40B4-BE49-F238E27FC236}">
              <a16:creationId xmlns:a16="http://schemas.microsoft.com/office/drawing/2014/main" id="{F3833CA3-2317-4F08-8A08-3E60D798FECE}"/>
            </a:ext>
          </a:extLst>
        </xdr:cNvPr>
        <xdr:cNvPicPr>
          <a:picLocks noChangeAspect="1"/>
        </xdr:cNvPicPr>
      </xdr:nvPicPr>
      <xdr:blipFill>
        <a:blip xmlns:r="http://schemas.openxmlformats.org/officeDocument/2006/relationships" r:embed="rId7"/>
        <a:stretch>
          <a:fillRect/>
        </a:stretch>
      </xdr:blipFill>
      <xdr:spPr>
        <a:xfrm>
          <a:off x="0" y="38101"/>
          <a:ext cx="3648075" cy="79423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E6A883-EBAB-44D4-A990-A8A9CA13B2B0}" name="Tabla1" displayName="Tabla1" ref="D396:M401" totalsRowShown="0" dataDxfId="97">
  <tableColumns count="10">
    <tableColumn id="1" xr3:uid="{7F079F1A-C4A0-48A7-97FC-E1F61E745075}" name=" " dataDxfId="96"/>
    <tableColumn id="2" xr3:uid="{8E4F83F7-B195-41B1-AF9F-BCC2F43AD0A3}" name="2016" dataDxfId="95"/>
    <tableColumn id="3" xr3:uid="{CE2768BF-5F3D-4DE2-9776-941EBA1E90BF}" name="2017" dataDxfId="94"/>
    <tableColumn id="4" xr3:uid="{58F42CF1-24AA-4D45-A6F7-7E7D988ABDAF}" name="2018" dataDxfId="93"/>
    <tableColumn id="5" xr3:uid="{1106D694-F953-497F-8769-0F3275BF0174}" name="2019" dataDxfId="92"/>
    <tableColumn id="6" xr3:uid="{8B4ECCD1-4D57-4586-9A24-1CAA5E3E6632}" name="2020" dataDxfId="91"/>
    <tableColumn id="7" xr3:uid="{C11EA575-1007-45F1-A6D2-39F86F77F8BC}" name="2021" dataDxfId="90"/>
    <tableColumn id="8" xr3:uid="{0855E71D-E927-47F7-8F93-439560F6994B}" name="2022" dataDxfId="89"/>
    <tableColumn id="9" xr3:uid="{E831925C-5601-4FB0-8663-D7AF1B5A4133}" name="2023" dataDxfId="88"/>
    <tableColumn id="10" xr3:uid="{3030DCE8-FDEC-425C-B51A-3931E2BF7D9A}" name="2024" dataDxfId="8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1DAAA1-24BE-410E-9341-66F90FA9DB16}" name="Tabla13" displayName="Tabla13" ref="O396:X401" totalsRowShown="0" dataDxfId="86">
  <tableColumns count="10">
    <tableColumn id="1" xr3:uid="{38FDFD3D-685E-4158-803D-D6516868C94D}" name=" " dataDxfId="85"/>
    <tableColumn id="2" xr3:uid="{DE40C34C-63E5-4B49-87D1-9950FD46086A}" name="2016" dataDxfId="84"/>
    <tableColumn id="3" xr3:uid="{912ADDBE-E7AC-494D-9A57-AD93CDBD60E9}" name="2017" dataDxfId="83"/>
    <tableColumn id="4" xr3:uid="{366856BC-14CE-45BF-8214-DFBB355D39B7}" name="2018" dataDxfId="82"/>
    <tableColumn id="5" xr3:uid="{0EE54EDB-432D-4C02-AAD0-40CDE40D092C}" name="2019" dataDxfId="81"/>
    <tableColumn id="6" xr3:uid="{1D15ADFF-E3A6-43F7-9E01-4820EE58A06E}" name="2020" dataDxfId="80"/>
    <tableColumn id="7" xr3:uid="{9383A0EB-07D9-4E69-9D9A-FF95C262E07E}" name="2021" dataDxfId="79"/>
    <tableColumn id="8" xr3:uid="{C8D190E3-5204-4ED4-803F-AC1BE495A477}" name="2022" dataDxfId="78"/>
    <tableColumn id="9" xr3:uid="{B630AC4E-F5B8-4DA6-A900-20A303621F43}" name="2023" dataDxfId="77"/>
    <tableColumn id="10" xr3:uid="{4F404861-F596-4E57-B45A-AB33E985D69D}" name="2024" dataDxfId="7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4CA1-B909-4AFE-8AD7-70BDFB88276F}">
  <sheetPr>
    <tabColor rgb="FFC00000"/>
  </sheetPr>
  <dimension ref="A1:Q51"/>
  <sheetViews>
    <sheetView tabSelected="1" workbookViewId="0">
      <selection activeCell="C13" sqref="C13:O13"/>
    </sheetView>
  </sheetViews>
  <sheetFormatPr baseColWidth="10" defaultColWidth="12.5703125" defaultRowHeight="15.75" x14ac:dyDescent="0.25"/>
  <cols>
    <col min="1" max="1" width="3.7109375" style="116" customWidth="1"/>
    <col min="2" max="2" width="12.5703125" style="116"/>
    <col min="3" max="3" width="29.7109375" style="116" customWidth="1"/>
    <col min="4" max="4" width="15.85546875" style="116" customWidth="1"/>
    <col min="5" max="5" width="22.140625" style="116" customWidth="1"/>
    <col min="6" max="6" width="14" style="116" customWidth="1"/>
    <col min="7" max="7" width="23.42578125" style="116" customWidth="1"/>
    <col min="8" max="8" width="16.85546875" style="116" customWidth="1"/>
    <col min="9" max="9" width="8.140625" style="116" customWidth="1"/>
    <col min="10" max="10" width="3.7109375" style="116" customWidth="1"/>
    <col min="11" max="11" width="12.85546875" style="116" customWidth="1"/>
    <col min="12" max="12" width="36" style="116" bestFit="1" customWidth="1"/>
    <col min="13" max="13" width="16.28515625" style="116" customWidth="1"/>
    <col min="14" max="16384" width="12.5703125" style="116"/>
  </cols>
  <sheetData>
    <row r="1" spans="1:17" x14ac:dyDescent="0.25">
      <c r="A1" s="98"/>
      <c r="B1" s="98"/>
      <c r="C1" s="98"/>
      <c r="D1" s="98"/>
      <c r="E1" s="98"/>
      <c r="F1" s="98"/>
      <c r="G1" s="98"/>
      <c r="H1" s="98"/>
      <c r="I1" s="98"/>
      <c r="J1" s="98"/>
      <c r="K1" s="98"/>
      <c r="L1" s="98"/>
      <c r="M1" s="98"/>
      <c r="N1" s="98"/>
      <c r="O1" s="98"/>
      <c r="P1" s="98"/>
      <c r="Q1" s="98"/>
    </row>
    <row r="2" spans="1:17" x14ac:dyDescent="0.25">
      <c r="A2" s="98"/>
      <c r="B2" s="98"/>
      <c r="C2" s="98"/>
      <c r="D2" s="98"/>
      <c r="E2" s="98"/>
      <c r="F2" s="98"/>
      <c r="G2" s="98"/>
      <c r="H2" s="98"/>
      <c r="I2" s="98"/>
      <c r="J2" s="98"/>
      <c r="K2" s="98"/>
      <c r="L2" s="98"/>
      <c r="M2" s="98"/>
      <c r="N2" s="98"/>
      <c r="O2" s="98"/>
      <c r="P2" s="98"/>
      <c r="Q2" s="98"/>
    </row>
    <row r="3" spans="1:17" x14ac:dyDescent="0.25">
      <c r="A3" s="98"/>
      <c r="B3" s="98"/>
      <c r="C3" s="98"/>
      <c r="D3" s="98"/>
      <c r="E3" s="98"/>
      <c r="F3" s="98"/>
      <c r="G3" s="98"/>
      <c r="H3" s="98"/>
      <c r="I3" s="98"/>
      <c r="J3" s="98"/>
      <c r="K3" s="98"/>
      <c r="L3" s="98"/>
      <c r="M3" s="98"/>
      <c r="N3" s="98"/>
      <c r="O3" s="98"/>
      <c r="P3" s="98"/>
      <c r="Q3" s="98"/>
    </row>
    <row r="4" spans="1:17" x14ac:dyDescent="0.25">
      <c r="A4" s="98"/>
      <c r="B4" s="98"/>
      <c r="C4" s="98"/>
      <c r="D4" s="98"/>
      <c r="E4" s="98"/>
      <c r="F4" s="98"/>
      <c r="G4" s="98"/>
      <c r="H4" s="98"/>
      <c r="I4" s="98"/>
      <c r="J4" s="98"/>
      <c r="K4" s="98"/>
      <c r="L4" s="98"/>
      <c r="M4" s="98"/>
      <c r="N4" s="98"/>
      <c r="O4" s="98"/>
      <c r="P4" s="98"/>
      <c r="Q4" s="98"/>
    </row>
    <row r="5" spans="1:17" ht="20.25" x14ac:dyDescent="0.3">
      <c r="A5" s="98"/>
      <c r="B5" s="98"/>
      <c r="C5" s="98"/>
      <c r="D5" s="98"/>
      <c r="E5" s="835" t="s">
        <v>979</v>
      </c>
      <c r="F5" s="835"/>
      <c r="G5" s="835"/>
      <c r="H5" s="835"/>
      <c r="I5" s="835"/>
      <c r="J5" s="835"/>
      <c r="K5" s="835"/>
      <c r="L5" s="835"/>
      <c r="M5" s="98"/>
      <c r="N5" s="98"/>
      <c r="O5" s="98"/>
      <c r="P5" s="98"/>
      <c r="Q5" s="98"/>
    </row>
    <row r="6" spans="1:17" ht="20.25" x14ac:dyDescent="0.3">
      <c r="A6" s="98"/>
      <c r="B6" s="98"/>
      <c r="C6" s="98"/>
      <c r="D6" s="98"/>
      <c r="E6" s="835" t="s">
        <v>1094</v>
      </c>
      <c r="F6" s="835"/>
      <c r="G6" s="835"/>
      <c r="H6" s="835"/>
      <c r="I6" s="835"/>
      <c r="J6" s="835"/>
      <c r="K6" s="835"/>
      <c r="L6" s="835"/>
      <c r="M6" s="98"/>
      <c r="N6" s="98"/>
      <c r="O6" s="98"/>
      <c r="P6" s="98"/>
      <c r="Q6" s="98"/>
    </row>
    <row r="7" spans="1:17" ht="20.25" x14ac:dyDescent="0.25">
      <c r="A7" s="98"/>
      <c r="B7" s="836"/>
      <c r="C7" s="836"/>
      <c r="D7" s="836"/>
      <c r="E7" s="836"/>
      <c r="F7" s="836"/>
      <c r="G7" s="836"/>
      <c r="H7" s="836"/>
      <c r="I7" s="836"/>
      <c r="J7" s="836"/>
      <c r="K7" s="836"/>
      <c r="L7" s="836"/>
      <c r="M7" s="836"/>
      <c r="N7" s="836"/>
      <c r="O7" s="836"/>
      <c r="P7" s="836"/>
      <c r="Q7" s="98"/>
    </row>
    <row r="8" spans="1:17" ht="3.6" customHeight="1" x14ac:dyDescent="0.25">
      <c r="A8" s="98"/>
      <c r="B8" s="98"/>
      <c r="C8" s="98"/>
      <c r="D8" s="98"/>
      <c r="E8" s="98"/>
      <c r="F8" s="98"/>
      <c r="G8" s="98"/>
      <c r="H8" s="98"/>
      <c r="I8" s="98"/>
      <c r="J8" s="98"/>
      <c r="K8" s="98"/>
      <c r="L8" s="98"/>
      <c r="M8" s="98"/>
      <c r="N8" s="98"/>
      <c r="O8" s="98"/>
      <c r="P8" s="98"/>
      <c r="Q8" s="98"/>
    </row>
    <row r="9" spans="1:17" ht="72.599999999999994" customHeight="1" x14ac:dyDescent="0.25">
      <c r="A9" s="98"/>
      <c r="B9" s="382"/>
      <c r="C9" s="828" t="s">
        <v>1004</v>
      </c>
      <c r="D9" s="828"/>
      <c r="E9" s="828"/>
      <c r="F9" s="828"/>
      <c r="G9" s="828"/>
      <c r="H9" s="828"/>
      <c r="I9" s="828"/>
      <c r="J9" s="828"/>
      <c r="K9" s="828"/>
      <c r="L9" s="828"/>
      <c r="M9" s="828"/>
      <c r="N9" s="828"/>
      <c r="O9" s="828"/>
      <c r="P9" s="828"/>
      <c r="Q9" s="98"/>
    </row>
    <row r="10" spans="1:17" ht="45" customHeight="1" x14ac:dyDescent="0.25">
      <c r="A10" s="98"/>
      <c r="B10" s="239"/>
      <c r="C10" s="828" t="s">
        <v>1005</v>
      </c>
      <c r="D10" s="828"/>
      <c r="E10" s="828"/>
      <c r="F10" s="828"/>
      <c r="G10" s="828"/>
      <c r="H10" s="828"/>
      <c r="I10" s="828"/>
      <c r="J10" s="828"/>
      <c r="K10" s="828"/>
      <c r="L10" s="828"/>
      <c r="M10" s="828"/>
      <c r="N10" s="828"/>
      <c r="O10" s="828"/>
      <c r="P10" s="382"/>
      <c r="Q10" s="98"/>
    </row>
    <row r="11" spans="1:17" ht="28.9" customHeight="1" x14ac:dyDescent="0.25">
      <c r="A11" s="98"/>
      <c r="B11" s="239"/>
      <c r="C11" s="384" t="s">
        <v>1006</v>
      </c>
      <c r="D11" s="382"/>
      <c r="E11" s="382"/>
      <c r="F11" s="382"/>
      <c r="G11" s="382"/>
      <c r="H11" s="382"/>
      <c r="I11" s="382"/>
      <c r="J11" s="382"/>
      <c r="K11" s="382"/>
      <c r="L11" s="382"/>
      <c r="M11" s="382"/>
      <c r="N11" s="382"/>
      <c r="O11" s="382"/>
      <c r="P11" s="98"/>
      <c r="Q11" s="98"/>
    </row>
    <row r="12" spans="1:17" ht="60.6" customHeight="1" x14ac:dyDescent="0.25">
      <c r="A12" s="98"/>
      <c r="B12" s="239"/>
      <c r="C12" s="828" t="s">
        <v>1085</v>
      </c>
      <c r="D12" s="828"/>
      <c r="E12" s="828"/>
      <c r="F12" s="828"/>
      <c r="G12" s="828"/>
      <c r="H12" s="828"/>
      <c r="I12" s="828"/>
      <c r="J12" s="828"/>
      <c r="K12" s="828"/>
      <c r="L12" s="828"/>
      <c r="M12" s="828"/>
      <c r="N12" s="828"/>
      <c r="O12" s="828"/>
      <c r="P12" s="828"/>
      <c r="Q12" s="98"/>
    </row>
    <row r="13" spans="1:17" ht="39" customHeight="1" x14ac:dyDescent="0.25">
      <c r="A13" s="98"/>
      <c r="B13" s="239"/>
      <c r="C13" s="827" t="s">
        <v>1007</v>
      </c>
      <c r="D13" s="828"/>
      <c r="E13" s="828"/>
      <c r="F13" s="828"/>
      <c r="G13" s="828"/>
      <c r="H13" s="828"/>
      <c r="I13" s="828"/>
      <c r="J13" s="828"/>
      <c r="K13" s="828"/>
      <c r="L13" s="828"/>
      <c r="M13" s="828"/>
      <c r="N13" s="828"/>
      <c r="O13" s="828"/>
      <c r="P13" s="98"/>
      <c r="Q13" s="98"/>
    </row>
    <row r="14" spans="1:17" ht="50.45" customHeight="1" x14ac:dyDescent="0.3">
      <c r="A14" s="98"/>
      <c r="B14" s="101"/>
      <c r="C14" s="828" t="s">
        <v>1086</v>
      </c>
      <c r="D14" s="828"/>
      <c r="E14" s="828"/>
      <c r="F14" s="828"/>
      <c r="G14" s="828"/>
      <c r="H14" s="828"/>
      <c r="I14" s="828"/>
      <c r="J14" s="828"/>
      <c r="K14" s="828"/>
      <c r="L14" s="828"/>
      <c r="M14" s="828"/>
      <c r="N14" s="828"/>
      <c r="O14" s="828"/>
      <c r="P14" s="828"/>
      <c r="Q14" s="98"/>
    </row>
    <row r="15" spans="1:17" ht="29.45" customHeight="1" x14ac:dyDescent="0.25">
      <c r="A15" s="98"/>
      <c r="B15" s="383"/>
      <c r="C15" s="837" t="s">
        <v>1008</v>
      </c>
      <c r="D15" s="828"/>
      <c r="E15" s="828"/>
      <c r="F15" s="828"/>
      <c r="G15" s="828"/>
      <c r="H15" s="828"/>
      <c r="I15" s="828"/>
      <c r="J15" s="828"/>
      <c r="K15" s="828"/>
      <c r="L15" s="828"/>
      <c r="M15" s="828"/>
      <c r="N15" s="828"/>
      <c r="O15" s="828"/>
      <c r="P15" s="98"/>
      <c r="Q15" s="98"/>
    </row>
    <row r="16" spans="1:17" ht="45" customHeight="1" x14ac:dyDescent="0.25">
      <c r="A16" s="98"/>
      <c r="B16" s="383"/>
      <c r="C16" s="828" t="s">
        <v>1087</v>
      </c>
      <c r="D16" s="828"/>
      <c r="E16" s="828"/>
      <c r="F16" s="828"/>
      <c r="G16" s="828"/>
      <c r="H16" s="828"/>
      <c r="I16" s="828"/>
      <c r="J16" s="828"/>
      <c r="K16" s="828"/>
      <c r="L16" s="828"/>
      <c r="M16" s="828"/>
      <c r="N16" s="828"/>
      <c r="O16" s="828"/>
      <c r="P16" s="828"/>
      <c r="Q16" s="98"/>
    </row>
    <row r="17" spans="1:17" ht="31.9" customHeight="1" x14ac:dyDescent="0.25">
      <c r="A17" s="98"/>
      <c r="B17" s="380"/>
      <c r="C17" s="829" t="s">
        <v>1009</v>
      </c>
      <c r="D17" s="828"/>
      <c r="E17" s="828"/>
      <c r="F17" s="828"/>
      <c r="G17" s="828"/>
      <c r="H17" s="828"/>
      <c r="I17" s="828"/>
      <c r="J17" s="828"/>
      <c r="K17" s="828"/>
      <c r="L17" s="828"/>
      <c r="M17" s="828"/>
      <c r="N17" s="828"/>
      <c r="O17" s="828"/>
      <c r="P17" s="98"/>
      <c r="Q17" s="98"/>
    </row>
    <row r="18" spans="1:17" ht="31.9" customHeight="1" x14ac:dyDescent="0.25">
      <c r="A18" s="98"/>
      <c r="B18" s="380"/>
      <c r="C18" s="828" t="s">
        <v>1088</v>
      </c>
      <c r="D18" s="828"/>
      <c r="E18" s="828"/>
      <c r="F18" s="828"/>
      <c r="G18" s="828"/>
      <c r="H18" s="828"/>
      <c r="I18" s="828"/>
      <c r="J18" s="828"/>
      <c r="K18" s="828"/>
      <c r="L18" s="828"/>
      <c r="M18" s="828"/>
      <c r="N18" s="828"/>
      <c r="O18" s="828"/>
      <c r="P18" s="828"/>
      <c r="Q18" s="98"/>
    </row>
    <row r="19" spans="1:17" ht="39" customHeight="1" x14ac:dyDescent="0.25">
      <c r="A19" s="98"/>
      <c r="B19" s="189"/>
      <c r="C19" s="830" t="s">
        <v>1010</v>
      </c>
      <c r="D19" s="828"/>
      <c r="E19" s="828"/>
      <c r="F19" s="828"/>
      <c r="G19" s="828"/>
      <c r="H19" s="828"/>
      <c r="I19" s="828"/>
      <c r="J19" s="828"/>
      <c r="K19" s="828"/>
      <c r="L19" s="828"/>
      <c r="M19" s="828"/>
      <c r="N19" s="828"/>
      <c r="O19" s="828"/>
      <c r="P19" s="98"/>
      <c r="Q19" s="98"/>
    </row>
    <row r="20" spans="1:17" ht="39" customHeight="1" x14ac:dyDescent="0.25">
      <c r="A20" s="98"/>
      <c r="B20" s="189"/>
      <c r="C20" s="828" t="s">
        <v>1089</v>
      </c>
      <c r="D20" s="828"/>
      <c r="E20" s="828"/>
      <c r="F20" s="828"/>
      <c r="G20" s="828"/>
      <c r="H20" s="828"/>
      <c r="I20" s="828"/>
      <c r="J20" s="828"/>
      <c r="K20" s="828"/>
      <c r="L20" s="828"/>
      <c r="M20" s="828"/>
      <c r="N20" s="828"/>
      <c r="O20" s="828"/>
      <c r="P20" s="828"/>
      <c r="Q20" s="98"/>
    </row>
    <row r="21" spans="1:17" ht="38.450000000000003" customHeight="1" x14ac:dyDescent="0.25">
      <c r="A21" s="98"/>
      <c r="B21" s="189"/>
      <c r="C21" s="831" t="s">
        <v>1011</v>
      </c>
      <c r="D21" s="828"/>
      <c r="E21" s="828"/>
      <c r="F21" s="828"/>
      <c r="G21" s="828"/>
      <c r="H21" s="828"/>
      <c r="I21" s="828"/>
      <c r="J21" s="828"/>
      <c r="K21" s="828"/>
      <c r="L21" s="828"/>
      <c r="M21" s="828"/>
      <c r="N21" s="828"/>
      <c r="O21" s="828"/>
      <c r="P21" s="98"/>
      <c r="Q21" s="98"/>
    </row>
    <row r="22" spans="1:17" ht="44.45" customHeight="1" x14ac:dyDescent="0.25">
      <c r="A22" s="98"/>
      <c r="B22" s="189"/>
      <c r="C22" s="828" t="s">
        <v>1090</v>
      </c>
      <c r="D22" s="828"/>
      <c r="E22" s="828"/>
      <c r="F22" s="828"/>
      <c r="G22" s="828"/>
      <c r="H22" s="828"/>
      <c r="I22" s="828"/>
      <c r="J22" s="828"/>
      <c r="K22" s="828"/>
      <c r="L22" s="828"/>
      <c r="M22" s="828"/>
      <c r="N22" s="828"/>
      <c r="O22" s="828"/>
      <c r="P22" s="828"/>
      <c r="Q22" s="98"/>
    </row>
    <row r="23" spans="1:17" ht="30.6" customHeight="1" x14ac:dyDescent="0.25">
      <c r="A23" s="98"/>
      <c r="B23" s="189"/>
      <c r="C23" s="831" t="s">
        <v>1012</v>
      </c>
      <c r="D23" s="828"/>
      <c r="E23" s="828"/>
      <c r="F23" s="828"/>
      <c r="G23" s="828"/>
      <c r="H23" s="828"/>
      <c r="I23" s="828"/>
      <c r="J23" s="828"/>
      <c r="K23" s="828"/>
      <c r="L23" s="828"/>
      <c r="M23" s="828"/>
      <c r="N23" s="828"/>
      <c r="O23" s="828"/>
      <c r="P23" s="98"/>
      <c r="Q23" s="98"/>
    </row>
    <row r="24" spans="1:17" ht="44.45" customHeight="1" x14ac:dyDescent="0.25">
      <c r="A24" s="98"/>
      <c r="B24" s="189"/>
      <c r="C24" s="828" t="s">
        <v>1091</v>
      </c>
      <c r="D24" s="828"/>
      <c r="E24" s="828"/>
      <c r="F24" s="828"/>
      <c r="G24" s="828"/>
      <c r="H24" s="828"/>
      <c r="I24" s="828"/>
      <c r="J24" s="828"/>
      <c r="K24" s="828"/>
      <c r="L24" s="828"/>
      <c r="M24" s="828"/>
      <c r="N24" s="828"/>
      <c r="O24" s="828"/>
      <c r="P24" s="828"/>
      <c r="Q24" s="98"/>
    </row>
    <row r="25" spans="1:17" ht="26.45" customHeight="1" x14ac:dyDescent="0.3">
      <c r="A25" s="101"/>
      <c r="B25" s="189"/>
      <c r="C25" s="831" t="s">
        <v>1013</v>
      </c>
      <c r="D25" s="828"/>
      <c r="E25" s="828"/>
      <c r="F25" s="828"/>
      <c r="G25" s="828"/>
      <c r="H25" s="828"/>
      <c r="I25" s="828"/>
      <c r="J25" s="828"/>
      <c r="K25" s="828"/>
      <c r="L25" s="828"/>
      <c r="M25" s="828"/>
      <c r="N25" s="828"/>
      <c r="O25" s="828"/>
      <c r="P25" s="98"/>
      <c r="Q25" s="98"/>
    </row>
    <row r="26" spans="1:17" ht="39" customHeight="1" x14ac:dyDescent="0.3">
      <c r="A26" s="101"/>
      <c r="B26" s="189"/>
      <c r="C26" s="828" t="s">
        <v>1092</v>
      </c>
      <c r="D26" s="828"/>
      <c r="E26" s="828"/>
      <c r="F26" s="828"/>
      <c r="G26" s="828"/>
      <c r="H26" s="828"/>
      <c r="I26" s="828"/>
      <c r="J26" s="828"/>
      <c r="K26" s="828"/>
      <c r="L26" s="828"/>
      <c r="M26" s="828"/>
      <c r="N26" s="828"/>
      <c r="O26" s="828"/>
      <c r="P26" s="828"/>
      <c r="Q26" s="98"/>
    </row>
    <row r="27" spans="1:17" ht="38.450000000000003" customHeight="1" x14ac:dyDescent="0.25">
      <c r="A27" s="98"/>
      <c r="B27" s="189"/>
      <c r="C27" s="831" t="s">
        <v>1014</v>
      </c>
      <c r="D27" s="828"/>
      <c r="E27" s="828"/>
      <c r="F27" s="828"/>
      <c r="G27" s="828"/>
      <c r="H27" s="828"/>
      <c r="I27" s="828"/>
      <c r="J27" s="828"/>
      <c r="K27" s="828"/>
      <c r="L27" s="828"/>
      <c r="M27" s="828"/>
      <c r="N27" s="828"/>
      <c r="O27" s="828"/>
      <c r="P27" s="98"/>
      <c r="Q27" s="98"/>
    </row>
    <row r="28" spans="1:17" ht="39" customHeight="1" x14ac:dyDescent="0.25">
      <c r="A28" s="98"/>
      <c r="B28" s="189"/>
      <c r="C28" s="828" t="s">
        <v>1093</v>
      </c>
      <c r="D28" s="828"/>
      <c r="E28" s="828"/>
      <c r="F28" s="828"/>
      <c r="G28" s="828"/>
      <c r="H28" s="828"/>
      <c r="I28" s="828"/>
      <c r="J28" s="828"/>
      <c r="K28" s="828"/>
      <c r="L28" s="828"/>
      <c r="M28" s="828"/>
      <c r="N28" s="828"/>
      <c r="O28" s="828"/>
      <c r="P28" s="828"/>
      <c r="Q28" s="98"/>
    </row>
    <row r="29" spans="1:17" ht="18" customHeight="1" x14ac:dyDescent="0.25">
      <c r="A29" s="98"/>
      <c r="B29" s="189"/>
      <c r="C29" s="381"/>
      <c r="D29" s="381"/>
      <c r="E29" s="381"/>
      <c r="F29" s="98"/>
      <c r="G29" s="98"/>
      <c r="H29" s="117"/>
      <c r="I29" s="117"/>
      <c r="J29" s="117"/>
      <c r="K29" s="98"/>
      <c r="L29" s="98"/>
      <c r="M29" s="98"/>
      <c r="N29" s="98"/>
      <c r="O29" s="98"/>
      <c r="P29" s="98"/>
      <c r="Q29" s="98"/>
    </row>
    <row r="30" spans="1:17" ht="20.25" x14ac:dyDescent="0.25">
      <c r="A30" s="98"/>
      <c r="B30" s="189"/>
      <c r="C30" s="381"/>
      <c r="D30" s="381"/>
      <c r="E30" s="381"/>
      <c r="F30" s="98"/>
      <c r="G30" s="98"/>
      <c r="H30" s="98"/>
      <c r="I30" s="98"/>
      <c r="J30" s="98"/>
      <c r="K30" s="98"/>
      <c r="L30" s="98"/>
      <c r="M30" s="98"/>
      <c r="N30" s="98"/>
      <c r="O30" s="98"/>
      <c r="P30" s="98"/>
      <c r="Q30" s="98"/>
    </row>
    <row r="31" spans="1:17" ht="20.25" x14ac:dyDescent="0.25">
      <c r="A31" s="98"/>
      <c r="B31" s="189"/>
      <c r="C31" s="381"/>
      <c r="D31" s="381"/>
      <c r="E31" s="381"/>
      <c r="F31" s="98"/>
      <c r="G31" s="98"/>
      <c r="H31" s="98"/>
      <c r="I31" s="98"/>
      <c r="J31" s="98"/>
      <c r="K31" s="98"/>
      <c r="L31" s="98"/>
      <c r="M31" s="98"/>
      <c r="N31" s="98"/>
      <c r="O31" s="98"/>
      <c r="P31" s="98"/>
      <c r="Q31" s="98"/>
    </row>
    <row r="32" spans="1:17" x14ac:dyDescent="0.25">
      <c r="A32" s="98"/>
      <c r="B32" s="98"/>
      <c r="C32" s="98"/>
      <c r="D32" s="98"/>
      <c r="E32" s="98"/>
      <c r="F32" s="98"/>
      <c r="G32" s="98"/>
      <c r="H32" s="832"/>
      <c r="I32" s="832"/>
      <c r="J32" s="832"/>
      <c r="K32" s="98"/>
      <c r="L32" s="98"/>
      <c r="M32" s="98"/>
      <c r="N32" s="98"/>
      <c r="O32" s="98"/>
      <c r="P32" s="98"/>
      <c r="Q32" s="98"/>
    </row>
    <row r="33" spans="1:17" ht="15.75" customHeight="1" x14ac:dyDescent="0.25">
      <c r="A33" s="98"/>
      <c r="B33" s="98"/>
      <c r="C33" s="98"/>
      <c r="D33" s="98"/>
      <c r="E33" s="98"/>
      <c r="F33" s="98"/>
      <c r="G33" s="98"/>
      <c r="H33" s="832"/>
      <c r="I33" s="832"/>
      <c r="J33" s="832"/>
      <c r="K33" s="833"/>
      <c r="L33" s="833"/>
      <c r="M33" s="833"/>
      <c r="N33" s="98"/>
      <c r="O33" s="98"/>
      <c r="P33" s="98"/>
      <c r="Q33" s="98"/>
    </row>
    <row r="34" spans="1:17" ht="20.25" customHeight="1" x14ac:dyDescent="0.25">
      <c r="A34" s="98"/>
      <c r="B34" s="98"/>
      <c r="C34" s="98"/>
      <c r="D34" s="98"/>
      <c r="E34" s="98"/>
      <c r="F34" s="98"/>
      <c r="G34" s="98"/>
      <c r="H34" s="832"/>
      <c r="I34" s="832"/>
      <c r="J34" s="832"/>
      <c r="K34" s="378"/>
      <c r="L34" s="378"/>
      <c r="M34" s="378"/>
      <c r="N34" s="98"/>
      <c r="O34" s="98"/>
      <c r="P34" s="98"/>
      <c r="Q34" s="98"/>
    </row>
    <row r="35" spans="1:17" ht="21.75" customHeight="1" x14ac:dyDescent="0.25">
      <c r="A35" s="98"/>
      <c r="B35" s="378"/>
      <c r="C35" s="378"/>
      <c r="D35" s="98"/>
      <c r="E35" s="98"/>
      <c r="F35" s="98"/>
      <c r="G35" s="98"/>
      <c r="H35" s="832"/>
      <c r="I35" s="832"/>
      <c r="J35" s="832"/>
      <c r="K35" s="189"/>
      <c r="L35" s="188"/>
      <c r="M35" s="188"/>
      <c r="N35" s="98"/>
      <c r="O35" s="98"/>
      <c r="P35" s="98"/>
      <c r="Q35" s="98"/>
    </row>
    <row r="36" spans="1:17" ht="19.5" customHeight="1" x14ac:dyDescent="0.25">
      <c r="A36" s="98"/>
      <c r="B36" s="833"/>
      <c r="C36" s="833"/>
      <c r="D36" s="378"/>
      <c r="E36" s="98"/>
      <c r="F36" s="98"/>
      <c r="G36" s="98"/>
      <c r="H36" s="832"/>
      <c r="I36" s="832"/>
      <c r="J36" s="832"/>
      <c r="K36" s="189"/>
      <c r="L36" s="188"/>
      <c r="M36" s="188"/>
      <c r="N36" s="98"/>
      <c r="O36" s="98"/>
      <c r="P36" s="98"/>
      <c r="Q36" s="98"/>
    </row>
    <row r="37" spans="1:17" ht="20.25" x14ac:dyDescent="0.25">
      <c r="A37" s="98"/>
      <c r="B37" s="378"/>
      <c r="C37" s="378"/>
      <c r="D37" s="378"/>
      <c r="E37" s="98"/>
      <c r="F37" s="98"/>
      <c r="G37" s="98"/>
      <c r="H37" s="832"/>
      <c r="I37" s="832"/>
      <c r="J37" s="832"/>
      <c r="K37" s="189"/>
      <c r="L37" s="188"/>
      <c r="M37" s="188"/>
      <c r="N37" s="98"/>
      <c r="O37" s="98"/>
      <c r="P37" s="98"/>
      <c r="Q37" s="98"/>
    </row>
    <row r="38" spans="1:17" ht="20.25" x14ac:dyDescent="0.25">
      <c r="A38" s="98"/>
      <c r="B38" s="189"/>
      <c r="C38" s="188"/>
      <c r="D38" s="188"/>
      <c r="E38" s="98"/>
      <c r="F38" s="98"/>
      <c r="G38" s="98"/>
      <c r="H38" s="832"/>
      <c r="I38" s="832"/>
      <c r="J38" s="832"/>
      <c r="K38" s="189"/>
      <c r="L38" s="188"/>
      <c r="M38" s="188"/>
      <c r="N38" s="98"/>
      <c r="O38" s="98"/>
      <c r="P38" s="98"/>
      <c r="Q38" s="98"/>
    </row>
    <row r="39" spans="1:17" ht="20.25" x14ac:dyDescent="0.25">
      <c r="A39" s="98"/>
      <c r="B39" s="189"/>
      <c r="C39" s="189"/>
      <c r="D39" s="188"/>
      <c r="E39" s="98"/>
      <c r="F39" s="98"/>
      <c r="G39" s="98"/>
      <c r="H39" s="98"/>
      <c r="I39" s="98"/>
      <c r="J39" s="98"/>
      <c r="K39" s="189"/>
      <c r="L39" s="188"/>
      <c r="M39" s="188"/>
      <c r="N39" s="98"/>
      <c r="O39" s="98"/>
      <c r="P39" s="98"/>
      <c r="Q39" s="98"/>
    </row>
    <row r="40" spans="1:17" ht="20.25" x14ac:dyDescent="0.25">
      <c r="A40" s="98"/>
      <c r="B40" s="189"/>
      <c r="C40" s="188"/>
      <c r="D40" s="188"/>
      <c r="E40" s="98"/>
      <c r="F40" s="98"/>
      <c r="G40" s="98"/>
      <c r="H40" s="98"/>
      <c r="I40" s="98"/>
      <c r="J40" s="98"/>
      <c r="K40" s="189"/>
      <c r="L40" s="188"/>
      <c r="M40" s="188"/>
      <c r="N40" s="98"/>
      <c r="O40" s="98"/>
      <c r="P40" s="98"/>
      <c r="Q40" s="98"/>
    </row>
    <row r="41" spans="1:17" ht="20.25" x14ac:dyDescent="0.25">
      <c r="A41" s="98"/>
      <c r="B41" s="189"/>
      <c r="C41" s="189"/>
      <c r="D41" s="188"/>
      <c r="E41" s="98"/>
      <c r="F41" s="98"/>
      <c r="G41" s="98"/>
      <c r="H41" s="98"/>
      <c r="I41" s="98"/>
      <c r="J41" s="98"/>
      <c r="K41" s="189"/>
      <c r="L41" s="188"/>
      <c r="M41" s="188"/>
      <c r="N41" s="98"/>
      <c r="O41" s="98"/>
      <c r="P41" s="98"/>
      <c r="Q41" s="98"/>
    </row>
    <row r="42" spans="1:17" ht="20.25" x14ac:dyDescent="0.25">
      <c r="A42" s="98"/>
      <c r="B42" s="189"/>
      <c r="C42" s="188"/>
      <c r="D42" s="188"/>
      <c r="E42" s="98"/>
      <c r="F42" s="98"/>
      <c r="G42" s="98"/>
      <c r="H42" s="98"/>
      <c r="I42" s="98"/>
      <c r="J42" s="98"/>
      <c r="K42" s="189"/>
      <c r="L42" s="188"/>
      <c r="M42" s="188"/>
      <c r="N42" s="98"/>
      <c r="O42" s="98"/>
      <c r="P42" s="98"/>
      <c r="Q42" s="98"/>
    </row>
    <row r="43" spans="1:17" ht="20.25" x14ac:dyDescent="0.25">
      <c r="A43" s="98"/>
      <c r="B43" s="189"/>
      <c r="C43" s="188"/>
      <c r="D43" s="188"/>
      <c r="E43" s="98"/>
      <c r="F43" s="98"/>
      <c r="G43" s="98"/>
      <c r="H43" s="98"/>
      <c r="I43" s="98"/>
      <c r="J43" s="98"/>
      <c r="K43" s="189"/>
      <c r="L43" s="188"/>
      <c r="M43" s="188"/>
      <c r="N43" s="98"/>
      <c r="O43" s="98"/>
      <c r="P43" s="98"/>
      <c r="Q43" s="98"/>
    </row>
    <row r="44" spans="1:17" ht="20.25" x14ac:dyDescent="0.25">
      <c r="A44" s="98"/>
      <c r="B44" s="189"/>
      <c r="C44" s="188"/>
      <c r="D44" s="188"/>
      <c r="E44" s="98"/>
      <c r="F44" s="98"/>
      <c r="G44" s="98"/>
      <c r="H44" s="98"/>
      <c r="I44" s="98"/>
      <c r="J44" s="98"/>
      <c r="K44" s="98"/>
      <c r="L44" s="98"/>
      <c r="M44" s="98"/>
      <c r="N44" s="98"/>
      <c r="O44" s="98"/>
      <c r="P44" s="98"/>
      <c r="Q44" s="98"/>
    </row>
    <row r="45" spans="1:17" ht="20.25" x14ac:dyDescent="0.25">
      <c r="A45" s="98"/>
      <c r="B45" s="189"/>
      <c r="C45" s="188"/>
      <c r="D45" s="188"/>
      <c r="E45" s="98"/>
      <c r="F45" s="98"/>
      <c r="G45" s="98"/>
      <c r="H45" s="98"/>
      <c r="I45" s="98"/>
      <c r="J45" s="98"/>
      <c r="K45" s="98"/>
      <c r="L45" s="98"/>
      <c r="M45" s="98"/>
      <c r="N45" s="98"/>
      <c r="O45" s="98"/>
      <c r="P45" s="98"/>
      <c r="Q45" s="98"/>
    </row>
    <row r="46" spans="1:17" x14ac:dyDescent="0.25">
      <c r="A46" s="98"/>
      <c r="B46" s="98"/>
      <c r="C46" s="98"/>
      <c r="D46" s="98"/>
      <c r="E46" s="98"/>
      <c r="F46" s="98"/>
      <c r="G46" s="98"/>
      <c r="H46" s="98"/>
      <c r="I46" s="98"/>
      <c r="J46" s="98"/>
      <c r="K46" s="98"/>
      <c r="L46" s="98"/>
      <c r="M46" s="98"/>
      <c r="N46" s="98"/>
      <c r="O46" s="98"/>
      <c r="P46" s="98"/>
      <c r="Q46" s="98"/>
    </row>
    <row r="47" spans="1:17" x14ac:dyDescent="0.25">
      <c r="A47" s="98"/>
      <c r="B47" s="98"/>
      <c r="C47" s="98"/>
      <c r="D47" s="98"/>
      <c r="E47" s="98"/>
      <c r="F47" s="98"/>
      <c r="G47" s="98"/>
      <c r="H47" s="98"/>
      <c r="I47" s="98"/>
      <c r="J47" s="98"/>
      <c r="K47" s="98"/>
      <c r="L47" s="98"/>
      <c r="M47" s="98"/>
      <c r="N47" s="98"/>
      <c r="O47" s="98"/>
      <c r="P47" s="98"/>
      <c r="Q47" s="98"/>
    </row>
    <row r="48" spans="1:17" x14ac:dyDescent="0.25">
      <c r="A48" s="98"/>
      <c r="B48" s="98"/>
      <c r="C48" s="98"/>
      <c r="D48" s="98"/>
      <c r="E48" s="98"/>
      <c r="F48" s="98"/>
      <c r="G48" s="98"/>
      <c r="H48" s="98"/>
      <c r="I48" s="98"/>
      <c r="J48" s="98"/>
      <c r="K48" s="98"/>
      <c r="L48" s="98"/>
      <c r="M48" s="98"/>
      <c r="N48" s="98"/>
      <c r="O48" s="98"/>
      <c r="P48" s="98"/>
      <c r="Q48" s="98"/>
    </row>
    <row r="49" spans="1:17" x14ac:dyDescent="0.25">
      <c r="A49" s="98"/>
      <c r="B49" s="98"/>
      <c r="C49" s="98"/>
      <c r="D49" s="98"/>
      <c r="E49" s="98"/>
      <c r="F49" s="98"/>
      <c r="G49" s="98"/>
      <c r="H49" s="98"/>
      <c r="I49" s="98"/>
      <c r="J49" s="98"/>
      <c r="K49" s="98"/>
      <c r="L49" s="98"/>
      <c r="M49" s="98"/>
      <c r="N49" s="98"/>
      <c r="O49" s="98"/>
      <c r="P49" s="98"/>
      <c r="Q49" s="98"/>
    </row>
    <row r="50" spans="1:17" x14ac:dyDescent="0.25">
      <c r="A50" s="98"/>
      <c r="B50" s="98"/>
      <c r="C50" s="98"/>
      <c r="D50" s="98"/>
      <c r="E50" s="98"/>
      <c r="F50" s="98"/>
      <c r="G50" s="98"/>
      <c r="H50" s="98"/>
      <c r="I50" s="98"/>
      <c r="J50" s="98"/>
      <c r="K50" s="98"/>
      <c r="L50" s="98"/>
      <c r="M50" s="98"/>
      <c r="N50" s="98"/>
      <c r="O50" s="98"/>
      <c r="P50" s="98"/>
      <c r="Q50" s="98"/>
    </row>
    <row r="51" spans="1:17" ht="20.25" customHeight="1" x14ac:dyDescent="0.25">
      <c r="A51" s="98"/>
      <c r="B51" s="834" t="s">
        <v>256</v>
      </c>
      <c r="C51" s="834"/>
      <c r="D51" s="834"/>
      <c r="E51" s="834"/>
      <c r="F51" s="834"/>
      <c r="G51" s="834"/>
      <c r="H51" s="834"/>
      <c r="I51" s="834"/>
      <c r="J51" s="834"/>
      <c r="K51" s="834"/>
      <c r="L51" s="834"/>
      <c r="M51" s="834"/>
      <c r="N51" s="834"/>
      <c r="O51" s="834"/>
      <c r="P51" s="834"/>
      <c r="Q51" s="834"/>
    </row>
  </sheetData>
  <sheetProtection algorithmName="SHA-512" hashValue="kj2CRPJWb1pNGWPCxcXmpQkgcJawShap+32Owa5c96LO1ywEiH4mLdHBpuLkzSWa8uUWSgLWpay++sd3GCswSw==" saltValue="tmReb0pty04+zGYDAwzI+A==" spinCount="100000" sheet="1" objects="1" scenarios="1"/>
  <mergeCells count="26">
    <mergeCell ref="B51:Q51"/>
    <mergeCell ref="E6:L6"/>
    <mergeCell ref="E5:L5"/>
    <mergeCell ref="B7:P7"/>
    <mergeCell ref="C10:O10"/>
    <mergeCell ref="C15:O15"/>
    <mergeCell ref="C9:P9"/>
    <mergeCell ref="C12:P12"/>
    <mergeCell ref="C14:P14"/>
    <mergeCell ref="C16:P16"/>
    <mergeCell ref="C18:P18"/>
    <mergeCell ref="C20:P20"/>
    <mergeCell ref="C22:P22"/>
    <mergeCell ref="C23:O23"/>
    <mergeCell ref="C25:O25"/>
    <mergeCell ref="C27:O27"/>
    <mergeCell ref="C13:O13"/>
    <mergeCell ref="C17:O17"/>
    <mergeCell ref="C19:O19"/>
    <mergeCell ref="C21:O21"/>
    <mergeCell ref="H32:J38"/>
    <mergeCell ref="K33:M33"/>
    <mergeCell ref="B36:C36"/>
    <mergeCell ref="C24:P24"/>
    <mergeCell ref="C26:P26"/>
    <mergeCell ref="C28:P28"/>
  </mergeCells>
  <pageMargins left="0.39370078740157483" right="0.39370078740157483" top="0.39370078740157483" bottom="0.3937007874015748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S401"/>
  <sheetViews>
    <sheetView topLeftCell="A22" zoomScale="80" zoomScaleNormal="80" workbookViewId="0">
      <pane xSplit="1" topLeftCell="C1" activePane="topRight" state="frozen"/>
      <selection activeCell="K23" sqref="K23"/>
      <selection pane="topRight" activeCell="C36" sqref="C36:C170 X36:X170"/>
    </sheetView>
  </sheetViews>
  <sheetFormatPr baseColWidth="10" defaultColWidth="9.140625" defaultRowHeight="12.75" x14ac:dyDescent="0.2"/>
  <cols>
    <col min="1" max="1" width="60.140625" customWidth="1"/>
    <col min="2" max="2" width="13.42578125" bestFit="1" customWidth="1"/>
    <col min="3" max="3" width="28.85546875" customWidth="1"/>
    <col min="4" max="4" width="11.140625" customWidth="1"/>
    <col min="5" max="5" width="17.42578125" customWidth="1"/>
    <col min="6" max="7" width="11.140625" customWidth="1"/>
    <col min="8" max="8" width="18.85546875" customWidth="1"/>
    <col min="9" max="9" width="16.42578125" customWidth="1"/>
    <col min="10" max="10" width="14.28515625" customWidth="1"/>
    <col min="11" max="11" width="15.140625" customWidth="1"/>
    <col min="12" max="12" width="11.7109375" customWidth="1"/>
    <col min="13" max="13" width="14.42578125" customWidth="1"/>
    <col min="14" max="14" width="14.7109375" customWidth="1"/>
    <col min="15" max="15" width="13.85546875" customWidth="1"/>
    <col min="16" max="16" width="12.42578125" customWidth="1"/>
    <col min="17" max="17" width="14.5703125" customWidth="1"/>
    <col min="18" max="18" width="13.28515625" customWidth="1"/>
    <col min="19" max="19" width="11.42578125" customWidth="1"/>
    <col min="20" max="20" width="18.7109375" customWidth="1"/>
    <col min="21" max="21" width="11.85546875" customWidth="1"/>
    <col min="22" max="22" width="10.42578125" customWidth="1"/>
    <col min="23" max="23" width="11.7109375" customWidth="1"/>
    <col min="24" max="24" width="10.42578125" customWidth="1"/>
    <col min="25" max="25" width="11.7109375" customWidth="1"/>
    <col min="28" max="28" width="10.5703125" customWidth="1"/>
    <col min="32" max="32" width="10.5703125" customWidth="1"/>
    <col min="35" max="35" width="9.7109375" bestFit="1" customWidth="1"/>
  </cols>
  <sheetData>
    <row r="1" spans="1:33" x14ac:dyDescent="0.2">
      <c r="A1" s="846"/>
      <c r="B1" s="846"/>
      <c r="C1" s="846"/>
      <c r="D1" s="846"/>
      <c r="E1" s="846"/>
      <c r="F1" s="846"/>
      <c r="G1" s="846"/>
      <c r="H1" s="846"/>
      <c r="I1" s="846"/>
      <c r="J1" s="846"/>
      <c r="K1" s="846"/>
    </row>
    <row r="3" spans="1:33" x14ac:dyDescent="0.2">
      <c r="A3" s="846"/>
      <c r="B3" s="846"/>
      <c r="C3" s="846"/>
      <c r="D3" s="846"/>
      <c r="E3" s="846"/>
      <c r="F3" s="846"/>
      <c r="G3" s="846"/>
      <c r="H3" s="846"/>
      <c r="I3" s="846"/>
      <c r="J3" s="846"/>
      <c r="K3" s="846"/>
    </row>
    <row r="4" spans="1:33" ht="6" customHeight="1" x14ac:dyDescent="0.2"/>
    <row r="5" spans="1:33" hidden="1" x14ac:dyDescent="0.2"/>
    <row r="6" spans="1:33" hidden="1" x14ac:dyDescent="0.2">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row>
    <row r="7" spans="1:33" hidden="1" x14ac:dyDescent="0.2"/>
    <row r="8" spans="1:33" x14ac:dyDescent="0.2">
      <c r="D8" s="842">
        <v>2014</v>
      </c>
      <c r="E8" s="843"/>
      <c r="F8" s="842">
        <v>2015</v>
      </c>
      <c r="G8" s="843"/>
      <c r="H8" s="842">
        <v>2016</v>
      </c>
      <c r="I8" s="843"/>
      <c r="J8" s="842">
        <v>2017</v>
      </c>
      <c r="K8" s="843"/>
      <c r="L8" s="842">
        <v>2018</v>
      </c>
      <c r="M8" s="843"/>
      <c r="N8" s="842">
        <v>2019</v>
      </c>
      <c r="O8" s="843"/>
      <c r="P8" s="842">
        <v>2020</v>
      </c>
      <c r="Q8" s="843"/>
      <c r="R8" s="847">
        <v>2021</v>
      </c>
      <c r="S8" s="848"/>
      <c r="T8" s="848"/>
      <c r="U8" s="848"/>
      <c r="V8" s="847">
        <v>2022</v>
      </c>
      <c r="W8" s="848"/>
      <c r="X8" s="848"/>
      <c r="Y8" s="848"/>
      <c r="Z8" s="847">
        <v>2023</v>
      </c>
      <c r="AA8" s="848"/>
      <c r="AB8" s="848"/>
      <c r="AC8" s="848"/>
      <c r="AD8" s="847">
        <v>2024</v>
      </c>
      <c r="AE8" s="848"/>
      <c r="AF8" s="848"/>
      <c r="AG8" s="848"/>
    </row>
    <row r="9" spans="1:33" ht="87" customHeight="1" x14ac:dyDescent="0.2">
      <c r="A9" s="7" t="s">
        <v>5</v>
      </c>
      <c r="B9" s="7" t="s">
        <v>242</v>
      </c>
      <c r="C9" s="7" t="s">
        <v>243</v>
      </c>
      <c r="D9" s="7" t="s">
        <v>216</v>
      </c>
      <c r="E9" s="7" t="s">
        <v>217</v>
      </c>
      <c r="F9" s="7" t="s">
        <v>216</v>
      </c>
      <c r="G9" s="7" t="s">
        <v>217</v>
      </c>
      <c r="H9" s="7" t="s">
        <v>216</v>
      </c>
      <c r="I9" s="7" t="s">
        <v>217</v>
      </c>
      <c r="J9" s="7" t="s">
        <v>216</v>
      </c>
      <c r="K9" s="7" t="s">
        <v>217</v>
      </c>
      <c r="L9" s="7" t="s">
        <v>216</v>
      </c>
      <c r="M9" s="7" t="s">
        <v>217</v>
      </c>
      <c r="N9" s="7" t="s">
        <v>216</v>
      </c>
      <c r="O9" s="7" t="s">
        <v>217</v>
      </c>
      <c r="P9" s="7" t="s">
        <v>216</v>
      </c>
      <c r="Q9" s="7" t="s">
        <v>217</v>
      </c>
      <c r="R9" s="248" t="s">
        <v>216</v>
      </c>
      <c r="S9" s="248" t="s">
        <v>872</v>
      </c>
      <c r="T9" s="248" t="s">
        <v>217</v>
      </c>
      <c r="U9" s="248" t="s">
        <v>873</v>
      </c>
      <c r="V9" s="248" t="s">
        <v>216</v>
      </c>
      <c r="W9" s="248" t="s">
        <v>872</v>
      </c>
      <c r="X9" s="248" t="s">
        <v>217</v>
      </c>
      <c r="Y9" s="248" t="s">
        <v>873</v>
      </c>
      <c r="Z9" s="248" t="s">
        <v>216</v>
      </c>
      <c r="AA9" s="248" t="s">
        <v>872</v>
      </c>
      <c r="AB9" s="248" t="s">
        <v>217</v>
      </c>
      <c r="AC9" s="248" t="s">
        <v>873</v>
      </c>
      <c r="AD9" s="248" t="s">
        <v>216</v>
      </c>
      <c r="AE9" s="248" t="s">
        <v>872</v>
      </c>
      <c r="AF9" s="248" t="s">
        <v>217</v>
      </c>
      <c r="AG9" s="248" t="s">
        <v>873</v>
      </c>
    </row>
    <row r="10" spans="1:33" ht="24.95" customHeight="1" x14ac:dyDescent="0.2">
      <c r="A10" s="3" t="s">
        <v>10</v>
      </c>
      <c r="B10" s="3"/>
      <c r="C10" s="3"/>
      <c r="D10" s="17">
        <v>255</v>
      </c>
      <c r="E10" s="17">
        <v>35</v>
      </c>
      <c r="F10" s="17">
        <v>256</v>
      </c>
      <c r="G10" s="17">
        <v>35</v>
      </c>
      <c r="H10" s="127">
        <v>264</v>
      </c>
      <c r="I10" s="127">
        <v>46</v>
      </c>
      <c r="J10" s="127">
        <v>262</v>
      </c>
      <c r="K10" s="127">
        <v>47</v>
      </c>
      <c r="L10" s="127">
        <v>258</v>
      </c>
      <c r="M10" s="127">
        <v>49</v>
      </c>
      <c r="N10" s="127">
        <v>253</v>
      </c>
      <c r="O10" s="127">
        <v>50</v>
      </c>
      <c r="P10" s="127">
        <v>252</v>
      </c>
      <c r="Q10" s="127">
        <v>48</v>
      </c>
      <c r="R10" s="246">
        <v>250</v>
      </c>
      <c r="S10" s="246" t="s">
        <v>874</v>
      </c>
      <c r="T10" s="246">
        <v>50</v>
      </c>
      <c r="U10" s="246" t="s">
        <v>875</v>
      </c>
      <c r="V10" s="315">
        <v>254</v>
      </c>
      <c r="W10" s="315" t="s">
        <v>874</v>
      </c>
      <c r="X10" s="315">
        <v>51</v>
      </c>
      <c r="Y10" s="315" t="s">
        <v>875</v>
      </c>
      <c r="Z10" s="423">
        <v>257</v>
      </c>
      <c r="AA10" s="423" t="s">
        <v>874</v>
      </c>
      <c r="AB10" s="423">
        <v>51</v>
      </c>
      <c r="AC10" s="423" t="s">
        <v>875</v>
      </c>
      <c r="AD10" s="463">
        <v>260</v>
      </c>
      <c r="AE10" s="463" t="s">
        <v>874</v>
      </c>
      <c r="AF10" s="463">
        <v>52</v>
      </c>
      <c r="AG10" s="463" t="s">
        <v>875</v>
      </c>
    </row>
    <row r="11" spans="1:33" ht="24.95" customHeight="1" x14ac:dyDescent="0.2">
      <c r="A11" s="4" t="s">
        <v>0</v>
      </c>
      <c r="B11" s="4"/>
      <c r="C11" s="4"/>
      <c r="D11" s="19">
        <v>253</v>
      </c>
      <c r="E11" s="19">
        <v>32</v>
      </c>
      <c r="F11" s="19">
        <v>255</v>
      </c>
      <c r="G11" s="19">
        <v>35</v>
      </c>
      <c r="H11" s="128">
        <v>266</v>
      </c>
      <c r="I11" s="128">
        <v>37</v>
      </c>
      <c r="J11" s="128">
        <v>263</v>
      </c>
      <c r="K11" s="128">
        <v>39</v>
      </c>
      <c r="L11" s="128">
        <v>260</v>
      </c>
      <c r="M11" s="128">
        <v>41</v>
      </c>
      <c r="N11" s="128">
        <v>257</v>
      </c>
      <c r="O11" s="128">
        <v>42</v>
      </c>
      <c r="P11" s="128">
        <v>258</v>
      </c>
      <c r="Q11" s="128">
        <v>40</v>
      </c>
      <c r="R11" s="244">
        <v>257</v>
      </c>
      <c r="S11" s="244" t="s">
        <v>11</v>
      </c>
      <c r="T11" s="244">
        <v>42</v>
      </c>
      <c r="U11" s="244" t="s">
        <v>11</v>
      </c>
      <c r="V11" s="316">
        <v>262</v>
      </c>
      <c r="W11" s="316" t="s">
        <v>11</v>
      </c>
      <c r="X11" s="316">
        <v>43</v>
      </c>
      <c r="Y11" s="316" t="s">
        <v>11</v>
      </c>
      <c r="Z11" s="424">
        <v>262</v>
      </c>
      <c r="AA11" s="424" t="s">
        <v>11</v>
      </c>
      <c r="AB11" s="424">
        <v>43</v>
      </c>
      <c r="AC11" s="424" t="s">
        <v>11</v>
      </c>
      <c r="AD11" s="464">
        <v>265</v>
      </c>
      <c r="AE11" s="464" t="s">
        <v>11</v>
      </c>
      <c r="AF11" s="464">
        <v>44</v>
      </c>
      <c r="AG11" s="464" t="s">
        <v>11</v>
      </c>
    </row>
    <row r="12" spans="1:33" ht="24.95" customHeight="1" x14ac:dyDescent="0.2">
      <c r="A12" s="6" t="s">
        <v>12</v>
      </c>
      <c r="B12" s="6"/>
      <c r="C12" s="6"/>
      <c r="D12" s="21">
        <v>250</v>
      </c>
      <c r="E12" s="21"/>
      <c r="F12" s="21">
        <v>248</v>
      </c>
      <c r="G12" s="21"/>
      <c r="H12" s="129">
        <v>260</v>
      </c>
      <c r="I12" s="129">
        <v>37</v>
      </c>
      <c r="J12" s="129">
        <v>257</v>
      </c>
      <c r="K12" s="129">
        <v>38</v>
      </c>
      <c r="L12" s="129">
        <v>252</v>
      </c>
      <c r="M12" s="129">
        <v>39</v>
      </c>
      <c r="N12" s="129">
        <v>249</v>
      </c>
      <c r="O12" s="129">
        <v>40</v>
      </c>
      <c r="P12" s="129">
        <v>251</v>
      </c>
      <c r="Q12" s="129">
        <v>38</v>
      </c>
      <c r="R12" s="245">
        <v>248</v>
      </c>
      <c r="S12" s="245" t="s">
        <v>874</v>
      </c>
      <c r="T12" s="245">
        <v>40</v>
      </c>
      <c r="U12" s="245" t="s">
        <v>874</v>
      </c>
      <c r="V12" s="318">
        <v>252</v>
      </c>
      <c r="W12" s="317" t="s">
        <v>874</v>
      </c>
      <c r="X12" s="318">
        <v>41</v>
      </c>
      <c r="Y12" s="317" t="s">
        <v>874</v>
      </c>
      <c r="Z12" s="425">
        <v>253</v>
      </c>
      <c r="AA12" s="425" t="s">
        <v>874</v>
      </c>
      <c r="AB12" s="425">
        <v>41</v>
      </c>
      <c r="AC12" s="425" t="s">
        <v>874</v>
      </c>
      <c r="AD12" s="465">
        <v>257</v>
      </c>
      <c r="AE12" s="465" t="s">
        <v>874</v>
      </c>
      <c r="AF12" s="465">
        <v>43</v>
      </c>
      <c r="AG12" s="465" t="s">
        <v>874</v>
      </c>
    </row>
    <row r="13" spans="1:33" ht="24.95" customHeight="1" x14ac:dyDescent="0.2">
      <c r="A13" s="6" t="s">
        <v>13</v>
      </c>
      <c r="B13" s="6"/>
      <c r="C13" s="6"/>
      <c r="D13" s="21"/>
      <c r="E13" s="21"/>
      <c r="F13" s="21"/>
      <c r="G13" s="21"/>
      <c r="H13" s="129">
        <v>260</v>
      </c>
      <c r="I13" s="129">
        <v>35</v>
      </c>
      <c r="J13" s="129">
        <v>249</v>
      </c>
      <c r="K13" s="129">
        <v>32</v>
      </c>
      <c r="L13" s="129">
        <v>248</v>
      </c>
      <c r="M13" s="129">
        <v>42</v>
      </c>
      <c r="N13" s="129">
        <v>249</v>
      </c>
      <c r="O13" s="129">
        <v>42</v>
      </c>
      <c r="P13" s="129">
        <v>248</v>
      </c>
      <c r="Q13" s="129">
        <v>45</v>
      </c>
      <c r="R13" s="245">
        <v>244</v>
      </c>
      <c r="S13" s="245" t="s">
        <v>874</v>
      </c>
      <c r="T13" s="245">
        <v>39</v>
      </c>
      <c r="U13" s="245" t="s">
        <v>874</v>
      </c>
      <c r="V13" s="318">
        <v>249</v>
      </c>
      <c r="W13" s="317" t="s">
        <v>874</v>
      </c>
      <c r="X13" s="318">
        <v>46</v>
      </c>
      <c r="Y13" s="317" t="s">
        <v>874</v>
      </c>
      <c r="Z13" s="425">
        <v>240</v>
      </c>
      <c r="AA13" s="425" t="s">
        <v>874</v>
      </c>
      <c r="AB13" s="425">
        <v>42</v>
      </c>
      <c r="AC13" s="425" t="s">
        <v>874</v>
      </c>
      <c r="AD13" s="484">
        <v>244</v>
      </c>
      <c r="AE13" s="465" t="s">
        <v>874</v>
      </c>
      <c r="AF13" s="465">
        <v>37</v>
      </c>
      <c r="AG13" s="465" t="s">
        <v>876</v>
      </c>
    </row>
    <row r="14" spans="1:33" ht="24.95" customHeight="1" x14ac:dyDescent="0.2">
      <c r="A14" s="6" t="s">
        <v>14</v>
      </c>
      <c r="B14" s="6"/>
      <c r="C14" s="6"/>
      <c r="D14" s="21">
        <v>257</v>
      </c>
      <c r="E14" s="21"/>
      <c r="F14" s="21">
        <v>256</v>
      </c>
      <c r="G14" s="21"/>
      <c r="H14" s="129">
        <v>272</v>
      </c>
      <c r="I14" s="129">
        <v>38</v>
      </c>
      <c r="J14" s="129">
        <v>270</v>
      </c>
      <c r="K14" s="129">
        <v>40</v>
      </c>
      <c r="L14" s="129">
        <v>269</v>
      </c>
      <c r="M14" s="129">
        <v>41</v>
      </c>
      <c r="N14" s="129">
        <v>266</v>
      </c>
      <c r="O14" s="129">
        <v>41</v>
      </c>
      <c r="P14" s="129">
        <v>265</v>
      </c>
      <c r="Q14" s="129">
        <v>41</v>
      </c>
      <c r="R14" s="245">
        <v>266</v>
      </c>
      <c r="S14" s="245" t="s">
        <v>874</v>
      </c>
      <c r="T14" s="245">
        <v>43</v>
      </c>
      <c r="U14" s="245" t="s">
        <v>874</v>
      </c>
      <c r="V14" s="318">
        <v>272</v>
      </c>
      <c r="W14" s="317" t="s">
        <v>874</v>
      </c>
      <c r="X14" s="318">
        <v>43</v>
      </c>
      <c r="Y14" s="317" t="s">
        <v>874</v>
      </c>
      <c r="Z14" s="425">
        <v>273</v>
      </c>
      <c r="AA14" s="425" t="s">
        <v>874</v>
      </c>
      <c r="AB14" s="425">
        <v>43</v>
      </c>
      <c r="AC14" s="425" t="s">
        <v>874</v>
      </c>
      <c r="AD14" s="484">
        <v>276</v>
      </c>
      <c r="AE14" s="465" t="s">
        <v>874</v>
      </c>
      <c r="AF14" s="465">
        <v>43</v>
      </c>
      <c r="AG14" s="465" t="s">
        <v>874</v>
      </c>
    </row>
    <row r="15" spans="1:33" ht="24.95" customHeight="1" x14ac:dyDescent="0.2">
      <c r="A15" s="6" t="s">
        <v>15</v>
      </c>
      <c r="B15" s="6"/>
      <c r="C15" s="6"/>
      <c r="D15" s="21"/>
      <c r="E15" s="21"/>
      <c r="F15" s="21"/>
      <c r="G15" s="21"/>
      <c r="H15" s="129">
        <v>256</v>
      </c>
      <c r="I15" s="129">
        <v>36</v>
      </c>
      <c r="J15" s="129">
        <v>256</v>
      </c>
      <c r="K15" s="129">
        <v>38</v>
      </c>
      <c r="L15" s="129">
        <v>251</v>
      </c>
      <c r="M15" s="129">
        <v>40</v>
      </c>
      <c r="N15" s="129">
        <v>248</v>
      </c>
      <c r="O15" s="129">
        <v>41</v>
      </c>
      <c r="P15" s="129">
        <v>247</v>
      </c>
      <c r="Q15" s="129">
        <v>38</v>
      </c>
      <c r="R15" s="245">
        <v>244</v>
      </c>
      <c r="S15" s="245" t="s">
        <v>874</v>
      </c>
      <c r="T15" s="245">
        <v>40</v>
      </c>
      <c r="U15" s="245" t="s">
        <v>874</v>
      </c>
      <c r="V15" s="318">
        <v>248</v>
      </c>
      <c r="W15" s="317" t="s">
        <v>874</v>
      </c>
      <c r="X15" s="318">
        <v>41</v>
      </c>
      <c r="Y15" s="317" t="s">
        <v>874</v>
      </c>
      <c r="Z15" s="425">
        <v>250</v>
      </c>
      <c r="AA15" s="425" t="s">
        <v>874</v>
      </c>
      <c r="AB15" s="425">
        <v>41</v>
      </c>
      <c r="AC15" s="425" t="s">
        <v>874</v>
      </c>
      <c r="AD15" s="484">
        <v>248</v>
      </c>
      <c r="AE15" s="465" t="s">
        <v>874</v>
      </c>
      <c r="AF15" s="465">
        <v>42</v>
      </c>
      <c r="AG15" s="465" t="s">
        <v>874</v>
      </c>
    </row>
    <row r="16" spans="1:33" ht="24.95" customHeight="1" x14ac:dyDescent="0.2">
      <c r="A16" s="6" t="s">
        <v>16</v>
      </c>
      <c r="B16" s="6"/>
      <c r="C16" s="6"/>
      <c r="D16" s="21"/>
      <c r="E16" s="21"/>
      <c r="F16" s="21"/>
      <c r="G16" s="21"/>
      <c r="H16" s="129">
        <v>270</v>
      </c>
      <c r="I16" s="129">
        <v>37</v>
      </c>
      <c r="J16" s="129">
        <v>269</v>
      </c>
      <c r="K16" s="129">
        <v>39</v>
      </c>
      <c r="L16" s="129">
        <v>265</v>
      </c>
      <c r="M16" s="129">
        <v>40</v>
      </c>
      <c r="N16" s="129">
        <v>262</v>
      </c>
      <c r="O16" s="129">
        <v>41</v>
      </c>
      <c r="P16" s="129">
        <v>262</v>
      </c>
      <c r="Q16" s="129">
        <v>40</v>
      </c>
      <c r="R16" s="245">
        <v>261</v>
      </c>
      <c r="S16" s="245" t="s">
        <v>874</v>
      </c>
      <c r="T16" s="245">
        <v>42</v>
      </c>
      <c r="U16" s="245" t="s">
        <v>874</v>
      </c>
      <c r="V16" s="318">
        <v>267</v>
      </c>
      <c r="W16" s="317" t="s">
        <v>874</v>
      </c>
      <c r="X16" s="318">
        <v>43</v>
      </c>
      <c r="Y16" s="317" t="s">
        <v>874</v>
      </c>
      <c r="Z16" s="425">
        <v>269</v>
      </c>
      <c r="AA16" s="425" t="s">
        <v>874</v>
      </c>
      <c r="AB16" s="425">
        <v>43</v>
      </c>
      <c r="AC16" s="425" t="s">
        <v>874</v>
      </c>
      <c r="AD16" s="484">
        <v>267</v>
      </c>
      <c r="AE16" s="465" t="s">
        <v>874</v>
      </c>
      <c r="AF16" s="465">
        <v>44</v>
      </c>
      <c r="AG16" s="465" t="s">
        <v>874</v>
      </c>
    </row>
    <row r="17" spans="1:34" ht="24.95" customHeight="1" x14ac:dyDescent="0.2">
      <c r="A17" s="6" t="s">
        <v>17</v>
      </c>
      <c r="B17" s="294"/>
      <c r="C17" s="294"/>
      <c r="D17" s="318"/>
      <c r="E17" s="318"/>
      <c r="F17" s="318"/>
      <c r="G17" s="318"/>
      <c r="H17" s="319"/>
      <c r="I17" s="319"/>
      <c r="J17" s="319"/>
      <c r="K17" s="319"/>
      <c r="L17" s="319"/>
      <c r="M17" s="319"/>
      <c r="N17" s="319"/>
      <c r="O17" s="319"/>
      <c r="P17" s="319"/>
      <c r="Q17" s="319"/>
      <c r="R17" s="320"/>
      <c r="S17" s="320"/>
      <c r="T17" s="320"/>
      <c r="U17" s="320"/>
      <c r="V17" s="318">
        <v>313</v>
      </c>
      <c r="W17" s="317" t="s">
        <v>875</v>
      </c>
      <c r="X17" s="318">
        <v>23</v>
      </c>
      <c r="Y17" s="317" t="s">
        <v>876</v>
      </c>
      <c r="Z17" s="320"/>
      <c r="AA17" s="320"/>
      <c r="AB17" s="320"/>
      <c r="AC17" s="320"/>
      <c r="AD17" s="484">
        <v>309</v>
      </c>
      <c r="AE17" s="465" t="s">
        <v>875</v>
      </c>
      <c r="AF17" s="465">
        <v>39</v>
      </c>
      <c r="AG17" s="465" t="s">
        <v>876</v>
      </c>
    </row>
    <row r="18" spans="1:34" ht="24.95" customHeight="1" x14ac:dyDescent="0.2">
      <c r="A18" s="198" t="s">
        <v>244</v>
      </c>
      <c r="B18" s="6"/>
      <c r="C18" s="6"/>
      <c r="D18" s="129">
        <f>AVERAGEIF($C$36:$C$170,"=1",D$36:D$170)</f>
        <v>255.1122596153846</v>
      </c>
      <c r="E18" s="129"/>
      <c r="F18" s="129">
        <f>AVERAGEIF($C$36:$C$170,"=1",F$36:F$170)</f>
        <v>250.52740384615385</v>
      </c>
      <c r="G18" s="21"/>
      <c r="H18" s="129">
        <f t="shared" ref="H18:R18" si="0">AVERAGEIF($C$36:$C$170,"=1",H$36:H$170)</f>
        <v>260.94117647058823</v>
      </c>
      <c r="I18" s="129">
        <f t="shared" si="0"/>
        <v>33.823529411764703</v>
      </c>
      <c r="J18" s="129">
        <f t="shared" si="0"/>
        <v>260.375</v>
      </c>
      <c r="K18" s="129">
        <f t="shared" si="0"/>
        <v>35.0625</v>
      </c>
      <c r="L18" s="129">
        <f t="shared" si="0"/>
        <v>257.1764705882353</v>
      </c>
      <c r="M18" s="129">
        <f t="shared" si="0"/>
        <v>37.235294117647058</v>
      </c>
      <c r="N18" s="129">
        <f t="shared" si="0"/>
        <v>252.8235294117647</v>
      </c>
      <c r="O18" s="129">
        <f t="shared" si="0"/>
        <v>37.764705882352942</v>
      </c>
      <c r="P18" s="129">
        <f t="shared" si="0"/>
        <v>257.29411764705884</v>
      </c>
      <c r="Q18" s="129">
        <f t="shared" si="0"/>
        <v>36.705882352941174</v>
      </c>
      <c r="R18" s="129">
        <f t="shared" si="0"/>
        <v>257.29411764705884</v>
      </c>
      <c r="S18" s="198"/>
      <c r="T18" s="129">
        <f>AVERAGEIF($C$36:$C$170,"=1",T$36:T$170)</f>
        <v>37.529411764705884</v>
      </c>
      <c r="U18" s="198"/>
      <c r="V18" s="129">
        <f>AVERAGEIF($C$36:$C$170,"=1",V$36:V$170)</f>
        <v>258.83333333333331</v>
      </c>
      <c r="W18" s="198"/>
      <c r="X18" s="129">
        <f>AVERAGEIF($C$36:$C$170,"=1",X$36:X$170)</f>
        <v>40.166666666666664</v>
      </c>
      <c r="Y18" s="198"/>
      <c r="Z18" s="129">
        <f>AVERAGEIF($C$36:$C$170,"=1",Z$36:Z$170)</f>
        <v>262.29411764705884</v>
      </c>
      <c r="AA18" s="198"/>
      <c r="AB18" s="129">
        <f>AVERAGEIF($C$36:$C$170,"=1",AB$36:AB$170)</f>
        <v>38.176470588235297</v>
      </c>
      <c r="AC18" s="198"/>
      <c r="AD18" s="129">
        <f>AVERAGEIF($C$36:$C$171,"=1",AD$36:AD$171)</f>
        <v>263.22222222222223</v>
      </c>
      <c r="AE18" s="129"/>
      <c r="AF18" s="129">
        <f>AVERAGEIF($C$36:$C$171,"=1",AF$36:AF$171)</f>
        <v>39.611111111111114</v>
      </c>
      <c r="AG18" s="198"/>
    </row>
    <row r="19" spans="1:34" ht="24.95" customHeight="1" x14ac:dyDescent="0.2">
      <c r="A19" s="198" t="s">
        <v>245</v>
      </c>
      <c r="B19" s="6"/>
      <c r="C19" s="6"/>
      <c r="D19" s="129">
        <f>AVERAGEIF($C$36:$C$170,"=2",D$36:D$170)</f>
        <v>259.49979757085015</v>
      </c>
      <c r="E19" s="129"/>
      <c r="F19" s="129">
        <f>AVERAGEIF($C$36:$C$170,"=2",F$36:F$170)</f>
        <v>256.02692307692308</v>
      </c>
      <c r="G19" s="21"/>
      <c r="H19" s="129">
        <f t="shared" ref="H19:R19" si="1">AVERAGEIF($C$36:$C$170,"=2",H$36:H$170)</f>
        <v>268.45</v>
      </c>
      <c r="I19" s="129">
        <f t="shared" si="1"/>
        <v>33.1</v>
      </c>
      <c r="J19" s="129">
        <f t="shared" si="1"/>
        <v>265.63157894736844</v>
      </c>
      <c r="K19" s="129">
        <f t="shared" si="1"/>
        <v>36</v>
      </c>
      <c r="L19" s="129">
        <f t="shared" si="1"/>
        <v>262.89473684210526</v>
      </c>
      <c r="M19" s="129">
        <f t="shared" si="1"/>
        <v>37.421052631578945</v>
      </c>
      <c r="N19" s="129">
        <f t="shared" si="1"/>
        <v>262.64999999999998</v>
      </c>
      <c r="O19" s="129">
        <f t="shared" si="1"/>
        <v>38.25</v>
      </c>
      <c r="P19" s="129">
        <f t="shared" si="1"/>
        <v>259.125</v>
      </c>
      <c r="Q19" s="129">
        <f t="shared" si="1"/>
        <v>32.083333333333336</v>
      </c>
      <c r="R19" s="129">
        <f t="shared" si="1"/>
        <v>257.45454545454544</v>
      </c>
      <c r="S19" s="198"/>
      <c r="T19" s="129">
        <f>AVERAGEIF($C$36:$C$170,"=2",T$36:T$170)</f>
        <v>35.863636363636367</v>
      </c>
      <c r="U19" s="198"/>
      <c r="V19" s="129">
        <f>AVERAGEIF($C$36:$C$170,"=2",V$36:V$170)</f>
        <v>266.72000000000003</v>
      </c>
      <c r="W19" s="198"/>
      <c r="X19" s="129">
        <f>AVERAGEIF($C$36:$C$170,"=2",X$36:X$170)</f>
        <v>37.880000000000003</v>
      </c>
      <c r="Y19" s="198"/>
      <c r="Z19" s="129">
        <f>AVERAGEIF($C$36:$C$170,"=2",Z$36:Z$170)</f>
        <v>265.03846153846155</v>
      </c>
      <c r="AA19" s="198"/>
      <c r="AB19" s="129">
        <f>AVERAGEIF($C$36:$C$170,"=2",AB$36:AB$170)</f>
        <v>37.730769230769234</v>
      </c>
      <c r="AC19" s="198"/>
      <c r="AD19" s="129">
        <f>AVERAGEIF($C$36:$C$171,"=2",AD$36:AD$171)</f>
        <v>270.91666666666669</v>
      </c>
      <c r="AE19" s="129"/>
      <c r="AF19" s="129">
        <f>AVERAGEIF($C$36:$C$171,"=2",AF$36:AF$171)</f>
        <v>39.791666666666664</v>
      </c>
      <c r="AG19" s="198"/>
    </row>
    <row r="20" spans="1:34" ht="25.5" customHeight="1" x14ac:dyDescent="0.2">
      <c r="A20" s="198" t="s">
        <v>246</v>
      </c>
      <c r="B20" s="6"/>
      <c r="C20" s="6"/>
      <c r="D20" s="129">
        <f>AVERAGEIF($C$36:$C$170,"=3",D$36:D$170)</f>
        <v>259.16615384615386</v>
      </c>
      <c r="E20" s="129"/>
      <c r="F20" s="129">
        <f>AVERAGEIF($C$36:$C$170,"=3",F$36:F$170)</f>
        <v>256.83769230769235</v>
      </c>
      <c r="G20" s="21"/>
      <c r="H20" s="129">
        <f t="shared" ref="H20:R20" si="2">AVERAGEIF($C$36:$C$170,"=3",H$36:H$170)</f>
        <v>268.22222222222223</v>
      </c>
      <c r="I20" s="129">
        <f t="shared" si="2"/>
        <v>35.5</v>
      </c>
      <c r="J20" s="129">
        <f t="shared" si="2"/>
        <v>265.26315789473682</v>
      </c>
      <c r="K20" s="129">
        <f t="shared" si="2"/>
        <v>36.789473684210527</v>
      </c>
      <c r="L20" s="129">
        <f t="shared" si="2"/>
        <v>264.57894736842104</v>
      </c>
      <c r="M20" s="129">
        <f t="shared" si="2"/>
        <v>38.10526315789474</v>
      </c>
      <c r="N20" s="129">
        <f t="shared" si="2"/>
        <v>258.73684210526318</v>
      </c>
      <c r="O20" s="129">
        <f t="shared" si="2"/>
        <v>38.736842105263158</v>
      </c>
      <c r="P20" s="129">
        <f t="shared" si="2"/>
        <v>262.75</v>
      </c>
      <c r="Q20" s="129">
        <f t="shared" si="2"/>
        <v>36.1</v>
      </c>
      <c r="R20" s="129">
        <f t="shared" si="2"/>
        <v>261.60000000000002</v>
      </c>
      <c r="S20" s="198"/>
      <c r="T20" s="129">
        <f>AVERAGEIF($C$36:$C$170,"=3",T$36:T$170)</f>
        <v>38.200000000000003</v>
      </c>
      <c r="U20" s="198"/>
      <c r="V20" s="129">
        <f>AVERAGEIF($C$36:$C$170,"=3",V$36:V$170)</f>
        <v>267.13636363636363</v>
      </c>
      <c r="W20" s="198"/>
      <c r="X20" s="129">
        <f>AVERAGEIF($C$36:$C$170,"=3",X$36:X$170)</f>
        <v>39.636363636363633</v>
      </c>
      <c r="Y20" s="198"/>
      <c r="Z20" s="129">
        <f>AVERAGEIF($C$36:$C$170,"=3",Z$36:Z$170)</f>
        <v>267.09090909090907</v>
      </c>
      <c r="AA20" s="198"/>
      <c r="AB20" s="129">
        <f>AVERAGEIF($C$36:$C$170,"=3",AB$36:AB$170)</f>
        <v>39.227272727272727</v>
      </c>
      <c r="AC20" s="198"/>
      <c r="AD20" s="129">
        <f>AVERAGEIF($C$36:$C$171,"=3",AD$36:AD$171)</f>
        <v>269.31818181818181</v>
      </c>
      <c r="AE20" s="129"/>
      <c r="AF20" s="129">
        <f>AVERAGEIF($C$36:$C$171,"=3",AF$36:AF$171)</f>
        <v>39.909090909090907</v>
      </c>
      <c r="AG20" s="198"/>
    </row>
    <row r="21" spans="1:34" ht="25.5" customHeight="1" x14ac:dyDescent="0.2">
      <c r="A21" s="198" t="s">
        <v>247</v>
      </c>
      <c r="B21" s="6"/>
      <c r="C21" s="6"/>
      <c r="D21" s="129">
        <f>AVERAGEIF($C$36:$C$170,"=4",D$36:D$170)</f>
        <v>237.49589743589743</v>
      </c>
      <c r="E21" s="129"/>
      <c r="F21" s="129">
        <f>AVERAGEIF($C$36:$C$170,"=4",F$36:F$170)</f>
        <v>241.06085972850676</v>
      </c>
      <c r="G21" s="21"/>
      <c r="H21" s="129">
        <f t="shared" ref="H21:R21" si="3">AVERAGEIF($C$36:$C$170,"=4",H$36:H$170)</f>
        <v>248.28571428571428</v>
      </c>
      <c r="I21" s="129">
        <f t="shared" si="3"/>
        <v>34</v>
      </c>
      <c r="J21" s="129">
        <f t="shared" si="3"/>
        <v>255.13333333333333</v>
      </c>
      <c r="K21" s="129">
        <f t="shared" si="3"/>
        <v>33.133333333333333</v>
      </c>
      <c r="L21" s="129">
        <f t="shared" si="3"/>
        <v>251.46666666666667</v>
      </c>
      <c r="M21" s="129">
        <f t="shared" si="3"/>
        <v>34.06666666666667</v>
      </c>
      <c r="N21" s="129">
        <f t="shared" si="3"/>
        <v>244.78571428571428</v>
      </c>
      <c r="O21" s="129">
        <f t="shared" si="3"/>
        <v>37.642857142857146</v>
      </c>
      <c r="P21" s="129">
        <f t="shared" si="3"/>
        <v>241.84615384615384</v>
      </c>
      <c r="Q21" s="129">
        <f t="shared" si="3"/>
        <v>36.46153846153846</v>
      </c>
      <c r="R21" s="129">
        <f t="shared" si="3"/>
        <v>243.85714285714286</v>
      </c>
      <c r="S21" s="198"/>
      <c r="T21" s="129">
        <f>AVERAGEIF($C$36:$C$170,"=4",T$36:T$170)</f>
        <v>36.142857142857146</v>
      </c>
      <c r="U21" s="198"/>
      <c r="V21" s="129">
        <f>AVERAGEIF($C$36:$C$170,"=4",V$36:V$170)</f>
        <v>249.64285714285714</v>
      </c>
      <c r="W21" s="198"/>
      <c r="X21" s="129">
        <f>AVERAGEIF($C$36:$C$170,"=4",X$36:X$170)</f>
        <v>39</v>
      </c>
      <c r="Y21" s="198"/>
      <c r="Z21" s="129">
        <f>AVERAGEIF($C$36:$C$170,"=4",Z$36:Z$170)</f>
        <v>245.2</v>
      </c>
      <c r="AA21" s="198"/>
      <c r="AB21" s="129">
        <f>AVERAGEIF($C$36:$C$170,"=4",AB$36:AB$170)</f>
        <v>38.133333333333333</v>
      </c>
      <c r="AC21" s="198"/>
      <c r="AD21" s="129">
        <f>AVERAGEIF($C$36:$C$171,"=4",AD$36:AD$171)</f>
        <v>254</v>
      </c>
      <c r="AE21" s="129"/>
      <c r="AF21" s="129">
        <f>AVERAGEIF($C$36:$C$171,"=4",AF$36:AF$171)</f>
        <v>39.53846153846154</v>
      </c>
      <c r="AG21" s="198"/>
    </row>
    <row r="22" spans="1:34" ht="24.95" customHeight="1" x14ac:dyDescent="0.2">
      <c r="A22" s="198" t="s">
        <v>248</v>
      </c>
      <c r="B22" s="6"/>
      <c r="C22" s="6"/>
      <c r="D22" s="129">
        <f>AVERAGEIF($C$36:$C$170,"=5",D$36:D$170)</f>
        <v>267.17564102564103</v>
      </c>
      <c r="E22" s="129"/>
      <c r="F22" s="129">
        <f>AVERAGEIF($C$36:$C$170,"=5",F$36:F$170)</f>
        <v>267.14663461538464</v>
      </c>
      <c r="G22" s="21"/>
      <c r="H22" s="129">
        <f t="shared" ref="H22:R22" si="4">AVERAGEIF($C$36:$C$170,"=5",H$36:H$170)</f>
        <v>276.1764705882353</v>
      </c>
      <c r="I22" s="129">
        <f t="shared" si="4"/>
        <v>33.941176470588232</v>
      </c>
      <c r="J22" s="129">
        <f t="shared" si="4"/>
        <v>275.47058823529414</v>
      </c>
      <c r="K22" s="129">
        <f t="shared" si="4"/>
        <v>35.705882352941174</v>
      </c>
      <c r="L22" s="129">
        <f t="shared" si="4"/>
        <v>271.5</v>
      </c>
      <c r="M22" s="129">
        <f t="shared" si="4"/>
        <v>36.277777777777779</v>
      </c>
      <c r="N22" s="129">
        <f t="shared" si="4"/>
        <v>268.31578947368422</v>
      </c>
      <c r="O22" s="129">
        <f t="shared" si="4"/>
        <v>37.05263157894737</v>
      </c>
      <c r="P22" s="129">
        <f t="shared" si="4"/>
        <v>272</v>
      </c>
      <c r="Q22" s="129">
        <f t="shared" si="4"/>
        <v>34.444444444444443</v>
      </c>
      <c r="R22" s="129">
        <f t="shared" si="4"/>
        <v>270.44444444444446</v>
      </c>
      <c r="S22" s="198"/>
      <c r="T22" s="129">
        <f>AVERAGEIF($C$36:$C$170,"=5",T$36:T$170)</f>
        <v>38.611111111111114</v>
      </c>
      <c r="U22" s="198"/>
      <c r="V22" s="129">
        <f>AVERAGEIF($C$36:$C$170,"=5",V$36:V$170)</f>
        <v>276.64705882352939</v>
      </c>
      <c r="W22" s="198"/>
      <c r="X22" s="129">
        <f>AVERAGEIF($C$36:$C$170,"=5",X$36:X$170)</f>
        <v>37.294117647058826</v>
      </c>
      <c r="Y22" s="198"/>
      <c r="Z22" s="129">
        <f>AVERAGEIF($C$36:$C$170,"=5",Z$36:Z$170)</f>
        <v>278.11764705882354</v>
      </c>
      <c r="AA22" s="198"/>
      <c r="AB22" s="129">
        <f>AVERAGEIF($C$36:$C$170,"=5",AB$36:AB$170)</f>
        <v>38.941176470588232</v>
      </c>
      <c r="AC22" s="198"/>
      <c r="AD22" s="129">
        <f>AVERAGEIF($C$36:$C$171,"=5",AD$36:AD$171)</f>
        <v>273.66666666666669</v>
      </c>
      <c r="AE22" s="129"/>
      <c r="AF22" s="129">
        <f>AVERAGEIF($C$36:$C$171,"=5",AF$36:AF$171)</f>
        <v>38.277777777777779</v>
      </c>
      <c r="AG22" s="198"/>
    </row>
    <row r="23" spans="1:34" ht="24.95" customHeight="1" x14ac:dyDescent="0.2">
      <c r="A23" s="198" t="s">
        <v>249</v>
      </c>
      <c r="B23" s="129"/>
      <c r="C23" s="129"/>
      <c r="D23" s="129">
        <f>AVERAGEIF($C$36:$C$170,"=6",D$36:D$170)</f>
        <v>256.91706730769238</v>
      </c>
      <c r="E23" s="129"/>
      <c r="F23" s="129">
        <f>AVERAGEIF($C$36:$C$170,"=6",F$36:F$170)</f>
        <v>256.44615384615383</v>
      </c>
      <c r="G23" s="129"/>
      <c r="H23" s="129">
        <f t="shared" ref="H23:R23" si="5">AVERAGEIF($C$36:$C$170,"=6",H$36:H$170)</f>
        <v>267.13333333333333</v>
      </c>
      <c r="I23" s="129">
        <f t="shared" si="5"/>
        <v>31.928571428571427</v>
      </c>
      <c r="J23" s="129">
        <f t="shared" si="5"/>
        <v>258.86666666666667</v>
      </c>
      <c r="K23" s="129">
        <f t="shared" si="5"/>
        <v>39</v>
      </c>
      <c r="L23" s="129">
        <f t="shared" si="5"/>
        <v>260.07142857142856</v>
      </c>
      <c r="M23" s="129">
        <f t="shared" si="5"/>
        <v>38.785714285714285</v>
      </c>
      <c r="N23" s="129">
        <f t="shared" si="5"/>
        <v>259</v>
      </c>
      <c r="O23" s="129">
        <f t="shared" si="5"/>
        <v>40.866666666666667</v>
      </c>
      <c r="P23" s="129">
        <f t="shared" si="5"/>
        <v>252.94117647058823</v>
      </c>
      <c r="Q23" s="129">
        <f t="shared" si="5"/>
        <v>35.117647058823529</v>
      </c>
      <c r="R23" s="129">
        <f t="shared" si="5"/>
        <v>255.58823529411765</v>
      </c>
      <c r="S23" s="198"/>
      <c r="T23" s="129">
        <f>AVERAGEIF($C$36:$C$170,"=6",T$36:T$170)</f>
        <v>34.411764705882355</v>
      </c>
      <c r="U23" s="198"/>
      <c r="V23" s="129">
        <f>AVERAGEIF($C$36:$C$170,"=6",V$36:V$170)</f>
        <v>258.31578947368422</v>
      </c>
      <c r="W23" s="198"/>
      <c r="X23" s="129">
        <f>AVERAGEIF($C$36:$C$170,"=6",X$36:X$170)</f>
        <v>41.368421052631582</v>
      </c>
      <c r="Y23" s="198"/>
      <c r="Z23" s="129">
        <f>AVERAGEIF($C$36:$C$170,"=6",Z$36:Z$170)</f>
        <v>264.3</v>
      </c>
      <c r="AA23" s="198"/>
      <c r="AB23" s="129">
        <f>AVERAGEIF($C$36:$C$170,"=6",AB$36:AB$170)</f>
        <v>36.15</v>
      </c>
      <c r="AC23" s="198"/>
      <c r="AD23" s="129">
        <f>AVERAGEIF($C$36:$C$171,"=6",AD$36:AD$171)</f>
        <v>264.83333333333331</v>
      </c>
      <c r="AE23" s="129"/>
      <c r="AF23" s="129">
        <f>AVERAGEIF($C$36:$C$171,"=6",AF$36:AF$171)</f>
        <v>41.055555555555557</v>
      </c>
      <c r="AG23" s="198"/>
    </row>
    <row r="24" spans="1:34" ht="24.95" customHeight="1" x14ac:dyDescent="0.2">
      <c r="A24" s="6" t="s">
        <v>895</v>
      </c>
      <c r="B24" s="302"/>
      <c r="C24" s="302"/>
      <c r="D24" s="302">
        <f>AVERAGEIFS(D$36:D$170,$C$36:$C$170,"=1", $B$36:$B$170,"OFICIAL")</f>
        <v>254.57596153846151</v>
      </c>
      <c r="E24" s="302"/>
      <c r="F24" s="302">
        <f>AVERAGEIFS(F$36:F$170,$C$36:$C$170,"=1", $B$36:$B$170,"OFICIAL")</f>
        <v>252.89038461538462</v>
      </c>
      <c r="G24" s="302"/>
      <c r="H24" s="302">
        <f t="shared" ref="H24:R24" si="6">AVERAGEIFS(H$36:H$170,$C$36:$C$170,"=1", $B$36:$B$170,"OFICIAL")</f>
        <v>262.5</v>
      </c>
      <c r="I24" s="302">
        <f t="shared" si="6"/>
        <v>35.75</v>
      </c>
      <c r="J24" s="302">
        <f t="shared" si="6"/>
        <v>263</v>
      </c>
      <c r="K24" s="302">
        <f t="shared" si="6"/>
        <v>34.75</v>
      </c>
      <c r="L24" s="302">
        <f t="shared" si="6"/>
        <v>255.75</v>
      </c>
      <c r="M24" s="302">
        <f t="shared" si="6"/>
        <v>36.75</v>
      </c>
      <c r="N24" s="302">
        <f t="shared" si="6"/>
        <v>253.75</v>
      </c>
      <c r="O24" s="302">
        <f t="shared" si="6"/>
        <v>40.25</v>
      </c>
      <c r="P24" s="302">
        <f t="shared" si="6"/>
        <v>255.5</v>
      </c>
      <c r="Q24" s="302">
        <f t="shared" si="6"/>
        <v>37.5</v>
      </c>
      <c r="R24" s="302">
        <f t="shared" si="6"/>
        <v>251.5</v>
      </c>
      <c r="S24" s="300"/>
      <c r="T24" s="302">
        <f>AVERAGEIFS(T$36:T$170,$C$36:$C$170,"=1", $B$36:$B$170,"OFICIAL")</f>
        <v>39.25</v>
      </c>
      <c r="U24" s="300"/>
      <c r="V24" s="302">
        <f>AVERAGEIFS(V$36:V$170,$C$36:$C$170,"=1", $B$36:$B$170,"OFICIAL")</f>
        <v>252.8</v>
      </c>
      <c r="W24" s="300"/>
      <c r="X24" s="302">
        <f>AVERAGEIFS(X$36:X$170,$C$36:$C$170,"=1", $B$36:$B$170,"OFICIAL")</f>
        <v>39</v>
      </c>
      <c r="Y24" s="300"/>
      <c r="Z24" s="302">
        <f>AVERAGEIFS(Z$36:Z$170,$C$36:$C$170,"=1", $B$36:$B$170,"OFICIAL")</f>
        <v>253.6</v>
      </c>
      <c r="AA24" s="300"/>
      <c r="AB24" s="302">
        <f>AVERAGEIFS(AB$36:AB$170,$C$36:$C$170,"=1", $B$36:$B$170,"OFICIAL")</f>
        <v>38.6</v>
      </c>
      <c r="AC24" s="300"/>
      <c r="AD24" s="485">
        <f>AVERAGEIFS(AD$36:AD$171,$C$36:$C$171,"=1", $B$36:$B$171,"OFICIAL")</f>
        <v>255.4</v>
      </c>
      <c r="AE24" s="485"/>
      <c r="AF24" s="485">
        <f>AVERAGEIFS(AF$36:AF$171,$C$36:$C$171,"=1", $B$36:$B$171,"OFICIAL")</f>
        <v>41.8</v>
      </c>
      <c r="AG24" s="300"/>
    </row>
    <row r="25" spans="1:34" ht="24.95" customHeight="1" x14ac:dyDescent="0.2">
      <c r="A25" s="6" t="s">
        <v>896</v>
      </c>
      <c r="B25" s="302"/>
      <c r="C25" s="302"/>
      <c r="D25" s="302">
        <f>AVERAGEIFS(D$36:D$170,$C$36:$C$170,"=2", $B$36:$B$170,"OFICIAL")</f>
        <v>255.5</v>
      </c>
      <c r="E25" s="302"/>
      <c r="F25" s="302">
        <f>AVERAGEIFS(F$36:F$170,$C$36:$C$170,"=2", $B$36:$B$170,"OFICIAL")</f>
        <v>252</v>
      </c>
      <c r="G25" s="302"/>
      <c r="H25" s="302">
        <f t="shared" ref="H25:R25" si="7">AVERAGEIFS(H$36:H$170,$C$36:$C$170,"=2", $B$36:$B$170,"OFICIAL")</f>
        <v>264.5</v>
      </c>
      <c r="I25" s="302">
        <f t="shared" si="7"/>
        <v>35</v>
      </c>
      <c r="J25" s="302">
        <f t="shared" si="7"/>
        <v>261.5</v>
      </c>
      <c r="K25" s="302">
        <f t="shared" si="7"/>
        <v>39</v>
      </c>
      <c r="L25" s="302">
        <f t="shared" si="7"/>
        <v>257.5</v>
      </c>
      <c r="M25" s="302">
        <f t="shared" si="7"/>
        <v>40.5</v>
      </c>
      <c r="N25" s="302">
        <f t="shared" si="7"/>
        <v>253.5</v>
      </c>
      <c r="O25" s="302">
        <f t="shared" si="7"/>
        <v>40.5</v>
      </c>
      <c r="P25" s="302">
        <f t="shared" si="7"/>
        <v>255.5</v>
      </c>
      <c r="Q25" s="302">
        <f t="shared" si="7"/>
        <v>37.5</v>
      </c>
      <c r="R25" s="302">
        <f t="shared" si="7"/>
        <v>250.5</v>
      </c>
      <c r="S25" s="300"/>
      <c r="T25" s="302">
        <f>AVERAGEIFS(T$36:T$170,$C$36:$C$170,"=2", $B$36:$B$170,"OFICIAL")</f>
        <v>39</v>
      </c>
      <c r="U25" s="300"/>
      <c r="V25" s="302">
        <f>AVERAGEIFS(V$36:V$170,$C$36:$C$170,"=2", $B$36:$B$170,"OFICIAL")</f>
        <v>253.25</v>
      </c>
      <c r="W25" s="300"/>
      <c r="X25" s="302">
        <f>AVERAGEIFS(X$36:X$170,$C$36:$C$170,"=2", $B$36:$B$170,"OFICIAL")</f>
        <v>39</v>
      </c>
      <c r="Y25" s="300"/>
      <c r="Z25" s="302">
        <f>AVERAGEIFS(Z$36:Z$170,$C$36:$C$170,"=2", $B$36:$B$170,"OFICIAL")</f>
        <v>255.5</v>
      </c>
      <c r="AA25" s="300"/>
      <c r="AB25" s="302">
        <f>AVERAGEIFS(AB$36:AB$170,$C$36:$C$170,"=2", $B$36:$B$170,"OFICIAL")</f>
        <v>39.5</v>
      </c>
      <c r="AC25" s="300"/>
      <c r="AD25" s="485">
        <f>AVERAGEIFS(AD$36:AD$171,$C$36:$C$171,"=2", $B$36:$B$171,"OFICIAL")</f>
        <v>262</v>
      </c>
      <c r="AE25" s="485"/>
      <c r="AF25" s="485">
        <f>AVERAGEIFS(AF$36:AF$171,$C$36:$C$171,"=2", $B$36:$B$171,"OFICIAL")</f>
        <v>41.75</v>
      </c>
      <c r="AG25" s="300"/>
    </row>
    <row r="26" spans="1:34" ht="24.95" customHeight="1" x14ac:dyDescent="0.2">
      <c r="A26" s="6" t="s">
        <v>897</v>
      </c>
      <c r="B26" s="302"/>
      <c r="C26" s="302"/>
      <c r="D26" s="302">
        <f>AVERAGEIFS(D$36:D$170,$C$36:$C$170,"=3", $B$36:$B$170,"OFICIAL")</f>
        <v>251.66923076923072</v>
      </c>
      <c r="E26" s="302"/>
      <c r="F26" s="302">
        <f>AVERAGEIFS(F$36:F$170,$C$36:$C$170,"=3", $B$36:$B$170,"OFICIAL")</f>
        <v>245.92307692307691</v>
      </c>
      <c r="G26" s="302"/>
      <c r="H26" s="302">
        <f t="shared" ref="H26:R26" si="8">AVERAGEIFS(H$36:H$170,$C$36:$C$170,"=3", $B$36:$B$170,"OFICIAL")</f>
        <v>259.39999999999998</v>
      </c>
      <c r="I26" s="302">
        <f t="shared" si="8"/>
        <v>36.6</v>
      </c>
      <c r="J26" s="302">
        <f t="shared" si="8"/>
        <v>258.5</v>
      </c>
      <c r="K26" s="302">
        <f t="shared" si="8"/>
        <v>37.5</v>
      </c>
      <c r="L26" s="302">
        <f t="shared" si="8"/>
        <v>255.66666666666666</v>
      </c>
      <c r="M26" s="302">
        <f t="shared" si="8"/>
        <v>38.5</v>
      </c>
      <c r="N26" s="302">
        <f t="shared" si="8"/>
        <v>249.66666666666666</v>
      </c>
      <c r="O26" s="302">
        <f t="shared" si="8"/>
        <v>39.166666666666664</v>
      </c>
      <c r="P26" s="302">
        <f t="shared" si="8"/>
        <v>251.83333333333334</v>
      </c>
      <c r="Q26" s="302">
        <f t="shared" si="8"/>
        <v>38.166666666666664</v>
      </c>
      <c r="R26" s="302">
        <f t="shared" si="8"/>
        <v>248.66666666666666</v>
      </c>
      <c r="S26" s="300"/>
      <c r="T26" s="302">
        <f>AVERAGEIFS(T$36:T$170,$C$36:$C$170,"=3", $B$36:$B$170,"OFICIAL")</f>
        <v>38.333333333333336</v>
      </c>
      <c r="U26" s="300"/>
      <c r="V26" s="302">
        <f>AVERAGEIFS(V$36:V$170,$C$36:$C$170,"=3", $B$36:$B$170,"OFICIAL")</f>
        <v>254.71428571428572</v>
      </c>
      <c r="W26" s="300"/>
      <c r="X26" s="302">
        <f>AVERAGEIFS(X$36:X$170,$C$36:$C$170,"=3", $B$36:$B$170,"OFICIAL")</f>
        <v>40</v>
      </c>
      <c r="Y26" s="300"/>
      <c r="Z26" s="302">
        <f>AVERAGEIFS(Z$36:Z$170,$C$36:$C$170,"=3", $B$36:$B$170,"OFICIAL")</f>
        <v>256.42857142857144</v>
      </c>
      <c r="AA26" s="300"/>
      <c r="AB26" s="302">
        <f>AVERAGEIFS(AB$36:AB$170,$C$36:$C$170,"=3", $B$36:$B$170,"OFICIAL")</f>
        <v>40</v>
      </c>
      <c r="AC26" s="300"/>
      <c r="AD26" s="485">
        <f>AVERAGEIFS(AD$36:AD$171,$C$36:$C$171,"=3", $B$36:$B$171,"OFICIAL")</f>
        <v>259</v>
      </c>
      <c r="AE26" s="485"/>
      <c r="AF26" s="485">
        <f>AVERAGEIFS(AF$36:AF$171,$C$36:$C$171,"=3", $B$36:$B$171,"OFICIAL")</f>
        <v>42.714285714285715</v>
      </c>
      <c r="AG26" s="300"/>
    </row>
    <row r="27" spans="1:34" ht="24.95" customHeight="1" x14ac:dyDescent="0.2">
      <c r="A27" s="6" t="s">
        <v>898</v>
      </c>
      <c r="B27" s="302"/>
      <c r="C27" s="302"/>
      <c r="D27" s="302">
        <f>AVERAGEIFS(D$36:D$170,$C$36:$C$170,"=4", $B$36:$B$170,"OFICIAL")</f>
        <v>244.03717948717949</v>
      </c>
      <c r="E27" s="302"/>
      <c r="F27" s="302">
        <f>AVERAGEIFS(F$36:F$170,$C$36:$C$170,"=4", $B$36:$B$170,"OFICIAL")</f>
        <v>241.96089743589744</v>
      </c>
      <c r="G27" s="302"/>
      <c r="H27" s="302">
        <f t="shared" ref="H27:R27" si="9">AVERAGEIFS(H$36:H$170,$C$36:$C$170,"=4", $B$36:$B$170,"OFICIAL")</f>
        <v>243.83333333333334</v>
      </c>
      <c r="I27" s="302">
        <f t="shared" si="9"/>
        <v>35</v>
      </c>
      <c r="J27" s="302">
        <f t="shared" si="9"/>
        <v>244.33333333333334</v>
      </c>
      <c r="K27" s="302">
        <f t="shared" si="9"/>
        <v>37.333333333333336</v>
      </c>
      <c r="L27" s="302">
        <f t="shared" si="9"/>
        <v>237</v>
      </c>
      <c r="M27" s="302">
        <f t="shared" si="9"/>
        <v>38.833333333333336</v>
      </c>
      <c r="N27" s="302">
        <f t="shared" si="9"/>
        <v>232.5</v>
      </c>
      <c r="O27" s="302">
        <f t="shared" si="9"/>
        <v>39.333333333333336</v>
      </c>
      <c r="P27" s="302">
        <f t="shared" si="9"/>
        <v>234.5</v>
      </c>
      <c r="Q27" s="302">
        <f t="shared" si="9"/>
        <v>35.5</v>
      </c>
      <c r="R27" s="302">
        <f t="shared" si="9"/>
        <v>233.66666666666666</v>
      </c>
      <c r="S27" s="300"/>
      <c r="T27" s="302">
        <f>AVERAGEIFS(T$36:T$170,$C$36:$C$170,"=4", $B$36:$B$170,"OFICIAL")</f>
        <v>37.333333333333336</v>
      </c>
      <c r="U27" s="300"/>
      <c r="V27" s="302">
        <f>AVERAGEIFS(V$36:V$170,$C$36:$C$170,"=4", $B$36:$B$170,"OFICIAL")</f>
        <v>238.33333333333334</v>
      </c>
      <c r="W27" s="300"/>
      <c r="X27" s="302">
        <f>AVERAGEIFS(X$36:X$170,$C$36:$C$170,"=4", $B$36:$B$170,"OFICIAL")</f>
        <v>39.666666666666664</v>
      </c>
      <c r="Y27" s="300"/>
      <c r="Z27" s="302">
        <f>AVERAGEIFS(Z$36:Z$170,$C$36:$C$170,"=4", $B$36:$B$170,"OFICIAL")</f>
        <v>237.66666666666666</v>
      </c>
      <c r="AA27" s="300"/>
      <c r="AB27" s="302">
        <f>AVERAGEIFS(AB$36:AB$170,$C$36:$C$170,"=4", $B$36:$B$170,"OFICIAL")</f>
        <v>41.166666666666664</v>
      </c>
      <c r="AC27" s="300"/>
      <c r="AD27" s="485">
        <f>AVERAGEIFS(AD$36:AD$171,$C$36:$C$171,"=4", $B$36:$B$171,"OFICIAL")</f>
        <v>238.16666666666666</v>
      </c>
      <c r="AE27" s="485"/>
      <c r="AF27" s="485">
        <f>AVERAGEIFS(AF$36:AF$171,$C$36:$C$171,"=4", $B$36:$B$171,"OFICIAL")</f>
        <v>40.833333333333336</v>
      </c>
      <c r="AG27" s="300"/>
    </row>
    <row r="28" spans="1:34" ht="24.95" customHeight="1" x14ac:dyDescent="0.2">
      <c r="A28" s="6" t="s">
        <v>899</v>
      </c>
      <c r="B28" s="302"/>
      <c r="C28" s="302"/>
      <c r="D28" s="302">
        <f>AVERAGEIFS(D$36:D$170,$C$36:$C$170,"=5", $B$36:$B$170,"OFICIAL")</f>
        <v>259.44358974358977</v>
      </c>
      <c r="E28" s="302"/>
      <c r="F28" s="302">
        <f>AVERAGEIFS(F$36:F$170,$C$36:$C$170,"=5", $B$36:$B$170,"OFICIAL")</f>
        <v>259</v>
      </c>
      <c r="G28" s="302"/>
      <c r="H28" s="302">
        <f t="shared" ref="H28:R28" si="10">AVERAGEIFS(H$36:H$170,$C$36:$C$170,"=5", $B$36:$B$170,"OFICIAL")</f>
        <v>266.66666666666669</v>
      </c>
      <c r="I28" s="302">
        <f t="shared" si="10"/>
        <v>34.333333333333336</v>
      </c>
      <c r="J28" s="302">
        <f t="shared" si="10"/>
        <v>266.33333333333331</v>
      </c>
      <c r="K28" s="302">
        <f t="shared" si="10"/>
        <v>37</v>
      </c>
      <c r="L28" s="302">
        <f t="shared" si="10"/>
        <v>259.33333333333331</v>
      </c>
      <c r="M28" s="302">
        <f t="shared" si="10"/>
        <v>37</v>
      </c>
      <c r="N28" s="302">
        <f t="shared" si="10"/>
        <v>262.66666666666669</v>
      </c>
      <c r="O28" s="302">
        <f t="shared" si="10"/>
        <v>36</v>
      </c>
      <c r="P28" s="302">
        <f t="shared" si="10"/>
        <v>265</v>
      </c>
      <c r="Q28" s="302">
        <f t="shared" si="10"/>
        <v>35.333333333333336</v>
      </c>
      <c r="R28" s="302">
        <f t="shared" si="10"/>
        <v>260.66666666666669</v>
      </c>
      <c r="S28" s="300"/>
      <c r="T28" s="302">
        <f>AVERAGEIFS(T$36:T$170,$C$36:$C$170,"=5", $B$36:$B$170,"OFICIAL")</f>
        <v>39</v>
      </c>
      <c r="U28" s="300"/>
      <c r="V28" s="302">
        <f>AVERAGEIFS(V$36:V$170,$C$36:$C$170,"=5", $B$36:$B$170,"OFICIAL")</f>
        <v>270.33333333333331</v>
      </c>
      <c r="W28" s="300"/>
      <c r="X28" s="302">
        <f>AVERAGEIFS(X$36:X$170,$C$36:$C$170,"=5", $B$36:$B$170,"OFICIAL")</f>
        <v>39</v>
      </c>
      <c r="Y28" s="300"/>
      <c r="Z28" s="302">
        <f>AVERAGEIFS(Z$36:Z$170,$C$36:$C$170,"=5", $B$36:$B$170,"OFICIAL")</f>
        <v>265</v>
      </c>
      <c r="AA28" s="300"/>
      <c r="AB28" s="302">
        <f>AVERAGEIFS(AB$36:AB$170,$C$36:$C$170,"=5", $B$36:$B$170,"OFICIAL")</f>
        <v>40</v>
      </c>
      <c r="AC28" s="300"/>
      <c r="AD28" s="485">
        <f>AVERAGEIFS(AD$36:AD$171,$C$36:$C$171,"=5", $B$36:$B$171,"OFICIAL")</f>
        <v>270.66666666666669</v>
      </c>
      <c r="AE28" s="485"/>
      <c r="AF28" s="485">
        <f>AVERAGEIFS(AF$36:AF$171,$C$36:$C$171,"=5", $B$36:$B$171,"OFICIAL")</f>
        <v>42</v>
      </c>
      <c r="AG28" s="300"/>
    </row>
    <row r="29" spans="1:34" ht="24.95" customHeight="1" x14ac:dyDescent="0.2">
      <c r="A29" s="6" t="s">
        <v>900</v>
      </c>
      <c r="B29" s="302"/>
      <c r="C29" s="302"/>
      <c r="D29" s="302">
        <f>AVERAGEIFS(D$36:D$170,$C$36:$C$170,"=6", $B$36:$B$170,"OFICIAL")</f>
        <v>250.58076923076925</v>
      </c>
      <c r="E29" s="302"/>
      <c r="F29" s="302">
        <f>AVERAGEIFS(F$36:F$170,$C$36:$C$170,"=6", $B$36:$B$170,"OFICIAL")</f>
        <v>249.93173076923077</v>
      </c>
      <c r="G29" s="302"/>
      <c r="H29" s="302">
        <f t="shared" ref="H29:R29" si="11">AVERAGEIFS(H$36:H$170,$C$36:$C$170,"=6", $B$36:$B$170,"OFICIAL")</f>
        <v>259.25</v>
      </c>
      <c r="I29" s="302">
        <f t="shared" si="11"/>
        <v>35.25</v>
      </c>
      <c r="J29" s="302">
        <f t="shared" si="11"/>
        <v>256.75</v>
      </c>
      <c r="K29" s="302">
        <f t="shared" si="11"/>
        <v>37.75</v>
      </c>
      <c r="L29" s="302">
        <f t="shared" si="11"/>
        <v>252</v>
      </c>
      <c r="M29" s="302">
        <f t="shared" si="11"/>
        <v>39</v>
      </c>
      <c r="N29" s="302">
        <f t="shared" si="11"/>
        <v>249.25</v>
      </c>
      <c r="O29" s="302">
        <f t="shared" si="11"/>
        <v>38</v>
      </c>
      <c r="P29" s="302">
        <f t="shared" si="11"/>
        <v>251.25</v>
      </c>
      <c r="Q29" s="302">
        <f t="shared" si="11"/>
        <v>37.5</v>
      </c>
      <c r="R29" s="302">
        <f t="shared" si="11"/>
        <v>245.75</v>
      </c>
      <c r="S29" s="300"/>
      <c r="T29" s="302">
        <f>AVERAGEIFS(T$36:T$170,$C$36:$C$170,"=6", $B$36:$B$170,"OFICIAL")</f>
        <v>38.75</v>
      </c>
      <c r="U29" s="300"/>
      <c r="V29" s="302">
        <f>AVERAGEIFS(V$36:V$170,$C$36:$C$170,"=6", $B$36:$B$170,"OFICIAL")</f>
        <v>248.25</v>
      </c>
      <c r="W29" s="300"/>
      <c r="X29" s="302">
        <f>AVERAGEIFS(X$36:X$170,$C$36:$C$170,"=6", $B$36:$B$170,"OFICIAL")</f>
        <v>41</v>
      </c>
      <c r="Y29" s="300"/>
      <c r="Z29" s="302">
        <f>AVERAGEIFS(Z$36:Z$170,$C$36:$C$170,"=6", $B$36:$B$170,"OFICIAL")</f>
        <v>249.25</v>
      </c>
      <c r="AA29" s="300"/>
      <c r="AB29" s="302">
        <f>AVERAGEIFS(AB$36:AB$170,$C$36:$C$170,"=6", $B$36:$B$170,"OFICIAL")</f>
        <v>40</v>
      </c>
      <c r="AC29" s="300"/>
      <c r="AD29" s="485">
        <f>AVERAGEIFS(AD$36:AD$171,$C$36:$C$171,"=6", $B$36:$B$171,"OFICIAL")</f>
        <v>253.5</v>
      </c>
      <c r="AE29" s="485"/>
      <c r="AF29" s="485">
        <f>AVERAGEIFS(AF$36:AF$171,$C$36:$C$171,"=6", $B$36:$B$171,"OFICIAL")</f>
        <v>41.5</v>
      </c>
      <c r="AG29" s="300"/>
    </row>
    <row r="30" spans="1:34" ht="24.95" customHeight="1" x14ac:dyDescent="0.2">
      <c r="A30" s="6" t="s">
        <v>901</v>
      </c>
      <c r="B30" s="302"/>
      <c r="C30" s="302"/>
      <c r="D30" s="302">
        <f>AVERAGEIFS(D$36:D$170,$C$36:$C$170,"=1", $B$36:$B$170,"NO OFICIAL")</f>
        <v>255.29102564102564</v>
      </c>
      <c r="E30" s="302"/>
      <c r="F30" s="302">
        <f>AVERAGEIFS(F$36:F$170,$C$36:$C$170,"=1", $B$36:$B$170,"NO OFICIAL")</f>
        <v>249.7397435897436</v>
      </c>
      <c r="G30" s="302"/>
      <c r="H30" s="302">
        <f t="shared" ref="H30:R30" si="12">AVERAGEIFS(H$36:H$170,$C$36:$C$170,"=1", $B$36:$B$170,"NO OFICIAL")</f>
        <v>260.46153846153845</v>
      </c>
      <c r="I30" s="302">
        <f t="shared" si="12"/>
        <v>33.230769230769234</v>
      </c>
      <c r="J30" s="302">
        <f t="shared" si="12"/>
        <v>259.5</v>
      </c>
      <c r="K30" s="302">
        <f t="shared" si="12"/>
        <v>35.166666666666664</v>
      </c>
      <c r="L30" s="302">
        <f t="shared" si="12"/>
        <v>257.61538461538464</v>
      </c>
      <c r="M30" s="302">
        <f t="shared" si="12"/>
        <v>37.384615384615387</v>
      </c>
      <c r="N30" s="302">
        <f t="shared" si="12"/>
        <v>252.53846153846155</v>
      </c>
      <c r="O30" s="302">
        <f t="shared" si="12"/>
        <v>37</v>
      </c>
      <c r="P30" s="302">
        <f t="shared" si="12"/>
        <v>257.84615384615387</v>
      </c>
      <c r="Q30" s="302">
        <f t="shared" si="12"/>
        <v>36.46153846153846</v>
      </c>
      <c r="R30" s="302">
        <f t="shared" si="12"/>
        <v>259.07692307692309</v>
      </c>
      <c r="S30" s="300"/>
      <c r="T30" s="302">
        <f>AVERAGEIFS(T$36:T$170,$C$36:$C$170,"=1", $B$36:$B$170,"NO OFICIAL")</f>
        <v>37</v>
      </c>
      <c r="U30" s="300"/>
      <c r="V30" s="302">
        <f>AVERAGEIFS(V$36:V$170,$C$36:$C$170,"=1", $B$36:$B$170,"NO OFICIAL")</f>
        <v>261.15384615384613</v>
      </c>
      <c r="W30" s="300"/>
      <c r="X30" s="302">
        <f>AVERAGEIFS(X$36:X$170,$C$36:$C$170,"=1", $B$36:$B$170,"NO OFICIAL")</f>
        <v>40.615384615384613</v>
      </c>
      <c r="Y30" s="300"/>
      <c r="Z30" s="302">
        <f>AVERAGEIFS(Z$36:Z$170,$C$36:$C$170,"=1", $B$36:$B$170,"NO OFICIAL")</f>
        <v>265.91666666666669</v>
      </c>
      <c r="AA30" s="300"/>
      <c r="AB30" s="302">
        <f>AVERAGEIFS(AB$36:AB$170,$C$36:$C$170,"=1", $B$36:$B$170,"NO OFICIAL")</f>
        <v>38</v>
      </c>
      <c r="AC30" s="300"/>
      <c r="AD30" s="485">
        <f>AVERAGEIFS(AD$36:AD$171,$C$36:$C$171,"=1", $B$36:$B$171,"NO OFICIAL")</f>
        <v>266.23076923076923</v>
      </c>
      <c r="AE30" s="485"/>
      <c r="AF30" s="485">
        <f>AVERAGEIFS(AF$36:AF$171,$C$36:$C$171,"=1", $B$36:$B$171,"NO OFICIAL")</f>
        <v>38.769230769230766</v>
      </c>
      <c r="AG30" s="300"/>
      <c r="AH30" s="26"/>
    </row>
    <row r="31" spans="1:34" ht="24.95" customHeight="1" x14ac:dyDescent="0.2">
      <c r="A31" s="6" t="s">
        <v>902</v>
      </c>
      <c r="B31" s="302"/>
      <c r="C31" s="302"/>
      <c r="D31" s="302">
        <f>AVERAGEIFS(D$36:D$170,$C$36:$C$170,"=2", $B$36:$B$170,"NO OFICIAL")</f>
        <v>259.97036199095021</v>
      </c>
      <c r="E31" s="302"/>
      <c r="F31" s="302">
        <f>AVERAGEIFS(F$36:F$170,$C$36:$C$170,"=2", $B$36:$B$170,"NO OFICIAL")</f>
        <v>256.50067873303169</v>
      </c>
      <c r="G31" s="302"/>
      <c r="H31" s="302">
        <f t="shared" ref="H31:R31" si="13">AVERAGEIFS(H$36:H$170,$C$36:$C$170,"=2", $B$36:$B$170,"NO OFICIAL")</f>
        <v>268.88888888888891</v>
      </c>
      <c r="I31" s="302">
        <f t="shared" si="13"/>
        <v>32.888888888888886</v>
      </c>
      <c r="J31" s="302">
        <f t="shared" si="13"/>
        <v>266.11764705882354</v>
      </c>
      <c r="K31" s="302">
        <f t="shared" si="13"/>
        <v>35.647058823529413</v>
      </c>
      <c r="L31" s="302">
        <f t="shared" si="13"/>
        <v>263.52941176470586</v>
      </c>
      <c r="M31" s="302">
        <f t="shared" si="13"/>
        <v>37.058823529411768</v>
      </c>
      <c r="N31" s="302">
        <f t="shared" si="13"/>
        <v>263.66666666666669</v>
      </c>
      <c r="O31" s="302">
        <f t="shared" si="13"/>
        <v>38</v>
      </c>
      <c r="P31" s="302">
        <f t="shared" si="13"/>
        <v>259.45454545454544</v>
      </c>
      <c r="Q31" s="302">
        <f t="shared" si="13"/>
        <v>31.59090909090909</v>
      </c>
      <c r="R31" s="302">
        <f t="shared" si="13"/>
        <v>258.14999999999998</v>
      </c>
      <c r="S31" s="300"/>
      <c r="T31" s="302">
        <f>AVERAGEIFS(T$36:T$170,$C$36:$C$170,"=2", $B$36:$B$170,"NO OFICIAL")</f>
        <v>35.549999999999997</v>
      </c>
      <c r="U31" s="300"/>
      <c r="V31" s="302">
        <f>AVERAGEIFS(V$36:V$170,$C$36:$C$170,"=2", $B$36:$B$170,"NO OFICIAL")</f>
        <v>269.28571428571428</v>
      </c>
      <c r="W31" s="300"/>
      <c r="X31" s="302">
        <f>AVERAGEIFS(X$36:X$170,$C$36:$C$170,"=2", $B$36:$B$170,"NO OFICIAL")</f>
        <v>37.666666666666664</v>
      </c>
      <c r="Y31" s="300"/>
      <c r="Z31" s="302">
        <f>AVERAGEIFS(Z$36:Z$170,$C$36:$C$170,"=2", $B$36:$B$170,"NO OFICIAL")</f>
        <v>266.77272727272725</v>
      </c>
      <c r="AA31" s="300"/>
      <c r="AB31" s="302">
        <f>AVERAGEIFS(AB$36:AB$170,$C$36:$C$170,"=2", $B$36:$B$170,"NO OFICIAL")</f>
        <v>37.409090909090907</v>
      </c>
      <c r="AC31" s="300"/>
      <c r="AD31" s="485">
        <f>AVERAGEIFS(AD$36:AD$171,$C$36:$C$171,"=2", $B$36:$B$171,"NO OFICIAL")</f>
        <v>272.7</v>
      </c>
      <c r="AE31" s="485"/>
      <c r="AF31" s="485">
        <f>AVERAGEIFS(AF$36:AF$171,$C$36:$C$171,"=2", $B$36:$B$171,"NO OFICIAL")</f>
        <v>39.4</v>
      </c>
      <c r="AG31" s="300"/>
      <c r="AH31" s="26"/>
    </row>
    <row r="32" spans="1:34" ht="24.95" customHeight="1" x14ac:dyDescent="0.2">
      <c r="A32" s="6" t="s">
        <v>903</v>
      </c>
      <c r="B32" s="302"/>
      <c r="C32" s="302"/>
      <c r="D32" s="302">
        <f>AVERAGEIFS(D$36:D$170,$C$36:$C$170,"=3", $B$36:$B$170,"NO OFICIAL")</f>
        <v>261.04038461538465</v>
      </c>
      <c r="E32" s="302"/>
      <c r="F32" s="302">
        <f>AVERAGEIFS(F$36:F$170,$C$36:$C$170,"=3", $B$36:$B$170,"NO OFICIAL")</f>
        <v>259.56634615384615</v>
      </c>
      <c r="G32" s="302"/>
      <c r="H32" s="302">
        <f t="shared" ref="H32:R32" si="14">AVERAGEIFS(H$36:H$170,$C$36:$C$170,"=3", $B$36:$B$170,"NO OFICIAL")</f>
        <v>271.61538461538464</v>
      </c>
      <c r="I32" s="302">
        <f t="shared" si="14"/>
        <v>35.07692307692308</v>
      </c>
      <c r="J32" s="302">
        <f t="shared" si="14"/>
        <v>268.38461538461536</v>
      </c>
      <c r="K32" s="302">
        <f t="shared" si="14"/>
        <v>36.46153846153846</v>
      </c>
      <c r="L32" s="302">
        <f t="shared" si="14"/>
        <v>268.69230769230768</v>
      </c>
      <c r="M32" s="302">
        <f t="shared" si="14"/>
        <v>37.92307692307692</v>
      </c>
      <c r="N32" s="302">
        <f t="shared" si="14"/>
        <v>262.92307692307691</v>
      </c>
      <c r="O32" s="302">
        <f t="shared" si="14"/>
        <v>38.53846153846154</v>
      </c>
      <c r="P32" s="302">
        <f t="shared" si="14"/>
        <v>267.42857142857144</v>
      </c>
      <c r="Q32" s="302">
        <f t="shared" si="14"/>
        <v>35.214285714285715</v>
      </c>
      <c r="R32" s="302">
        <f t="shared" si="14"/>
        <v>267.14285714285717</v>
      </c>
      <c r="S32" s="300"/>
      <c r="T32" s="302">
        <f>AVERAGEIFS(T$36:T$170,$C$36:$C$170,"=3", $B$36:$B$170,"NO OFICIAL")</f>
        <v>38.142857142857146</v>
      </c>
      <c r="U32" s="300"/>
      <c r="V32" s="302">
        <f>AVERAGEIFS(V$36:V$170,$C$36:$C$170,"=3", $B$36:$B$170,"NO OFICIAL")</f>
        <v>272.93333333333334</v>
      </c>
      <c r="W32" s="300"/>
      <c r="X32" s="302">
        <f>AVERAGEIFS(X$36:X$170,$C$36:$C$170,"=3", $B$36:$B$170,"NO OFICIAL")</f>
        <v>39.466666666666669</v>
      </c>
      <c r="Y32" s="300"/>
      <c r="Z32" s="302">
        <f>AVERAGEIFS(Z$36:Z$170,$C$36:$C$170,"=3", $B$36:$B$170,"NO OFICIAL")</f>
        <v>272.06666666666666</v>
      </c>
      <c r="AA32" s="300"/>
      <c r="AB32" s="302">
        <f>AVERAGEIFS(AB$36:AB$170,$C$36:$C$170,"=3", $B$36:$B$170,"NO OFICIAL")</f>
        <v>38.866666666666667</v>
      </c>
      <c r="AC32" s="300"/>
      <c r="AD32" s="485">
        <f>AVERAGEIFS(AD$36:AD$171,$C$36:$C$171,"=3", $B$36:$B$171,"NO OFICIAL")</f>
        <v>274.13333333333333</v>
      </c>
      <c r="AE32" s="485"/>
      <c r="AF32" s="485">
        <f>AVERAGEIFS(AF$36:AF$171,$C$36:$C$171,"=3", $B$36:$B$171,"NO OFICIAL")</f>
        <v>38.6</v>
      </c>
      <c r="AG32" s="300"/>
      <c r="AH32" s="26"/>
    </row>
    <row r="33" spans="1:34" ht="24.95" customHeight="1" x14ac:dyDescent="0.2">
      <c r="A33" s="6" t="s">
        <v>904</v>
      </c>
      <c r="B33" s="302"/>
      <c r="C33" s="302"/>
      <c r="D33" s="302">
        <f>AVERAGEIFS(D$36:D$170,$C$36:$C$170,"=4", $B$36:$B$170,"NO OFICIAL")</f>
        <v>233.13504273504273</v>
      </c>
      <c r="E33" s="302"/>
      <c r="F33" s="302">
        <f>AVERAGEIFS(F$36:F$170,$C$36:$C$170,"=4", $B$36:$B$170,"NO OFICIAL")</f>
        <v>240.56993006993008</v>
      </c>
      <c r="G33" s="302"/>
      <c r="H33" s="302">
        <f t="shared" ref="H33:R33" si="15">AVERAGEIFS(H$36:H$170,$C$36:$C$170,"=4", $B$36:$B$170,"NO OFICIAL")</f>
        <v>251.625</v>
      </c>
      <c r="I33" s="302">
        <f t="shared" si="15"/>
        <v>33.25</v>
      </c>
      <c r="J33" s="302">
        <f t="shared" si="15"/>
        <v>262.33333333333331</v>
      </c>
      <c r="K33" s="302">
        <f t="shared" si="15"/>
        <v>30.333333333333332</v>
      </c>
      <c r="L33" s="302">
        <f t="shared" si="15"/>
        <v>261.11111111111109</v>
      </c>
      <c r="M33" s="302">
        <f t="shared" si="15"/>
        <v>30.888888888888889</v>
      </c>
      <c r="N33" s="302">
        <f t="shared" si="15"/>
        <v>254</v>
      </c>
      <c r="O33" s="302">
        <f t="shared" si="15"/>
        <v>36.375</v>
      </c>
      <c r="P33" s="302">
        <f t="shared" si="15"/>
        <v>248.14285714285714</v>
      </c>
      <c r="Q33" s="302">
        <f t="shared" si="15"/>
        <v>37.285714285714285</v>
      </c>
      <c r="R33" s="302">
        <f t="shared" si="15"/>
        <v>251.5</v>
      </c>
      <c r="S33" s="300"/>
      <c r="T33" s="302">
        <f>AVERAGEIFS(T$36:T$170,$C$36:$C$170,"=4", $B$36:$B$170,"NO OFICIAL")</f>
        <v>35.25</v>
      </c>
      <c r="U33" s="300"/>
      <c r="V33" s="302">
        <f>AVERAGEIFS(V$36:V$170,$C$36:$C$170,"=4", $B$36:$B$170,"NO OFICIAL")</f>
        <v>258.125</v>
      </c>
      <c r="W33" s="300"/>
      <c r="X33" s="302">
        <f>AVERAGEIFS(X$36:X$170,$C$36:$C$170,"=4", $B$36:$B$170,"NO OFICIAL")</f>
        <v>38.5</v>
      </c>
      <c r="Y33" s="300"/>
      <c r="Z33" s="302">
        <f>AVERAGEIFS(Z$36:Z$170,$C$36:$C$170,"=4", $B$36:$B$170,"NO OFICIAL")</f>
        <v>250.22222222222223</v>
      </c>
      <c r="AA33" s="300"/>
      <c r="AB33" s="302">
        <f>AVERAGEIFS(AB$36:AB$170,$C$36:$C$170,"=4", $B$36:$B$170,"NO OFICIAL")</f>
        <v>36.111111111111114</v>
      </c>
      <c r="AC33" s="300"/>
      <c r="AD33" s="485">
        <f>AVERAGEIFS(AD$36:AD$171,$C$36:$C$171,"=4", $B$36:$B$171,"NO OFICIAL")</f>
        <v>267.57142857142856</v>
      </c>
      <c r="AE33" s="485"/>
      <c r="AF33" s="485">
        <f>AVERAGEIFS(AF$36:AF$171,$C$36:$C$171,"=4", $B$36:$B$171,"NO OFICIAL")</f>
        <v>38.428571428571431</v>
      </c>
      <c r="AG33" s="300"/>
      <c r="AH33" s="26"/>
    </row>
    <row r="34" spans="1:34" ht="24.95" customHeight="1" x14ac:dyDescent="0.2">
      <c r="A34" s="6" t="s">
        <v>905</v>
      </c>
      <c r="B34" s="302"/>
      <c r="C34" s="302"/>
      <c r="D34" s="302">
        <f>AVERAGEIFS(D$36:D$170,$C$36:$C$170,"=5", $B$36:$B$170,"NO OFICIAL")</f>
        <v>269.10865384615386</v>
      </c>
      <c r="E34" s="302"/>
      <c r="F34" s="302">
        <f>AVERAGEIFS(F$36:F$170,$C$36:$C$170,"=5", $B$36:$B$170,"NO OFICIAL")</f>
        <v>269.02662721893489</v>
      </c>
      <c r="G34" s="302"/>
      <c r="H34" s="302">
        <f t="shared" ref="H34:R34" si="16">AVERAGEIFS(H$36:H$170,$C$36:$C$170,"=5", $B$36:$B$170,"NO OFICIAL")</f>
        <v>278.21428571428572</v>
      </c>
      <c r="I34" s="302">
        <f t="shared" si="16"/>
        <v>33.857142857142854</v>
      </c>
      <c r="J34" s="302">
        <f t="shared" si="16"/>
        <v>277.42857142857144</v>
      </c>
      <c r="K34" s="302">
        <f t="shared" si="16"/>
        <v>35.428571428571431</v>
      </c>
      <c r="L34" s="302">
        <f t="shared" si="16"/>
        <v>273.93333333333334</v>
      </c>
      <c r="M34" s="302">
        <f t="shared" si="16"/>
        <v>36.133333333333333</v>
      </c>
      <c r="N34" s="302">
        <f t="shared" si="16"/>
        <v>269.375</v>
      </c>
      <c r="O34" s="302">
        <f t="shared" si="16"/>
        <v>37.25</v>
      </c>
      <c r="P34" s="302">
        <f t="shared" si="16"/>
        <v>273.39999999999998</v>
      </c>
      <c r="Q34" s="302">
        <f t="shared" si="16"/>
        <v>34.266666666666666</v>
      </c>
      <c r="R34" s="302">
        <f t="shared" si="16"/>
        <v>272.39999999999998</v>
      </c>
      <c r="S34" s="300"/>
      <c r="T34" s="302">
        <f>AVERAGEIFS(T$36:T$170,$C$36:$C$170,"=5", $B$36:$B$170,"NO OFICIAL")</f>
        <v>38.533333333333331</v>
      </c>
      <c r="U34" s="300"/>
      <c r="V34" s="302">
        <f>AVERAGEIFS(V$36:V$170,$C$36:$C$170,"=5", $B$36:$B$170,"NO OFICIAL")</f>
        <v>278</v>
      </c>
      <c r="W34" s="300"/>
      <c r="X34" s="302">
        <f>AVERAGEIFS(X$36:X$170,$C$36:$C$170,"=5", $B$36:$B$170,"NO OFICIAL")</f>
        <v>36.928571428571431</v>
      </c>
      <c r="Y34" s="300"/>
      <c r="Z34" s="302">
        <f>AVERAGEIFS(Z$36:Z$170,$C$36:$C$170,"=5", $B$36:$B$170,"NO OFICIAL")</f>
        <v>280.92857142857144</v>
      </c>
      <c r="AA34" s="300"/>
      <c r="AB34" s="302">
        <f>AVERAGEIFS(AB$36:AB$170,$C$36:$C$170,"=5", $B$36:$B$170,"NO OFICIAL")</f>
        <v>38.714285714285715</v>
      </c>
      <c r="AC34" s="300"/>
      <c r="AD34" s="485">
        <f>AVERAGEIFS(AD$36:AD$171,$C$36:$C$171,"=5", $B$36:$B$171,"NO OFICIAL")</f>
        <v>274.26666666666665</v>
      </c>
      <c r="AE34" s="485"/>
      <c r="AF34" s="485">
        <f>AVERAGEIFS(AF$36:AF$171,$C$36:$C$171,"=5", $B$36:$B$171,"NO OFICIAL")</f>
        <v>37.533333333333331</v>
      </c>
      <c r="AG34" s="300"/>
      <c r="AH34" s="26"/>
    </row>
    <row r="35" spans="1:34" ht="24.95" customHeight="1" x14ac:dyDescent="0.2">
      <c r="A35" s="6" t="s">
        <v>906</v>
      </c>
      <c r="B35" s="302"/>
      <c r="C35" s="302"/>
      <c r="D35" s="302">
        <f>AVERAGEIFS(D$36:D$170,$C$36:$C$170,"=6", $B$36:$B$170,"NO OFICIAL")</f>
        <v>259.0291666666667</v>
      </c>
      <c r="E35" s="302"/>
      <c r="F35" s="302">
        <f>AVERAGEIFS(F$36:F$170,$C$36:$C$170,"=6", $B$36:$B$170,"NO OFICIAL")</f>
        <v>258.6176282051282</v>
      </c>
      <c r="G35" s="302"/>
      <c r="H35" s="302">
        <f t="shared" ref="H35:R35" si="17">AVERAGEIFS(H$36:H$170,$C$36:$C$170,"=6", $B$36:$B$170,"NO OFICIAL")</f>
        <v>270</v>
      </c>
      <c r="I35" s="302">
        <f t="shared" si="17"/>
        <v>30.6</v>
      </c>
      <c r="J35" s="302">
        <f t="shared" si="17"/>
        <v>259.63636363636363</v>
      </c>
      <c r="K35" s="302">
        <f t="shared" si="17"/>
        <v>39.454545454545453</v>
      </c>
      <c r="L35" s="302">
        <f t="shared" si="17"/>
        <v>263.3</v>
      </c>
      <c r="M35" s="302">
        <f t="shared" si="17"/>
        <v>38.700000000000003</v>
      </c>
      <c r="N35" s="302">
        <f t="shared" si="17"/>
        <v>262.54545454545456</v>
      </c>
      <c r="O35" s="302">
        <f t="shared" si="17"/>
        <v>41.909090909090907</v>
      </c>
      <c r="P35" s="302">
        <f t="shared" si="17"/>
        <v>253.46153846153845</v>
      </c>
      <c r="Q35" s="302">
        <f t="shared" si="17"/>
        <v>34.384615384615387</v>
      </c>
      <c r="R35" s="302">
        <f t="shared" si="17"/>
        <v>258.61538461538464</v>
      </c>
      <c r="S35" s="300"/>
      <c r="T35" s="302">
        <f>AVERAGEIFS(T$36:T$170,$C$36:$C$170,"=6", $B$36:$B$170,"NO OFICIAL")</f>
        <v>33.07692307692308</v>
      </c>
      <c r="U35" s="300"/>
      <c r="V35" s="302">
        <f>AVERAGEIFS(V$36:V$170,$C$36:$C$170,"=6", $B$36:$B$170,"NO OFICIAL")</f>
        <v>261</v>
      </c>
      <c r="W35" s="300"/>
      <c r="X35" s="302">
        <f>AVERAGEIFS(X$36:X$170,$C$36:$C$170,"=6", $B$36:$B$170,"NO OFICIAL")</f>
        <v>41.466666666666669</v>
      </c>
      <c r="Y35" s="300"/>
      <c r="Z35" s="302">
        <f>AVERAGEIFS(Z$36:Z$170,$C$36:$C$170,"=6", $B$36:$B$170,"NO OFICIAL")</f>
        <v>268.0625</v>
      </c>
      <c r="AA35" s="300"/>
      <c r="AB35" s="302">
        <f>AVERAGEIFS(AB$36:AB$170,$C$36:$C$170,"=6", $B$36:$B$170,"NO OFICIAL")</f>
        <v>35.1875</v>
      </c>
      <c r="AC35" s="300"/>
      <c r="AD35" s="485">
        <f>AVERAGEIFS(AD$36:AD$171,$C$36:$C$171,"=6", $B$36:$B$171,"NO OFICIAL")</f>
        <v>268.07142857142856</v>
      </c>
      <c r="AE35" s="485"/>
      <c r="AF35" s="485">
        <f>AVERAGEIFS(AF$36:AF$171,$C$36:$C$171,"=6", $B$36:$B$171,"NO OFICIAL")</f>
        <v>40.928571428571431</v>
      </c>
      <c r="AG35" s="300"/>
      <c r="AH35" s="26"/>
    </row>
    <row r="36" spans="1:34" ht="21.95" customHeight="1" x14ac:dyDescent="0.2">
      <c r="A36" s="467" t="s">
        <v>29</v>
      </c>
      <c r="B36" s="1" t="s">
        <v>221</v>
      </c>
      <c r="C36" s="12">
        <v>2</v>
      </c>
      <c r="D36" s="27">
        <v>256.93461538461537</v>
      </c>
      <c r="E36" s="2"/>
      <c r="F36" s="2">
        <v>254</v>
      </c>
      <c r="G36" s="2"/>
      <c r="H36" s="33">
        <v>261</v>
      </c>
      <c r="I36" s="33">
        <v>38</v>
      </c>
      <c r="J36" s="33">
        <v>261</v>
      </c>
      <c r="K36" s="33">
        <v>36</v>
      </c>
      <c r="L36" s="33">
        <v>256</v>
      </c>
      <c r="M36" s="33">
        <v>38</v>
      </c>
      <c r="N36" s="33">
        <v>257</v>
      </c>
      <c r="O36" s="33">
        <v>45</v>
      </c>
      <c r="P36" s="130">
        <v>257</v>
      </c>
      <c r="Q36" s="130">
        <v>43</v>
      </c>
      <c r="R36" s="247">
        <v>260</v>
      </c>
      <c r="S36" s="247" t="s">
        <v>874</v>
      </c>
      <c r="T36" s="247">
        <v>40</v>
      </c>
      <c r="U36" s="247" t="s">
        <v>874</v>
      </c>
      <c r="AH36" s="609"/>
    </row>
    <row r="37" spans="1:34" ht="21.95" customHeight="1" x14ac:dyDescent="0.2">
      <c r="A37" s="749" t="s">
        <v>1095</v>
      </c>
      <c r="B37" s="14" t="s">
        <v>221</v>
      </c>
      <c r="C37" s="528"/>
      <c r="D37" s="508"/>
      <c r="E37" s="466"/>
      <c r="F37" s="466"/>
      <c r="G37" s="466"/>
      <c r="H37" s="673"/>
      <c r="I37" s="673"/>
      <c r="J37" s="673"/>
      <c r="K37" s="673"/>
      <c r="L37" s="673"/>
      <c r="M37" s="673"/>
      <c r="N37" s="673"/>
      <c r="O37" s="673"/>
      <c r="P37" s="720"/>
      <c r="Q37" s="720"/>
      <c r="R37" s="645"/>
      <c r="S37" s="645"/>
      <c r="T37" s="645"/>
      <c r="U37" s="645"/>
      <c r="AH37" s="609"/>
    </row>
    <row r="38" spans="1:34" ht="21.95" customHeight="1" x14ac:dyDescent="0.2">
      <c r="A38" s="469" t="s">
        <v>270</v>
      </c>
      <c r="B38" s="14" t="s">
        <v>221</v>
      </c>
      <c r="C38" s="12">
        <v>2</v>
      </c>
      <c r="D38" s="27">
        <v>245.73076923076923</v>
      </c>
      <c r="E38" s="2"/>
      <c r="F38" s="2">
        <v>233</v>
      </c>
      <c r="G38" s="2"/>
      <c r="H38" s="33" t="s">
        <v>256</v>
      </c>
      <c r="I38" s="33" t="s">
        <v>256</v>
      </c>
      <c r="J38" s="33" t="s">
        <v>256</v>
      </c>
      <c r="K38" s="33" t="s">
        <v>256</v>
      </c>
      <c r="L38" s="33" t="s">
        <v>256</v>
      </c>
      <c r="M38" s="33" t="s">
        <v>256</v>
      </c>
      <c r="N38" s="33" t="s">
        <v>256</v>
      </c>
      <c r="O38" s="33" t="s">
        <v>256</v>
      </c>
      <c r="P38" s="130">
        <v>223</v>
      </c>
      <c r="Q38" s="130">
        <v>25</v>
      </c>
      <c r="R38" s="247">
        <v>220</v>
      </c>
      <c r="S38" s="247" t="s">
        <v>876</v>
      </c>
      <c r="T38" s="247">
        <v>0</v>
      </c>
      <c r="U38" s="247" t="s">
        <v>876</v>
      </c>
      <c r="V38" s="311">
        <v>215</v>
      </c>
      <c r="W38" s="311" t="s">
        <v>876</v>
      </c>
      <c r="X38" s="311">
        <v>80</v>
      </c>
      <c r="Y38" s="311" t="s">
        <v>875</v>
      </c>
      <c r="Z38" s="426">
        <v>250</v>
      </c>
      <c r="AA38" s="426" t="s">
        <v>876</v>
      </c>
      <c r="AB38" s="426">
        <v>0</v>
      </c>
      <c r="AC38" s="426" t="s">
        <v>876</v>
      </c>
      <c r="AD38" s="466">
        <v>202</v>
      </c>
      <c r="AE38" s="466" t="s">
        <v>876</v>
      </c>
      <c r="AF38" s="466">
        <v>25</v>
      </c>
      <c r="AG38" s="466" t="s">
        <v>876</v>
      </c>
      <c r="AH38" s="609"/>
    </row>
    <row r="39" spans="1:34" ht="21.95" customHeight="1" x14ac:dyDescent="0.2">
      <c r="A39" s="469" t="s">
        <v>916</v>
      </c>
      <c r="B39" s="14" t="s">
        <v>221</v>
      </c>
      <c r="C39" s="330">
        <v>2</v>
      </c>
      <c r="D39" s="321"/>
      <c r="E39" s="311"/>
      <c r="F39" s="311"/>
      <c r="G39" s="311"/>
      <c r="H39" s="322"/>
      <c r="I39" s="322"/>
      <c r="J39" s="322"/>
      <c r="K39" s="322"/>
      <c r="L39" s="322"/>
      <c r="M39" s="322"/>
      <c r="N39" s="322"/>
      <c r="O39" s="322"/>
      <c r="P39" s="323"/>
      <c r="Q39" s="323"/>
      <c r="R39" s="314"/>
      <c r="S39" s="314"/>
      <c r="T39" s="314"/>
      <c r="U39" s="314"/>
      <c r="V39" s="311">
        <v>214</v>
      </c>
      <c r="W39" s="311" t="s">
        <v>876</v>
      </c>
      <c r="X39" s="311">
        <v>34</v>
      </c>
      <c r="Y39" s="311" t="s">
        <v>876</v>
      </c>
      <c r="Z39" s="426">
        <v>209</v>
      </c>
      <c r="AA39" s="426" t="s">
        <v>876</v>
      </c>
      <c r="AB39" s="426">
        <v>41</v>
      </c>
      <c r="AC39" s="426" t="s">
        <v>874</v>
      </c>
      <c r="AD39" s="426"/>
      <c r="AE39" s="426"/>
      <c r="AF39" s="426"/>
      <c r="AG39" s="426"/>
      <c r="AH39" s="609"/>
    </row>
    <row r="40" spans="1:34" ht="21.95" customHeight="1" x14ac:dyDescent="0.2">
      <c r="A40" s="469" t="s">
        <v>34</v>
      </c>
      <c r="B40" s="1" t="s">
        <v>221</v>
      </c>
      <c r="C40" s="12">
        <v>3</v>
      </c>
      <c r="D40" s="27">
        <v>254.59615384615387</v>
      </c>
      <c r="E40" s="2"/>
      <c r="F40" s="2">
        <v>255</v>
      </c>
      <c r="G40" s="2"/>
      <c r="H40" s="33">
        <v>263</v>
      </c>
      <c r="I40" s="33">
        <v>25</v>
      </c>
      <c r="J40" s="33">
        <v>255</v>
      </c>
      <c r="K40" s="33">
        <v>40</v>
      </c>
      <c r="L40" s="33">
        <v>244</v>
      </c>
      <c r="M40" s="33">
        <v>35</v>
      </c>
      <c r="N40" s="33">
        <v>242</v>
      </c>
      <c r="O40" s="33">
        <v>30</v>
      </c>
      <c r="P40" s="130">
        <v>250</v>
      </c>
      <c r="Q40" s="130">
        <v>37</v>
      </c>
      <c r="R40" s="247">
        <v>260</v>
      </c>
      <c r="S40" s="247" t="s">
        <v>874</v>
      </c>
      <c r="T40" s="247">
        <v>40</v>
      </c>
      <c r="U40" s="247" t="s">
        <v>874</v>
      </c>
      <c r="V40" s="311">
        <v>257</v>
      </c>
      <c r="W40" s="311" t="s">
        <v>876</v>
      </c>
      <c r="X40" s="311">
        <v>38</v>
      </c>
      <c r="Y40" s="311" t="s">
        <v>874</v>
      </c>
      <c r="Z40" s="426">
        <v>262</v>
      </c>
      <c r="AA40" s="426" t="s">
        <v>874</v>
      </c>
      <c r="AB40" s="426">
        <v>41</v>
      </c>
      <c r="AC40" s="426" t="s">
        <v>874</v>
      </c>
      <c r="AD40" s="466">
        <v>260</v>
      </c>
      <c r="AE40" s="466" t="s">
        <v>876</v>
      </c>
      <c r="AF40" s="466">
        <v>35</v>
      </c>
      <c r="AG40" s="466" t="s">
        <v>876</v>
      </c>
      <c r="AH40" s="609"/>
    </row>
    <row r="41" spans="1:34" ht="21.95" customHeight="1" x14ac:dyDescent="0.2">
      <c r="A41" s="469" t="s">
        <v>271</v>
      </c>
      <c r="B41" s="1" t="s">
        <v>221</v>
      </c>
      <c r="C41" s="12">
        <v>4</v>
      </c>
      <c r="D41" s="27">
        <v>236.44615384615383</v>
      </c>
      <c r="E41" s="2"/>
      <c r="F41" s="2">
        <v>244</v>
      </c>
      <c r="G41" s="2"/>
      <c r="H41" s="33">
        <v>245</v>
      </c>
      <c r="I41" s="33">
        <v>36</v>
      </c>
      <c r="J41" s="33">
        <v>240</v>
      </c>
      <c r="K41" s="33">
        <v>38</v>
      </c>
      <c r="L41" s="33">
        <v>234</v>
      </c>
      <c r="M41" s="33">
        <v>35</v>
      </c>
      <c r="N41" s="33">
        <v>240</v>
      </c>
      <c r="O41" s="33">
        <v>38</v>
      </c>
      <c r="P41" s="130">
        <v>236</v>
      </c>
      <c r="Q41" s="130">
        <v>36</v>
      </c>
      <c r="R41" s="247">
        <v>239</v>
      </c>
      <c r="S41" s="247" t="s">
        <v>876</v>
      </c>
      <c r="T41" s="247">
        <v>43</v>
      </c>
      <c r="U41" s="247" t="s">
        <v>874</v>
      </c>
      <c r="V41" s="311">
        <v>238</v>
      </c>
      <c r="W41" s="311" t="s">
        <v>876</v>
      </c>
      <c r="X41" s="311">
        <v>38</v>
      </c>
      <c r="Y41" s="311" t="s">
        <v>874</v>
      </c>
      <c r="Z41" s="426">
        <v>253</v>
      </c>
      <c r="AA41" s="426" t="s">
        <v>876</v>
      </c>
      <c r="AB41" s="426">
        <v>33</v>
      </c>
      <c r="AC41" s="426" t="s">
        <v>876</v>
      </c>
      <c r="AD41" s="466">
        <v>261</v>
      </c>
      <c r="AE41" s="466" t="s">
        <v>876</v>
      </c>
      <c r="AF41" s="466">
        <v>37</v>
      </c>
      <c r="AG41" s="466" t="s">
        <v>876</v>
      </c>
      <c r="AH41" s="609"/>
    </row>
    <row r="42" spans="1:34" ht="21.95" customHeight="1" x14ac:dyDescent="0.2">
      <c r="A42" s="469" t="s">
        <v>291</v>
      </c>
      <c r="B42" s="1" t="s">
        <v>221</v>
      </c>
      <c r="C42" s="12">
        <v>5</v>
      </c>
      <c r="D42" s="27"/>
      <c r="E42" s="2"/>
      <c r="F42" s="2"/>
      <c r="G42" s="2"/>
      <c r="H42" s="33" t="s">
        <v>256</v>
      </c>
      <c r="I42" s="33" t="s">
        <v>256</v>
      </c>
      <c r="J42" s="33" t="s">
        <v>256</v>
      </c>
      <c r="K42" s="33" t="s">
        <v>256</v>
      </c>
      <c r="L42" s="33">
        <v>261</v>
      </c>
      <c r="M42" s="33">
        <v>31</v>
      </c>
      <c r="N42" s="33">
        <v>242</v>
      </c>
      <c r="O42" s="33">
        <v>34</v>
      </c>
      <c r="P42" s="130">
        <v>244</v>
      </c>
      <c r="Q42" s="130">
        <v>45</v>
      </c>
      <c r="R42" s="247">
        <v>256</v>
      </c>
      <c r="S42" s="247" t="s">
        <v>874</v>
      </c>
      <c r="T42" s="247">
        <v>40</v>
      </c>
      <c r="U42" s="247" t="s">
        <v>874</v>
      </c>
      <c r="V42" s="311">
        <v>270</v>
      </c>
      <c r="W42" s="311" t="s">
        <v>875</v>
      </c>
      <c r="X42" s="311">
        <v>44</v>
      </c>
      <c r="Y42" s="311" t="s">
        <v>874</v>
      </c>
      <c r="Z42" s="426">
        <v>267</v>
      </c>
      <c r="AA42" s="426" t="s">
        <v>875</v>
      </c>
      <c r="AB42" s="426">
        <v>41</v>
      </c>
      <c r="AC42" s="426" t="s">
        <v>874</v>
      </c>
      <c r="AD42" s="466">
        <v>259</v>
      </c>
      <c r="AE42" s="466" t="s">
        <v>876</v>
      </c>
      <c r="AF42" s="466">
        <v>31</v>
      </c>
      <c r="AG42" s="466" t="s">
        <v>876</v>
      </c>
      <c r="AH42" s="609"/>
    </row>
    <row r="43" spans="1:34" ht="21.95" customHeight="1" x14ac:dyDescent="0.2">
      <c r="A43" s="469" t="s">
        <v>267</v>
      </c>
      <c r="B43" s="14" t="s">
        <v>221</v>
      </c>
      <c r="C43" s="12">
        <v>6</v>
      </c>
      <c r="D43" s="27">
        <v>220</v>
      </c>
      <c r="E43" s="2"/>
      <c r="F43" s="2">
        <v>231</v>
      </c>
      <c r="G43" s="2"/>
      <c r="H43" s="33"/>
      <c r="I43" s="33"/>
      <c r="J43" s="33"/>
      <c r="K43" s="33"/>
      <c r="L43" s="33"/>
      <c r="M43" s="33"/>
      <c r="N43" s="33"/>
      <c r="O43" s="33"/>
      <c r="P43" s="130">
        <v>285</v>
      </c>
      <c r="Q43" s="130">
        <v>30</v>
      </c>
      <c r="R43" s="247">
        <v>237</v>
      </c>
      <c r="S43" s="247" t="s">
        <v>876</v>
      </c>
      <c r="T43" s="247">
        <v>0</v>
      </c>
      <c r="U43" s="247" t="s">
        <v>876</v>
      </c>
      <c r="V43" s="311">
        <v>270</v>
      </c>
      <c r="W43" s="311" t="s">
        <v>875</v>
      </c>
      <c r="X43" s="311">
        <v>57</v>
      </c>
      <c r="Y43" s="311" t="s">
        <v>875</v>
      </c>
      <c r="Z43" s="426">
        <v>264</v>
      </c>
      <c r="AA43" s="426" t="s">
        <v>874</v>
      </c>
      <c r="AB43" s="426">
        <v>26</v>
      </c>
      <c r="AC43" s="426" t="s">
        <v>876</v>
      </c>
      <c r="AD43" s="466">
        <v>283</v>
      </c>
      <c r="AE43" s="466" t="s">
        <v>875</v>
      </c>
      <c r="AF43" s="466">
        <v>45</v>
      </c>
      <c r="AG43" s="466" t="s">
        <v>874</v>
      </c>
      <c r="AH43" s="609"/>
    </row>
    <row r="44" spans="1:34" ht="21.95" customHeight="1" x14ac:dyDescent="0.2">
      <c r="A44" s="467" t="s">
        <v>189</v>
      </c>
      <c r="B44" s="1" t="s">
        <v>221</v>
      </c>
      <c r="C44" s="12">
        <v>2</v>
      </c>
      <c r="D44" s="27"/>
      <c r="E44" s="2"/>
      <c r="F44" s="2"/>
      <c r="G44" s="2"/>
      <c r="H44" s="33">
        <v>308</v>
      </c>
      <c r="I44" s="33">
        <v>0</v>
      </c>
      <c r="J44" s="33" t="s">
        <v>256</v>
      </c>
      <c r="K44" s="33" t="s">
        <v>256</v>
      </c>
      <c r="L44" s="33" t="s">
        <v>256</v>
      </c>
      <c r="M44" s="33" t="s">
        <v>256</v>
      </c>
      <c r="N44" s="33" t="s">
        <v>256</v>
      </c>
      <c r="O44" s="33" t="s">
        <v>256</v>
      </c>
      <c r="P44" s="130">
        <v>197</v>
      </c>
      <c r="Q44" s="130">
        <v>0</v>
      </c>
      <c r="S44" s="36"/>
      <c r="AH44" s="609"/>
    </row>
    <row r="45" spans="1:34" ht="21.95" customHeight="1" x14ac:dyDescent="0.2">
      <c r="A45" s="469" t="s">
        <v>918</v>
      </c>
      <c r="B45" s="14" t="s">
        <v>221</v>
      </c>
      <c r="C45" s="330">
        <v>2</v>
      </c>
      <c r="D45" s="321"/>
      <c r="E45" s="311"/>
      <c r="F45" s="311"/>
      <c r="G45" s="311"/>
      <c r="H45" s="322"/>
      <c r="I45" s="322"/>
      <c r="J45" s="322"/>
      <c r="K45" s="322"/>
      <c r="L45" s="322"/>
      <c r="M45" s="322"/>
      <c r="N45" s="322"/>
      <c r="O45" s="322"/>
      <c r="P45" s="323"/>
      <c r="Q45" s="323"/>
      <c r="S45" s="324"/>
      <c r="V45" s="311">
        <v>313</v>
      </c>
      <c r="W45" s="311" t="s">
        <v>875</v>
      </c>
      <c r="X45" s="311">
        <v>23</v>
      </c>
      <c r="Y45" s="311" t="s">
        <v>876</v>
      </c>
      <c r="Z45" s="426">
        <v>263</v>
      </c>
      <c r="AA45" s="426" t="s">
        <v>874</v>
      </c>
      <c r="AB45" s="426">
        <v>39</v>
      </c>
      <c r="AC45" s="426" t="s">
        <v>874</v>
      </c>
      <c r="AD45" s="426"/>
      <c r="AE45" s="426"/>
      <c r="AF45" s="426"/>
      <c r="AG45" s="426"/>
      <c r="AH45" s="609"/>
    </row>
    <row r="46" spans="1:34" ht="21.95" customHeight="1" x14ac:dyDescent="0.2">
      <c r="A46" s="467" t="s">
        <v>63</v>
      </c>
      <c r="B46" s="1" t="s">
        <v>221</v>
      </c>
      <c r="C46" s="12">
        <v>4</v>
      </c>
      <c r="D46" s="27">
        <v>238.64230769230767</v>
      </c>
      <c r="E46" s="2"/>
      <c r="F46" s="2">
        <v>231</v>
      </c>
      <c r="G46" s="2"/>
      <c r="H46" s="33">
        <v>247</v>
      </c>
      <c r="I46" s="33">
        <v>42</v>
      </c>
      <c r="J46" s="33">
        <v>263</v>
      </c>
      <c r="K46" s="33">
        <v>39</v>
      </c>
      <c r="L46" s="33">
        <v>270</v>
      </c>
      <c r="M46" s="33">
        <v>50</v>
      </c>
      <c r="N46" s="33">
        <v>286</v>
      </c>
      <c r="O46" s="33">
        <v>36</v>
      </c>
      <c r="P46" s="130">
        <v>239</v>
      </c>
      <c r="Q46" s="130">
        <v>34</v>
      </c>
      <c r="R46" s="247">
        <v>262</v>
      </c>
      <c r="S46" s="247" t="s">
        <v>875</v>
      </c>
      <c r="T46" s="247">
        <v>41</v>
      </c>
      <c r="U46" s="247" t="s">
        <v>874</v>
      </c>
      <c r="V46" s="311">
        <v>253</v>
      </c>
      <c r="W46" s="311" t="s">
        <v>876</v>
      </c>
      <c r="X46" s="311">
        <v>38</v>
      </c>
      <c r="Y46" s="311" t="s">
        <v>874</v>
      </c>
      <c r="Z46" s="426">
        <v>251</v>
      </c>
      <c r="AA46" s="426" t="s">
        <v>876</v>
      </c>
      <c r="AB46" s="426">
        <v>41</v>
      </c>
      <c r="AC46" s="426" t="s">
        <v>874</v>
      </c>
      <c r="AD46" s="466">
        <v>237</v>
      </c>
      <c r="AE46" s="466" t="s">
        <v>876</v>
      </c>
      <c r="AF46" s="466">
        <v>41</v>
      </c>
      <c r="AG46" s="466" t="s">
        <v>874</v>
      </c>
      <c r="AH46" s="609"/>
    </row>
    <row r="47" spans="1:34" ht="21.95" customHeight="1" x14ac:dyDescent="0.2">
      <c r="A47" s="467" t="s">
        <v>44</v>
      </c>
      <c r="B47" s="1" t="s">
        <v>221</v>
      </c>
      <c r="C47" s="12">
        <v>1</v>
      </c>
      <c r="D47" s="27">
        <v>246.30769230769229</v>
      </c>
      <c r="E47" s="2"/>
      <c r="F47" s="2">
        <v>247</v>
      </c>
      <c r="G47" s="2"/>
      <c r="H47" s="33">
        <v>250</v>
      </c>
      <c r="I47" s="33">
        <v>36</v>
      </c>
      <c r="J47" s="33" t="s">
        <v>256</v>
      </c>
      <c r="K47" s="33" t="s">
        <v>256</v>
      </c>
      <c r="L47" s="33" t="s">
        <v>256</v>
      </c>
      <c r="M47" s="33" t="s">
        <v>256</v>
      </c>
      <c r="N47" s="33" t="s">
        <v>256</v>
      </c>
      <c r="O47" s="33" t="s">
        <v>256</v>
      </c>
      <c r="P47" s="33" t="s">
        <v>256</v>
      </c>
      <c r="Q47" s="33" t="s">
        <v>256</v>
      </c>
      <c r="S47" s="36"/>
      <c r="AH47" s="609"/>
    </row>
    <row r="48" spans="1:34" ht="21.95" customHeight="1" x14ac:dyDescent="0.2">
      <c r="A48" s="467" t="s">
        <v>69</v>
      </c>
      <c r="B48" s="1" t="s">
        <v>221</v>
      </c>
      <c r="C48" s="12">
        <v>2</v>
      </c>
      <c r="D48" s="27">
        <v>243.70384615384614</v>
      </c>
      <c r="E48" s="2"/>
      <c r="F48" s="2">
        <v>229</v>
      </c>
      <c r="G48" s="2"/>
      <c r="H48" s="33">
        <v>233</v>
      </c>
      <c r="I48" s="33">
        <v>34</v>
      </c>
      <c r="J48" s="33" t="s">
        <v>256</v>
      </c>
      <c r="K48" s="33" t="s">
        <v>256</v>
      </c>
      <c r="L48" s="33">
        <v>223</v>
      </c>
      <c r="M48" s="33">
        <v>33</v>
      </c>
      <c r="N48" s="33">
        <v>250</v>
      </c>
      <c r="O48" s="33">
        <v>30</v>
      </c>
      <c r="P48" s="130">
        <v>271</v>
      </c>
      <c r="Q48" s="130">
        <v>33</v>
      </c>
      <c r="R48" s="247">
        <v>237</v>
      </c>
      <c r="S48" s="247" t="s">
        <v>876</v>
      </c>
      <c r="T48" s="247">
        <v>52</v>
      </c>
      <c r="U48" s="247" t="s">
        <v>875</v>
      </c>
      <c r="Z48" s="426">
        <v>265</v>
      </c>
      <c r="AA48" s="426" t="s">
        <v>874</v>
      </c>
      <c r="AB48" s="426">
        <v>37</v>
      </c>
      <c r="AC48" s="426" t="s">
        <v>874</v>
      </c>
      <c r="AD48" s="466">
        <v>287</v>
      </c>
      <c r="AE48" s="466" t="s">
        <v>875</v>
      </c>
      <c r="AF48" s="466">
        <v>39</v>
      </c>
      <c r="AG48" s="466" t="s">
        <v>874</v>
      </c>
      <c r="AH48" s="609"/>
    </row>
    <row r="49" spans="1:34" ht="21.95" customHeight="1" x14ac:dyDescent="0.2">
      <c r="A49" s="468" t="s">
        <v>268</v>
      </c>
      <c r="B49" s="1" t="s">
        <v>221</v>
      </c>
      <c r="C49" s="12">
        <v>6</v>
      </c>
      <c r="D49" s="27"/>
      <c r="E49" s="2"/>
      <c r="F49" s="2"/>
      <c r="G49" s="2"/>
      <c r="H49" s="33"/>
      <c r="I49" s="33"/>
      <c r="J49" s="33"/>
      <c r="K49" s="33"/>
      <c r="L49" s="33"/>
      <c r="M49" s="33"/>
      <c r="N49" s="33"/>
      <c r="O49" s="33"/>
      <c r="P49" s="130">
        <v>242</v>
      </c>
      <c r="Q49" s="130">
        <v>34</v>
      </c>
      <c r="R49" s="247">
        <v>262</v>
      </c>
      <c r="S49" s="247" t="s">
        <v>875</v>
      </c>
      <c r="T49" s="247">
        <v>42</v>
      </c>
      <c r="U49" s="247" t="s">
        <v>874</v>
      </c>
      <c r="V49" s="311">
        <v>232</v>
      </c>
      <c r="W49" s="311" t="s">
        <v>876</v>
      </c>
      <c r="X49" s="311">
        <v>45</v>
      </c>
      <c r="Y49" s="311" t="s">
        <v>874</v>
      </c>
      <c r="Z49" s="426">
        <v>260</v>
      </c>
      <c r="AA49" s="426" t="s">
        <v>874</v>
      </c>
      <c r="AB49" s="426">
        <v>49</v>
      </c>
      <c r="AC49" s="426" t="s">
        <v>874</v>
      </c>
      <c r="AD49" s="466">
        <v>257</v>
      </c>
      <c r="AE49" s="466" t="s">
        <v>876</v>
      </c>
      <c r="AF49" s="466">
        <v>37</v>
      </c>
      <c r="AG49" s="466" t="s">
        <v>876</v>
      </c>
      <c r="AH49" s="609"/>
    </row>
    <row r="50" spans="1:34" ht="21.95" customHeight="1" x14ac:dyDescent="0.2">
      <c r="A50" s="467" t="s">
        <v>223</v>
      </c>
      <c r="B50" s="1" t="s">
        <v>219</v>
      </c>
      <c r="C50" s="12">
        <v>3</v>
      </c>
      <c r="D50" s="27"/>
      <c r="E50" s="2"/>
      <c r="F50" s="2"/>
      <c r="G50" s="2"/>
      <c r="H50" s="33" t="s">
        <v>256</v>
      </c>
      <c r="I50" s="33" t="s">
        <v>256</v>
      </c>
      <c r="J50" s="33">
        <v>257</v>
      </c>
      <c r="K50" s="33">
        <v>37</v>
      </c>
      <c r="L50" s="33">
        <v>246</v>
      </c>
      <c r="M50" s="33">
        <v>36</v>
      </c>
      <c r="N50" s="33">
        <v>246</v>
      </c>
      <c r="O50" s="33">
        <v>41</v>
      </c>
      <c r="P50" s="130">
        <v>238</v>
      </c>
      <c r="Q50" s="130">
        <v>42</v>
      </c>
      <c r="R50" s="247">
        <v>240</v>
      </c>
      <c r="S50" s="247" t="s">
        <v>876</v>
      </c>
      <c r="T50" s="247">
        <v>39</v>
      </c>
      <c r="U50" s="247" t="s">
        <v>874</v>
      </c>
      <c r="V50" s="311">
        <v>241</v>
      </c>
      <c r="W50" s="311" t="s">
        <v>876</v>
      </c>
      <c r="X50" s="311">
        <v>36</v>
      </c>
      <c r="Y50" s="311" t="s">
        <v>876</v>
      </c>
      <c r="Z50" s="426">
        <v>253</v>
      </c>
      <c r="AA50" s="426" t="s">
        <v>876</v>
      </c>
      <c r="AB50" s="426">
        <v>39</v>
      </c>
      <c r="AC50" s="426" t="s">
        <v>874</v>
      </c>
      <c r="AD50" s="466">
        <v>248</v>
      </c>
      <c r="AE50" s="466" t="s">
        <v>876</v>
      </c>
      <c r="AF50" s="466">
        <v>42</v>
      </c>
      <c r="AG50" s="466" t="s">
        <v>874</v>
      </c>
      <c r="AH50" s="609"/>
    </row>
    <row r="51" spans="1:34" ht="21.95" customHeight="1" x14ac:dyDescent="0.2">
      <c r="A51" s="467" t="s">
        <v>126</v>
      </c>
      <c r="B51" s="1" t="s">
        <v>221</v>
      </c>
      <c r="C51" s="12">
        <v>2</v>
      </c>
      <c r="D51" s="27">
        <v>286.25769230769225</v>
      </c>
      <c r="E51" s="2"/>
      <c r="F51" s="2">
        <v>277</v>
      </c>
      <c r="G51" s="2"/>
      <c r="H51" s="33">
        <v>299</v>
      </c>
      <c r="I51" s="33">
        <v>35</v>
      </c>
      <c r="J51" s="33">
        <v>293</v>
      </c>
      <c r="K51" s="33">
        <v>36</v>
      </c>
      <c r="L51" s="33">
        <v>292</v>
      </c>
      <c r="M51" s="33">
        <v>33</v>
      </c>
      <c r="N51" s="33">
        <v>292</v>
      </c>
      <c r="O51" s="33">
        <v>37</v>
      </c>
      <c r="P51" s="130">
        <v>298</v>
      </c>
      <c r="Q51" s="130">
        <v>37</v>
      </c>
      <c r="R51" s="247">
        <v>288</v>
      </c>
      <c r="S51" s="247" t="s">
        <v>875</v>
      </c>
      <c r="T51" s="247">
        <v>39</v>
      </c>
      <c r="U51" s="247" t="s">
        <v>874</v>
      </c>
      <c r="V51" s="311">
        <v>296</v>
      </c>
      <c r="W51" s="311" t="s">
        <v>875</v>
      </c>
      <c r="X51" s="311">
        <v>36</v>
      </c>
      <c r="Y51" s="311" t="s">
        <v>876</v>
      </c>
      <c r="Z51" s="426">
        <v>295</v>
      </c>
      <c r="AA51" s="426" t="s">
        <v>875</v>
      </c>
      <c r="AB51" s="426">
        <v>36</v>
      </c>
      <c r="AC51" s="426" t="s">
        <v>876</v>
      </c>
      <c r="AD51" s="466">
        <v>301</v>
      </c>
      <c r="AE51" s="466" t="s">
        <v>875</v>
      </c>
      <c r="AF51" s="466">
        <v>37</v>
      </c>
      <c r="AG51" s="466" t="s">
        <v>876</v>
      </c>
      <c r="AH51" s="609"/>
    </row>
    <row r="52" spans="1:34" ht="21.95" customHeight="1" x14ac:dyDescent="0.2">
      <c r="A52" s="468" t="s">
        <v>269</v>
      </c>
      <c r="B52" s="1" t="s">
        <v>221</v>
      </c>
      <c r="C52" s="12">
        <v>2</v>
      </c>
      <c r="D52" s="27"/>
      <c r="E52" s="2"/>
      <c r="F52" s="2">
        <v>249</v>
      </c>
      <c r="G52" s="2"/>
      <c r="H52" s="33"/>
      <c r="I52" s="33"/>
      <c r="J52" s="33"/>
      <c r="K52" s="33"/>
      <c r="L52" s="33"/>
      <c r="M52" s="33"/>
      <c r="N52" s="33"/>
      <c r="O52" s="33"/>
      <c r="P52" s="130">
        <v>252</v>
      </c>
      <c r="Q52" s="130">
        <v>0</v>
      </c>
      <c r="AH52" s="609"/>
    </row>
    <row r="53" spans="1:34" ht="21.95" customHeight="1" x14ac:dyDescent="0.2">
      <c r="A53" s="467" t="s">
        <v>134</v>
      </c>
      <c r="B53" s="1" t="s">
        <v>221</v>
      </c>
      <c r="C53" s="12">
        <v>5</v>
      </c>
      <c r="D53" s="27">
        <v>263.62692307692311</v>
      </c>
      <c r="E53" s="2"/>
      <c r="F53" s="2">
        <v>258</v>
      </c>
      <c r="G53" s="2"/>
      <c r="H53" s="33">
        <v>273</v>
      </c>
      <c r="I53" s="33">
        <v>28</v>
      </c>
      <c r="J53" s="33">
        <v>276</v>
      </c>
      <c r="K53" s="33">
        <v>32</v>
      </c>
      <c r="L53" s="33">
        <v>272</v>
      </c>
      <c r="M53" s="33">
        <v>39</v>
      </c>
      <c r="N53" s="33">
        <v>283</v>
      </c>
      <c r="O53" s="33">
        <v>39</v>
      </c>
      <c r="P53" s="130">
        <v>285</v>
      </c>
      <c r="Q53" s="130">
        <v>39</v>
      </c>
      <c r="R53" s="247">
        <v>298</v>
      </c>
      <c r="S53" s="247" t="s">
        <v>875</v>
      </c>
      <c r="T53" s="247">
        <v>45</v>
      </c>
      <c r="U53" s="247" t="s">
        <v>874</v>
      </c>
      <c r="V53" s="311">
        <v>287</v>
      </c>
      <c r="W53" s="311" t="s">
        <v>875</v>
      </c>
      <c r="X53" s="311">
        <v>25</v>
      </c>
      <c r="Y53" s="311" t="s">
        <v>876</v>
      </c>
      <c r="Z53" s="426">
        <v>284</v>
      </c>
      <c r="AA53" s="426" t="s">
        <v>875</v>
      </c>
      <c r="AB53" s="426">
        <v>30</v>
      </c>
      <c r="AC53" s="426" t="s">
        <v>876</v>
      </c>
      <c r="AD53" s="466">
        <v>287</v>
      </c>
      <c r="AE53" s="466" t="s">
        <v>875</v>
      </c>
      <c r="AF53" s="466">
        <v>34</v>
      </c>
      <c r="AG53" s="466" t="s">
        <v>876</v>
      </c>
      <c r="AH53" s="609"/>
    </row>
    <row r="54" spans="1:34" ht="21.95" customHeight="1" x14ac:dyDescent="0.2">
      <c r="A54" s="469" t="s">
        <v>920</v>
      </c>
      <c r="B54" s="14" t="s">
        <v>221</v>
      </c>
      <c r="C54" s="330">
        <v>6</v>
      </c>
      <c r="D54" s="321"/>
      <c r="E54" s="311"/>
      <c r="F54" s="311"/>
      <c r="G54" s="311"/>
      <c r="H54" s="322"/>
      <c r="I54" s="322"/>
      <c r="J54" s="322"/>
      <c r="K54" s="322"/>
      <c r="L54" s="322"/>
      <c r="M54" s="322"/>
      <c r="N54" s="322"/>
      <c r="O54" s="322"/>
      <c r="P54" s="323"/>
      <c r="Q54" s="323"/>
      <c r="R54" s="314"/>
      <c r="S54" s="314"/>
      <c r="T54" s="314"/>
      <c r="U54" s="314"/>
      <c r="V54" s="311">
        <v>308</v>
      </c>
      <c r="W54" s="311" t="s">
        <v>875</v>
      </c>
      <c r="X54" s="311">
        <v>44</v>
      </c>
      <c r="Y54" s="311" t="s">
        <v>874</v>
      </c>
      <c r="Z54" s="426">
        <v>304</v>
      </c>
      <c r="AA54" s="426" t="s">
        <v>875</v>
      </c>
      <c r="AB54" s="426">
        <v>33</v>
      </c>
      <c r="AC54" s="426" t="s">
        <v>876</v>
      </c>
      <c r="AD54" s="466">
        <v>320</v>
      </c>
      <c r="AE54" s="466" t="s">
        <v>875</v>
      </c>
      <c r="AF54" s="466">
        <v>49</v>
      </c>
      <c r="AG54" s="466" t="s">
        <v>874</v>
      </c>
      <c r="AH54" s="609"/>
    </row>
    <row r="55" spans="1:34" ht="21.95" customHeight="1" x14ac:dyDescent="0.2">
      <c r="A55" s="467" t="s">
        <v>101</v>
      </c>
      <c r="B55" s="1" t="s">
        <v>221</v>
      </c>
      <c r="C55" s="12">
        <v>1</v>
      </c>
      <c r="D55" s="27">
        <v>256</v>
      </c>
      <c r="E55" s="2"/>
      <c r="F55" s="2">
        <v>260</v>
      </c>
      <c r="G55" s="2"/>
      <c r="H55" s="33">
        <v>271</v>
      </c>
      <c r="I55" s="33">
        <v>39</v>
      </c>
      <c r="J55" s="33">
        <v>270</v>
      </c>
      <c r="K55" s="33">
        <v>37</v>
      </c>
      <c r="L55" s="33">
        <v>275</v>
      </c>
      <c r="M55" s="33">
        <v>37</v>
      </c>
      <c r="N55" s="33">
        <v>270</v>
      </c>
      <c r="O55" s="33">
        <v>37</v>
      </c>
      <c r="P55" s="130">
        <v>266</v>
      </c>
      <c r="Q55" s="130">
        <v>40</v>
      </c>
      <c r="R55" s="247">
        <v>267</v>
      </c>
      <c r="S55" s="247" t="s">
        <v>875</v>
      </c>
      <c r="T55" s="247">
        <v>36</v>
      </c>
      <c r="U55" s="247" t="s">
        <v>874</v>
      </c>
      <c r="V55" s="311">
        <v>269</v>
      </c>
      <c r="W55" s="311" t="s">
        <v>875</v>
      </c>
      <c r="X55" s="311">
        <v>34</v>
      </c>
      <c r="Y55" s="311" t="s">
        <v>876</v>
      </c>
      <c r="Z55" s="426">
        <v>271</v>
      </c>
      <c r="AA55" s="426" t="s">
        <v>875</v>
      </c>
      <c r="AB55" s="426">
        <v>44</v>
      </c>
      <c r="AC55" s="426" t="s">
        <v>874</v>
      </c>
      <c r="AD55" s="466">
        <v>276</v>
      </c>
      <c r="AE55" s="466" t="s">
        <v>875</v>
      </c>
      <c r="AF55" s="466">
        <v>41</v>
      </c>
      <c r="AG55" s="466" t="s">
        <v>874</v>
      </c>
      <c r="AH55" s="609"/>
    </row>
    <row r="56" spans="1:34" ht="21.95" customHeight="1" x14ac:dyDescent="0.2">
      <c r="A56" s="467" t="s">
        <v>229</v>
      </c>
      <c r="B56" s="1" t="s">
        <v>221</v>
      </c>
      <c r="C56" s="12">
        <v>1</v>
      </c>
      <c r="D56" s="27"/>
      <c r="E56" s="2"/>
      <c r="F56" s="2"/>
      <c r="G56" s="2"/>
      <c r="H56" s="33" t="s">
        <v>256</v>
      </c>
      <c r="I56" s="33" t="s">
        <v>256</v>
      </c>
      <c r="J56" s="33" t="s">
        <v>256</v>
      </c>
      <c r="K56" s="33" t="s">
        <v>256</v>
      </c>
      <c r="L56" s="33">
        <v>269</v>
      </c>
      <c r="M56" s="33">
        <v>36</v>
      </c>
      <c r="N56" s="33">
        <v>250</v>
      </c>
      <c r="O56" s="33">
        <v>38</v>
      </c>
      <c r="P56" s="130">
        <v>259</v>
      </c>
      <c r="Q56" s="130">
        <v>25</v>
      </c>
      <c r="R56" s="247">
        <v>279</v>
      </c>
      <c r="S56" s="247" t="s">
        <v>875</v>
      </c>
      <c r="T56" s="247">
        <v>8</v>
      </c>
      <c r="U56" s="247" t="s">
        <v>876</v>
      </c>
      <c r="V56" s="311">
        <v>274</v>
      </c>
      <c r="W56" s="311" t="s">
        <v>875</v>
      </c>
      <c r="X56" s="311">
        <v>40</v>
      </c>
      <c r="Y56" s="311" t="s">
        <v>874</v>
      </c>
      <c r="Z56" s="426">
        <v>279</v>
      </c>
      <c r="AA56" s="426" t="s">
        <v>875</v>
      </c>
      <c r="AB56" s="426">
        <v>41</v>
      </c>
      <c r="AC56" s="426" t="s">
        <v>874</v>
      </c>
      <c r="AD56" s="466">
        <v>241</v>
      </c>
      <c r="AE56" s="466" t="s">
        <v>876</v>
      </c>
      <c r="AF56" s="466">
        <v>39</v>
      </c>
      <c r="AG56" s="466" t="s">
        <v>874</v>
      </c>
      <c r="AH56" s="609"/>
    </row>
    <row r="57" spans="1:34" ht="21.95" customHeight="1" x14ac:dyDescent="0.2">
      <c r="A57" s="467" t="s">
        <v>116</v>
      </c>
      <c r="B57" s="1" t="s">
        <v>221</v>
      </c>
      <c r="C57" s="12">
        <v>2</v>
      </c>
      <c r="D57" s="27">
        <v>259.35769230769228</v>
      </c>
      <c r="E57" s="2"/>
      <c r="F57" s="2">
        <v>262</v>
      </c>
      <c r="G57" s="2"/>
      <c r="H57" s="33">
        <v>269</v>
      </c>
      <c r="I57" s="33">
        <v>32</v>
      </c>
      <c r="J57" s="33">
        <v>269</v>
      </c>
      <c r="K57" s="33">
        <v>40</v>
      </c>
      <c r="L57" s="33">
        <v>261</v>
      </c>
      <c r="M57" s="33">
        <v>41</v>
      </c>
      <c r="N57" s="33">
        <v>271</v>
      </c>
      <c r="O57" s="33">
        <v>40</v>
      </c>
      <c r="P57" s="130">
        <v>257</v>
      </c>
      <c r="Q57" s="130">
        <v>35</v>
      </c>
      <c r="R57" s="247">
        <v>276</v>
      </c>
      <c r="S57" s="247" t="s">
        <v>875</v>
      </c>
      <c r="T57" s="247">
        <v>37</v>
      </c>
      <c r="U57" s="247" t="s">
        <v>874</v>
      </c>
      <c r="V57" s="311">
        <v>279</v>
      </c>
      <c r="W57" s="311" t="s">
        <v>875</v>
      </c>
      <c r="X57" s="311">
        <v>44</v>
      </c>
      <c r="Y57" s="311" t="s">
        <v>874</v>
      </c>
      <c r="Z57" s="426">
        <v>276</v>
      </c>
      <c r="AA57" s="426" t="s">
        <v>875</v>
      </c>
      <c r="AB57" s="426">
        <v>43</v>
      </c>
      <c r="AC57" s="426" t="s">
        <v>874</v>
      </c>
      <c r="AD57" s="466">
        <v>283</v>
      </c>
      <c r="AE57" s="466" t="s">
        <v>875</v>
      </c>
      <c r="AF57" s="466">
        <v>42</v>
      </c>
      <c r="AG57" s="466" t="s">
        <v>874</v>
      </c>
      <c r="AH57" s="609"/>
    </row>
    <row r="58" spans="1:34" ht="21.95" customHeight="1" x14ac:dyDescent="0.2">
      <c r="A58" s="467" t="s">
        <v>151</v>
      </c>
      <c r="B58" s="1" t="s">
        <v>221</v>
      </c>
      <c r="C58" s="12">
        <v>3</v>
      </c>
      <c r="D58" s="27">
        <v>245.42692307692309</v>
      </c>
      <c r="E58" s="2"/>
      <c r="F58" s="2">
        <v>266</v>
      </c>
      <c r="G58" s="2"/>
      <c r="H58" s="33">
        <v>276</v>
      </c>
      <c r="I58" s="33">
        <v>37</v>
      </c>
      <c r="J58" s="33">
        <v>253</v>
      </c>
      <c r="K58" s="33">
        <v>39</v>
      </c>
      <c r="L58" s="33">
        <v>266</v>
      </c>
      <c r="M58" s="33">
        <v>31</v>
      </c>
      <c r="N58" s="33">
        <v>248</v>
      </c>
      <c r="O58" s="33">
        <v>39</v>
      </c>
      <c r="P58" s="130">
        <v>268</v>
      </c>
      <c r="Q58" s="130">
        <v>35</v>
      </c>
      <c r="R58" s="247">
        <v>260</v>
      </c>
      <c r="S58" s="247" t="s">
        <v>874</v>
      </c>
      <c r="T58" s="247">
        <v>40</v>
      </c>
      <c r="U58" s="247" t="s">
        <v>874</v>
      </c>
      <c r="V58" s="311">
        <v>243</v>
      </c>
      <c r="W58" s="311" t="s">
        <v>876</v>
      </c>
      <c r="X58" s="311">
        <v>41</v>
      </c>
      <c r="Y58" s="311" t="s">
        <v>874</v>
      </c>
      <c r="Z58" s="426">
        <v>253</v>
      </c>
      <c r="AA58" s="426" t="s">
        <v>876</v>
      </c>
      <c r="AB58" s="426">
        <v>40</v>
      </c>
      <c r="AC58" s="426" t="s">
        <v>874</v>
      </c>
      <c r="AD58" s="466">
        <v>258</v>
      </c>
      <c r="AE58" s="466" t="s">
        <v>876</v>
      </c>
      <c r="AF58" s="466">
        <v>48</v>
      </c>
      <c r="AG58" s="466" t="s">
        <v>874</v>
      </c>
      <c r="AH58" s="609"/>
    </row>
    <row r="59" spans="1:34" ht="21.95" customHeight="1" x14ac:dyDescent="0.2">
      <c r="A59" s="467" t="s">
        <v>843</v>
      </c>
      <c r="B59" s="1" t="s">
        <v>221</v>
      </c>
      <c r="C59" s="12">
        <v>4</v>
      </c>
      <c r="D59" s="27">
        <v>211</v>
      </c>
      <c r="E59" s="2"/>
      <c r="F59" s="2">
        <v>222</v>
      </c>
      <c r="G59" s="2"/>
      <c r="H59" s="33"/>
      <c r="I59" s="33"/>
      <c r="J59" s="33"/>
      <c r="K59" s="33"/>
      <c r="L59" s="33"/>
      <c r="M59" s="33"/>
      <c r="N59" s="33"/>
      <c r="O59" s="33"/>
      <c r="P59" s="130"/>
      <c r="Q59" s="130"/>
      <c r="AH59" s="609"/>
    </row>
    <row r="60" spans="1:34" ht="21.95" customHeight="1" x14ac:dyDescent="0.2">
      <c r="A60" s="467" t="s">
        <v>199</v>
      </c>
      <c r="B60" s="1" t="s">
        <v>221</v>
      </c>
      <c r="C60" s="12">
        <v>3</v>
      </c>
      <c r="D60" s="27">
        <v>265</v>
      </c>
      <c r="E60" s="2"/>
      <c r="F60" s="2">
        <v>272</v>
      </c>
      <c r="G60" s="2"/>
      <c r="H60" s="33">
        <v>280</v>
      </c>
      <c r="I60" s="33">
        <v>36</v>
      </c>
      <c r="J60" s="33">
        <v>285</v>
      </c>
      <c r="K60" s="33">
        <v>34</v>
      </c>
      <c r="L60" s="33">
        <v>279</v>
      </c>
      <c r="M60" s="33">
        <v>36</v>
      </c>
      <c r="N60" s="33">
        <v>282</v>
      </c>
      <c r="O60" s="33">
        <v>38</v>
      </c>
      <c r="P60" s="130">
        <v>281</v>
      </c>
      <c r="Q60" s="130">
        <v>38</v>
      </c>
      <c r="R60" s="247">
        <v>283</v>
      </c>
      <c r="S60" s="247" t="s">
        <v>875</v>
      </c>
      <c r="T60" s="247">
        <v>41</v>
      </c>
      <c r="U60" s="247" t="s">
        <v>874</v>
      </c>
      <c r="V60" s="311">
        <v>296</v>
      </c>
      <c r="W60" s="311" t="s">
        <v>875</v>
      </c>
      <c r="X60" s="311">
        <v>43</v>
      </c>
      <c r="Y60" s="311" t="s">
        <v>874</v>
      </c>
      <c r="Z60" s="426">
        <v>286</v>
      </c>
      <c r="AA60" s="426" t="s">
        <v>875</v>
      </c>
      <c r="AB60" s="426">
        <v>40</v>
      </c>
      <c r="AC60" s="426" t="s">
        <v>874</v>
      </c>
      <c r="AD60" s="466">
        <v>293</v>
      </c>
      <c r="AE60" s="466" t="s">
        <v>875</v>
      </c>
      <c r="AF60" s="466">
        <v>42</v>
      </c>
      <c r="AG60" s="466" t="s">
        <v>874</v>
      </c>
      <c r="AH60" s="609"/>
    </row>
    <row r="61" spans="1:34" ht="21.95" customHeight="1" x14ac:dyDescent="0.2">
      <c r="A61" s="467" t="s">
        <v>174</v>
      </c>
      <c r="B61" s="1" t="s">
        <v>221</v>
      </c>
      <c r="C61" s="12">
        <v>2</v>
      </c>
      <c r="D61" s="27">
        <v>249.47307692307692</v>
      </c>
      <c r="E61" s="2"/>
      <c r="F61" s="2"/>
      <c r="G61" s="2"/>
      <c r="H61" s="33">
        <v>261</v>
      </c>
      <c r="I61" s="33">
        <v>32</v>
      </c>
      <c r="J61" s="33">
        <v>246</v>
      </c>
      <c r="K61" s="33">
        <v>38</v>
      </c>
      <c r="L61" s="33">
        <v>257</v>
      </c>
      <c r="M61" s="33">
        <v>41</v>
      </c>
      <c r="N61" s="33">
        <v>273</v>
      </c>
      <c r="O61" s="33">
        <v>37</v>
      </c>
      <c r="P61" s="130">
        <v>253</v>
      </c>
      <c r="Q61" s="130">
        <v>37</v>
      </c>
      <c r="R61" s="247">
        <v>261</v>
      </c>
      <c r="S61" s="247" t="s">
        <v>875</v>
      </c>
      <c r="T61" s="247">
        <v>41</v>
      </c>
      <c r="U61" s="247" t="s">
        <v>874</v>
      </c>
      <c r="V61" s="311">
        <v>280</v>
      </c>
      <c r="W61" s="311" t="s">
        <v>875</v>
      </c>
      <c r="X61" s="311">
        <v>38</v>
      </c>
      <c r="Y61" s="311" t="s">
        <v>874</v>
      </c>
      <c r="Z61" s="426">
        <v>273</v>
      </c>
      <c r="AA61" s="426" t="s">
        <v>875</v>
      </c>
      <c r="AB61" s="426">
        <v>41</v>
      </c>
      <c r="AC61" s="426" t="s">
        <v>874</v>
      </c>
      <c r="AD61" s="466">
        <v>261</v>
      </c>
      <c r="AE61" s="466" t="s">
        <v>876</v>
      </c>
      <c r="AF61" s="466">
        <v>42</v>
      </c>
      <c r="AG61" s="466" t="s">
        <v>874</v>
      </c>
      <c r="AH61" s="609"/>
    </row>
    <row r="62" spans="1:34" ht="21.95" customHeight="1" x14ac:dyDescent="0.2">
      <c r="A62" s="467" t="s">
        <v>84</v>
      </c>
      <c r="B62" s="1" t="s">
        <v>221</v>
      </c>
      <c r="C62" s="12">
        <v>2</v>
      </c>
      <c r="D62" s="27">
        <v>285.52307692307687</v>
      </c>
      <c r="E62" s="2"/>
      <c r="F62" s="2">
        <v>266</v>
      </c>
      <c r="G62" s="2"/>
      <c r="H62" s="33">
        <v>291</v>
      </c>
      <c r="I62" s="33">
        <v>19</v>
      </c>
      <c r="J62" s="33">
        <v>298</v>
      </c>
      <c r="K62" s="33">
        <v>19</v>
      </c>
      <c r="L62" s="33">
        <v>307</v>
      </c>
      <c r="M62" s="33">
        <v>28</v>
      </c>
      <c r="N62" s="33">
        <v>282</v>
      </c>
      <c r="O62" s="33">
        <v>37</v>
      </c>
      <c r="P62" s="130">
        <v>288</v>
      </c>
      <c r="Q62" s="130">
        <v>29</v>
      </c>
      <c r="R62" s="247">
        <v>286</v>
      </c>
      <c r="S62" s="247" t="s">
        <v>875</v>
      </c>
      <c r="T62" s="247">
        <v>35</v>
      </c>
      <c r="U62" s="247" t="s">
        <v>876</v>
      </c>
      <c r="V62" s="311">
        <v>289</v>
      </c>
      <c r="W62" s="311" t="s">
        <v>875</v>
      </c>
      <c r="X62" s="311">
        <v>34</v>
      </c>
      <c r="Y62" s="311" t="s">
        <v>876</v>
      </c>
      <c r="Z62" s="426">
        <v>299</v>
      </c>
      <c r="AA62" s="426" t="s">
        <v>875</v>
      </c>
      <c r="AB62" s="426">
        <v>41</v>
      </c>
      <c r="AC62" s="426" t="s">
        <v>874</v>
      </c>
      <c r="AD62" s="466">
        <v>294</v>
      </c>
      <c r="AE62" s="466" t="s">
        <v>875</v>
      </c>
      <c r="AF62" s="466">
        <v>35</v>
      </c>
      <c r="AG62" s="466" t="s">
        <v>876</v>
      </c>
      <c r="AH62" s="609"/>
    </row>
    <row r="63" spans="1:34" ht="21.95" customHeight="1" x14ac:dyDescent="0.2">
      <c r="A63" s="467" t="s">
        <v>185</v>
      </c>
      <c r="B63" s="1" t="s">
        <v>221</v>
      </c>
      <c r="C63" s="12">
        <v>1</v>
      </c>
      <c r="D63" s="27">
        <v>246.70384615384614</v>
      </c>
      <c r="E63" s="2"/>
      <c r="F63" s="2">
        <v>246</v>
      </c>
      <c r="G63" s="2"/>
      <c r="H63" s="33">
        <v>238</v>
      </c>
      <c r="I63" s="33">
        <v>34</v>
      </c>
      <c r="J63" s="33">
        <v>239</v>
      </c>
      <c r="K63" s="33">
        <v>17</v>
      </c>
      <c r="L63" s="33">
        <v>244</v>
      </c>
      <c r="M63" s="33">
        <v>39</v>
      </c>
      <c r="N63" s="33">
        <v>215</v>
      </c>
      <c r="O63" s="33">
        <v>35</v>
      </c>
      <c r="P63" s="130">
        <v>228</v>
      </c>
      <c r="Q63" s="130">
        <v>30</v>
      </c>
      <c r="R63" s="247">
        <v>235</v>
      </c>
      <c r="S63" s="247" t="s">
        <v>876</v>
      </c>
      <c r="T63" s="247">
        <v>25</v>
      </c>
      <c r="U63" s="247" t="s">
        <v>876</v>
      </c>
      <c r="V63" s="311">
        <v>226</v>
      </c>
      <c r="W63" s="311" t="s">
        <v>876</v>
      </c>
      <c r="X63" s="311">
        <v>35</v>
      </c>
      <c r="Y63" s="311" t="s">
        <v>876</v>
      </c>
      <c r="Z63" s="426">
        <v>248</v>
      </c>
      <c r="AA63" s="426" t="s">
        <v>876</v>
      </c>
      <c r="AB63" s="426">
        <v>13</v>
      </c>
      <c r="AC63" s="426" t="s">
        <v>876</v>
      </c>
      <c r="AD63" s="466">
        <v>259</v>
      </c>
      <c r="AE63" s="466" t="s">
        <v>876</v>
      </c>
      <c r="AF63" s="466">
        <v>42</v>
      </c>
      <c r="AG63" s="466" t="s">
        <v>874</v>
      </c>
      <c r="AH63" s="609"/>
    </row>
    <row r="64" spans="1:34" ht="21.95" customHeight="1" x14ac:dyDescent="0.2">
      <c r="A64" s="467" t="s">
        <v>161</v>
      </c>
      <c r="B64" s="1" t="s">
        <v>221</v>
      </c>
      <c r="C64" s="12">
        <v>4</v>
      </c>
      <c r="D64" s="27">
        <v>240.85000000000002</v>
      </c>
      <c r="E64" s="2"/>
      <c r="F64" s="2">
        <v>253</v>
      </c>
      <c r="G64" s="2"/>
      <c r="H64" s="33">
        <v>269</v>
      </c>
      <c r="I64" s="33">
        <v>42</v>
      </c>
      <c r="J64" s="33">
        <v>257</v>
      </c>
      <c r="K64" s="33">
        <v>30</v>
      </c>
      <c r="L64" s="33">
        <v>261</v>
      </c>
      <c r="M64" s="33">
        <v>37</v>
      </c>
      <c r="N64" s="33">
        <v>255</v>
      </c>
      <c r="O64" s="33">
        <v>39</v>
      </c>
      <c r="P64" s="130">
        <v>264</v>
      </c>
      <c r="Q64" s="130">
        <v>44</v>
      </c>
      <c r="R64" s="247">
        <v>262</v>
      </c>
      <c r="S64" s="247" t="s">
        <v>875</v>
      </c>
      <c r="T64" s="247">
        <v>40</v>
      </c>
      <c r="U64" s="247" t="s">
        <v>874</v>
      </c>
      <c r="V64" s="311">
        <v>262</v>
      </c>
      <c r="W64" s="311" t="s">
        <v>874</v>
      </c>
      <c r="X64" s="311">
        <v>43</v>
      </c>
      <c r="Y64" s="311" t="s">
        <v>874</v>
      </c>
      <c r="Z64" s="426">
        <v>265</v>
      </c>
      <c r="AA64" s="426" t="s">
        <v>874</v>
      </c>
      <c r="AB64" s="426">
        <v>33</v>
      </c>
      <c r="AC64" s="426" t="s">
        <v>876</v>
      </c>
      <c r="AD64" s="466">
        <v>272</v>
      </c>
      <c r="AE64" s="466" t="s">
        <v>875</v>
      </c>
      <c r="AF64" s="466">
        <v>39</v>
      </c>
      <c r="AG64" s="466" t="s">
        <v>874</v>
      </c>
      <c r="AH64" s="609"/>
    </row>
    <row r="65" spans="1:34" ht="21.95" customHeight="1" x14ac:dyDescent="0.2">
      <c r="A65" s="467" t="s">
        <v>114</v>
      </c>
      <c r="B65" s="1" t="s">
        <v>221</v>
      </c>
      <c r="C65" s="12">
        <v>3</v>
      </c>
      <c r="D65" s="27">
        <v>258.7961538461538</v>
      </c>
      <c r="E65" s="2"/>
      <c r="F65" s="2">
        <v>276</v>
      </c>
      <c r="G65" s="2"/>
      <c r="H65" s="33">
        <v>276</v>
      </c>
      <c r="I65" s="33">
        <v>32</v>
      </c>
      <c r="J65" s="33">
        <v>286</v>
      </c>
      <c r="K65" s="33">
        <v>37</v>
      </c>
      <c r="L65" s="33">
        <v>278</v>
      </c>
      <c r="M65" s="33">
        <v>38</v>
      </c>
      <c r="N65" s="33">
        <v>274</v>
      </c>
      <c r="O65" s="33">
        <v>38</v>
      </c>
      <c r="P65" s="130">
        <v>281</v>
      </c>
      <c r="Q65" s="130">
        <v>38</v>
      </c>
      <c r="R65" s="247">
        <v>279</v>
      </c>
      <c r="S65" s="247" t="s">
        <v>875</v>
      </c>
      <c r="T65" s="247">
        <v>46</v>
      </c>
      <c r="U65" s="247" t="s">
        <v>874</v>
      </c>
      <c r="V65" s="311">
        <v>288</v>
      </c>
      <c r="W65" s="311" t="s">
        <v>875</v>
      </c>
      <c r="X65" s="311">
        <v>39</v>
      </c>
      <c r="Y65" s="311" t="s">
        <v>874</v>
      </c>
      <c r="Z65" s="426">
        <v>287</v>
      </c>
      <c r="AA65" s="426" t="s">
        <v>875</v>
      </c>
      <c r="AB65" s="426">
        <v>40</v>
      </c>
      <c r="AC65" s="426" t="s">
        <v>874</v>
      </c>
      <c r="AD65" s="466">
        <v>286</v>
      </c>
      <c r="AE65" s="466" t="s">
        <v>875</v>
      </c>
      <c r="AF65" s="466">
        <v>34</v>
      </c>
      <c r="AG65" s="466" t="s">
        <v>876</v>
      </c>
      <c r="AH65" s="609"/>
    </row>
    <row r="66" spans="1:34" ht="21.95" customHeight="1" x14ac:dyDescent="0.2">
      <c r="A66" s="467" t="s">
        <v>128</v>
      </c>
      <c r="B66" s="1" t="s">
        <v>221</v>
      </c>
      <c r="C66" s="12">
        <v>5</v>
      </c>
      <c r="D66" s="27">
        <v>265.18076923076927</v>
      </c>
      <c r="E66" s="2"/>
      <c r="F66" s="2">
        <v>272</v>
      </c>
      <c r="G66" s="2"/>
      <c r="H66" s="33">
        <v>278</v>
      </c>
      <c r="I66" s="33">
        <v>37</v>
      </c>
      <c r="J66" s="33">
        <v>278</v>
      </c>
      <c r="K66" s="33">
        <v>29</v>
      </c>
      <c r="L66" s="33">
        <v>278</v>
      </c>
      <c r="M66" s="33">
        <v>38</v>
      </c>
      <c r="N66" s="33">
        <v>283</v>
      </c>
      <c r="O66" s="33">
        <v>41</v>
      </c>
      <c r="P66" s="130">
        <v>275</v>
      </c>
      <c r="Q66" s="130">
        <v>34</v>
      </c>
      <c r="R66" s="247">
        <v>272</v>
      </c>
      <c r="S66" s="247" t="s">
        <v>875</v>
      </c>
      <c r="T66" s="247">
        <v>49</v>
      </c>
      <c r="U66" s="247" t="s">
        <v>875</v>
      </c>
      <c r="V66" s="311">
        <v>276</v>
      </c>
      <c r="W66" s="311" t="s">
        <v>875</v>
      </c>
      <c r="X66" s="311">
        <v>37</v>
      </c>
      <c r="Y66" s="311" t="s">
        <v>874</v>
      </c>
      <c r="Z66" s="426">
        <v>280</v>
      </c>
      <c r="AA66" s="426" t="s">
        <v>875</v>
      </c>
      <c r="AB66" s="426">
        <v>32</v>
      </c>
      <c r="AC66" s="426" t="s">
        <v>876</v>
      </c>
      <c r="AD66" s="466">
        <v>271</v>
      </c>
      <c r="AE66" s="466" t="s">
        <v>875</v>
      </c>
      <c r="AF66" s="466">
        <v>22</v>
      </c>
      <c r="AG66" s="466" t="s">
        <v>876</v>
      </c>
      <c r="AH66" s="609"/>
    </row>
    <row r="67" spans="1:34" ht="21.95" customHeight="1" x14ac:dyDescent="0.2">
      <c r="A67" s="467" t="s">
        <v>159</v>
      </c>
      <c r="B67" s="1" t="s">
        <v>221</v>
      </c>
      <c r="C67" s="12">
        <v>3</v>
      </c>
      <c r="D67" s="27">
        <v>256.37692307692305</v>
      </c>
      <c r="E67" s="2"/>
      <c r="F67" s="2">
        <v>246</v>
      </c>
      <c r="G67" s="2"/>
      <c r="H67" s="33">
        <v>273</v>
      </c>
      <c r="I67" s="33">
        <v>37</v>
      </c>
      <c r="J67" s="33">
        <v>278</v>
      </c>
      <c r="K67" s="33">
        <v>36</v>
      </c>
      <c r="L67" s="33">
        <v>309</v>
      </c>
      <c r="M67" s="33">
        <v>31</v>
      </c>
      <c r="N67" s="33">
        <v>283</v>
      </c>
      <c r="O67" s="33">
        <v>37</v>
      </c>
      <c r="P67" s="130">
        <v>288</v>
      </c>
      <c r="Q67" s="130">
        <v>24</v>
      </c>
      <c r="R67" s="247">
        <v>287</v>
      </c>
      <c r="S67" s="247" t="s">
        <v>875</v>
      </c>
      <c r="T67" s="247">
        <v>42</v>
      </c>
      <c r="U67" s="247" t="s">
        <v>874</v>
      </c>
      <c r="V67" s="311">
        <v>298</v>
      </c>
      <c r="W67" s="311" t="s">
        <v>875</v>
      </c>
      <c r="X67" s="311">
        <v>37</v>
      </c>
      <c r="Y67" s="311" t="s">
        <v>874</v>
      </c>
      <c r="Z67" s="426">
        <v>294</v>
      </c>
      <c r="AA67" s="426" t="s">
        <v>875</v>
      </c>
      <c r="AB67" s="426">
        <v>33</v>
      </c>
      <c r="AC67" s="426" t="s">
        <v>876</v>
      </c>
      <c r="AD67" s="466">
        <v>316</v>
      </c>
      <c r="AE67" s="466" t="s">
        <v>875</v>
      </c>
      <c r="AF67" s="466">
        <v>29</v>
      </c>
      <c r="AG67" s="466" t="s">
        <v>876</v>
      </c>
      <c r="AH67" s="609"/>
    </row>
    <row r="68" spans="1:34" ht="21.95" customHeight="1" x14ac:dyDescent="0.2">
      <c r="A68" s="467" t="s">
        <v>59</v>
      </c>
      <c r="B68" s="1" t="s">
        <v>221</v>
      </c>
      <c r="C68" s="12">
        <v>1</v>
      </c>
      <c r="D68" s="27">
        <v>270.34230769230766</v>
      </c>
      <c r="E68" s="2"/>
      <c r="F68" s="2">
        <v>245</v>
      </c>
      <c r="G68" s="2"/>
      <c r="H68" s="33">
        <v>267</v>
      </c>
      <c r="I68" s="33">
        <v>26</v>
      </c>
      <c r="J68" s="33">
        <v>246</v>
      </c>
      <c r="K68" s="33">
        <v>27</v>
      </c>
      <c r="L68" s="33">
        <v>240</v>
      </c>
      <c r="M68" s="33">
        <v>28</v>
      </c>
      <c r="N68" s="33">
        <v>249</v>
      </c>
      <c r="O68" s="33">
        <v>41</v>
      </c>
      <c r="P68" s="130">
        <v>231</v>
      </c>
      <c r="Q68" s="130">
        <v>38</v>
      </c>
      <c r="R68" s="247">
        <v>247</v>
      </c>
      <c r="S68" s="247" t="s">
        <v>876</v>
      </c>
      <c r="T68" s="247">
        <v>48</v>
      </c>
      <c r="U68" s="247" t="s">
        <v>874</v>
      </c>
      <c r="V68" s="311">
        <v>243</v>
      </c>
      <c r="W68" s="311" t="s">
        <v>876</v>
      </c>
      <c r="X68" s="311">
        <v>44</v>
      </c>
      <c r="Y68" s="311" t="s">
        <v>874</v>
      </c>
      <c r="Z68" s="426">
        <v>245</v>
      </c>
      <c r="AA68" s="426" t="s">
        <v>876</v>
      </c>
      <c r="AB68" s="426">
        <v>41</v>
      </c>
      <c r="AC68" s="426" t="s">
        <v>874</v>
      </c>
      <c r="AD68" s="466">
        <v>245</v>
      </c>
      <c r="AE68" s="466" t="s">
        <v>876</v>
      </c>
      <c r="AF68" s="466">
        <v>42</v>
      </c>
      <c r="AG68" s="466" t="s">
        <v>874</v>
      </c>
      <c r="AH68" s="609"/>
    </row>
    <row r="69" spans="1:34" ht="21.95" customHeight="1" x14ac:dyDescent="0.2">
      <c r="A69" s="467" t="s">
        <v>132</v>
      </c>
      <c r="B69" s="1" t="s">
        <v>221</v>
      </c>
      <c r="C69" s="12">
        <v>3</v>
      </c>
      <c r="D69" s="27">
        <v>285.78076923076924</v>
      </c>
      <c r="E69" s="2"/>
      <c r="F69" s="2">
        <v>276</v>
      </c>
      <c r="G69" s="2"/>
      <c r="H69" s="33">
        <v>290</v>
      </c>
      <c r="I69" s="33">
        <v>35</v>
      </c>
      <c r="J69" s="33">
        <v>284</v>
      </c>
      <c r="K69" s="33">
        <v>40</v>
      </c>
      <c r="L69" s="33">
        <v>280</v>
      </c>
      <c r="M69" s="33">
        <v>38</v>
      </c>
      <c r="N69" s="33">
        <v>271</v>
      </c>
      <c r="O69" s="33">
        <v>33</v>
      </c>
      <c r="P69" s="130">
        <v>274</v>
      </c>
      <c r="Q69" s="130">
        <v>36</v>
      </c>
      <c r="R69" s="247">
        <v>279</v>
      </c>
      <c r="S69" s="247" t="s">
        <v>875</v>
      </c>
      <c r="T69" s="247">
        <v>41</v>
      </c>
      <c r="U69" s="247" t="s">
        <v>874</v>
      </c>
      <c r="V69" s="311">
        <v>293</v>
      </c>
      <c r="W69" s="311" t="s">
        <v>875</v>
      </c>
      <c r="X69" s="311">
        <v>34</v>
      </c>
      <c r="Y69" s="311" t="s">
        <v>876</v>
      </c>
      <c r="Z69" s="426">
        <v>291</v>
      </c>
      <c r="AA69" s="426" t="s">
        <v>875</v>
      </c>
      <c r="AB69" s="426">
        <v>34</v>
      </c>
      <c r="AC69" s="426" t="s">
        <v>876</v>
      </c>
      <c r="AD69" s="466">
        <v>295</v>
      </c>
      <c r="AE69" s="466" t="s">
        <v>875</v>
      </c>
      <c r="AF69" s="466">
        <v>34</v>
      </c>
      <c r="AG69" s="466" t="s">
        <v>876</v>
      </c>
      <c r="AH69" s="609"/>
    </row>
    <row r="70" spans="1:34" ht="21.95" customHeight="1" x14ac:dyDescent="0.2">
      <c r="A70" s="467" t="s">
        <v>178</v>
      </c>
      <c r="B70" s="1" t="s">
        <v>221</v>
      </c>
      <c r="C70" s="12">
        <v>5</v>
      </c>
      <c r="D70" s="27">
        <v>263.38461538461536</v>
      </c>
      <c r="E70" s="2"/>
      <c r="F70" s="2">
        <v>271</v>
      </c>
      <c r="G70" s="2"/>
      <c r="H70" s="33">
        <v>276</v>
      </c>
      <c r="I70" s="33">
        <v>33</v>
      </c>
      <c r="J70" s="33">
        <v>274</v>
      </c>
      <c r="K70" s="33">
        <v>36</v>
      </c>
      <c r="L70" s="33">
        <v>271</v>
      </c>
      <c r="M70" s="33">
        <v>38</v>
      </c>
      <c r="N70" s="33">
        <v>271</v>
      </c>
      <c r="O70" s="33">
        <v>40</v>
      </c>
      <c r="P70" s="130">
        <v>270</v>
      </c>
      <c r="Q70" s="130">
        <v>33</v>
      </c>
      <c r="R70" s="247">
        <v>263</v>
      </c>
      <c r="S70" s="247" t="s">
        <v>875</v>
      </c>
      <c r="T70" s="247">
        <v>44</v>
      </c>
      <c r="U70" s="247" t="s">
        <v>874</v>
      </c>
      <c r="V70" s="311">
        <v>268</v>
      </c>
      <c r="W70" s="311" t="s">
        <v>875</v>
      </c>
      <c r="X70" s="311">
        <v>39</v>
      </c>
      <c r="Y70" s="311" t="s">
        <v>874</v>
      </c>
      <c r="Z70" s="426">
        <v>273</v>
      </c>
      <c r="AA70" s="426" t="s">
        <v>875</v>
      </c>
      <c r="AB70" s="426">
        <v>46</v>
      </c>
      <c r="AC70" s="426" t="s">
        <v>874</v>
      </c>
      <c r="AD70" s="466">
        <v>269</v>
      </c>
      <c r="AE70" s="466" t="s">
        <v>875</v>
      </c>
      <c r="AF70" s="466">
        <v>39</v>
      </c>
      <c r="AG70" s="466" t="s">
        <v>874</v>
      </c>
      <c r="AH70" s="609"/>
    </row>
    <row r="71" spans="1:34" ht="21.95" customHeight="1" x14ac:dyDescent="0.2">
      <c r="A71" s="467" t="s">
        <v>75</v>
      </c>
      <c r="B71" s="1" t="s">
        <v>221</v>
      </c>
      <c r="C71" s="12">
        <v>1</v>
      </c>
      <c r="D71" s="27">
        <v>262.03076923076924</v>
      </c>
      <c r="E71" s="2"/>
      <c r="F71" s="2">
        <v>249</v>
      </c>
      <c r="G71" s="2"/>
      <c r="H71" s="33">
        <v>247</v>
      </c>
      <c r="I71" s="33">
        <v>29</v>
      </c>
      <c r="J71" s="33">
        <v>260</v>
      </c>
      <c r="K71" s="33">
        <v>34</v>
      </c>
      <c r="L71" s="33">
        <v>257</v>
      </c>
      <c r="M71" s="33">
        <v>39</v>
      </c>
      <c r="N71" s="33">
        <v>244</v>
      </c>
      <c r="O71" s="33">
        <v>38</v>
      </c>
      <c r="P71" s="130">
        <v>264</v>
      </c>
      <c r="Q71" s="130">
        <v>39</v>
      </c>
      <c r="R71" s="247">
        <v>265</v>
      </c>
      <c r="S71" s="247" t="s">
        <v>875</v>
      </c>
      <c r="T71" s="247">
        <v>40</v>
      </c>
      <c r="U71" s="247" t="s">
        <v>874</v>
      </c>
      <c r="V71" s="311">
        <v>250</v>
      </c>
      <c r="W71" s="311" t="s">
        <v>876</v>
      </c>
      <c r="X71" s="311">
        <v>41</v>
      </c>
      <c r="Y71" s="311" t="s">
        <v>874</v>
      </c>
      <c r="Z71" s="426">
        <v>248</v>
      </c>
      <c r="AA71" s="426" t="s">
        <v>876</v>
      </c>
      <c r="AB71" s="426">
        <v>41</v>
      </c>
      <c r="AC71" s="426" t="s">
        <v>874</v>
      </c>
      <c r="AD71" s="466">
        <v>268</v>
      </c>
      <c r="AE71" s="466" t="s">
        <v>874</v>
      </c>
      <c r="AF71" s="466">
        <v>42</v>
      </c>
      <c r="AG71" s="466" t="s">
        <v>874</v>
      </c>
      <c r="AH71" s="609"/>
    </row>
    <row r="72" spans="1:34" ht="21.95" customHeight="1" x14ac:dyDescent="0.2">
      <c r="A72" s="467" t="s">
        <v>25</v>
      </c>
      <c r="B72" s="1" t="s">
        <v>221</v>
      </c>
      <c r="C72" s="12">
        <v>3</v>
      </c>
      <c r="D72" s="27">
        <v>259.69615384615383</v>
      </c>
      <c r="E72" s="2"/>
      <c r="F72" s="2">
        <v>258</v>
      </c>
      <c r="G72" s="2"/>
      <c r="H72" s="33">
        <v>275</v>
      </c>
      <c r="I72" s="33">
        <v>35</v>
      </c>
      <c r="J72" s="33">
        <v>275</v>
      </c>
      <c r="K72" s="33">
        <v>39</v>
      </c>
      <c r="L72" s="33">
        <v>254</v>
      </c>
      <c r="M72" s="33">
        <v>39</v>
      </c>
      <c r="N72" s="33">
        <v>269</v>
      </c>
      <c r="O72" s="33">
        <v>38</v>
      </c>
      <c r="P72" s="130">
        <v>267</v>
      </c>
      <c r="Q72" s="130">
        <v>42</v>
      </c>
      <c r="R72" s="247">
        <v>267</v>
      </c>
      <c r="S72" s="247" t="s">
        <v>875</v>
      </c>
      <c r="T72" s="247">
        <v>35</v>
      </c>
      <c r="U72" s="247" t="s">
        <v>876</v>
      </c>
      <c r="V72" s="311">
        <v>275</v>
      </c>
      <c r="W72" s="311" t="s">
        <v>875</v>
      </c>
      <c r="X72" s="311">
        <v>31</v>
      </c>
      <c r="Y72" s="311" t="s">
        <v>876</v>
      </c>
      <c r="Z72" s="426">
        <v>268</v>
      </c>
      <c r="AA72" s="426" t="s">
        <v>875</v>
      </c>
      <c r="AB72" s="426">
        <v>37</v>
      </c>
      <c r="AC72" s="426" t="s">
        <v>874</v>
      </c>
      <c r="AD72" s="466">
        <v>280</v>
      </c>
      <c r="AE72" s="466" t="s">
        <v>875</v>
      </c>
      <c r="AF72" s="466">
        <v>34</v>
      </c>
      <c r="AG72" s="466" t="s">
        <v>876</v>
      </c>
      <c r="AH72" s="609"/>
    </row>
    <row r="73" spans="1:34" ht="21.95" customHeight="1" x14ac:dyDescent="0.2">
      <c r="A73" s="470" t="s">
        <v>878</v>
      </c>
      <c r="B73" s="1" t="s">
        <v>221</v>
      </c>
      <c r="C73" s="255">
        <v>6</v>
      </c>
      <c r="D73" s="252"/>
      <c r="E73" s="250"/>
      <c r="F73" s="250"/>
      <c r="G73" s="250"/>
      <c r="H73" s="253"/>
      <c r="I73" s="253"/>
      <c r="J73" s="253"/>
      <c r="K73" s="253"/>
      <c r="L73" s="253"/>
      <c r="M73" s="253"/>
      <c r="N73" s="253"/>
      <c r="O73" s="253"/>
      <c r="P73" s="254"/>
      <c r="Q73" s="254"/>
      <c r="R73" s="247">
        <v>249</v>
      </c>
      <c r="S73" s="247" t="s">
        <v>876</v>
      </c>
      <c r="T73" s="247">
        <v>37</v>
      </c>
      <c r="U73" s="247" t="s">
        <v>874</v>
      </c>
      <c r="V73" s="311">
        <v>242</v>
      </c>
      <c r="W73" s="311" t="s">
        <v>876</v>
      </c>
      <c r="X73" s="311">
        <v>41</v>
      </c>
      <c r="Y73" s="311" t="s">
        <v>874</v>
      </c>
      <c r="Z73" s="426">
        <v>262</v>
      </c>
      <c r="AA73" s="426" t="s">
        <v>874</v>
      </c>
      <c r="AB73" s="426">
        <v>40</v>
      </c>
      <c r="AC73" s="426" t="s">
        <v>874</v>
      </c>
      <c r="AD73" s="466">
        <v>270</v>
      </c>
      <c r="AE73" s="466" t="s">
        <v>875</v>
      </c>
      <c r="AF73" s="466">
        <v>39</v>
      </c>
      <c r="AG73" s="466" t="s">
        <v>874</v>
      </c>
      <c r="AH73" s="609"/>
    </row>
    <row r="74" spans="1:34" ht="21.95" customHeight="1" x14ac:dyDescent="0.2">
      <c r="A74" s="467" t="s">
        <v>94</v>
      </c>
      <c r="B74" s="1" t="s">
        <v>221</v>
      </c>
      <c r="C74" s="12">
        <v>6</v>
      </c>
      <c r="D74" s="27">
        <v>233.09615384615384</v>
      </c>
      <c r="E74" s="2"/>
      <c r="F74" s="2">
        <v>238</v>
      </c>
      <c r="G74" s="2"/>
      <c r="H74" s="33">
        <v>269</v>
      </c>
      <c r="I74" s="33">
        <v>14</v>
      </c>
      <c r="J74" s="33">
        <v>257</v>
      </c>
      <c r="K74" s="33">
        <v>40</v>
      </c>
      <c r="L74" s="33" t="s">
        <v>256</v>
      </c>
      <c r="M74" s="33"/>
      <c r="N74" s="33">
        <v>231</v>
      </c>
      <c r="O74" s="33">
        <v>59</v>
      </c>
      <c r="P74" s="130">
        <v>232</v>
      </c>
      <c r="Q74" s="130">
        <v>51</v>
      </c>
      <c r="Z74" s="426">
        <v>277</v>
      </c>
      <c r="AA74" s="426" t="s">
        <v>875</v>
      </c>
      <c r="AB74" s="426">
        <v>51</v>
      </c>
      <c r="AC74" s="426" t="s">
        <v>875</v>
      </c>
      <c r="AD74" s="466">
        <v>257</v>
      </c>
      <c r="AE74" s="466" t="s">
        <v>876</v>
      </c>
      <c r="AF74" s="466">
        <v>43</v>
      </c>
      <c r="AG74" s="466" t="s">
        <v>874</v>
      </c>
      <c r="AH74" s="609"/>
    </row>
    <row r="75" spans="1:34" ht="21.95" customHeight="1" x14ac:dyDescent="0.2">
      <c r="A75" s="467" t="s">
        <v>166</v>
      </c>
      <c r="B75" s="1" t="s">
        <v>221</v>
      </c>
      <c r="C75" s="12">
        <v>3</v>
      </c>
      <c r="D75" s="27">
        <v>235.58461538461543</v>
      </c>
      <c r="E75" s="2"/>
      <c r="F75" s="2">
        <v>233</v>
      </c>
      <c r="G75" s="2"/>
      <c r="H75" s="33">
        <v>240</v>
      </c>
      <c r="I75" s="33">
        <v>28</v>
      </c>
      <c r="J75" s="33">
        <v>254</v>
      </c>
      <c r="K75" s="33">
        <v>39</v>
      </c>
      <c r="L75" s="33">
        <v>278</v>
      </c>
      <c r="M75" s="33">
        <v>49</v>
      </c>
      <c r="N75" s="33">
        <v>265</v>
      </c>
      <c r="O75" s="33">
        <v>41</v>
      </c>
      <c r="P75" s="130">
        <v>251</v>
      </c>
      <c r="Q75" s="130">
        <v>36</v>
      </c>
      <c r="R75" s="247">
        <v>237</v>
      </c>
      <c r="S75" s="247" t="s">
        <v>876</v>
      </c>
      <c r="T75" s="247">
        <v>38</v>
      </c>
      <c r="U75" s="247" t="s">
        <v>874</v>
      </c>
      <c r="V75" s="311">
        <v>268</v>
      </c>
      <c r="W75" s="311" t="s">
        <v>875</v>
      </c>
      <c r="X75" s="311">
        <v>45</v>
      </c>
      <c r="Y75" s="311" t="s">
        <v>874</v>
      </c>
      <c r="Z75" s="426">
        <v>289</v>
      </c>
      <c r="AA75" s="426" t="s">
        <v>875</v>
      </c>
      <c r="AB75" s="426">
        <v>44</v>
      </c>
      <c r="AC75" s="426" t="s">
        <v>874</v>
      </c>
      <c r="AD75" s="466">
        <v>284</v>
      </c>
      <c r="AE75" s="466" t="s">
        <v>875</v>
      </c>
      <c r="AF75" s="466">
        <v>48</v>
      </c>
      <c r="AG75" s="466" t="s">
        <v>874</v>
      </c>
      <c r="AH75" s="609"/>
    </row>
    <row r="76" spans="1:34" ht="21.95" customHeight="1" x14ac:dyDescent="0.2">
      <c r="A76" s="467" t="s">
        <v>203</v>
      </c>
      <c r="B76" s="1" t="s">
        <v>221</v>
      </c>
      <c r="C76" s="12">
        <v>1</v>
      </c>
      <c r="D76" s="27">
        <v>238.84615384615384</v>
      </c>
      <c r="E76" s="2"/>
      <c r="F76" s="2">
        <v>229</v>
      </c>
      <c r="G76" s="2"/>
      <c r="H76" s="33">
        <v>269</v>
      </c>
      <c r="I76" s="33">
        <v>31</v>
      </c>
      <c r="J76" s="33">
        <v>248</v>
      </c>
      <c r="K76" s="33">
        <v>43</v>
      </c>
      <c r="L76" s="33">
        <v>253</v>
      </c>
      <c r="M76" s="33">
        <v>39</v>
      </c>
      <c r="N76" s="33">
        <v>255</v>
      </c>
      <c r="O76" s="33">
        <v>39</v>
      </c>
      <c r="P76" s="130">
        <v>255</v>
      </c>
      <c r="Q76" s="130">
        <v>39</v>
      </c>
      <c r="R76" s="247">
        <v>268</v>
      </c>
      <c r="S76" s="247" t="s">
        <v>875</v>
      </c>
      <c r="T76" s="247">
        <v>31</v>
      </c>
      <c r="U76" s="247" t="s">
        <v>876</v>
      </c>
      <c r="V76" s="311">
        <v>258</v>
      </c>
      <c r="W76" s="311" t="s">
        <v>876</v>
      </c>
      <c r="X76" s="311">
        <v>44</v>
      </c>
      <c r="Y76" s="311" t="s">
        <v>874</v>
      </c>
      <c r="Z76" s="426">
        <v>264</v>
      </c>
      <c r="AA76" s="426" t="s">
        <v>874</v>
      </c>
      <c r="AB76" s="426">
        <v>37</v>
      </c>
      <c r="AC76" s="426" t="s">
        <v>874</v>
      </c>
      <c r="AD76" s="466">
        <v>282</v>
      </c>
      <c r="AE76" s="466" t="s">
        <v>875</v>
      </c>
      <c r="AF76" s="466">
        <v>34</v>
      </c>
      <c r="AG76" s="466" t="s">
        <v>876</v>
      </c>
      <c r="AH76" s="609"/>
    </row>
    <row r="77" spans="1:34" ht="21.95" customHeight="1" x14ac:dyDescent="0.2">
      <c r="A77" s="126" t="s">
        <v>922</v>
      </c>
      <c r="B77" s="14" t="s">
        <v>221</v>
      </c>
      <c r="C77" s="330">
        <v>2</v>
      </c>
      <c r="D77" s="321"/>
      <c r="E77" s="311"/>
      <c r="F77" s="311"/>
      <c r="G77" s="311"/>
      <c r="H77" s="322"/>
      <c r="I77" s="322"/>
      <c r="J77" s="322"/>
      <c r="K77" s="322"/>
      <c r="L77" s="322"/>
      <c r="M77" s="322"/>
      <c r="N77" s="322"/>
      <c r="O77" s="322"/>
      <c r="P77" s="323"/>
      <c r="Q77" s="323"/>
      <c r="R77" s="314"/>
      <c r="S77" s="314"/>
      <c r="T77" s="314"/>
      <c r="U77" s="314"/>
      <c r="V77" s="311">
        <v>261</v>
      </c>
      <c r="W77" s="311" t="s">
        <v>874</v>
      </c>
      <c r="X77" s="311">
        <v>33</v>
      </c>
      <c r="Y77" s="311" t="s">
        <v>876</v>
      </c>
      <c r="Z77" s="426">
        <v>256</v>
      </c>
      <c r="AA77" s="426" t="s">
        <v>876</v>
      </c>
      <c r="AB77" s="426">
        <v>36</v>
      </c>
      <c r="AC77" s="426" t="s">
        <v>876</v>
      </c>
      <c r="AD77" s="466">
        <v>251</v>
      </c>
      <c r="AE77" s="466" t="s">
        <v>876</v>
      </c>
      <c r="AF77" s="466">
        <v>48</v>
      </c>
      <c r="AG77" s="466" t="s">
        <v>874</v>
      </c>
      <c r="AH77" s="609"/>
    </row>
    <row r="78" spans="1:34" ht="21.95" customHeight="1" x14ac:dyDescent="0.2">
      <c r="A78" s="467" t="s">
        <v>81</v>
      </c>
      <c r="B78" s="1" t="s">
        <v>221</v>
      </c>
      <c r="C78" s="12">
        <v>4</v>
      </c>
      <c r="D78" s="27"/>
      <c r="E78" s="2"/>
      <c r="F78" s="2">
        <v>229</v>
      </c>
      <c r="G78" s="2"/>
      <c r="H78" s="33">
        <v>236</v>
      </c>
      <c r="I78" s="33">
        <v>37</v>
      </c>
      <c r="J78" s="33">
        <v>240</v>
      </c>
      <c r="K78" s="33">
        <v>40</v>
      </c>
      <c r="L78" s="33">
        <v>258</v>
      </c>
      <c r="M78" s="33">
        <v>41</v>
      </c>
      <c r="N78" s="33">
        <v>227</v>
      </c>
      <c r="O78" s="33">
        <v>39</v>
      </c>
      <c r="P78" s="33" t="s">
        <v>256</v>
      </c>
      <c r="Q78" s="33" t="s">
        <v>256</v>
      </c>
      <c r="R78" s="247">
        <v>231</v>
      </c>
      <c r="S78" s="247" t="s">
        <v>876</v>
      </c>
      <c r="T78" s="247">
        <v>0</v>
      </c>
      <c r="U78" s="247" t="s">
        <v>876</v>
      </c>
      <c r="AH78" s="609"/>
    </row>
    <row r="79" spans="1:34" ht="21.95" customHeight="1" x14ac:dyDescent="0.2">
      <c r="A79" s="467" t="s">
        <v>168</v>
      </c>
      <c r="B79" s="1" t="s">
        <v>221</v>
      </c>
      <c r="C79" s="12">
        <v>6</v>
      </c>
      <c r="D79" s="27">
        <v>256.1653846153846</v>
      </c>
      <c r="E79" s="2"/>
      <c r="F79" s="2">
        <v>239</v>
      </c>
      <c r="G79" s="2"/>
      <c r="H79" s="33">
        <v>250</v>
      </c>
      <c r="I79" s="33">
        <v>30</v>
      </c>
      <c r="J79" s="33">
        <v>238</v>
      </c>
      <c r="K79" s="33">
        <v>28</v>
      </c>
      <c r="L79" s="33">
        <v>237</v>
      </c>
      <c r="M79" s="33">
        <v>28</v>
      </c>
      <c r="N79" s="33">
        <v>256</v>
      </c>
      <c r="O79" s="33">
        <v>52</v>
      </c>
      <c r="P79" s="130">
        <v>234</v>
      </c>
      <c r="Q79" s="130">
        <v>28</v>
      </c>
      <c r="R79" s="247">
        <v>244</v>
      </c>
      <c r="S79" s="247" t="s">
        <v>876</v>
      </c>
      <c r="T79" s="247">
        <v>42</v>
      </c>
      <c r="U79" s="247" t="s">
        <v>874</v>
      </c>
      <c r="V79" s="311">
        <v>242</v>
      </c>
      <c r="W79" s="311" t="s">
        <v>876</v>
      </c>
      <c r="X79" s="311">
        <v>45</v>
      </c>
      <c r="Y79" s="311" t="s">
        <v>874</v>
      </c>
      <c r="Z79" s="426">
        <v>228</v>
      </c>
      <c r="AA79" s="426" t="s">
        <v>876</v>
      </c>
      <c r="AB79" s="426">
        <v>27</v>
      </c>
      <c r="AC79" s="426" t="s">
        <v>876</v>
      </c>
      <c r="AD79" s="466">
        <v>229</v>
      </c>
      <c r="AE79" s="466" t="s">
        <v>876</v>
      </c>
      <c r="AF79" s="466">
        <v>42</v>
      </c>
      <c r="AG79" s="466" t="s">
        <v>874</v>
      </c>
      <c r="AH79" s="609"/>
    </row>
    <row r="80" spans="1:34" ht="21.95" customHeight="1" x14ac:dyDescent="0.2">
      <c r="A80" s="467" t="s">
        <v>230</v>
      </c>
      <c r="B80" s="1" t="s">
        <v>221</v>
      </c>
      <c r="C80" s="12">
        <v>2</v>
      </c>
      <c r="D80" s="27"/>
      <c r="E80" s="2"/>
      <c r="F80" s="2"/>
      <c r="G80" s="2"/>
      <c r="H80" s="33" t="s">
        <v>256</v>
      </c>
      <c r="I80" s="33" t="s">
        <v>256</v>
      </c>
      <c r="J80" s="33">
        <v>291</v>
      </c>
      <c r="K80" s="33">
        <v>37</v>
      </c>
      <c r="L80" s="33">
        <v>286</v>
      </c>
      <c r="M80" s="33">
        <v>43</v>
      </c>
      <c r="N80" s="33">
        <v>289</v>
      </c>
      <c r="O80" s="33">
        <v>42</v>
      </c>
      <c r="P80" s="130">
        <v>312</v>
      </c>
      <c r="Q80" s="130">
        <v>32</v>
      </c>
      <c r="R80" s="247">
        <v>317</v>
      </c>
      <c r="S80" s="247" t="s">
        <v>875</v>
      </c>
      <c r="T80" s="247">
        <v>34</v>
      </c>
      <c r="U80" s="247" t="s">
        <v>876</v>
      </c>
      <c r="V80" s="311">
        <v>308</v>
      </c>
      <c r="W80" s="311" t="s">
        <v>875</v>
      </c>
      <c r="X80" s="311">
        <v>29</v>
      </c>
      <c r="Y80" s="311" t="s">
        <v>876</v>
      </c>
      <c r="Z80" s="426">
        <v>307</v>
      </c>
      <c r="AA80" s="426" t="s">
        <v>875</v>
      </c>
      <c r="AB80" s="426">
        <v>31</v>
      </c>
      <c r="AC80" s="426" t="s">
        <v>876</v>
      </c>
      <c r="AD80" s="466">
        <v>321</v>
      </c>
      <c r="AE80" s="466" t="s">
        <v>875</v>
      </c>
      <c r="AF80" s="466">
        <v>22</v>
      </c>
      <c r="AG80" s="466" t="s">
        <v>876</v>
      </c>
      <c r="AH80" s="609"/>
    </row>
    <row r="81" spans="1:34" ht="21.95" customHeight="1" x14ac:dyDescent="0.2">
      <c r="A81" s="467" t="s">
        <v>42</v>
      </c>
      <c r="B81" s="1" t="s">
        <v>221</v>
      </c>
      <c r="C81" s="12">
        <v>6</v>
      </c>
      <c r="D81" s="27">
        <v>258.10769230769233</v>
      </c>
      <c r="E81" s="2"/>
      <c r="F81" s="2">
        <v>276</v>
      </c>
      <c r="G81" s="2"/>
      <c r="H81" s="33">
        <v>287</v>
      </c>
      <c r="I81" s="33">
        <v>30</v>
      </c>
      <c r="J81" s="33">
        <v>273</v>
      </c>
      <c r="K81" s="33">
        <v>44</v>
      </c>
      <c r="L81" s="33">
        <v>278</v>
      </c>
      <c r="M81" s="33">
        <v>43</v>
      </c>
      <c r="N81" s="33">
        <v>281</v>
      </c>
      <c r="O81" s="33">
        <v>39</v>
      </c>
      <c r="P81" s="130">
        <v>281</v>
      </c>
      <c r="Q81" s="130">
        <v>32</v>
      </c>
      <c r="R81" s="247">
        <v>270</v>
      </c>
      <c r="S81" s="247" t="s">
        <v>875</v>
      </c>
      <c r="T81" s="247">
        <v>33</v>
      </c>
      <c r="U81" s="247" t="s">
        <v>876</v>
      </c>
      <c r="V81" s="311">
        <v>299</v>
      </c>
      <c r="W81" s="311" t="s">
        <v>875</v>
      </c>
      <c r="X81" s="311">
        <v>34</v>
      </c>
      <c r="Y81" s="311" t="s">
        <v>876</v>
      </c>
      <c r="Z81" s="426">
        <v>291</v>
      </c>
      <c r="AA81" s="426" t="s">
        <v>875</v>
      </c>
      <c r="AB81" s="426">
        <v>33</v>
      </c>
      <c r="AC81" s="426" t="s">
        <v>876</v>
      </c>
      <c r="AD81" s="466">
        <v>287</v>
      </c>
      <c r="AE81" s="466" t="s">
        <v>875</v>
      </c>
      <c r="AF81" s="466">
        <v>36</v>
      </c>
      <c r="AG81" s="466" t="s">
        <v>876</v>
      </c>
      <c r="AH81" s="609"/>
    </row>
    <row r="82" spans="1:34" ht="21.95" customHeight="1" x14ac:dyDescent="0.2">
      <c r="A82" s="469" t="s">
        <v>924</v>
      </c>
      <c r="B82" s="14" t="s">
        <v>221</v>
      </c>
      <c r="C82" s="330">
        <v>3</v>
      </c>
      <c r="D82" s="321"/>
      <c r="E82" s="311"/>
      <c r="F82" s="311"/>
      <c r="G82" s="311"/>
      <c r="H82" s="322"/>
      <c r="I82" s="322"/>
      <c r="J82" s="322"/>
      <c r="K82" s="322"/>
      <c r="L82" s="322"/>
      <c r="M82" s="322"/>
      <c r="N82" s="322"/>
      <c r="O82" s="322"/>
      <c r="P82" s="323"/>
      <c r="Q82" s="323"/>
      <c r="R82" s="314"/>
      <c r="S82" s="314"/>
      <c r="T82" s="314"/>
      <c r="U82" s="314"/>
      <c r="V82" s="311">
        <v>281</v>
      </c>
      <c r="W82" s="311" t="s">
        <v>875</v>
      </c>
      <c r="X82" s="311">
        <v>43</v>
      </c>
      <c r="Y82" s="311" t="s">
        <v>874</v>
      </c>
      <c r="Z82" s="426">
        <v>242</v>
      </c>
      <c r="AA82" s="426" t="s">
        <v>876</v>
      </c>
      <c r="AB82" s="426">
        <v>46</v>
      </c>
      <c r="AC82" s="426" t="s">
        <v>874</v>
      </c>
      <c r="AD82" s="466">
        <v>269</v>
      </c>
      <c r="AE82" s="466" t="s">
        <v>875</v>
      </c>
      <c r="AF82" s="466">
        <v>50</v>
      </c>
      <c r="AG82" s="466" t="s">
        <v>874</v>
      </c>
      <c r="AH82" s="609"/>
    </row>
    <row r="83" spans="1:34" ht="21.95" customHeight="1" x14ac:dyDescent="0.2">
      <c r="A83" s="469" t="s">
        <v>1099</v>
      </c>
      <c r="B83" s="14" t="s">
        <v>221</v>
      </c>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609"/>
    </row>
    <row r="84" spans="1:34" ht="21.95" customHeight="1" x14ac:dyDescent="0.2">
      <c r="A84" s="467" t="s">
        <v>108</v>
      </c>
      <c r="B84" s="14" t="s">
        <v>221</v>
      </c>
      <c r="C84" s="12">
        <v>6</v>
      </c>
      <c r="D84" s="27">
        <v>277.05384615384617</v>
      </c>
      <c r="E84" s="2"/>
      <c r="F84" s="2">
        <v>261</v>
      </c>
      <c r="G84" s="2"/>
      <c r="H84" s="33">
        <v>281</v>
      </c>
      <c r="I84" s="33">
        <v>25</v>
      </c>
      <c r="J84" s="33">
        <v>250</v>
      </c>
      <c r="K84" s="33">
        <v>31</v>
      </c>
      <c r="L84" s="33">
        <v>263</v>
      </c>
      <c r="M84" s="33">
        <v>31</v>
      </c>
      <c r="N84" s="33">
        <v>276</v>
      </c>
      <c r="O84" s="33">
        <v>39</v>
      </c>
      <c r="P84" s="130">
        <v>259</v>
      </c>
      <c r="Q84" s="130">
        <v>44</v>
      </c>
      <c r="R84" s="247">
        <v>266</v>
      </c>
      <c r="S84" s="247" t="s">
        <v>875</v>
      </c>
      <c r="T84" s="247">
        <v>45</v>
      </c>
      <c r="U84" s="247" t="s">
        <v>874</v>
      </c>
      <c r="V84" s="311">
        <v>249</v>
      </c>
      <c r="W84" s="311" t="s">
        <v>876</v>
      </c>
      <c r="X84" s="311">
        <v>50</v>
      </c>
      <c r="Y84" s="311" t="s">
        <v>875</v>
      </c>
      <c r="Z84" s="426">
        <v>293</v>
      </c>
      <c r="AA84" s="426" t="s">
        <v>875</v>
      </c>
      <c r="AB84" s="426">
        <v>33</v>
      </c>
      <c r="AC84" s="426" t="s">
        <v>876</v>
      </c>
      <c r="AD84" s="426"/>
      <c r="AE84" s="426"/>
      <c r="AF84" s="426"/>
      <c r="AG84" s="426"/>
      <c r="AH84" s="609"/>
    </row>
    <row r="85" spans="1:34" ht="21.95" customHeight="1" x14ac:dyDescent="0.2">
      <c r="A85" s="467" t="s">
        <v>1081</v>
      </c>
      <c r="B85" s="1" t="s">
        <v>221</v>
      </c>
      <c r="C85" s="528">
        <v>5</v>
      </c>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v>223</v>
      </c>
      <c r="AE85" s="466" t="s">
        <v>876</v>
      </c>
      <c r="AF85" s="466">
        <v>43</v>
      </c>
      <c r="AG85" s="466" t="s">
        <v>874</v>
      </c>
      <c r="AH85" s="609"/>
    </row>
    <row r="86" spans="1:34" ht="21.95" customHeight="1" x14ac:dyDescent="0.2">
      <c r="A86" s="467" t="s">
        <v>38</v>
      </c>
      <c r="B86" s="1" t="s">
        <v>221</v>
      </c>
      <c r="C86" s="12">
        <v>6</v>
      </c>
      <c r="D86" s="27">
        <v>270.68846153846152</v>
      </c>
      <c r="E86" s="2"/>
      <c r="F86" s="2">
        <v>270</v>
      </c>
      <c r="G86" s="2"/>
      <c r="H86" s="33">
        <v>285</v>
      </c>
      <c r="I86" s="33">
        <v>35</v>
      </c>
      <c r="J86" s="33">
        <v>251</v>
      </c>
      <c r="K86" s="33">
        <v>47</v>
      </c>
      <c r="L86" s="33">
        <v>261</v>
      </c>
      <c r="M86" s="33">
        <v>40</v>
      </c>
      <c r="N86" s="33">
        <v>266</v>
      </c>
      <c r="O86" s="33">
        <v>46</v>
      </c>
      <c r="P86" s="130">
        <v>253</v>
      </c>
      <c r="Q86" s="130">
        <v>38</v>
      </c>
      <c r="R86" s="247">
        <v>248</v>
      </c>
      <c r="S86" s="247" t="s">
        <v>876</v>
      </c>
      <c r="T86" s="247">
        <v>46</v>
      </c>
      <c r="U86" s="247" t="s">
        <v>874</v>
      </c>
      <c r="V86" s="311">
        <v>257</v>
      </c>
      <c r="W86" s="311" t="s">
        <v>876</v>
      </c>
      <c r="X86" s="311">
        <v>38</v>
      </c>
      <c r="Y86" s="311" t="s">
        <v>874</v>
      </c>
      <c r="Z86" s="426">
        <v>258</v>
      </c>
      <c r="AA86" s="426" t="s">
        <v>876</v>
      </c>
      <c r="AB86" s="426">
        <v>43</v>
      </c>
      <c r="AC86" s="426" t="s">
        <v>874</v>
      </c>
      <c r="AD86" s="466">
        <v>253</v>
      </c>
      <c r="AE86" s="466" t="s">
        <v>876</v>
      </c>
      <c r="AF86" s="466">
        <v>40</v>
      </c>
      <c r="AG86" s="466" t="s">
        <v>874</v>
      </c>
      <c r="AH86" s="609"/>
    </row>
    <row r="87" spans="1:34" ht="21.95" customHeight="1" x14ac:dyDescent="0.2">
      <c r="A87" s="467" t="s">
        <v>183</v>
      </c>
      <c r="B87" s="1" t="s">
        <v>221</v>
      </c>
      <c r="C87" s="12">
        <v>3</v>
      </c>
      <c r="D87" s="27">
        <v>272.0846153846154</v>
      </c>
      <c r="E87" s="2"/>
      <c r="F87" s="2">
        <v>252</v>
      </c>
      <c r="G87" s="2"/>
      <c r="H87" s="33">
        <v>265</v>
      </c>
      <c r="I87" s="33">
        <v>43</v>
      </c>
      <c r="J87" s="33">
        <v>257</v>
      </c>
      <c r="K87" s="33">
        <v>43</v>
      </c>
      <c r="L87" s="33">
        <v>260</v>
      </c>
      <c r="M87" s="33">
        <v>41</v>
      </c>
      <c r="N87" s="33">
        <v>248</v>
      </c>
      <c r="O87" s="33">
        <v>38</v>
      </c>
      <c r="P87" s="130">
        <v>282</v>
      </c>
      <c r="Q87" s="130">
        <v>43</v>
      </c>
      <c r="R87" s="247">
        <v>251</v>
      </c>
      <c r="S87" s="247" t="s">
        <v>876</v>
      </c>
      <c r="T87" s="247">
        <v>33</v>
      </c>
      <c r="U87" s="247" t="s">
        <v>876</v>
      </c>
      <c r="V87" s="311">
        <v>251</v>
      </c>
      <c r="W87" s="311" t="s">
        <v>876</v>
      </c>
      <c r="X87" s="311">
        <v>39</v>
      </c>
      <c r="Y87" s="311" t="s">
        <v>874</v>
      </c>
      <c r="Z87" s="426">
        <v>255</v>
      </c>
      <c r="AA87" s="426" t="s">
        <v>876</v>
      </c>
      <c r="AB87" s="426">
        <v>44</v>
      </c>
      <c r="AC87" s="426" t="s">
        <v>874</v>
      </c>
      <c r="AD87" s="466">
        <v>249</v>
      </c>
      <c r="AE87" s="466" t="s">
        <v>876</v>
      </c>
      <c r="AF87" s="466">
        <v>44</v>
      </c>
      <c r="AG87" s="466" t="s">
        <v>874</v>
      </c>
      <c r="AH87" s="609"/>
    </row>
    <row r="88" spans="1:34" ht="21.95" customHeight="1" x14ac:dyDescent="0.2">
      <c r="A88" s="467" t="s">
        <v>110</v>
      </c>
      <c r="B88" s="1" t="s">
        <v>221</v>
      </c>
      <c r="C88" s="12">
        <v>2</v>
      </c>
      <c r="D88" s="27">
        <v>289.9615384615384</v>
      </c>
      <c r="E88" s="2"/>
      <c r="F88" s="2">
        <v>296</v>
      </c>
      <c r="G88" s="2"/>
      <c r="H88" s="33">
        <v>298</v>
      </c>
      <c r="I88" s="33">
        <v>31</v>
      </c>
      <c r="J88" s="33">
        <v>291</v>
      </c>
      <c r="K88" s="33">
        <v>30</v>
      </c>
      <c r="L88" s="33">
        <v>294</v>
      </c>
      <c r="M88" s="33">
        <v>33</v>
      </c>
      <c r="N88" s="33">
        <v>300</v>
      </c>
      <c r="O88" s="33">
        <v>28</v>
      </c>
      <c r="P88" s="130">
        <v>305</v>
      </c>
      <c r="Q88" s="130">
        <v>31</v>
      </c>
      <c r="R88" s="247">
        <v>294</v>
      </c>
      <c r="S88" s="247" t="s">
        <v>875</v>
      </c>
      <c r="T88" s="247">
        <v>39</v>
      </c>
      <c r="U88" s="247" t="s">
        <v>874</v>
      </c>
      <c r="V88" s="311">
        <v>314</v>
      </c>
      <c r="W88" s="311" t="s">
        <v>875</v>
      </c>
      <c r="X88" s="311">
        <v>32</v>
      </c>
      <c r="Y88" s="311" t="s">
        <v>876</v>
      </c>
      <c r="Z88" s="426">
        <v>325</v>
      </c>
      <c r="AA88" s="426" t="s">
        <v>875</v>
      </c>
      <c r="AB88" s="426">
        <v>35</v>
      </c>
      <c r="AC88" s="426" t="s">
        <v>876</v>
      </c>
      <c r="AD88" s="466">
        <v>316</v>
      </c>
      <c r="AE88" s="466" t="s">
        <v>875</v>
      </c>
      <c r="AF88" s="466">
        <v>35</v>
      </c>
      <c r="AG88" s="466" t="s">
        <v>876</v>
      </c>
      <c r="AH88" s="609"/>
    </row>
    <row r="89" spans="1:34" ht="21.95" customHeight="1" x14ac:dyDescent="0.2">
      <c r="A89" s="469" t="s">
        <v>926</v>
      </c>
      <c r="B89" s="14" t="s">
        <v>221</v>
      </c>
      <c r="C89" s="330">
        <v>6</v>
      </c>
      <c r="D89" s="321"/>
      <c r="E89" s="311"/>
      <c r="F89" s="311"/>
      <c r="G89" s="311"/>
      <c r="H89" s="322"/>
      <c r="I89" s="322"/>
      <c r="J89" s="322"/>
      <c r="K89" s="322"/>
      <c r="L89" s="322"/>
      <c r="M89" s="322"/>
      <c r="N89" s="322"/>
      <c r="O89" s="322"/>
      <c r="P89" s="323"/>
      <c r="Q89" s="323"/>
      <c r="R89" s="314"/>
      <c r="S89" s="314"/>
      <c r="T89" s="314"/>
      <c r="U89" s="314"/>
      <c r="V89" s="311">
        <v>221</v>
      </c>
      <c r="W89" s="311" t="s">
        <v>876</v>
      </c>
      <c r="X89" s="311">
        <v>42</v>
      </c>
      <c r="Y89" s="311" t="s">
        <v>874</v>
      </c>
      <c r="Z89" s="426">
        <v>253</v>
      </c>
      <c r="AA89" s="426" t="s">
        <v>876</v>
      </c>
      <c r="AB89" s="426">
        <v>0</v>
      </c>
      <c r="AC89" s="426" t="s">
        <v>876</v>
      </c>
      <c r="AD89" s="426"/>
      <c r="AE89" s="426"/>
      <c r="AF89" s="426"/>
      <c r="AG89" s="426"/>
      <c r="AH89" s="609"/>
    </row>
    <row r="90" spans="1:34" ht="21.95" customHeight="1" x14ac:dyDescent="0.2">
      <c r="A90" s="468" t="s">
        <v>266</v>
      </c>
      <c r="B90" s="1" t="s">
        <v>221</v>
      </c>
      <c r="C90" s="12">
        <v>3</v>
      </c>
      <c r="D90" s="27"/>
      <c r="E90" s="2"/>
      <c r="F90" s="2"/>
      <c r="G90" s="2"/>
      <c r="H90" s="33" t="s">
        <v>256</v>
      </c>
      <c r="I90" s="33" t="s">
        <v>256</v>
      </c>
      <c r="J90" s="33" t="s">
        <v>256</v>
      </c>
      <c r="K90" s="33" t="s">
        <v>256</v>
      </c>
      <c r="L90" s="33" t="s">
        <v>256</v>
      </c>
      <c r="M90" s="33" t="s">
        <v>256</v>
      </c>
      <c r="N90" s="33" t="s">
        <v>256</v>
      </c>
      <c r="O90" s="33" t="s">
        <v>256</v>
      </c>
      <c r="P90" s="130">
        <v>281</v>
      </c>
      <c r="Q90" s="130">
        <v>19</v>
      </c>
      <c r="R90" s="247">
        <v>294</v>
      </c>
      <c r="S90" s="247" t="s">
        <v>875</v>
      </c>
      <c r="T90" s="247">
        <v>27</v>
      </c>
      <c r="U90" s="247" t="s">
        <v>876</v>
      </c>
      <c r="V90" s="311">
        <v>297</v>
      </c>
      <c r="W90" s="311" t="s">
        <v>875</v>
      </c>
      <c r="X90" s="311">
        <v>37</v>
      </c>
      <c r="Y90" s="311" t="s">
        <v>874</v>
      </c>
      <c r="Z90" s="426">
        <v>298</v>
      </c>
      <c r="AA90" s="426" t="s">
        <v>875</v>
      </c>
      <c r="AB90" s="426">
        <v>37</v>
      </c>
      <c r="AC90" s="426" t="s">
        <v>874</v>
      </c>
      <c r="AD90" s="466">
        <v>296</v>
      </c>
      <c r="AE90" s="466" t="s">
        <v>875</v>
      </c>
      <c r="AF90" s="466">
        <v>37</v>
      </c>
      <c r="AG90" s="466" t="s">
        <v>876</v>
      </c>
      <c r="AH90" s="609"/>
    </row>
    <row r="91" spans="1:34" ht="21.95" customHeight="1" x14ac:dyDescent="0.2">
      <c r="A91" s="467" t="s">
        <v>232</v>
      </c>
      <c r="B91" s="1" t="s">
        <v>221</v>
      </c>
      <c r="C91" s="12">
        <v>5</v>
      </c>
      <c r="D91" s="27"/>
      <c r="E91" s="2"/>
      <c r="F91" s="2"/>
      <c r="G91" s="2"/>
      <c r="H91" s="33" t="s">
        <v>256</v>
      </c>
      <c r="I91" s="33" t="s">
        <v>256</v>
      </c>
      <c r="J91" s="33" t="s">
        <v>256</v>
      </c>
      <c r="K91" s="33" t="s">
        <v>256</v>
      </c>
      <c r="L91" s="33" t="s">
        <v>256</v>
      </c>
      <c r="M91" s="33" t="s">
        <v>256</v>
      </c>
      <c r="N91" s="33">
        <v>242</v>
      </c>
      <c r="O91" s="33">
        <v>34</v>
      </c>
      <c r="P91" s="33" t="s">
        <v>256</v>
      </c>
      <c r="Q91" s="33" t="s">
        <v>256</v>
      </c>
      <c r="S91" s="36"/>
      <c r="AH91" s="609"/>
    </row>
    <row r="92" spans="1:34" ht="21.95" customHeight="1" x14ac:dyDescent="0.2">
      <c r="A92" s="468" t="s">
        <v>153</v>
      </c>
      <c r="B92" s="1" t="s">
        <v>221</v>
      </c>
      <c r="C92" s="12">
        <v>2</v>
      </c>
      <c r="D92" s="27">
        <v>266.23461538461538</v>
      </c>
      <c r="E92" s="2"/>
      <c r="F92" s="27">
        <v>267.30769230769232</v>
      </c>
      <c r="G92" s="2"/>
      <c r="H92" s="33">
        <v>283</v>
      </c>
      <c r="I92" s="33">
        <v>35</v>
      </c>
      <c r="J92" s="33">
        <v>280</v>
      </c>
      <c r="K92" s="33">
        <v>34</v>
      </c>
      <c r="L92" s="33">
        <v>269</v>
      </c>
      <c r="M92" s="33">
        <v>41</v>
      </c>
      <c r="N92" s="33">
        <v>278</v>
      </c>
      <c r="O92" s="33">
        <v>38</v>
      </c>
      <c r="P92" s="130">
        <v>272</v>
      </c>
      <c r="Q92" s="130">
        <v>33</v>
      </c>
      <c r="R92" s="247">
        <v>265</v>
      </c>
      <c r="S92" s="247" t="s">
        <v>875</v>
      </c>
      <c r="T92" s="247">
        <v>37</v>
      </c>
      <c r="U92" s="247" t="s">
        <v>874</v>
      </c>
      <c r="V92" s="311">
        <v>268</v>
      </c>
      <c r="W92" s="311" t="s">
        <v>875</v>
      </c>
      <c r="X92" s="311">
        <v>38</v>
      </c>
      <c r="Y92" s="311" t="s">
        <v>874</v>
      </c>
      <c r="Z92" s="426">
        <v>274</v>
      </c>
      <c r="AA92" s="426" t="s">
        <v>875</v>
      </c>
      <c r="AB92" s="426">
        <v>35</v>
      </c>
      <c r="AC92" s="426" t="s">
        <v>876</v>
      </c>
      <c r="AD92" s="466">
        <v>268</v>
      </c>
      <c r="AE92" s="466" t="s">
        <v>874</v>
      </c>
      <c r="AF92" s="466">
        <v>39</v>
      </c>
      <c r="AG92" s="466" t="s">
        <v>874</v>
      </c>
      <c r="AH92" s="609"/>
    </row>
    <row r="93" spans="1:34" ht="21.95" customHeight="1" x14ac:dyDescent="0.2">
      <c r="A93" s="467" t="s">
        <v>136</v>
      </c>
      <c r="B93" s="1" t="s">
        <v>221</v>
      </c>
      <c r="C93" s="12">
        <v>4</v>
      </c>
      <c r="D93" s="27">
        <v>247.21538461538461</v>
      </c>
      <c r="E93" s="2"/>
      <c r="F93" s="27">
        <v>243.2</v>
      </c>
      <c r="G93" s="2"/>
      <c r="H93" s="33">
        <v>248</v>
      </c>
      <c r="I93" s="33">
        <v>24</v>
      </c>
      <c r="J93" s="33">
        <v>268</v>
      </c>
      <c r="K93" s="33">
        <v>39</v>
      </c>
      <c r="L93" s="33">
        <v>255</v>
      </c>
      <c r="M93" s="33">
        <v>35</v>
      </c>
      <c r="N93" s="33">
        <v>249</v>
      </c>
      <c r="O93" s="33">
        <v>43</v>
      </c>
      <c r="P93" s="130">
        <v>267</v>
      </c>
      <c r="Q93" s="130">
        <v>38</v>
      </c>
      <c r="R93" s="247">
        <v>255</v>
      </c>
      <c r="S93" s="247" t="s">
        <v>874</v>
      </c>
      <c r="T93" s="247">
        <v>45</v>
      </c>
      <c r="U93" s="247" t="s">
        <v>874</v>
      </c>
      <c r="V93" s="311">
        <v>268</v>
      </c>
      <c r="W93" s="311" t="s">
        <v>875</v>
      </c>
      <c r="X93" s="311">
        <v>45</v>
      </c>
      <c r="Y93" s="311" t="s">
        <v>874</v>
      </c>
      <c r="Z93" s="426">
        <v>251</v>
      </c>
      <c r="AA93" s="426" t="s">
        <v>876</v>
      </c>
      <c r="AB93" s="426">
        <v>45</v>
      </c>
      <c r="AC93" s="426" t="s">
        <v>874</v>
      </c>
      <c r="AD93" s="466">
        <v>268</v>
      </c>
      <c r="AE93" s="466" t="s">
        <v>874</v>
      </c>
      <c r="AF93" s="466">
        <v>43</v>
      </c>
      <c r="AG93" s="466" t="s">
        <v>874</v>
      </c>
      <c r="AH93" s="609"/>
    </row>
    <row r="94" spans="1:34" ht="21.95" customHeight="1" x14ac:dyDescent="0.2">
      <c r="A94" s="467" t="s">
        <v>97</v>
      </c>
      <c r="B94" s="1" t="s">
        <v>221</v>
      </c>
      <c r="C94" s="12">
        <v>2</v>
      </c>
      <c r="D94" s="27">
        <v>257.78846153846155</v>
      </c>
      <c r="E94" s="2"/>
      <c r="F94" s="27">
        <v>266.26153846153846</v>
      </c>
      <c r="G94" s="2"/>
      <c r="H94" s="33">
        <v>301</v>
      </c>
      <c r="I94" s="33">
        <v>30</v>
      </c>
      <c r="J94" s="33">
        <v>226</v>
      </c>
      <c r="K94" s="33">
        <v>34</v>
      </c>
      <c r="L94" s="33">
        <v>222</v>
      </c>
      <c r="M94" s="33">
        <v>34</v>
      </c>
      <c r="N94" s="33">
        <v>238</v>
      </c>
      <c r="O94" s="33">
        <v>38</v>
      </c>
      <c r="P94" s="130">
        <v>229</v>
      </c>
      <c r="Q94" s="130">
        <v>29</v>
      </c>
      <c r="R94" s="247">
        <v>235</v>
      </c>
      <c r="S94" s="247" t="s">
        <v>876</v>
      </c>
      <c r="T94" s="247">
        <v>22</v>
      </c>
      <c r="U94" s="247" t="s">
        <v>876</v>
      </c>
      <c r="V94" s="311">
        <v>247</v>
      </c>
      <c r="W94" s="311" t="s">
        <v>876</v>
      </c>
      <c r="X94" s="311">
        <v>73</v>
      </c>
      <c r="Y94" s="311" t="s">
        <v>875</v>
      </c>
      <c r="Z94" s="426">
        <v>267</v>
      </c>
      <c r="AA94" s="426" t="s">
        <v>875</v>
      </c>
      <c r="AB94" s="426">
        <v>41</v>
      </c>
      <c r="AC94" s="426" t="s">
        <v>874</v>
      </c>
      <c r="AD94" s="466">
        <v>279</v>
      </c>
      <c r="AE94" s="466" t="s">
        <v>875</v>
      </c>
      <c r="AF94" s="466">
        <v>19</v>
      </c>
      <c r="AG94" s="466" t="s">
        <v>876</v>
      </c>
      <c r="AH94" s="609"/>
    </row>
    <row r="95" spans="1:34" ht="21.95" customHeight="1" x14ac:dyDescent="0.2">
      <c r="A95" s="467" t="s">
        <v>180</v>
      </c>
      <c r="B95" s="1" t="s">
        <v>221</v>
      </c>
      <c r="C95" s="12">
        <v>3</v>
      </c>
      <c r="D95" s="27">
        <v>283.08076923076919</v>
      </c>
      <c r="E95" s="2"/>
      <c r="F95" s="27">
        <v>274.79615384615386</v>
      </c>
      <c r="G95" s="2"/>
      <c r="H95" s="33">
        <v>288</v>
      </c>
      <c r="I95" s="33">
        <v>24</v>
      </c>
      <c r="J95" s="33">
        <v>293</v>
      </c>
      <c r="K95" s="33">
        <v>38</v>
      </c>
      <c r="L95" s="33">
        <v>283</v>
      </c>
      <c r="M95" s="33">
        <v>40</v>
      </c>
      <c r="N95" s="33">
        <v>265</v>
      </c>
      <c r="O95" s="33">
        <v>42</v>
      </c>
      <c r="P95" s="130">
        <v>272</v>
      </c>
      <c r="Q95" s="130">
        <v>42</v>
      </c>
      <c r="R95" s="247">
        <v>280</v>
      </c>
      <c r="S95" s="247" t="s">
        <v>875</v>
      </c>
      <c r="T95" s="247">
        <v>33</v>
      </c>
      <c r="U95" s="247" t="s">
        <v>876</v>
      </c>
      <c r="V95" s="311">
        <v>274</v>
      </c>
      <c r="W95" s="311" t="s">
        <v>875</v>
      </c>
      <c r="X95" s="311">
        <v>38</v>
      </c>
      <c r="Y95" s="311" t="s">
        <v>874</v>
      </c>
      <c r="Z95" s="426">
        <v>280</v>
      </c>
      <c r="AA95" s="426" t="s">
        <v>875</v>
      </c>
      <c r="AB95" s="426">
        <v>35</v>
      </c>
      <c r="AC95" s="426" t="s">
        <v>876</v>
      </c>
      <c r="AD95" s="466">
        <v>272</v>
      </c>
      <c r="AE95" s="466" t="s">
        <v>875</v>
      </c>
      <c r="AF95" s="466">
        <v>37</v>
      </c>
      <c r="AG95" s="466" t="s">
        <v>876</v>
      </c>
      <c r="AH95" s="609"/>
    </row>
    <row r="96" spans="1:34" ht="21.95" customHeight="1" x14ac:dyDescent="0.2">
      <c r="A96" s="467" t="s">
        <v>170</v>
      </c>
      <c r="B96" s="1" t="s">
        <v>221</v>
      </c>
      <c r="C96" s="12">
        <v>2</v>
      </c>
      <c r="D96" s="27">
        <v>267.74230769230769</v>
      </c>
      <c r="E96" s="2"/>
      <c r="F96" s="2">
        <v>269</v>
      </c>
      <c r="G96" s="2"/>
      <c r="H96" s="33">
        <v>280</v>
      </c>
      <c r="I96" s="33">
        <v>32</v>
      </c>
      <c r="J96" s="33">
        <v>274</v>
      </c>
      <c r="K96" s="33">
        <v>37</v>
      </c>
      <c r="L96" s="33">
        <v>266</v>
      </c>
      <c r="M96" s="33">
        <v>32</v>
      </c>
      <c r="N96" s="33">
        <v>262</v>
      </c>
      <c r="O96" s="33">
        <v>42</v>
      </c>
      <c r="P96" s="130">
        <v>268</v>
      </c>
      <c r="Q96" s="130">
        <v>36</v>
      </c>
      <c r="R96" s="247">
        <v>275</v>
      </c>
      <c r="S96" s="247" t="s">
        <v>875</v>
      </c>
      <c r="T96" s="247">
        <v>47</v>
      </c>
      <c r="U96" s="247" t="s">
        <v>874</v>
      </c>
      <c r="V96" s="311">
        <v>281</v>
      </c>
      <c r="W96" s="311" t="s">
        <v>875</v>
      </c>
      <c r="X96" s="311">
        <v>39</v>
      </c>
      <c r="Y96" s="311" t="s">
        <v>874</v>
      </c>
      <c r="Z96" s="426">
        <v>275</v>
      </c>
      <c r="AA96" s="426" t="s">
        <v>875</v>
      </c>
      <c r="AB96" s="426">
        <v>43</v>
      </c>
      <c r="AC96" s="426" t="s">
        <v>874</v>
      </c>
      <c r="AD96" s="466">
        <v>271</v>
      </c>
      <c r="AE96" s="466" t="s">
        <v>875</v>
      </c>
      <c r="AF96" s="466">
        <v>38</v>
      </c>
      <c r="AG96" s="466" t="s">
        <v>874</v>
      </c>
      <c r="AH96" s="609"/>
    </row>
    <row r="97" spans="1:34" ht="21.95" customHeight="1" x14ac:dyDescent="0.2">
      <c r="A97" s="467" t="s">
        <v>77</v>
      </c>
      <c r="B97" s="1" t="s">
        <v>221</v>
      </c>
      <c r="C97" s="12">
        <v>2</v>
      </c>
      <c r="D97" s="27">
        <v>248.50769230769231</v>
      </c>
      <c r="E97" s="2"/>
      <c r="F97" s="2">
        <v>242</v>
      </c>
      <c r="G97" s="2"/>
      <c r="H97" s="33">
        <v>260</v>
      </c>
      <c r="I97" s="33">
        <v>47</v>
      </c>
      <c r="J97" s="33">
        <v>230</v>
      </c>
      <c r="K97" s="33">
        <v>37</v>
      </c>
      <c r="L97" s="33">
        <v>250</v>
      </c>
      <c r="M97" s="33">
        <v>41</v>
      </c>
      <c r="N97" s="33">
        <v>247</v>
      </c>
      <c r="O97" s="33">
        <v>35</v>
      </c>
      <c r="P97" s="130">
        <v>265</v>
      </c>
      <c r="Q97" s="130">
        <v>37</v>
      </c>
      <c r="R97" s="247">
        <v>238</v>
      </c>
      <c r="S97" s="247" t="s">
        <v>876</v>
      </c>
      <c r="T97" s="247">
        <v>36</v>
      </c>
      <c r="U97" s="247" t="s">
        <v>874</v>
      </c>
      <c r="V97" s="311">
        <v>260</v>
      </c>
      <c r="W97" s="311" t="s">
        <v>874</v>
      </c>
      <c r="X97" s="311">
        <v>46</v>
      </c>
      <c r="Y97" s="311" t="s">
        <v>874</v>
      </c>
      <c r="Z97" s="426">
        <v>257</v>
      </c>
      <c r="AA97" s="426" t="s">
        <v>876</v>
      </c>
      <c r="AB97" s="426">
        <v>40</v>
      </c>
      <c r="AC97" s="426" t="s">
        <v>874</v>
      </c>
      <c r="AD97" s="466">
        <v>280</v>
      </c>
      <c r="AE97" s="466" t="s">
        <v>875</v>
      </c>
      <c r="AF97" s="466">
        <v>35</v>
      </c>
      <c r="AG97" s="466" t="s">
        <v>876</v>
      </c>
      <c r="AH97" s="609"/>
    </row>
    <row r="98" spans="1:34" ht="21.95" customHeight="1" x14ac:dyDescent="0.2">
      <c r="A98" s="467" t="s">
        <v>36</v>
      </c>
      <c r="B98" s="1" t="s">
        <v>219</v>
      </c>
      <c r="C98" s="12" t="s">
        <v>220</v>
      </c>
      <c r="D98" s="27">
        <v>245.58076923076922</v>
      </c>
      <c r="E98" s="2"/>
      <c r="F98" s="2">
        <v>241</v>
      </c>
      <c r="G98" s="2"/>
      <c r="H98" s="33">
        <v>260</v>
      </c>
      <c r="I98" s="33">
        <v>35</v>
      </c>
      <c r="J98" s="33">
        <v>249</v>
      </c>
      <c r="K98" s="33">
        <v>32</v>
      </c>
      <c r="L98" s="33">
        <v>248</v>
      </c>
      <c r="M98" s="33">
        <v>42</v>
      </c>
      <c r="N98" s="33">
        <v>249</v>
      </c>
      <c r="O98" s="33">
        <v>42</v>
      </c>
      <c r="P98" s="130">
        <v>248</v>
      </c>
      <c r="Q98" s="130">
        <v>45</v>
      </c>
      <c r="R98" s="247">
        <v>244</v>
      </c>
      <c r="S98" s="247" t="s">
        <v>876</v>
      </c>
      <c r="T98" s="247">
        <v>39</v>
      </c>
      <c r="U98" s="247" t="s">
        <v>874</v>
      </c>
      <c r="V98" s="311">
        <v>249</v>
      </c>
      <c r="W98" s="311" t="s">
        <v>876</v>
      </c>
      <c r="X98" s="311">
        <v>46</v>
      </c>
      <c r="Y98" s="311" t="s">
        <v>874</v>
      </c>
      <c r="Z98" s="426">
        <v>240</v>
      </c>
      <c r="AA98" s="426" t="s">
        <v>876</v>
      </c>
      <c r="AB98" s="426">
        <v>42</v>
      </c>
      <c r="AC98" s="426" t="s">
        <v>874</v>
      </c>
      <c r="AD98" s="466">
        <v>244</v>
      </c>
      <c r="AE98" s="466" t="s">
        <v>876</v>
      </c>
      <c r="AF98" s="466">
        <v>37</v>
      </c>
      <c r="AG98" s="466" t="s">
        <v>876</v>
      </c>
      <c r="AH98" s="609"/>
    </row>
    <row r="99" spans="1:34" ht="21.95" customHeight="1" x14ac:dyDescent="0.2">
      <c r="A99" s="467" t="s">
        <v>225</v>
      </c>
      <c r="B99" s="1" t="s">
        <v>221</v>
      </c>
      <c r="C99" s="12">
        <v>4</v>
      </c>
      <c r="D99" s="27"/>
      <c r="E99" s="2"/>
      <c r="F99" s="2"/>
      <c r="G99" s="2"/>
      <c r="H99" s="33" t="s">
        <v>256</v>
      </c>
      <c r="I99" s="33" t="s">
        <v>256</v>
      </c>
      <c r="J99" s="33">
        <v>314</v>
      </c>
      <c r="K99" s="33">
        <v>0</v>
      </c>
      <c r="L99" s="33" t="s">
        <v>256</v>
      </c>
      <c r="M99" s="33" t="s">
        <v>256</v>
      </c>
      <c r="N99" s="33" t="s">
        <v>256</v>
      </c>
      <c r="O99" s="33" t="s">
        <v>256</v>
      </c>
      <c r="P99" s="33" t="s">
        <v>256</v>
      </c>
      <c r="Q99" s="33" t="s">
        <v>256</v>
      </c>
      <c r="AH99" s="609"/>
    </row>
    <row r="100" spans="1:34" ht="21.95" customHeight="1" x14ac:dyDescent="0.2">
      <c r="A100" s="467" t="s">
        <v>92</v>
      </c>
      <c r="B100" s="1" t="s">
        <v>219</v>
      </c>
      <c r="C100" s="12">
        <v>1</v>
      </c>
      <c r="D100" s="27">
        <v>249</v>
      </c>
      <c r="E100" s="2"/>
      <c r="F100" s="2">
        <v>252</v>
      </c>
      <c r="G100" s="2"/>
      <c r="H100" s="33">
        <v>255</v>
      </c>
      <c r="I100" s="33">
        <v>36</v>
      </c>
      <c r="J100" s="33">
        <v>263</v>
      </c>
      <c r="K100" s="33">
        <v>37</v>
      </c>
      <c r="L100" s="33">
        <v>254</v>
      </c>
      <c r="M100" s="33">
        <v>36</v>
      </c>
      <c r="N100" s="33">
        <v>254</v>
      </c>
      <c r="O100" s="33">
        <v>41</v>
      </c>
      <c r="P100" s="130">
        <v>253</v>
      </c>
      <c r="Q100" s="130">
        <v>40</v>
      </c>
      <c r="R100" s="247">
        <v>254</v>
      </c>
      <c r="S100" s="247" t="s">
        <v>874</v>
      </c>
      <c r="T100" s="247">
        <v>37</v>
      </c>
      <c r="U100" s="247" t="s">
        <v>874</v>
      </c>
      <c r="V100" s="311">
        <v>248</v>
      </c>
      <c r="W100" s="311" t="s">
        <v>876</v>
      </c>
      <c r="X100" s="311">
        <v>40</v>
      </c>
      <c r="Y100" s="311" t="s">
        <v>874</v>
      </c>
      <c r="Z100" s="426">
        <v>246</v>
      </c>
      <c r="AA100" s="426" t="s">
        <v>876</v>
      </c>
      <c r="AB100" s="426">
        <v>41</v>
      </c>
      <c r="AC100" s="426" t="s">
        <v>874</v>
      </c>
      <c r="AD100" s="466">
        <v>254</v>
      </c>
      <c r="AE100" s="466" t="s">
        <v>876</v>
      </c>
      <c r="AF100" s="466">
        <v>44</v>
      </c>
      <c r="AG100" s="466" t="s">
        <v>874</v>
      </c>
      <c r="AH100" s="609"/>
    </row>
    <row r="101" spans="1:34" ht="21.95" customHeight="1" x14ac:dyDescent="0.2">
      <c r="A101" s="467" t="s">
        <v>27</v>
      </c>
      <c r="B101" s="1" t="s">
        <v>219</v>
      </c>
      <c r="C101" s="12">
        <v>6</v>
      </c>
      <c r="D101" s="27">
        <v>257.52692307692308</v>
      </c>
      <c r="E101" s="2"/>
      <c r="F101" s="2">
        <v>255</v>
      </c>
      <c r="G101" s="2"/>
      <c r="H101" s="33">
        <v>260</v>
      </c>
      <c r="I101" s="33">
        <v>35</v>
      </c>
      <c r="J101" s="33">
        <v>251</v>
      </c>
      <c r="K101" s="33">
        <v>38</v>
      </c>
      <c r="L101" s="33">
        <v>244</v>
      </c>
      <c r="M101" s="33">
        <v>38</v>
      </c>
      <c r="N101" s="33">
        <v>249</v>
      </c>
      <c r="O101" s="33">
        <v>41</v>
      </c>
      <c r="P101" s="130">
        <v>249</v>
      </c>
      <c r="Q101" s="130">
        <v>37</v>
      </c>
      <c r="R101" s="247">
        <v>244</v>
      </c>
      <c r="S101" s="247" t="s">
        <v>876</v>
      </c>
      <c r="T101" s="247">
        <v>39</v>
      </c>
      <c r="U101" s="247" t="s">
        <v>874</v>
      </c>
      <c r="V101" s="311">
        <v>247</v>
      </c>
      <c r="W101" s="311" t="s">
        <v>876</v>
      </c>
      <c r="X101" s="311">
        <v>39</v>
      </c>
      <c r="Y101" s="311" t="s">
        <v>874</v>
      </c>
      <c r="Z101" s="426">
        <v>246</v>
      </c>
      <c r="AA101" s="426" t="s">
        <v>876</v>
      </c>
      <c r="AB101" s="426">
        <v>40</v>
      </c>
      <c r="AC101" s="426" t="s">
        <v>874</v>
      </c>
      <c r="AD101" s="466">
        <v>249</v>
      </c>
      <c r="AE101" s="466" t="s">
        <v>876</v>
      </c>
      <c r="AF101" s="466">
        <v>39</v>
      </c>
      <c r="AG101" s="466" t="s">
        <v>874</v>
      </c>
      <c r="AH101" s="609"/>
    </row>
    <row r="102" spans="1:34" ht="21.95" customHeight="1" x14ac:dyDescent="0.2">
      <c r="A102" s="467" t="s">
        <v>147</v>
      </c>
      <c r="B102" s="1" t="s">
        <v>219</v>
      </c>
      <c r="C102" s="12">
        <v>5</v>
      </c>
      <c r="D102" s="27">
        <v>261.96153846153851</v>
      </c>
      <c r="E102" s="2"/>
      <c r="F102" s="2">
        <v>267</v>
      </c>
      <c r="G102" s="2"/>
      <c r="H102" s="33">
        <v>270</v>
      </c>
      <c r="I102" s="33">
        <v>36</v>
      </c>
      <c r="J102" s="33">
        <v>264</v>
      </c>
      <c r="K102" s="33">
        <v>39</v>
      </c>
      <c r="L102" s="33">
        <v>255</v>
      </c>
      <c r="M102" s="33">
        <v>39</v>
      </c>
      <c r="N102" s="33">
        <v>256</v>
      </c>
      <c r="O102" s="33">
        <v>37</v>
      </c>
      <c r="P102" s="130">
        <v>255</v>
      </c>
      <c r="Q102" s="130">
        <v>35</v>
      </c>
      <c r="R102" s="247">
        <v>254</v>
      </c>
      <c r="S102" s="247" t="s">
        <v>874</v>
      </c>
      <c r="T102" s="247">
        <v>43</v>
      </c>
      <c r="U102" s="247" t="s">
        <v>874</v>
      </c>
      <c r="V102" s="311">
        <v>259</v>
      </c>
      <c r="W102" s="311" t="s">
        <v>874</v>
      </c>
      <c r="X102" s="311">
        <v>40</v>
      </c>
      <c r="Y102" s="311" t="s">
        <v>874</v>
      </c>
      <c r="Z102" s="426">
        <v>264</v>
      </c>
      <c r="AA102" s="426" t="s">
        <v>874</v>
      </c>
      <c r="AB102" s="426">
        <v>43</v>
      </c>
      <c r="AC102" s="426" t="s">
        <v>874</v>
      </c>
      <c r="AD102" s="466">
        <v>266</v>
      </c>
      <c r="AE102" s="466" t="s">
        <v>874</v>
      </c>
      <c r="AF102" s="466">
        <v>42</v>
      </c>
      <c r="AG102" s="466" t="s">
        <v>874</v>
      </c>
      <c r="AH102" s="609"/>
    </row>
    <row r="103" spans="1:34" ht="21.95" customHeight="1" x14ac:dyDescent="0.2">
      <c r="A103" s="467" t="s">
        <v>112</v>
      </c>
      <c r="B103" s="1" t="s">
        <v>219</v>
      </c>
      <c r="C103" s="12">
        <v>4</v>
      </c>
      <c r="D103" s="27">
        <v>239.65384615384613</v>
      </c>
      <c r="E103" s="2"/>
      <c r="F103" s="27">
        <v>240.77307692307693</v>
      </c>
      <c r="G103" s="2"/>
      <c r="H103" s="33">
        <v>239</v>
      </c>
      <c r="I103" s="33">
        <v>34</v>
      </c>
      <c r="J103" s="33">
        <v>247</v>
      </c>
      <c r="K103" s="33">
        <v>41</v>
      </c>
      <c r="L103" s="33">
        <v>237</v>
      </c>
      <c r="M103" s="33">
        <v>43</v>
      </c>
      <c r="N103" s="33">
        <v>223</v>
      </c>
      <c r="O103" s="33">
        <v>42</v>
      </c>
      <c r="P103" s="130">
        <v>232</v>
      </c>
      <c r="Q103" s="130">
        <v>37</v>
      </c>
      <c r="R103" s="247">
        <v>231</v>
      </c>
      <c r="S103" s="247" t="s">
        <v>876</v>
      </c>
      <c r="T103" s="247">
        <v>39</v>
      </c>
      <c r="U103" s="247" t="s">
        <v>874</v>
      </c>
      <c r="V103" s="311">
        <v>233</v>
      </c>
      <c r="W103" s="311" t="s">
        <v>876</v>
      </c>
      <c r="X103" s="311">
        <v>40</v>
      </c>
      <c r="Y103" s="311" t="s">
        <v>874</v>
      </c>
      <c r="Z103" s="426">
        <v>227</v>
      </c>
      <c r="AA103" s="426" t="s">
        <v>876</v>
      </c>
      <c r="AB103" s="426">
        <v>37</v>
      </c>
      <c r="AC103" s="426" t="s">
        <v>874</v>
      </c>
      <c r="AD103" s="466">
        <v>236</v>
      </c>
      <c r="AE103" s="466" t="s">
        <v>876</v>
      </c>
      <c r="AF103" s="466">
        <v>39</v>
      </c>
      <c r="AG103" s="466" t="s">
        <v>874</v>
      </c>
      <c r="AH103" s="609"/>
    </row>
    <row r="104" spans="1:34" ht="21.95" customHeight="1" x14ac:dyDescent="0.2">
      <c r="A104" s="467" t="s">
        <v>48</v>
      </c>
      <c r="B104" s="1" t="s">
        <v>219</v>
      </c>
      <c r="C104" s="12">
        <v>4</v>
      </c>
      <c r="D104" s="27">
        <v>240.46153846153842</v>
      </c>
      <c r="E104" s="2"/>
      <c r="F104" s="27">
        <v>235.61538461538458</v>
      </c>
      <c r="G104" s="2"/>
      <c r="H104" s="33">
        <v>246</v>
      </c>
      <c r="I104" s="33">
        <v>31</v>
      </c>
      <c r="J104" s="33">
        <v>241</v>
      </c>
      <c r="K104" s="33">
        <v>37</v>
      </c>
      <c r="L104" s="33">
        <v>249</v>
      </c>
      <c r="M104" s="33">
        <v>43</v>
      </c>
      <c r="N104" s="33">
        <v>241</v>
      </c>
      <c r="O104" s="33">
        <v>33</v>
      </c>
      <c r="P104" s="130">
        <v>230</v>
      </c>
      <c r="Q104" s="130">
        <v>35</v>
      </c>
      <c r="R104" s="247">
        <v>231</v>
      </c>
      <c r="S104" s="247" t="s">
        <v>876</v>
      </c>
      <c r="T104" s="247">
        <v>32</v>
      </c>
      <c r="U104" s="247" t="s">
        <v>876</v>
      </c>
      <c r="V104" s="311">
        <v>241</v>
      </c>
      <c r="W104" s="311" t="s">
        <v>876</v>
      </c>
      <c r="X104" s="311">
        <v>33</v>
      </c>
      <c r="Y104" s="311" t="s">
        <v>876</v>
      </c>
      <c r="Z104" s="426">
        <v>241</v>
      </c>
      <c r="AA104" s="426" t="s">
        <v>876</v>
      </c>
      <c r="AB104" s="426">
        <v>41</v>
      </c>
      <c r="AC104" s="426" t="s">
        <v>874</v>
      </c>
      <c r="AD104" s="466">
        <v>246</v>
      </c>
      <c r="AE104" s="466" t="s">
        <v>876</v>
      </c>
      <c r="AF104" s="466">
        <v>39</v>
      </c>
      <c r="AG104" s="466" t="s">
        <v>874</v>
      </c>
      <c r="AH104" s="609"/>
    </row>
    <row r="105" spans="1:34" ht="21.95" customHeight="1" x14ac:dyDescent="0.2">
      <c r="A105" s="467" t="s">
        <v>890</v>
      </c>
      <c r="B105" s="1" t="s">
        <v>219</v>
      </c>
      <c r="C105" s="12">
        <v>3</v>
      </c>
      <c r="D105" s="27"/>
      <c r="E105" s="2"/>
      <c r="G105" s="2"/>
      <c r="H105" s="33">
        <v>262</v>
      </c>
      <c r="I105" s="33">
        <v>34</v>
      </c>
      <c r="J105" s="33">
        <v>265</v>
      </c>
      <c r="K105" s="33">
        <v>39</v>
      </c>
      <c r="L105" s="33">
        <v>260</v>
      </c>
      <c r="M105" s="33">
        <v>37</v>
      </c>
      <c r="N105" s="33">
        <v>254</v>
      </c>
      <c r="O105" s="33">
        <v>42</v>
      </c>
      <c r="P105" s="130">
        <v>262</v>
      </c>
      <c r="Q105" s="130">
        <v>39</v>
      </c>
      <c r="R105" s="247">
        <v>252</v>
      </c>
      <c r="S105" s="247" t="s">
        <v>876</v>
      </c>
      <c r="T105" s="247">
        <v>39</v>
      </c>
      <c r="U105" s="247" t="s">
        <v>874</v>
      </c>
      <c r="V105" s="311">
        <v>264</v>
      </c>
      <c r="W105" s="311" t="s">
        <v>874</v>
      </c>
      <c r="X105" s="311">
        <v>42</v>
      </c>
      <c r="Y105" s="311" t="s">
        <v>874</v>
      </c>
      <c r="Z105" s="426">
        <v>267</v>
      </c>
      <c r="AA105" s="426" t="s">
        <v>875</v>
      </c>
      <c r="AB105" s="426">
        <v>43</v>
      </c>
      <c r="AC105" s="426" t="s">
        <v>874</v>
      </c>
      <c r="AD105" s="466">
        <v>266</v>
      </c>
      <c r="AE105" s="466" t="s">
        <v>874</v>
      </c>
      <c r="AF105" s="466">
        <v>41</v>
      </c>
      <c r="AG105" s="466" t="s">
        <v>874</v>
      </c>
      <c r="AH105" s="609"/>
    </row>
    <row r="106" spans="1:34" ht="21.95" customHeight="1" x14ac:dyDescent="0.2">
      <c r="A106" s="467" t="s">
        <v>138</v>
      </c>
      <c r="B106" s="1" t="s">
        <v>219</v>
      </c>
      <c r="C106" s="12">
        <v>1</v>
      </c>
      <c r="D106" s="27">
        <v>253.51923076923075</v>
      </c>
      <c r="E106" s="2"/>
      <c r="F106" s="27">
        <v>244.56153846153848</v>
      </c>
      <c r="G106" s="2"/>
      <c r="H106" s="33">
        <v>263</v>
      </c>
      <c r="I106" s="33">
        <v>38</v>
      </c>
      <c r="J106" s="33">
        <v>259</v>
      </c>
      <c r="K106" s="33">
        <v>34</v>
      </c>
      <c r="L106" s="33">
        <v>247</v>
      </c>
      <c r="M106" s="33">
        <v>37</v>
      </c>
      <c r="N106" s="33">
        <v>249</v>
      </c>
      <c r="O106" s="33">
        <v>38</v>
      </c>
      <c r="P106" s="130">
        <v>254</v>
      </c>
      <c r="Q106" s="130">
        <v>37</v>
      </c>
      <c r="R106" s="247">
        <v>251</v>
      </c>
      <c r="S106" s="247" t="s">
        <v>876</v>
      </c>
      <c r="T106" s="247">
        <v>36</v>
      </c>
      <c r="U106" s="247" t="s">
        <v>874</v>
      </c>
      <c r="V106" s="311">
        <v>252</v>
      </c>
      <c r="W106" s="311" t="s">
        <v>876</v>
      </c>
      <c r="X106" s="311">
        <v>39</v>
      </c>
      <c r="Y106" s="311" t="s">
        <v>874</v>
      </c>
      <c r="Z106" s="426">
        <v>250</v>
      </c>
      <c r="AA106" s="426" t="s">
        <v>876</v>
      </c>
      <c r="AB106" s="426">
        <v>40</v>
      </c>
      <c r="AC106" s="426" t="s">
        <v>874</v>
      </c>
      <c r="AD106" s="466">
        <v>250</v>
      </c>
      <c r="AE106" s="466" t="s">
        <v>876</v>
      </c>
      <c r="AF106" s="466">
        <v>40</v>
      </c>
      <c r="AG106" s="466" t="s">
        <v>874</v>
      </c>
      <c r="AH106" s="609"/>
    </row>
    <row r="107" spans="1:34" ht="21.95" customHeight="1" x14ac:dyDescent="0.2">
      <c r="A107" s="468" t="s">
        <v>287</v>
      </c>
      <c r="B107" s="14" t="s">
        <v>219</v>
      </c>
      <c r="C107" s="12">
        <v>3</v>
      </c>
      <c r="D107" s="27"/>
      <c r="E107" s="2"/>
      <c r="F107" s="2"/>
      <c r="G107" s="2"/>
      <c r="H107" s="130">
        <v>255</v>
      </c>
      <c r="I107" s="130">
        <v>37</v>
      </c>
      <c r="J107" s="130">
        <v>259</v>
      </c>
      <c r="K107" s="130">
        <v>37</v>
      </c>
      <c r="L107" s="130">
        <v>260</v>
      </c>
      <c r="M107" s="130">
        <v>40</v>
      </c>
      <c r="N107" s="130">
        <v>252</v>
      </c>
      <c r="O107" s="130">
        <v>38</v>
      </c>
      <c r="P107" s="130">
        <v>264</v>
      </c>
      <c r="Q107" s="130">
        <v>37</v>
      </c>
      <c r="R107" s="247">
        <v>260</v>
      </c>
      <c r="S107" s="247" t="s">
        <v>874</v>
      </c>
      <c r="T107" s="247">
        <v>39</v>
      </c>
      <c r="U107" s="247" t="s">
        <v>874</v>
      </c>
      <c r="V107" s="311">
        <v>265</v>
      </c>
      <c r="W107" s="311" t="s">
        <v>874</v>
      </c>
      <c r="X107" s="311">
        <v>41</v>
      </c>
      <c r="Y107" s="311" t="s">
        <v>874</v>
      </c>
      <c r="Z107" s="426">
        <v>265</v>
      </c>
      <c r="AA107" s="426" t="s">
        <v>874</v>
      </c>
      <c r="AB107" s="426">
        <v>42</v>
      </c>
      <c r="AC107" s="426" t="s">
        <v>874</v>
      </c>
      <c r="AD107" s="466">
        <v>269</v>
      </c>
      <c r="AE107" s="466" t="s">
        <v>875</v>
      </c>
      <c r="AF107" s="466">
        <v>42</v>
      </c>
      <c r="AG107" s="466" t="s">
        <v>874</v>
      </c>
      <c r="AH107" s="609"/>
    </row>
    <row r="108" spans="1:34" ht="21.95" customHeight="1" x14ac:dyDescent="0.2">
      <c r="A108" s="467" t="s">
        <v>103</v>
      </c>
      <c r="B108" s="1" t="s">
        <v>219</v>
      </c>
      <c r="C108" s="12">
        <v>4</v>
      </c>
      <c r="D108" s="27">
        <v>238.13846153846154</v>
      </c>
      <c r="E108" s="2"/>
      <c r="F108" s="2">
        <v>238</v>
      </c>
      <c r="G108" s="2"/>
      <c r="H108" s="33">
        <v>245</v>
      </c>
      <c r="I108" s="33">
        <v>36</v>
      </c>
      <c r="J108" s="33">
        <v>240</v>
      </c>
      <c r="K108" s="33">
        <v>36</v>
      </c>
      <c r="L108" s="33">
        <v>236</v>
      </c>
      <c r="M108" s="33">
        <v>39</v>
      </c>
      <c r="N108" s="33">
        <v>226</v>
      </c>
      <c r="O108" s="33">
        <v>38</v>
      </c>
      <c r="P108" s="130">
        <v>238</v>
      </c>
      <c r="Q108" s="130">
        <v>36</v>
      </c>
      <c r="R108" s="247">
        <v>227</v>
      </c>
      <c r="S108" s="247" t="s">
        <v>876</v>
      </c>
      <c r="T108" s="247">
        <v>41</v>
      </c>
      <c r="U108" s="247" t="s">
        <v>874</v>
      </c>
      <c r="V108" s="311">
        <v>237</v>
      </c>
      <c r="W108" s="311" t="s">
        <v>876</v>
      </c>
      <c r="X108" s="311">
        <v>41</v>
      </c>
      <c r="Y108" s="311" t="s">
        <v>874</v>
      </c>
      <c r="Z108" s="426">
        <v>231</v>
      </c>
      <c r="AA108" s="426" t="s">
        <v>876</v>
      </c>
      <c r="AB108" s="426">
        <v>42</v>
      </c>
      <c r="AC108" s="426" t="s">
        <v>874</v>
      </c>
      <c r="AD108" s="466">
        <v>233</v>
      </c>
      <c r="AE108" s="466" t="s">
        <v>876</v>
      </c>
      <c r="AF108" s="466">
        <v>45</v>
      </c>
      <c r="AG108" s="466" t="s">
        <v>874</v>
      </c>
      <c r="AH108" s="609"/>
    </row>
    <row r="109" spans="1:34" ht="21.95" customHeight="1" x14ac:dyDescent="0.2">
      <c r="A109" s="467" t="s">
        <v>86</v>
      </c>
      <c r="B109" s="1" t="s">
        <v>219</v>
      </c>
      <c r="C109" s="12">
        <v>1</v>
      </c>
      <c r="D109" s="27">
        <v>252</v>
      </c>
      <c r="E109" s="2"/>
      <c r="F109" s="2">
        <v>254</v>
      </c>
      <c r="G109" s="2"/>
      <c r="H109" s="33">
        <v>260</v>
      </c>
      <c r="I109" s="33">
        <v>35</v>
      </c>
      <c r="J109" s="33">
        <v>251</v>
      </c>
      <c r="K109" s="33">
        <v>36</v>
      </c>
      <c r="L109" s="33">
        <v>253</v>
      </c>
      <c r="M109" s="33">
        <v>40</v>
      </c>
      <c r="N109" s="33">
        <v>248</v>
      </c>
      <c r="O109" s="33">
        <v>41</v>
      </c>
      <c r="P109" s="130">
        <v>246</v>
      </c>
      <c r="Q109" s="130">
        <v>36</v>
      </c>
      <c r="R109" s="247">
        <v>245</v>
      </c>
      <c r="S109" s="247" t="s">
        <v>876</v>
      </c>
      <c r="T109" s="247">
        <v>42</v>
      </c>
      <c r="U109" s="247" t="s">
        <v>874</v>
      </c>
      <c r="V109" s="311">
        <v>255</v>
      </c>
      <c r="W109" s="311" t="s">
        <v>876</v>
      </c>
      <c r="X109" s="311">
        <v>41</v>
      </c>
      <c r="Y109" s="311" t="s">
        <v>874</v>
      </c>
      <c r="Z109" s="426">
        <v>253</v>
      </c>
      <c r="AA109" s="426" t="s">
        <v>876</v>
      </c>
      <c r="AB109" s="426">
        <v>40</v>
      </c>
      <c r="AC109" s="426" t="s">
        <v>874</v>
      </c>
      <c r="AD109" s="466">
        <v>260</v>
      </c>
      <c r="AE109" s="466" t="s">
        <v>876</v>
      </c>
      <c r="AF109" s="466">
        <v>42</v>
      </c>
      <c r="AG109" s="466" t="s">
        <v>874</v>
      </c>
      <c r="AH109" s="609"/>
    </row>
    <row r="110" spans="1:34" ht="21.95" customHeight="1" x14ac:dyDescent="0.2">
      <c r="A110" s="467" t="s">
        <v>46</v>
      </c>
      <c r="B110" s="1" t="s">
        <v>221</v>
      </c>
      <c r="C110" s="12">
        <v>5</v>
      </c>
      <c r="D110" s="27">
        <v>265.23846153846154</v>
      </c>
      <c r="E110" s="2"/>
      <c r="F110" s="2">
        <v>258</v>
      </c>
      <c r="G110" s="2"/>
      <c r="H110" s="33">
        <v>279</v>
      </c>
      <c r="I110" s="33">
        <v>36</v>
      </c>
      <c r="J110" s="33">
        <v>256</v>
      </c>
      <c r="K110" s="33">
        <v>34</v>
      </c>
      <c r="L110" s="33">
        <v>249</v>
      </c>
      <c r="M110" s="33">
        <v>47</v>
      </c>
      <c r="N110" s="33">
        <v>263</v>
      </c>
      <c r="O110" s="33">
        <v>36</v>
      </c>
      <c r="P110" s="130">
        <v>259</v>
      </c>
      <c r="Q110" s="130">
        <v>36</v>
      </c>
      <c r="R110" s="247">
        <v>271</v>
      </c>
      <c r="S110" s="247" t="s">
        <v>875</v>
      </c>
      <c r="T110" s="247">
        <v>38</v>
      </c>
      <c r="U110" s="247" t="s">
        <v>874</v>
      </c>
      <c r="AH110" s="609"/>
    </row>
    <row r="111" spans="1:34" ht="21.95" customHeight="1" x14ac:dyDescent="0.2">
      <c r="A111" s="467" t="s">
        <v>61</v>
      </c>
      <c r="B111" s="1" t="s">
        <v>219</v>
      </c>
      <c r="C111" s="12">
        <v>6</v>
      </c>
      <c r="D111" s="27">
        <v>245.02307692307696</v>
      </c>
      <c r="E111" s="2"/>
      <c r="F111" s="2">
        <v>247</v>
      </c>
      <c r="G111" s="2"/>
      <c r="H111" s="33">
        <v>261</v>
      </c>
      <c r="I111" s="33">
        <v>35</v>
      </c>
      <c r="J111" s="33">
        <v>258</v>
      </c>
      <c r="K111" s="33">
        <v>36</v>
      </c>
      <c r="L111" s="33">
        <v>248</v>
      </c>
      <c r="M111" s="33">
        <v>41</v>
      </c>
      <c r="N111" s="33">
        <v>250</v>
      </c>
      <c r="O111" s="33">
        <v>36</v>
      </c>
      <c r="P111" s="130">
        <v>250</v>
      </c>
      <c r="Q111" s="130">
        <v>40</v>
      </c>
      <c r="R111" s="247">
        <v>250</v>
      </c>
      <c r="S111" s="247" t="s">
        <v>876</v>
      </c>
      <c r="T111" s="247">
        <v>41</v>
      </c>
      <c r="U111" s="247" t="s">
        <v>874</v>
      </c>
      <c r="V111" s="311">
        <v>256</v>
      </c>
      <c r="W111" s="311" t="s">
        <v>876</v>
      </c>
      <c r="X111" s="311">
        <v>42</v>
      </c>
      <c r="Y111" s="311" t="s">
        <v>874</v>
      </c>
      <c r="Z111" s="426">
        <v>253</v>
      </c>
      <c r="AA111" s="426" t="s">
        <v>876</v>
      </c>
      <c r="AB111" s="426">
        <v>36</v>
      </c>
      <c r="AC111" s="426" t="s">
        <v>876</v>
      </c>
      <c r="AD111" s="466">
        <v>257</v>
      </c>
      <c r="AE111" s="466" t="s">
        <v>876</v>
      </c>
      <c r="AF111" s="466">
        <v>39</v>
      </c>
      <c r="AG111" s="466" t="s">
        <v>874</v>
      </c>
      <c r="AH111" s="609"/>
    </row>
    <row r="112" spans="1:34" ht="21.95" customHeight="1" x14ac:dyDescent="0.2">
      <c r="A112" s="467" t="s">
        <v>21</v>
      </c>
      <c r="B112" s="1" t="s">
        <v>219</v>
      </c>
      <c r="C112" s="12">
        <v>5</v>
      </c>
      <c r="D112" s="27">
        <v>253.62307692307695</v>
      </c>
      <c r="E112" s="2"/>
      <c r="F112" s="2">
        <v>248</v>
      </c>
      <c r="G112" s="2"/>
      <c r="H112" s="33">
        <v>259</v>
      </c>
      <c r="I112" s="33">
        <v>32</v>
      </c>
      <c r="J112" s="33">
        <v>251</v>
      </c>
      <c r="K112" s="33">
        <v>37</v>
      </c>
      <c r="L112" s="33">
        <v>247</v>
      </c>
      <c r="M112" s="33">
        <v>35</v>
      </c>
      <c r="N112" s="33">
        <v>249</v>
      </c>
      <c r="O112" s="33">
        <v>38</v>
      </c>
      <c r="P112" s="130">
        <v>250</v>
      </c>
      <c r="Q112" s="130">
        <v>37</v>
      </c>
      <c r="R112" s="247">
        <v>248</v>
      </c>
      <c r="S112" s="247" t="s">
        <v>876</v>
      </c>
      <c r="T112" s="247">
        <v>39</v>
      </c>
      <c r="U112" s="247" t="s">
        <v>874</v>
      </c>
      <c r="V112" s="311">
        <v>260</v>
      </c>
      <c r="W112" s="311" t="s">
        <v>874</v>
      </c>
      <c r="X112" s="311">
        <v>40</v>
      </c>
      <c r="Y112" s="311" t="s">
        <v>874</v>
      </c>
      <c r="Z112" s="426">
        <v>249</v>
      </c>
      <c r="AA112" s="426" t="s">
        <v>876</v>
      </c>
      <c r="AB112" s="426">
        <v>40</v>
      </c>
      <c r="AC112" s="426" t="s">
        <v>874</v>
      </c>
      <c r="AD112" s="466">
        <v>259</v>
      </c>
      <c r="AE112" s="466" t="s">
        <v>876</v>
      </c>
      <c r="AF112" s="466">
        <v>42</v>
      </c>
      <c r="AG112" s="466" t="s">
        <v>874</v>
      </c>
      <c r="AH112" s="609"/>
    </row>
    <row r="113" spans="1:34" ht="21.95" customHeight="1" x14ac:dyDescent="0.2">
      <c r="A113" s="467" t="s">
        <v>124</v>
      </c>
      <c r="B113" s="1" t="s">
        <v>219</v>
      </c>
      <c r="C113" s="12">
        <v>4</v>
      </c>
      <c r="D113" s="27">
        <v>250.57692307692307</v>
      </c>
      <c r="E113" s="2"/>
      <c r="F113" s="2">
        <v>241</v>
      </c>
      <c r="G113" s="2"/>
      <c r="H113" s="33">
        <v>228</v>
      </c>
      <c r="I113" s="33">
        <v>33</v>
      </c>
      <c r="J113" s="33">
        <v>229</v>
      </c>
      <c r="K113" s="33">
        <v>29</v>
      </c>
      <c r="L113" s="33">
        <v>224</v>
      </c>
      <c r="M113" s="33">
        <v>38</v>
      </c>
      <c r="N113" s="33">
        <v>224</v>
      </c>
      <c r="O113" s="33">
        <v>41</v>
      </c>
      <c r="P113" s="130">
        <v>229</v>
      </c>
      <c r="Q113" s="130">
        <v>34</v>
      </c>
      <c r="R113" s="247">
        <v>231</v>
      </c>
      <c r="S113" s="247" t="s">
        <v>876</v>
      </c>
      <c r="T113" s="247">
        <v>30</v>
      </c>
      <c r="U113" s="247" t="s">
        <v>876</v>
      </c>
      <c r="V113" s="311">
        <v>235</v>
      </c>
      <c r="W113" s="311" t="s">
        <v>876</v>
      </c>
      <c r="X113" s="311">
        <v>45</v>
      </c>
      <c r="Y113" s="311" t="s">
        <v>874</v>
      </c>
      <c r="Z113" s="426">
        <v>236</v>
      </c>
      <c r="AA113" s="426" t="s">
        <v>876</v>
      </c>
      <c r="AB113" s="426">
        <v>42</v>
      </c>
      <c r="AC113" s="426" t="s">
        <v>874</v>
      </c>
      <c r="AD113" s="466">
        <v>229</v>
      </c>
      <c r="AE113" s="466" t="s">
        <v>876</v>
      </c>
      <c r="AF113" s="466">
        <v>40</v>
      </c>
      <c r="AG113" s="466" t="s">
        <v>874</v>
      </c>
      <c r="AH113" s="609"/>
    </row>
    <row r="114" spans="1:34" ht="21.95" customHeight="1" x14ac:dyDescent="0.2">
      <c r="A114" s="467" t="s">
        <v>23</v>
      </c>
      <c r="B114" s="1" t="s">
        <v>219</v>
      </c>
      <c r="C114" s="12">
        <v>2</v>
      </c>
      <c r="D114" s="27">
        <v>256</v>
      </c>
      <c r="E114" s="2"/>
      <c r="F114" s="2">
        <v>258</v>
      </c>
      <c r="G114" s="2"/>
      <c r="H114" s="33">
        <v>269</v>
      </c>
      <c r="I114" s="33">
        <v>38</v>
      </c>
      <c r="J114" s="33">
        <v>264</v>
      </c>
      <c r="K114" s="33">
        <v>39</v>
      </c>
      <c r="L114" s="33">
        <v>260</v>
      </c>
      <c r="M114" s="33">
        <v>40</v>
      </c>
      <c r="N114" s="33">
        <v>254</v>
      </c>
      <c r="O114" s="33">
        <v>40</v>
      </c>
      <c r="P114" s="130">
        <v>257</v>
      </c>
      <c r="Q114" s="130">
        <v>39</v>
      </c>
      <c r="R114" s="247">
        <v>253</v>
      </c>
      <c r="S114" s="247" t="s">
        <v>876</v>
      </c>
      <c r="T114" s="247">
        <v>41</v>
      </c>
      <c r="U114" s="247" t="s">
        <v>874</v>
      </c>
      <c r="V114" s="311">
        <v>261</v>
      </c>
      <c r="W114" s="311" t="s">
        <v>874</v>
      </c>
      <c r="X114" s="311">
        <v>41</v>
      </c>
      <c r="Y114" s="311" t="s">
        <v>874</v>
      </c>
      <c r="Z114" s="426">
        <v>261</v>
      </c>
      <c r="AA114" s="426" t="s">
        <v>874</v>
      </c>
      <c r="AB114" s="426">
        <v>41</v>
      </c>
      <c r="AC114" s="426" t="s">
        <v>874</v>
      </c>
      <c r="AD114" s="466">
        <v>260</v>
      </c>
      <c r="AE114" s="466" t="s">
        <v>876</v>
      </c>
      <c r="AF114" s="466">
        <v>42</v>
      </c>
      <c r="AG114" s="466" t="s">
        <v>874</v>
      </c>
      <c r="AH114" s="609"/>
    </row>
    <row r="115" spans="1:34" ht="21.95" customHeight="1" x14ac:dyDescent="0.2">
      <c r="A115" s="467" t="s">
        <v>222</v>
      </c>
      <c r="B115" s="1" t="s">
        <v>221</v>
      </c>
      <c r="C115" s="12">
        <v>1</v>
      </c>
      <c r="D115" s="27">
        <v>247.17307692307696</v>
      </c>
      <c r="F115" s="2">
        <v>253</v>
      </c>
      <c r="G115" s="2"/>
      <c r="H115" s="33">
        <v>253</v>
      </c>
      <c r="I115" s="33">
        <v>33</v>
      </c>
      <c r="J115" s="33">
        <v>274</v>
      </c>
      <c r="K115" s="33">
        <v>35</v>
      </c>
      <c r="L115" s="33">
        <v>271</v>
      </c>
      <c r="M115" s="33">
        <v>35</v>
      </c>
      <c r="N115" s="33">
        <v>271</v>
      </c>
      <c r="O115" s="33">
        <v>36</v>
      </c>
      <c r="P115" s="130">
        <v>274</v>
      </c>
      <c r="Q115" s="130">
        <v>38</v>
      </c>
      <c r="R115" s="247">
        <v>274</v>
      </c>
      <c r="S115" s="247" t="s">
        <v>875</v>
      </c>
      <c r="T115" s="247">
        <v>37</v>
      </c>
      <c r="U115" s="247" t="s">
        <v>874</v>
      </c>
      <c r="V115" s="311">
        <v>266</v>
      </c>
      <c r="W115" s="311" t="s">
        <v>875</v>
      </c>
      <c r="X115" s="311">
        <v>44</v>
      </c>
      <c r="Y115" s="311" t="s">
        <v>874</v>
      </c>
      <c r="Z115" s="426">
        <v>283</v>
      </c>
      <c r="AA115" s="426" t="s">
        <v>875</v>
      </c>
      <c r="AB115" s="426">
        <v>43</v>
      </c>
      <c r="AC115" s="426" t="s">
        <v>874</v>
      </c>
      <c r="AD115" s="466">
        <v>271</v>
      </c>
      <c r="AE115" s="466" t="s">
        <v>875</v>
      </c>
      <c r="AF115" s="466">
        <v>38</v>
      </c>
      <c r="AG115" s="466" t="s">
        <v>874</v>
      </c>
      <c r="AH115" s="609"/>
    </row>
    <row r="116" spans="1:34" ht="21.95" customHeight="1" x14ac:dyDescent="0.2">
      <c r="A116" s="467" t="s">
        <v>88</v>
      </c>
      <c r="B116" s="1" t="s">
        <v>219</v>
      </c>
      <c r="C116" s="12">
        <v>2</v>
      </c>
      <c r="D116" s="27">
        <v>255</v>
      </c>
      <c r="E116" s="2"/>
      <c r="F116" s="2">
        <v>246</v>
      </c>
      <c r="G116" s="2"/>
      <c r="H116" s="33">
        <v>260</v>
      </c>
      <c r="I116" s="33">
        <v>32</v>
      </c>
      <c r="J116" s="33">
        <v>259</v>
      </c>
      <c r="K116" s="33">
        <v>39</v>
      </c>
      <c r="L116" s="33">
        <v>255</v>
      </c>
      <c r="M116" s="33">
        <v>41</v>
      </c>
      <c r="N116" s="33">
        <v>253</v>
      </c>
      <c r="O116" s="33">
        <v>41</v>
      </c>
      <c r="P116" s="130">
        <v>254</v>
      </c>
      <c r="Q116" s="130">
        <v>36</v>
      </c>
      <c r="R116" s="247">
        <v>248</v>
      </c>
      <c r="S116" s="247" t="s">
        <v>876</v>
      </c>
      <c r="T116" s="247">
        <v>37</v>
      </c>
      <c r="U116" s="247" t="s">
        <v>874</v>
      </c>
      <c r="V116" s="311">
        <v>246</v>
      </c>
      <c r="W116" s="311" t="s">
        <v>876</v>
      </c>
      <c r="X116" s="311">
        <v>41</v>
      </c>
      <c r="Y116" s="311" t="s">
        <v>874</v>
      </c>
      <c r="Z116" s="426">
        <v>256</v>
      </c>
      <c r="AA116" s="426" t="s">
        <v>876</v>
      </c>
      <c r="AB116" s="426">
        <v>37</v>
      </c>
      <c r="AC116" s="426" t="s">
        <v>874</v>
      </c>
      <c r="AD116" s="466">
        <v>263</v>
      </c>
      <c r="AE116" s="466" t="s">
        <v>874</v>
      </c>
      <c r="AF116" s="466">
        <v>39</v>
      </c>
      <c r="AG116" s="466" t="s">
        <v>874</v>
      </c>
      <c r="AH116" s="609"/>
    </row>
    <row r="117" spans="1:34" ht="21.95" customHeight="1" x14ac:dyDescent="0.2">
      <c r="A117" s="467" t="s">
        <v>1096</v>
      </c>
      <c r="B117" s="1" t="s">
        <v>219</v>
      </c>
      <c r="C117" s="12">
        <v>4</v>
      </c>
      <c r="D117" s="27">
        <v>257.81153846153848</v>
      </c>
      <c r="E117" s="2"/>
      <c r="F117" s="27">
        <v>257.31153846153848</v>
      </c>
      <c r="G117" s="2"/>
      <c r="H117" s="33">
        <v>266</v>
      </c>
      <c r="I117" s="33">
        <v>39</v>
      </c>
      <c r="J117" s="33">
        <v>269</v>
      </c>
      <c r="K117" s="33">
        <v>43</v>
      </c>
      <c r="L117" s="33">
        <v>248</v>
      </c>
      <c r="M117" s="33">
        <v>36</v>
      </c>
      <c r="N117" s="33">
        <v>247</v>
      </c>
      <c r="O117" s="33">
        <v>40</v>
      </c>
      <c r="P117" s="130">
        <v>248</v>
      </c>
      <c r="Q117" s="130">
        <v>36</v>
      </c>
      <c r="R117" s="247">
        <v>243</v>
      </c>
      <c r="S117" s="247" t="s">
        <v>876</v>
      </c>
      <c r="T117" s="247">
        <v>39</v>
      </c>
      <c r="U117" s="247" t="s">
        <v>874</v>
      </c>
      <c r="V117" s="311">
        <v>245</v>
      </c>
      <c r="W117" s="311" t="s">
        <v>876</v>
      </c>
      <c r="X117" s="311">
        <v>39</v>
      </c>
      <c r="Y117" s="311" t="s">
        <v>874</v>
      </c>
      <c r="Z117" s="426">
        <v>252</v>
      </c>
      <c r="AA117" s="426" t="s">
        <v>876</v>
      </c>
      <c r="AB117" s="426">
        <v>42</v>
      </c>
      <c r="AC117" s="426" t="s">
        <v>874</v>
      </c>
      <c r="AD117" s="466">
        <v>251</v>
      </c>
      <c r="AE117" s="466" t="s">
        <v>876</v>
      </c>
      <c r="AF117" s="466">
        <v>41</v>
      </c>
      <c r="AG117" s="466" t="s">
        <v>874</v>
      </c>
      <c r="AH117" s="609"/>
    </row>
    <row r="118" spans="1:34" ht="21.95" customHeight="1" x14ac:dyDescent="0.2">
      <c r="A118" s="467" t="s">
        <v>1097</v>
      </c>
      <c r="B118" s="1" t="s">
        <v>221</v>
      </c>
      <c r="C118" s="12">
        <v>1</v>
      </c>
      <c r="D118" s="27">
        <v>238.6615384615385</v>
      </c>
      <c r="E118" s="2"/>
      <c r="F118" s="27">
        <v>240.52692307692308</v>
      </c>
      <c r="G118" s="2"/>
      <c r="H118" s="33">
        <v>243</v>
      </c>
      <c r="I118" s="33">
        <v>37</v>
      </c>
      <c r="J118" s="33">
        <v>235</v>
      </c>
      <c r="K118" s="33">
        <v>44</v>
      </c>
      <c r="L118" s="33">
        <v>229</v>
      </c>
      <c r="M118" s="33">
        <v>32</v>
      </c>
      <c r="N118" s="33">
        <v>236</v>
      </c>
      <c r="O118" s="33">
        <v>38</v>
      </c>
      <c r="P118" s="130">
        <v>255</v>
      </c>
      <c r="Q118" s="130">
        <v>34</v>
      </c>
      <c r="R118" s="247">
        <v>253</v>
      </c>
      <c r="S118" s="247" t="s">
        <v>876</v>
      </c>
      <c r="T118" s="247">
        <v>45</v>
      </c>
      <c r="U118" s="247" t="s">
        <v>874</v>
      </c>
      <c r="V118" s="311">
        <v>258</v>
      </c>
      <c r="W118" s="311" t="s">
        <v>876</v>
      </c>
      <c r="X118" s="311">
        <v>42</v>
      </c>
      <c r="Y118" s="311" t="s">
        <v>874</v>
      </c>
      <c r="Z118" s="426">
        <v>260</v>
      </c>
      <c r="AA118" s="426" t="s">
        <v>874</v>
      </c>
      <c r="AB118" s="426">
        <v>36</v>
      </c>
      <c r="AC118" s="426" t="s">
        <v>876</v>
      </c>
      <c r="AD118" s="466">
        <v>277</v>
      </c>
      <c r="AE118" s="466" t="s">
        <v>875</v>
      </c>
      <c r="AF118" s="466">
        <v>30</v>
      </c>
      <c r="AG118" s="466" t="s">
        <v>876</v>
      </c>
      <c r="AH118" s="609"/>
    </row>
    <row r="119" spans="1:34" ht="21.95" customHeight="1" x14ac:dyDescent="0.2">
      <c r="A119" s="467" t="s">
        <v>172</v>
      </c>
      <c r="B119" s="1" t="s">
        <v>219</v>
      </c>
      <c r="C119" s="12">
        <v>3</v>
      </c>
      <c r="D119" s="27">
        <v>251</v>
      </c>
      <c r="E119" s="2"/>
      <c r="F119" s="2">
        <v>243</v>
      </c>
      <c r="G119" s="2"/>
      <c r="H119" s="33">
        <v>255</v>
      </c>
      <c r="I119" s="33">
        <v>38</v>
      </c>
      <c r="J119" s="33">
        <v>254</v>
      </c>
      <c r="K119" s="33">
        <v>36</v>
      </c>
      <c r="L119" s="33">
        <v>256</v>
      </c>
      <c r="M119" s="33">
        <v>40</v>
      </c>
      <c r="N119" s="33">
        <v>249</v>
      </c>
      <c r="O119" s="33">
        <v>37</v>
      </c>
      <c r="P119" s="130">
        <v>243</v>
      </c>
      <c r="Q119" s="130">
        <v>36</v>
      </c>
      <c r="R119" s="247">
        <v>245</v>
      </c>
      <c r="S119" s="247" t="s">
        <v>876</v>
      </c>
      <c r="T119" s="247">
        <v>35</v>
      </c>
      <c r="U119" s="247" t="s">
        <v>876</v>
      </c>
      <c r="V119" s="311">
        <v>251</v>
      </c>
      <c r="W119" s="311" t="s">
        <v>876</v>
      </c>
      <c r="X119" s="311">
        <v>39</v>
      </c>
      <c r="Y119" s="311" t="s">
        <v>874</v>
      </c>
      <c r="Z119" s="426">
        <v>247</v>
      </c>
      <c r="AA119" s="426" t="s">
        <v>876</v>
      </c>
      <c r="AB119" s="426">
        <v>37</v>
      </c>
      <c r="AC119" s="426" t="s">
        <v>874</v>
      </c>
      <c r="AD119" s="466">
        <v>250</v>
      </c>
      <c r="AE119" s="466" t="s">
        <v>876</v>
      </c>
      <c r="AF119" s="466">
        <v>42</v>
      </c>
      <c r="AG119" s="466" t="s">
        <v>874</v>
      </c>
      <c r="AH119" s="609"/>
    </row>
    <row r="120" spans="1:34" ht="21.95" customHeight="1" x14ac:dyDescent="0.2">
      <c r="A120" s="467" t="s">
        <v>33</v>
      </c>
      <c r="B120" s="1" t="s">
        <v>219</v>
      </c>
      <c r="C120" s="12">
        <v>6</v>
      </c>
      <c r="D120" s="27">
        <v>247</v>
      </c>
      <c r="E120" s="2"/>
      <c r="F120" s="2">
        <v>245</v>
      </c>
      <c r="G120" s="2"/>
      <c r="H120" s="33">
        <v>257</v>
      </c>
      <c r="I120" s="33">
        <v>34</v>
      </c>
      <c r="J120" s="33">
        <v>262</v>
      </c>
      <c r="K120" s="33">
        <v>37</v>
      </c>
      <c r="L120" s="33">
        <v>265</v>
      </c>
      <c r="M120" s="33">
        <v>42</v>
      </c>
      <c r="N120" s="33">
        <v>251</v>
      </c>
      <c r="O120" s="33">
        <v>41</v>
      </c>
      <c r="P120" s="130">
        <v>255</v>
      </c>
      <c r="Q120" s="130">
        <v>36</v>
      </c>
      <c r="R120" s="247">
        <v>245</v>
      </c>
      <c r="S120" s="247" t="s">
        <v>876</v>
      </c>
      <c r="T120" s="247">
        <v>37</v>
      </c>
      <c r="U120" s="247" t="s">
        <v>874</v>
      </c>
      <c r="V120" s="311">
        <v>250</v>
      </c>
      <c r="W120" s="311" t="s">
        <v>876</v>
      </c>
      <c r="X120" s="311">
        <v>41</v>
      </c>
      <c r="Y120" s="311" t="s">
        <v>874</v>
      </c>
      <c r="Z120" s="426">
        <v>249</v>
      </c>
      <c r="AA120" s="426" t="s">
        <v>876</v>
      </c>
      <c r="AB120" s="426">
        <v>44</v>
      </c>
      <c r="AC120" s="426" t="s">
        <v>874</v>
      </c>
      <c r="AD120" s="466">
        <v>246</v>
      </c>
      <c r="AE120" s="466" t="s">
        <v>876</v>
      </c>
      <c r="AF120" s="466">
        <v>44</v>
      </c>
      <c r="AG120" s="466" t="s">
        <v>874</v>
      </c>
      <c r="AH120" s="609"/>
    </row>
    <row r="121" spans="1:34" ht="21.95" customHeight="1" x14ac:dyDescent="0.2">
      <c r="A121" s="467" t="s">
        <v>65</v>
      </c>
      <c r="B121" s="1" t="s">
        <v>219</v>
      </c>
      <c r="C121" s="12">
        <v>3</v>
      </c>
      <c r="D121" s="27">
        <v>256</v>
      </c>
      <c r="E121" s="2"/>
      <c r="F121" s="2">
        <v>248</v>
      </c>
      <c r="G121" s="2"/>
      <c r="H121" s="33">
        <v>262</v>
      </c>
      <c r="I121" s="33">
        <v>34</v>
      </c>
      <c r="J121" s="33">
        <v>258</v>
      </c>
      <c r="K121" s="33">
        <v>38</v>
      </c>
      <c r="L121" s="33">
        <v>255</v>
      </c>
      <c r="M121" s="33">
        <v>38</v>
      </c>
      <c r="N121" s="33">
        <v>253</v>
      </c>
      <c r="O121" s="33">
        <v>40</v>
      </c>
      <c r="P121" s="130">
        <v>257</v>
      </c>
      <c r="Q121" s="130">
        <v>39</v>
      </c>
      <c r="R121" s="247">
        <v>245</v>
      </c>
      <c r="S121" s="247" t="s">
        <v>876</v>
      </c>
      <c r="T121" s="247">
        <v>38</v>
      </c>
      <c r="U121" s="247" t="s">
        <v>874</v>
      </c>
      <c r="V121" s="311">
        <v>247</v>
      </c>
      <c r="W121" s="311" t="s">
        <v>876</v>
      </c>
      <c r="X121" s="311">
        <v>37</v>
      </c>
      <c r="Y121" s="311" t="s">
        <v>874</v>
      </c>
      <c r="Z121" s="426">
        <v>245</v>
      </c>
      <c r="AA121" s="426" t="s">
        <v>876</v>
      </c>
      <c r="AB121" s="426">
        <v>39</v>
      </c>
      <c r="AC121" s="426" t="s">
        <v>874</v>
      </c>
      <c r="AD121" s="466">
        <v>256</v>
      </c>
      <c r="AE121" s="466" t="s">
        <v>876</v>
      </c>
      <c r="AF121" s="466">
        <v>45</v>
      </c>
      <c r="AG121" s="466" t="s">
        <v>874</v>
      </c>
      <c r="AH121" s="609"/>
    </row>
    <row r="122" spans="1:34" ht="21.95" customHeight="1" x14ac:dyDescent="0.2">
      <c r="A122" s="467" t="s">
        <v>106</v>
      </c>
      <c r="B122" s="1" t="s">
        <v>221</v>
      </c>
      <c r="C122" s="12">
        <v>1</v>
      </c>
      <c r="D122" s="27">
        <v>266.73461538461538</v>
      </c>
      <c r="E122" s="2"/>
      <c r="F122" s="27">
        <v>269.34999999999997</v>
      </c>
      <c r="G122" s="2"/>
      <c r="H122" s="33">
        <v>282</v>
      </c>
      <c r="I122" s="33">
        <v>37</v>
      </c>
      <c r="J122" s="33">
        <v>278</v>
      </c>
      <c r="K122" s="33">
        <v>38</v>
      </c>
      <c r="L122" s="33">
        <v>263</v>
      </c>
      <c r="M122" s="33">
        <v>43</v>
      </c>
      <c r="N122" s="33">
        <v>248</v>
      </c>
      <c r="O122" s="33">
        <v>44</v>
      </c>
      <c r="P122" s="130">
        <v>261</v>
      </c>
      <c r="Q122" s="130">
        <v>37</v>
      </c>
      <c r="R122" s="247">
        <v>253</v>
      </c>
      <c r="S122" s="247" t="s">
        <v>876</v>
      </c>
      <c r="T122" s="247">
        <v>39</v>
      </c>
      <c r="U122" s="247" t="s">
        <v>874</v>
      </c>
      <c r="V122" s="311">
        <v>280</v>
      </c>
      <c r="W122" s="311" t="s">
        <v>875</v>
      </c>
      <c r="X122" s="311">
        <v>35</v>
      </c>
      <c r="Y122" s="311" t="s">
        <v>876</v>
      </c>
      <c r="Z122" s="426">
        <v>280</v>
      </c>
      <c r="AA122" s="426" t="s">
        <v>875</v>
      </c>
      <c r="AB122" s="426">
        <v>41</v>
      </c>
      <c r="AC122" s="426" t="s">
        <v>874</v>
      </c>
      <c r="AD122" s="466">
        <v>268</v>
      </c>
      <c r="AE122" s="466" t="s">
        <v>874</v>
      </c>
      <c r="AF122" s="466">
        <v>45</v>
      </c>
      <c r="AG122" s="466" t="s">
        <v>874</v>
      </c>
      <c r="AH122" s="609"/>
    </row>
    <row r="123" spans="1:34" ht="21.95" customHeight="1" x14ac:dyDescent="0.2">
      <c r="A123" s="467" t="s">
        <v>187</v>
      </c>
      <c r="B123" s="1" t="s">
        <v>219</v>
      </c>
      <c r="C123" s="12">
        <v>4</v>
      </c>
      <c r="D123" s="27">
        <v>237.58076923076925</v>
      </c>
      <c r="E123" s="2"/>
      <c r="F123" s="27">
        <v>239.06538461538463</v>
      </c>
      <c r="G123" s="2"/>
      <c r="H123" s="33">
        <v>239</v>
      </c>
      <c r="I123" s="33">
        <v>37</v>
      </c>
      <c r="J123" s="33">
        <v>240</v>
      </c>
      <c r="K123" s="33">
        <v>38</v>
      </c>
      <c r="L123" s="33">
        <v>228</v>
      </c>
      <c r="M123" s="33">
        <v>34</v>
      </c>
      <c r="N123" s="33">
        <v>234</v>
      </c>
      <c r="O123" s="33">
        <v>42</v>
      </c>
      <c r="P123" s="130">
        <v>230</v>
      </c>
      <c r="Q123" s="130">
        <v>35</v>
      </c>
      <c r="R123" s="247">
        <v>239</v>
      </c>
      <c r="S123" s="247" t="s">
        <v>876</v>
      </c>
      <c r="T123" s="247">
        <v>43</v>
      </c>
      <c r="U123" s="247" t="s">
        <v>874</v>
      </c>
      <c r="V123" s="311">
        <v>239</v>
      </c>
      <c r="W123" s="311" t="s">
        <v>876</v>
      </c>
      <c r="X123" s="311">
        <v>40</v>
      </c>
      <c r="Y123" s="311" t="s">
        <v>874</v>
      </c>
      <c r="Z123" s="426">
        <v>239</v>
      </c>
      <c r="AA123" s="426" t="s">
        <v>876</v>
      </c>
      <c r="AB123" s="426">
        <v>43</v>
      </c>
      <c r="AC123" s="426" t="s">
        <v>874</v>
      </c>
      <c r="AD123" s="466">
        <v>234</v>
      </c>
      <c r="AE123" s="466" t="s">
        <v>876</v>
      </c>
      <c r="AF123" s="466">
        <v>41</v>
      </c>
      <c r="AG123" s="466" t="s">
        <v>874</v>
      </c>
      <c r="AH123" s="609"/>
    </row>
    <row r="124" spans="1:34" ht="21.95" customHeight="1" x14ac:dyDescent="0.2">
      <c r="A124" s="469" t="s">
        <v>928</v>
      </c>
      <c r="B124" s="1" t="s">
        <v>219</v>
      </c>
      <c r="C124" s="330">
        <v>2</v>
      </c>
      <c r="D124" s="321"/>
      <c r="E124" s="311"/>
      <c r="F124" s="321"/>
      <c r="G124" s="311"/>
      <c r="H124" s="322"/>
      <c r="I124" s="322"/>
      <c r="J124" s="322"/>
      <c r="K124" s="322"/>
      <c r="L124" s="322"/>
      <c r="M124" s="322"/>
      <c r="N124" s="322"/>
      <c r="O124" s="322"/>
      <c r="P124" s="323"/>
      <c r="Q124" s="323"/>
      <c r="R124" s="314"/>
      <c r="S124" s="314"/>
      <c r="T124" s="314"/>
      <c r="U124" s="314"/>
      <c r="V124" s="311">
        <v>260</v>
      </c>
      <c r="W124" s="311" t="s">
        <v>874</v>
      </c>
      <c r="X124" s="311">
        <v>36</v>
      </c>
      <c r="Y124" s="311" t="s">
        <v>876</v>
      </c>
      <c r="Z124" s="426">
        <v>253</v>
      </c>
      <c r="AA124" s="426" t="s">
        <v>876</v>
      </c>
      <c r="AB124" s="426">
        <v>41</v>
      </c>
      <c r="AC124" s="426" t="s">
        <v>874</v>
      </c>
      <c r="AD124" s="466">
        <v>255</v>
      </c>
      <c r="AE124" s="466" t="s">
        <v>876</v>
      </c>
      <c r="AF124" s="466">
        <v>40</v>
      </c>
      <c r="AG124" s="466" t="s">
        <v>874</v>
      </c>
      <c r="AH124" s="609"/>
    </row>
    <row r="125" spans="1:34" ht="21.95" customHeight="1" x14ac:dyDescent="0.2">
      <c r="A125" s="467" t="s">
        <v>130</v>
      </c>
      <c r="B125" s="1" t="s">
        <v>219</v>
      </c>
      <c r="C125" s="12">
        <v>3</v>
      </c>
      <c r="D125" s="27">
        <v>248.00769230769225</v>
      </c>
      <c r="E125" s="2"/>
      <c r="F125" s="27">
        <v>246.76923076923077</v>
      </c>
      <c r="G125" s="2"/>
      <c r="H125" s="33">
        <v>263</v>
      </c>
      <c r="I125" s="33">
        <v>40</v>
      </c>
      <c r="J125" s="33">
        <v>258</v>
      </c>
      <c r="K125" s="33">
        <v>38</v>
      </c>
      <c r="L125" s="33">
        <v>257</v>
      </c>
      <c r="M125" s="33">
        <v>40</v>
      </c>
      <c r="N125" s="33">
        <v>244</v>
      </c>
      <c r="O125" s="33">
        <v>37</v>
      </c>
      <c r="P125" s="130">
        <v>247</v>
      </c>
      <c r="Q125" s="130">
        <v>36</v>
      </c>
      <c r="R125" s="247">
        <v>250</v>
      </c>
      <c r="S125" s="247" t="s">
        <v>876</v>
      </c>
      <c r="T125" s="247">
        <v>40</v>
      </c>
      <c r="U125" s="247" t="s">
        <v>874</v>
      </c>
      <c r="V125" s="311">
        <v>258</v>
      </c>
      <c r="W125" s="311" t="s">
        <v>876</v>
      </c>
      <c r="X125" s="311">
        <v>43</v>
      </c>
      <c r="Y125" s="311" t="s">
        <v>874</v>
      </c>
      <c r="Z125" s="426">
        <v>256</v>
      </c>
      <c r="AA125" s="426" t="s">
        <v>876</v>
      </c>
      <c r="AB125" s="426">
        <v>39</v>
      </c>
      <c r="AC125" s="426" t="s">
        <v>874</v>
      </c>
      <c r="AD125" s="466">
        <v>255</v>
      </c>
      <c r="AE125" s="466" t="s">
        <v>876</v>
      </c>
      <c r="AF125" s="466">
        <v>44</v>
      </c>
      <c r="AG125" s="466" t="s">
        <v>874</v>
      </c>
      <c r="AH125" s="609"/>
    </row>
    <row r="126" spans="1:34" ht="21.95" customHeight="1" x14ac:dyDescent="0.2">
      <c r="A126" s="469" t="s">
        <v>930</v>
      </c>
      <c r="B126" s="1" t="s">
        <v>219</v>
      </c>
      <c r="C126" s="330">
        <v>1</v>
      </c>
      <c r="D126" s="321"/>
      <c r="E126" s="311"/>
      <c r="F126" s="321"/>
      <c r="G126" s="311"/>
      <c r="H126" s="322"/>
      <c r="I126" s="322"/>
      <c r="J126" s="322"/>
      <c r="K126" s="322"/>
      <c r="L126" s="322"/>
      <c r="M126" s="322"/>
      <c r="N126" s="322"/>
      <c r="O126" s="322"/>
      <c r="P126" s="323"/>
      <c r="Q126" s="323"/>
      <c r="R126" s="314"/>
      <c r="S126" s="314"/>
      <c r="T126" s="314"/>
      <c r="U126" s="314"/>
      <c r="V126" s="311">
        <v>252</v>
      </c>
      <c r="W126" s="311" t="s">
        <v>876</v>
      </c>
      <c r="X126" s="311">
        <v>38</v>
      </c>
      <c r="Y126" s="311" t="s">
        <v>874</v>
      </c>
      <c r="Z126" s="426">
        <v>260</v>
      </c>
      <c r="AA126" s="426" t="s">
        <v>874</v>
      </c>
      <c r="AB126" s="426">
        <v>35</v>
      </c>
      <c r="AC126" s="426" t="s">
        <v>876</v>
      </c>
      <c r="AD126" s="466">
        <v>249</v>
      </c>
      <c r="AE126" s="466" t="s">
        <v>876</v>
      </c>
      <c r="AF126" s="466">
        <v>44</v>
      </c>
      <c r="AG126" s="466" t="s">
        <v>874</v>
      </c>
      <c r="AH126" s="609"/>
    </row>
    <row r="127" spans="1:34" ht="21.95" customHeight="1" x14ac:dyDescent="0.2">
      <c r="A127" s="467" t="s">
        <v>90</v>
      </c>
      <c r="B127" s="1" t="s">
        <v>219</v>
      </c>
      <c r="C127" s="12">
        <v>1</v>
      </c>
      <c r="D127" s="27">
        <v>263.78461538461534</v>
      </c>
      <c r="E127" s="2"/>
      <c r="F127" s="2">
        <v>261</v>
      </c>
      <c r="G127" s="2"/>
      <c r="H127" s="33">
        <v>272</v>
      </c>
      <c r="I127" s="33">
        <v>34</v>
      </c>
      <c r="J127" s="33">
        <v>279</v>
      </c>
      <c r="K127" s="33">
        <v>32</v>
      </c>
      <c r="L127" s="33">
        <v>269</v>
      </c>
      <c r="M127" s="33">
        <v>34</v>
      </c>
      <c r="N127" s="33">
        <v>264</v>
      </c>
      <c r="O127" s="33">
        <v>41</v>
      </c>
      <c r="P127" s="130">
        <v>269</v>
      </c>
      <c r="Q127" s="130">
        <v>37</v>
      </c>
      <c r="R127" s="247">
        <v>256</v>
      </c>
      <c r="S127" s="247" t="s">
        <v>874</v>
      </c>
      <c r="T127" s="247">
        <v>42</v>
      </c>
      <c r="U127" s="247" t="s">
        <v>874</v>
      </c>
      <c r="V127" s="311">
        <v>257</v>
      </c>
      <c r="W127" s="311" t="s">
        <v>876</v>
      </c>
      <c r="X127" s="311">
        <v>37</v>
      </c>
      <c r="Y127" s="311" t="s">
        <v>874</v>
      </c>
      <c r="Z127" s="426">
        <v>259</v>
      </c>
      <c r="AA127" s="426" t="s">
        <v>874</v>
      </c>
      <c r="AB127" s="426">
        <v>37</v>
      </c>
      <c r="AC127" s="426" t="s">
        <v>874</v>
      </c>
      <c r="AD127" s="466">
        <v>264</v>
      </c>
      <c r="AE127" s="466" t="s">
        <v>874</v>
      </c>
      <c r="AF127" s="466">
        <v>39</v>
      </c>
      <c r="AG127" s="466" t="s">
        <v>874</v>
      </c>
      <c r="AH127" s="609"/>
    </row>
    <row r="128" spans="1:34" ht="21.95" customHeight="1" x14ac:dyDescent="0.2">
      <c r="A128" s="467" t="s">
        <v>50</v>
      </c>
      <c r="B128" s="1" t="s">
        <v>221</v>
      </c>
      <c r="C128" s="12">
        <v>1</v>
      </c>
      <c r="D128" s="27">
        <v>258.75</v>
      </c>
      <c r="E128" s="2"/>
      <c r="F128" s="2">
        <v>253</v>
      </c>
      <c r="G128" s="2"/>
      <c r="H128" s="33">
        <v>266</v>
      </c>
      <c r="I128" s="33">
        <v>37</v>
      </c>
      <c r="J128" s="33">
        <v>258</v>
      </c>
      <c r="K128" s="33">
        <v>39</v>
      </c>
      <c r="L128" s="33">
        <v>264</v>
      </c>
      <c r="M128" s="33">
        <v>41</v>
      </c>
      <c r="N128" s="33">
        <v>254</v>
      </c>
      <c r="O128" s="33">
        <v>31</v>
      </c>
      <c r="P128" s="130">
        <v>261</v>
      </c>
      <c r="Q128" s="130">
        <v>34</v>
      </c>
      <c r="R128" s="247">
        <v>252</v>
      </c>
      <c r="S128" s="247" t="s">
        <v>876</v>
      </c>
      <c r="T128" s="247">
        <v>48</v>
      </c>
      <c r="U128" s="247" t="s">
        <v>874</v>
      </c>
      <c r="V128" s="311">
        <v>261</v>
      </c>
      <c r="W128" s="311" t="s">
        <v>874</v>
      </c>
      <c r="X128" s="311">
        <v>40</v>
      </c>
      <c r="Y128" s="311" t="s">
        <v>874</v>
      </c>
      <c r="AH128" s="609"/>
    </row>
    <row r="129" spans="1:34" ht="21.95" customHeight="1" x14ac:dyDescent="0.2">
      <c r="A129" s="469" t="s">
        <v>932</v>
      </c>
      <c r="B129" s="1" t="s">
        <v>219</v>
      </c>
      <c r="C129" s="330">
        <v>3</v>
      </c>
      <c r="D129" s="321"/>
      <c r="E129" s="311"/>
      <c r="F129" s="311"/>
      <c r="G129" s="311"/>
      <c r="H129" s="322"/>
      <c r="I129" s="322"/>
      <c r="J129" s="322"/>
      <c r="K129" s="322"/>
      <c r="L129" s="322"/>
      <c r="M129" s="322"/>
      <c r="N129" s="322"/>
      <c r="O129" s="322"/>
      <c r="P129" s="323"/>
      <c r="Q129" s="323"/>
      <c r="R129" s="314"/>
      <c r="S129" s="314"/>
      <c r="T129" s="314"/>
      <c r="U129" s="314"/>
      <c r="V129" s="311">
        <v>257</v>
      </c>
      <c r="W129" s="311" t="s">
        <v>876</v>
      </c>
      <c r="X129" s="311">
        <v>42</v>
      </c>
      <c r="Y129" s="311" t="s">
        <v>874</v>
      </c>
      <c r="Z129" s="426">
        <v>262</v>
      </c>
      <c r="AA129" s="426" t="s">
        <v>874</v>
      </c>
      <c r="AB129" s="426">
        <v>41</v>
      </c>
      <c r="AC129" s="426" t="s">
        <v>874</v>
      </c>
      <c r="AD129" s="466">
        <v>269</v>
      </c>
      <c r="AE129" s="466" t="s">
        <v>875</v>
      </c>
      <c r="AF129" s="466">
        <v>43</v>
      </c>
      <c r="AG129" s="466" t="s">
        <v>874</v>
      </c>
      <c r="AH129" s="609"/>
    </row>
    <row r="130" spans="1:34" ht="21.95" customHeight="1" x14ac:dyDescent="0.2">
      <c r="A130" s="469" t="s">
        <v>286</v>
      </c>
      <c r="B130" s="1" t="s">
        <v>219</v>
      </c>
      <c r="C130" s="12">
        <v>6</v>
      </c>
      <c r="D130" s="27">
        <v>252.77307692307693</v>
      </c>
      <c r="E130" s="2"/>
      <c r="F130" s="27">
        <v>252.7269230769231</v>
      </c>
      <c r="G130" s="2"/>
      <c r="H130" s="33">
        <v>259</v>
      </c>
      <c r="I130" s="33">
        <v>37</v>
      </c>
      <c r="J130" s="33">
        <v>256</v>
      </c>
      <c r="K130" s="33">
        <v>40</v>
      </c>
      <c r="L130" s="33">
        <v>251</v>
      </c>
      <c r="M130" s="33">
        <v>35</v>
      </c>
      <c r="N130" s="33">
        <v>247</v>
      </c>
      <c r="O130" s="33">
        <v>34</v>
      </c>
      <c r="P130" s="130">
        <v>251</v>
      </c>
      <c r="Q130" s="130">
        <v>37</v>
      </c>
      <c r="R130" s="247">
        <v>244</v>
      </c>
      <c r="S130" s="247" t="s">
        <v>876</v>
      </c>
      <c r="T130" s="247">
        <v>38</v>
      </c>
      <c r="U130" s="247" t="s">
        <v>874</v>
      </c>
      <c r="V130" s="311">
        <v>240</v>
      </c>
      <c r="W130" s="311" t="s">
        <v>876</v>
      </c>
      <c r="X130" s="311">
        <v>42</v>
      </c>
      <c r="Y130" s="311" t="s">
        <v>874</v>
      </c>
      <c r="Z130" s="426">
        <v>249</v>
      </c>
      <c r="AA130" s="426" t="s">
        <v>876</v>
      </c>
      <c r="AB130" s="426">
        <v>40</v>
      </c>
      <c r="AC130" s="426" t="s">
        <v>874</v>
      </c>
      <c r="AD130" s="466">
        <v>262</v>
      </c>
      <c r="AE130" s="466" t="s">
        <v>874</v>
      </c>
      <c r="AF130" s="466">
        <v>44</v>
      </c>
      <c r="AG130" s="466" t="s">
        <v>874</v>
      </c>
      <c r="AH130" s="609"/>
    </row>
    <row r="131" spans="1:34" ht="21.95" customHeight="1" x14ac:dyDescent="0.2">
      <c r="A131" s="469" t="s">
        <v>934</v>
      </c>
      <c r="B131" s="1" t="s">
        <v>219</v>
      </c>
      <c r="C131" s="330">
        <v>2</v>
      </c>
      <c r="D131" s="321"/>
      <c r="E131" s="311"/>
      <c r="F131" s="321"/>
      <c r="G131" s="311"/>
      <c r="H131" s="322"/>
      <c r="I131" s="322"/>
      <c r="J131" s="322"/>
      <c r="K131" s="322"/>
      <c r="L131" s="322"/>
      <c r="M131" s="322"/>
      <c r="N131" s="322"/>
      <c r="O131" s="322"/>
      <c r="P131" s="323"/>
      <c r="Q131" s="323"/>
      <c r="R131" s="314"/>
      <c r="S131" s="314"/>
      <c r="T131" s="314"/>
      <c r="U131" s="314"/>
      <c r="V131" s="311">
        <v>246</v>
      </c>
      <c r="W131" s="311" t="s">
        <v>876</v>
      </c>
      <c r="X131" s="311">
        <v>38</v>
      </c>
      <c r="Y131" s="311" t="s">
        <v>874</v>
      </c>
      <c r="Z131" s="426">
        <v>252</v>
      </c>
      <c r="AA131" s="426" t="s">
        <v>876</v>
      </c>
      <c r="AB131" s="426">
        <v>39</v>
      </c>
      <c r="AC131" s="426" t="s">
        <v>874</v>
      </c>
      <c r="AD131" s="466">
        <v>270</v>
      </c>
      <c r="AE131" s="466" t="s">
        <v>875</v>
      </c>
      <c r="AF131" s="466">
        <v>46</v>
      </c>
      <c r="AG131" s="466" t="s">
        <v>874</v>
      </c>
      <c r="AH131" s="609"/>
    </row>
    <row r="132" spans="1:34" ht="21.95" customHeight="1" x14ac:dyDescent="0.2">
      <c r="A132" s="467" t="s">
        <v>192</v>
      </c>
      <c r="B132" s="1" t="s">
        <v>221</v>
      </c>
      <c r="C132" s="12">
        <v>2</v>
      </c>
      <c r="D132" s="27"/>
      <c r="E132" s="2"/>
      <c r="F132" s="2"/>
      <c r="G132" s="2"/>
      <c r="H132" s="33">
        <v>241</v>
      </c>
      <c r="I132" s="33">
        <v>37</v>
      </c>
      <c r="J132" s="33" t="s">
        <v>256</v>
      </c>
      <c r="K132" s="33" t="s">
        <v>256</v>
      </c>
      <c r="L132" s="33" t="s">
        <v>256</v>
      </c>
      <c r="M132" s="33" t="s">
        <v>256</v>
      </c>
      <c r="N132" s="33" t="s">
        <v>256</v>
      </c>
      <c r="O132" s="33" t="s">
        <v>256</v>
      </c>
      <c r="P132" s="130">
        <v>235</v>
      </c>
      <c r="Q132" s="130">
        <v>36</v>
      </c>
      <c r="R132" s="247">
        <v>185</v>
      </c>
      <c r="S132" s="247" t="s">
        <v>876</v>
      </c>
      <c r="T132" s="247">
        <v>16</v>
      </c>
      <c r="U132" s="247" t="s">
        <v>876</v>
      </c>
      <c r="AD132" s="466">
        <v>267</v>
      </c>
      <c r="AE132" s="466" t="s">
        <v>874</v>
      </c>
      <c r="AF132" s="466">
        <v>87</v>
      </c>
      <c r="AG132" s="466" t="s">
        <v>875</v>
      </c>
      <c r="AH132" s="609"/>
    </row>
    <row r="133" spans="1:34" ht="21.95" customHeight="1" x14ac:dyDescent="0.2">
      <c r="A133" s="467" t="s">
        <v>231</v>
      </c>
      <c r="B133" s="1" t="s">
        <v>221</v>
      </c>
      <c r="C133" s="12">
        <v>4</v>
      </c>
      <c r="D133" s="27">
        <v>229.35</v>
      </c>
      <c r="E133" s="2"/>
      <c r="F133" s="2">
        <v>227</v>
      </c>
      <c r="G133" s="2"/>
      <c r="H133" s="33" t="s">
        <v>256</v>
      </c>
      <c r="I133" s="33" t="s">
        <v>256</v>
      </c>
      <c r="J133" s="33" t="s">
        <v>256</v>
      </c>
      <c r="K133" s="33" t="s">
        <v>256</v>
      </c>
      <c r="L133" s="33">
        <v>283</v>
      </c>
      <c r="M133" s="33">
        <v>15</v>
      </c>
      <c r="N133" s="33" t="s">
        <v>256</v>
      </c>
      <c r="O133" s="33" t="s">
        <v>256</v>
      </c>
      <c r="P133" s="33" t="s">
        <v>256</v>
      </c>
      <c r="Q133" s="33" t="s">
        <v>256</v>
      </c>
      <c r="AH133" s="609"/>
    </row>
    <row r="134" spans="1:34" ht="21.95" customHeight="1" x14ac:dyDescent="0.2">
      <c r="A134" s="467" t="s">
        <v>1098</v>
      </c>
      <c r="B134" s="1" t="s">
        <v>221</v>
      </c>
      <c r="C134" s="12">
        <v>5</v>
      </c>
      <c r="D134" s="27">
        <v>272.06153846153842</v>
      </c>
      <c r="E134" s="2"/>
      <c r="F134" s="27">
        <v>269.34615384615381</v>
      </c>
      <c r="G134" s="2"/>
      <c r="H134" s="33">
        <v>272</v>
      </c>
      <c r="I134" s="33">
        <v>39</v>
      </c>
      <c r="J134" s="33">
        <v>275</v>
      </c>
      <c r="K134" s="33">
        <v>36</v>
      </c>
      <c r="L134" s="33">
        <v>261</v>
      </c>
      <c r="M134" s="33">
        <v>37</v>
      </c>
      <c r="N134" s="33">
        <v>257</v>
      </c>
      <c r="O134" s="33">
        <v>34</v>
      </c>
      <c r="P134" s="130">
        <v>274</v>
      </c>
      <c r="Q134" s="130">
        <v>43</v>
      </c>
      <c r="R134" s="247">
        <v>258</v>
      </c>
      <c r="S134" s="247" t="s">
        <v>874</v>
      </c>
      <c r="T134" s="247">
        <v>43</v>
      </c>
      <c r="U134" s="247" t="s">
        <v>874</v>
      </c>
      <c r="V134" s="311">
        <v>262</v>
      </c>
      <c r="W134" s="311" t="s">
        <v>874</v>
      </c>
      <c r="X134" s="311">
        <v>43</v>
      </c>
      <c r="Y134" s="311" t="s">
        <v>874</v>
      </c>
      <c r="Z134" s="426">
        <v>274</v>
      </c>
      <c r="AA134" s="426" t="s">
        <v>875</v>
      </c>
      <c r="AB134" s="426">
        <v>43</v>
      </c>
      <c r="AC134" s="426" t="s">
        <v>874</v>
      </c>
      <c r="AD134" s="466">
        <v>259</v>
      </c>
      <c r="AE134" s="466" t="s">
        <v>876</v>
      </c>
      <c r="AF134" s="466">
        <v>43</v>
      </c>
      <c r="AG134" s="466" t="s">
        <v>874</v>
      </c>
      <c r="AH134" s="609"/>
    </row>
    <row r="135" spans="1:34" ht="21.95" customHeight="1" x14ac:dyDescent="0.2">
      <c r="A135" s="467" t="s">
        <v>215</v>
      </c>
      <c r="B135" s="1" t="s">
        <v>221</v>
      </c>
      <c r="C135" s="12">
        <v>6</v>
      </c>
      <c r="D135" s="27"/>
      <c r="E135" s="2"/>
      <c r="G135" s="2"/>
      <c r="H135" s="33">
        <v>205</v>
      </c>
      <c r="I135" s="33"/>
      <c r="J135" s="33"/>
      <c r="K135" s="33"/>
      <c r="L135" s="33" t="s">
        <v>256</v>
      </c>
      <c r="M135" s="33" t="s">
        <v>256</v>
      </c>
      <c r="N135" s="33" t="s">
        <v>256</v>
      </c>
      <c r="O135" s="33" t="s">
        <v>256</v>
      </c>
      <c r="P135" s="33" t="s">
        <v>256</v>
      </c>
      <c r="Q135" s="33" t="s">
        <v>256</v>
      </c>
      <c r="R135" s="247">
        <v>235</v>
      </c>
      <c r="S135" s="247" t="s">
        <v>876</v>
      </c>
      <c r="T135" s="247">
        <v>0</v>
      </c>
      <c r="U135" s="247" t="s">
        <v>876</v>
      </c>
      <c r="AH135" s="609"/>
    </row>
    <row r="136" spans="1:34" ht="21.95" customHeight="1" x14ac:dyDescent="0.2">
      <c r="A136" s="467" t="s">
        <v>120</v>
      </c>
      <c r="B136" s="1" t="s">
        <v>221</v>
      </c>
      <c r="C136" s="12">
        <v>4</v>
      </c>
      <c r="D136" s="27">
        <v>250.71153846153848</v>
      </c>
      <c r="E136" s="2"/>
      <c r="F136" s="27">
        <v>236.06923076923081</v>
      </c>
      <c r="G136" s="2"/>
      <c r="H136" s="33">
        <v>278</v>
      </c>
      <c r="I136" s="33">
        <v>31</v>
      </c>
      <c r="J136" s="33">
        <v>274</v>
      </c>
      <c r="K136" s="33">
        <v>29</v>
      </c>
      <c r="L136" s="33">
        <v>293</v>
      </c>
      <c r="M136" s="33">
        <v>23</v>
      </c>
      <c r="N136" s="33">
        <v>271</v>
      </c>
      <c r="O136" s="33">
        <v>33</v>
      </c>
      <c r="P136" s="130">
        <v>275</v>
      </c>
      <c r="Q136" s="130">
        <v>33</v>
      </c>
      <c r="R136" s="247">
        <v>256</v>
      </c>
      <c r="S136" s="247" t="s">
        <v>874</v>
      </c>
      <c r="T136" s="247">
        <v>42</v>
      </c>
      <c r="U136" s="247" t="s">
        <v>874</v>
      </c>
      <c r="V136" s="311">
        <v>295</v>
      </c>
      <c r="W136" s="311" t="s">
        <v>875</v>
      </c>
      <c r="X136" s="311">
        <v>38</v>
      </c>
      <c r="Y136" s="311" t="s">
        <v>874</v>
      </c>
      <c r="Z136" s="426">
        <v>256</v>
      </c>
      <c r="AA136" s="426" t="s">
        <v>876</v>
      </c>
      <c r="AB136" s="426">
        <v>36</v>
      </c>
      <c r="AC136" s="426" t="s">
        <v>876</v>
      </c>
      <c r="AD136" s="466">
        <v>290</v>
      </c>
      <c r="AE136" s="466" t="s">
        <v>875</v>
      </c>
      <c r="AF136" s="466">
        <v>37</v>
      </c>
      <c r="AG136" s="466" t="s">
        <v>876</v>
      </c>
      <c r="AH136" s="609"/>
    </row>
    <row r="137" spans="1:34" ht="21.95" customHeight="1" x14ac:dyDescent="0.2">
      <c r="A137" s="467" t="s">
        <v>52</v>
      </c>
      <c r="B137" s="1" t="s">
        <v>221</v>
      </c>
      <c r="C137" s="12">
        <v>6</v>
      </c>
      <c r="D137" s="27">
        <v>251.51538461538465</v>
      </c>
      <c r="E137" s="2"/>
      <c r="F137" s="27">
        <v>252.41153846153847</v>
      </c>
      <c r="G137" s="2"/>
      <c r="H137" s="33">
        <v>272</v>
      </c>
      <c r="I137" s="33">
        <v>36</v>
      </c>
      <c r="J137" s="33">
        <v>271</v>
      </c>
      <c r="K137" s="33">
        <v>39</v>
      </c>
      <c r="L137" s="33">
        <v>268</v>
      </c>
      <c r="M137" s="33">
        <v>39</v>
      </c>
      <c r="N137" s="33">
        <v>266</v>
      </c>
      <c r="O137" s="33">
        <v>47</v>
      </c>
      <c r="P137" s="130">
        <v>267</v>
      </c>
      <c r="Q137" s="130">
        <v>38</v>
      </c>
      <c r="R137" s="247">
        <v>263</v>
      </c>
      <c r="S137" s="247" t="s">
        <v>875</v>
      </c>
      <c r="T137" s="247">
        <v>40</v>
      </c>
      <c r="U137" s="247" t="s">
        <v>874</v>
      </c>
      <c r="V137" s="311">
        <v>279</v>
      </c>
      <c r="W137" s="311" t="s">
        <v>875</v>
      </c>
      <c r="X137" s="311">
        <v>38</v>
      </c>
      <c r="Y137" s="311" t="s">
        <v>874</v>
      </c>
      <c r="Z137" s="426">
        <v>272</v>
      </c>
      <c r="AA137" s="426" t="s">
        <v>875</v>
      </c>
      <c r="AB137" s="426">
        <v>40</v>
      </c>
      <c r="AC137" s="426" t="s">
        <v>874</v>
      </c>
      <c r="AD137" s="466">
        <v>284</v>
      </c>
      <c r="AE137" s="466" t="s">
        <v>875</v>
      </c>
      <c r="AF137" s="466">
        <v>40</v>
      </c>
      <c r="AG137" s="466" t="s">
        <v>874</v>
      </c>
      <c r="AH137" s="609"/>
    </row>
    <row r="138" spans="1:34" ht="21.95" customHeight="1" x14ac:dyDescent="0.2">
      <c r="A138" s="467" t="s">
        <v>40</v>
      </c>
      <c r="B138" s="1" t="s">
        <v>221</v>
      </c>
      <c r="C138" s="12">
        <v>2</v>
      </c>
      <c r="D138" s="27">
        <v>240.51923076923075</v>
      </c>
      <c r="E138" s="2"/>
      <c r="F138" s="27">
        <v>245.94230769230768</v>
      </c>
      <c r="G138" s="2"/>
      <c r="H138" s="33">
        <v>258</v>
      </c>
      <c r="I138" s="33">
        <v>32</v>
      </c>
      <c r="J138" s="33">
        <v>257</v>
      </c>
      <c r="K138" s="33">
        <v>37</v>
      </c>
      <c r="L138" s="33">
        <v>249</v>
      </c>
      <c r="M138" s="33">
        <v>35</v>
      </c>
      <c r="N138" s="33">
        <v>254</v>
      </c>
      <c r="O138" s="33">
        <v>42</v>
      </c>
      <c r="P138" s="130">
        <v>256</v>
      </c>
      <c r="Q138" s="130">
        <v>41</v>
      </c>
      <c r="R138" s="247">
        <v>252</v>
      </c>
      <c r="S138" s="247" t="s">
        <v>876</v>
      </c>
      <c r="T138" s="247">
        <v>40</v>
      </c>
      <c r="U138" s="247" t="s">
        <v>874</v>
      </c>
      <c r="V138" s="311">
        <v>248</v>
      </c>
      <c r="W138" s="311" t="s">
        <v>876</v>
      </c>
      <c r="X138" s="311">
        <v>40</v>
      </c>
      <c r="Y138" s="311" t="s">
        <v>874</v>
      </c>
      <c r="Z138" s="426">
        <v>262</v>
      </c>
      <c r="AA138" s="426" t="s">
        <v>874</v>
      </c>
      <c r="AB138" s="426">
        <v>40</v>
      </c>
      <c r="AC138" s="426" t="s">
        <v>874</v>
      </c>
      <c r="AD138" s="466">
        <v>272</v>
      </c>
      <c r="AE138" s="466" t="s">
        <v>875</v>
      </c>
      <c r="AF138" s="466">
        <v>42</v>
      </c>
      <c r="AG138" s="466" t="s">
        <v>874</v>
      </c>
      <c r="AH138" s="609"/>
    </row>
    <row r="139" spans="1:34" ht="21.95" customHeight="1" x14ac:dyDescent="0.2">
      <c r="A139" s="467" t="s">
        <v>227</v>
      </c>
      <c r="B139" s="1" t="s">
        <v>221</v>
      </c>
      <c r="C139" s="12">
        <v>2</v>
      </c>
      <c r="D139" s="27"/>
      <c r="E139" s="2"/>
      <c r="F139" s="2"/>
      <c r="G139" s="2"/>
      <c r="H139" s="33" t="s">
        <v>256</v>
      </c>
      <c r="I139" s="33" t="s">
        <v>256</v>
      </c>
      <c r="J139" s="33">
        <v>220</v>
      </c>
      <c r="K139" s="33">
        <v>45</v>
      </c>
      <c r="L139" s="33" t="s">
        <v>256</v>
      </c>
      <c r="M139" s="33" t="s">
        <v>256</v>
      </c>
      <c r="N139" s="33" t="s">
        <v>256</v>
      </c>
      <c r="O139" s="33" t="s">
        <v>256</v>
      </c>
      <c r="P139" s="33" t="s">
        <v>256</v>
      </c>
      <c r="Q139" s="33" t="s">
        <v>256</v>
      </c>
      <c r="V139" s="311">
        <v>267</v>
      </c>
      <c r="W139" s="311" t="s">
        <v>875</v>
      </c>
      <c r="X139" s="311">
        <v>0</v>
      </c>
      <c r="Y139" s="311" t="s">
        <v>876</v>
      </c>
      <c r="Z139" s="426">
        <v>211</v>
      </c>
      <c r="AA139" s="426" t="s">
        <v>876</v>
      </c>
      <c r="AB139" s="426">
        <v>33</v>
      </c>
      <c r="AC139" s="426" t="s">
        <v>876</v>
      </c>
      <c r="AD139" s="426"/>
      <c r="AE139" s="426"/>
      <c r="AF139" s="426"/>
      <c r="AG139" s="426"/>
      <c r="AH139" s="609"/>
    </row>
    <row r="140" spans="1:34" ht="21.95" customHeight="1" x14ac:dyDescent="0.2">
      <c r="A140" s="469" t="s">
        <v>936</v>
      </c>
      <c r="B140" s="1" t="s">
        <v>221</v>
      </c>
      <c r="C140" s="330">
        <v>4</v>
      </c>
      <c r="D140" s="321"/>
      <c r="E140" s="311"/>
      <c r="F140" s="311"/>
      <c r="G140" s="311"/>
      <c r="H140" s="322"/>
      <c r="I140" s="322"/>
      <c r="J140" s="322"/>
      <c r="K140" s="322"/>
      <c r="L140" s="322"/>
      <c r="M140" s="322"/>
      <c r="N140" s="322"/>
      <c r="O140" s="322"/>
      <c r="P140" s="322"/>
      <c r="Q140" s="322"/>
      <c r="V140" s="311">
        <v>229</v>
      </c>
      <c r="W140" s="311" t="s">
        <v>876</v>
      </c>
      <c r="X140" s="311">
        <v>37</v>
      </c>
      <c r="Y140" s="311" t="s">
        <v>874</v>
      </c>
      <c r="Z140" s="426">
        <v>207</v>
      </c>
      <c r="AA140" s="426" t="s">
        <v>876</v>
      </c>
      <c r="AB140" s="426">
        <v>28</v>
      </c>
      <c r="AC140" s="426" t="s">
        <v>876</v>
      </c>
      <c r="AD140" s="426"/>
      <c r="AE140" s="426"/>
      <c r="AF140" s="426"/>
      <c r="AG140" s="426"/>
      <c r="AH140" s="609"/>
    </row>
    <row r="141" spans="1:34" ht="21.95" customHeight="1" x14ac:dyDescent="0.2">
      <c r="A141" s="467" t="s">
        <v>155</v>
      </c>
      <c r="B141" s="1" t="s">
        <v>221</v>
      </c>
      <c r="C141" s="12">
        <v>5</v>
      </c>
      <c r="D141" s="27">
        <v>255.32307692307694</v>
      </c>
      <c r="E141" s="2"/>
      <c r="F141" s="2">
        <v>295</v>
      </c>
      <c r="G141" s="2"/>
      <c r="H141" s="33">
        <v>260</v>
      </c>
      <c r="I141" s="33">
        <v>28</v>
      </c>
      <c r="J141" s="33">
        <v>267</v>
      </c>
      <c r="K141" s="33">
        <v>46</v>
      </c>
      <c r="L141" s="33">
        <v>251</v>
      </c>
      <c r="M141" s="33">
        <v>29</v>
      </c>
      <c r="N141" s="33">
        <v>236</v>
      </c>
      <c r="O141" s="33">
        <v>38</v>
      </c>
      <c r="P141" s="130">
        <v>268</v>
      </c>
      <c r="Q141" s="130">
        <v>24</v>
      </c>
      <c r="R141" s="247">
        <v>272</v>
      </c>
      <c r="S141" s="247" t="s">
        <v>875</v>
      </c>
      <c r="T141" s="247">
        <v>15</v>
      </c>
      <c r="U141" s="247" t="s">
        <v>876</v>
      </c>
      <c r="V141" s="311">
        <v>256</v>
      </c>
      <c r="W141" s="311" t="s">
        <v>876</v>
      </c>
      <c r="X141" s="311">
        <v>26</v>
      </c>
      <c r="Y141" s="311" t="s">
        <v>876</v>
      </c>
      <c r="Z141" s="426">
        <v>271</v>
      </c>
      <c r="AA141" s="426" t="s">
        <v>875</v>
      </c>
      <c r="AB141" s="426">
        <v>37</v>
      </c>
      <c r="AC141" s="426" t="s">
        <v>874</v>
      </c>
      <c r="AD141" s="466">
        <v>256</v>
      </c>
      <c r="AE141" s="466" t="s">
        <v>876</v>
      </c>
      <c r="AF141" s="466">
        <v>36</v>
      </c>
      <c r="AG141" s="466" t="s">
        <v>876</v>
      </c>
      <c r="AH141" s="609"/>
    </row>
    <row r="142" spans="1:34" ht="21.95" customHeight="1" x14ac:dyDescent="0.2">
      <c r="A142" s="467" t="s">
        <v>233</v>
      </c>
      <c r="B142" s="1" t="s">
        <v>221</v>
      </c>
      <c r="C142" s="12">
        <v>2</v>
      </c>
      <c r="D142" s="27"/>
      <c r="E142" s="2"/>
      <c r="F142" s="2"/>
      <c r="G142" s="2"/>
      <c r="H142" s="33" t="s">
        <v>256</v>
      </c>
      <c r="I142" s="33" t="s">
        <v>256</v>
      </c>
      <c r="J142" s="33" t="s">
        <v>256</v>
      </c>
      <c r="K142" s="33" t="s">
        <v>256</v>
      </c>
      <c r="L142" s="33" t="s">
        <v>256</v>
      </c>
      <c r="M142" s="33" t="s">
        <v>256</v>
      </c>
      <c r="N142" s="33">
        <v>258</v>
      </c>
      <c r="O142" s="33">
        <v>34</v>
      </c>
      <c r="P142" s="130">
        <v>253</v>
      </c>
      <c r="Q142" s="130">
        <v>32</v>
      </c>
      <c r="R142" s="247">
        <v>244</v>
      </c>
      <c r="S142" s="247" t="s">
        <v>876</v>
      </c>
      <c r="T142" s="247">
        <v>52</v>
      </c>
      <c r="U142" s="247" t="s">
        <v>875</v>
      </c>
      <c r="V142" s="311">
        <v>251</v>
      </c>
      <c r="W142" s="311" t="s">
        <v>876</v>
      </c>
      <c r="X142" s="311">
        <v>33</v>
      </c>
      <c r="Y142" s="311" t="s">
        <v>876</v>
      </c>
      <c r="Z142" s="426">
        <v>235</v>
      </c>
      <c r="AA142" s="426" t="s">
        <v>876</v>
      </c>
      <c r="AB142" s="426">
        <v>45</v>
      </c>
      <c r="AC142" s="426" t="s">
        <v>874</v>
      </c>
      <c r="AD142" s="466">
        <v>236</v>
      </c>
      <c r="AE142" s="466" t="s">
        <v>876</v>
      </c>
      <c r="AF142" s="466">
        <v>27</v>
      </c>
      <c r="AG142" s="466" t="s">
        <v>876</v>
      </c>
      <c r="AH142" s="609"/>
    </row>
    <row r="143" spans="1:34" ht="21.95" customHeight="1" x14ac:dyDescent="0.2">
      <c r="A143" s="467" t="s">
        <v>144</v>
      </c>
      <c r="B143" s="1" t="s">
        <v>221</v>
      </c>
      <c r="C143" s="12">
        <v>2</v>
      </c>
      <c r="D143" s="27">
        <v>277.83076923076925</v>
      </c>
      <c r="E143" s="2"/>
      <c r="F143" s="2">
        <v>257</v>
      </c>
      <c r="G143" s="2"/>
      <c r="H143" s="33">
        <v>256</v>
      </c>
      <c r="I143" s="33">
        <v>40</v>
      </c>
      <c r="J143" s="33">
        <v>280</v>
      </c>
      <c r="K143" s="33">
        <v>36</v>
      </c>
      <c r="L143" s="33">
        <v>267</v>
      </c>
      <c r="M143" s="33">
        <v>47</v>
      </c>
      <c r="N143" s="33">
        <v>268</v>
      </c>
      <c r="O143" s="33">
        <v>35</v>
      </c>
      <c r="P143" s="130">
        <v>278</v>
      </c>
      <c r="Q143" s="130">
        <v>45</v>
      </c>
      <c r="R143" s="247">
        <v>272</v>
      </c>
      <c r="S143" s="247" t="s">
        <v>875</v>
      </c>
      <c r="T143" s="247">
        <v>38</v>
      </c>
      <c r="U143" s="247" t="s">
        <v>874</v>
      </c>
      <c r="V143" s="311">
        <v>264</v>
      </c>
      <c r="W143" s="311" t="s">
        <v>874</v>
      </c>
      <c r="X143" s="311">
        <v>41</v>
      </c>
      <c r="Y143" s="311" t="s">
        <v>874</v>
      </c>
      <c r="Z143" s="426">
        <v>267</v>
      </c>
      <c r="AA143" s="426" t="s">
        <v>875</v>
      </c>
      <c r="AB143" s="426">
        <v>41</v>
      </c>
      <c r="AC143" s="426" t="s">
        <v>874</v>
      </c>
      <c r="AD143" s="466">
        <v>271</v>
      </c>
      <c r="AE143" s="466" t="s">
        <v>875</v>
      </c>
      <c r="AF143" s="466">
        <v>42</v>
      </c>
      <c r="AG143" s="466" t="s">
        <v>874</v>
      </c>
      <c r="AH143" s="609"/>
    </row>
    <row r="144" spans="1:34" ht="21.95" customHeight="1" x14ac:dyDescent="0.2">
      <c r="A144" s="467" t="s">
        <v>209</v>
      </c>
      <c r="B144" s="1" t="s">
        <v>221</v>
      </c>
      <c r="C144" s="12">
        <v>1</v>
      </c>
      <c r="D144" s="27"/>
      <c r="E144" s="2"/>
      <c r="F144" s="2"/>
      <c r="G144" s="2"/>
      <c r="H144" s="33">
        <v>268</v>
      </c>
      <c r="I144" s="33">
        <v>19</v>
      </c>
      <c r="J144" s="33">
        <v>269</v>
      </c>
      <c r="K144" s="33">
        <v>33</v>
      </c>
      <c r="L144" s="33">
        <v>268</v>
      </c>
      <c r="M144" s="33">
        <v>43</v>
      </c>
      <c r="N144" s="33">
        <v>267</v>
      </c>
      <c r="O144" s="33">
        <v>26</v>
      </c>
      <c r="P144" s="130">
        <v>273</v>
      </c>
      <c r="Q144" s="130">
        <v>41</v>
      </c>
      <c r="R144" s="247">
        <v>256</v>
      </c>
      <c r="S144" s="247" t="s">
        <v>874</v>
      </c>
      <c r="T144" s="247">
        <v>37</v>
      </c>
      <c r="U144" s="247" t="s">
        <v>874</v>
      </c>
      <c r="V144" s="311">
        <v>273</v>
      </c>
      <c r="W144" s="311" t="s">
        <v>875</v>
      </c>
      <c r="X144" s="311">
        <v>44</v>
      </c>
      <c r="Y144" s="311" t="s">
        <v>874</v>
      </c>
      <c r="Z144" s="426">
        <v>269</v>
      </c>
      <c r="AA144" s="426" t="s">
        <v>875</v>
      </c>
      <c r="AB144" s="426">
        <v>38</v>
      </c>
      <c r="AC144" s="426" t="s">
        <v>874</v>
      </c>
      <c r="AD144" s="466">
        <v>269</v>
      </c>
      <c r="AE144" s="466" t="s">
        <v>875</v>
      </c>
      <c r="AF144" s="466">
        <v>34</v>
      </c>
      <c r="AG144" s="466" t="s">
        <v>876</v>
      </c>
      <c r="AH144" s="609"/>
    </row>
    <row r="145" spans="1:34" ht="21.95" customHeight="1" x14ac:dyDescent="0.2">
      <c r="A145" s="467" t="s">
        <v>67</v>
      </c>
      <c r="B145" s="1" t="s">
        <v>221</v>
      </c>
      <c r="C145" s="12">
        <v>1</v>
      </c>
      <c r="D145" s="27">
        <v>271.53076923076918</v>
      </c>
      <c r="E145" s="2"/>
      <c r="F145" s="2">
        <v>265</v>
      </c>
      <c r="G145" s="2"/>
      <c r="H145" s="33">
        <v>269</v>
      </c>
      <c r="I145" s="33">
        <v>34</v>
      </c>
      <c r="J145" s="33">
        <v>280</v>
      </c>
      <c r="K145" s="33">
        <v>39</v>
      </c>
      <c r="L145" s="33">
        <v>266</v>
      </c>
      <c r="M145" s="33">
        <v>36</v>
      </c>
      <c r="N145" s="33">
        <v>268</v>
      </c>
      <c r="O145" s="33">
        <v>38</v>
      </c>
      <c r="P145" s="130">
        <v>276</v>
      </c>
      <c r="Q145" s="130">
        <v>38</v>
      </c>
      <c r="R145" s="247">
        <v>274</v>
      </c>
      <c r="S145" s="247" t="s">
        <v>875</v>
      </c>
      <c r="T145" s="247">
        <v>44</v>
      </c>
      <c r="U145" s="247" t="s">
        <v>874</v>
      </c>
      <c r="V145" s="311">
        <v>282</v>
      </c>
      <c r="W145" s="311" t="s">
        <v>875</v>
      </c>
      <c r="X145" s="311">
        <v>42</v>
      </c>
      <c r="Y145" s="311" t="s">
        <v>874</v>
      </c>
      <c r="Z145" s="426">
        <v>286</v>
      </c>
      <c r="AA145" s="426" t="s">
        <v>875</v>
      </c>
      <c r="AB145" s="426">
        <v>41</v>
      </c>
      <c r="AC145" s="426" t="s">
        <v>874</v>
      </c>
      <c r="AD145" s="466">
        <v>274</v>
      </c>
      <c r="AE145" s="466" t="s">
        <v>875</v>
      </c>
      <c r="AF145" s="466">
        <v>48</v>
      </c>
      <c r="AG145" s="466" t="s">
        <v>874</v>
      </c>
      <c r="AH145" s="609"/>
    </row>
    <row r="146" spans="1:34" ht="21.95" customHeight="1" x14ac:dyDescent="0.2">
      <c r="A146" s="469" t="s">
        <v>892</v>
      </c>
      <c r="B146" s="1" t="s">
        <v>221</v>
      </c>
      <c r="C146" s="330">
        <v>6</v>
      </c>
      <c r="D146" s="321"/>
      <c r="E146" s="311"/>
      <c r="F146" s="311"/>
      <c r="G146" s="311"/>
      <c r="H146" s="322"/>
      <c r="I146" s="322"/>
      <c r="J146" s="322"/>
      <c r="K146" s="322"/>
      <c r="L146" s="322"/>
      <c r="M146" s="322"/>
      <c r="N146" s="322"/>
      <c r="O146" s="322"/>
      <c r="P146" s="323"/>
      <c r="Q146" s="323"/>
      <c r="R146" s="314"/>
      <c r="S146" s="314"/>
      <c r="T146" s="314"/>
      <c r="U146" s="314"/>
      <c r="V146" s="311">
        <v>235</v>
      </c>
      <c r="W146" s="311" t="s">
        <v>876</v>
      </c>
      <c r="X146" s="311">
        <v>38</v>
      </c>
      <c r="Y146" s="311" t="s">
        <v>874</v>
      </c>
      <c r="Z146" s="426">
        <v>209</v>
      </c>
      <c r="AA146" s="426" t="s">
        <v>876</v>
      </c>
      <c r="AB146" s="426">
        <v>34</v>
      </c>
      <c r="AC146" s="426" t="s">
        <v>876</v>
      </c>
      <c r="AD146" s="466">
        <v>222</v>
      </c>
      <c r="AE146" s="466" t="s">
        <v>876</v>
      </c>
      <c r="AF146" s="466">
        <v>44</v>
      </c>
      <c r="AG146" s="466" t="s">
        <v>874</v>
      </c>
      <c r="AH146" s="609"/>
    </row>
    <row r="147" spans="1:34" ht="21.95" customHeight="1" x14ac:dyDescent="0.2">
      <c r="A147" s="467" t="s">
        <v>31</v>
      </c>
      <c r="B147" s="1" t="s">
        <v>221</v>
      </c>
      <c r="C147" s="12">
        <v>6</v>
      </c>
      <c r="D147" s="27">
        <v>259.62307692307695</v>
      </c>
      <c r="E147" s="2"/>
      <c r="F147" s="2">
        <v>255</v>
      </c>
      <c r="G147" s="2"/>
      <c r="H147" s="33">
        <v>276</v>
      </c>
      <c r="I147" s="33">
        <v>42</v>
      </c>
      <c r="J147" s="33">
        <v>232</v>
      </c>
      <c r="K147" s="33">
        <v>36</v>
      </c>
      <c r="L147" s="33">
        <v>257</v>
      </c>
      <c r="M147" s="33">
        <v>57</v>
      </c>
      <c r="N147" s="33">
        <v>246</v>
      </c>
      <c r="O147" s="33">
        <v>24</v>
      </c>
      <c r="P147" s="130">
        <v>256</v>
      </c>
      <c r="Q147" s="130">
        <v>21</v>
      </c>
      <c r="R147" s="247">
        <v>273</v>
      </c>
      <c r="S147" s="247" t="s">
        <v>875</v>
      </c>
      <c r="T147" s="247">
        <v>36</v>
      </c>
      <c r="U147" s="247" t="s">
        <v>874</v>
      </c>
      <c r="V147" s="311">
        <v>248</v>
      </c>
      <c r="W147" s="311" t="s">
        <v>876</v>
      </c>
      <c r="X147" s="311">
        <v>34</v>
      </c>
      <c r="Y147" s="311" t="s">
        <v>876</v>
      </c>
      <c r="Z147" s="426">
        <v>266</v>
      </c>
      <c r="AA147" s="426" t="s">
        <v>875</v>
      </c>
      <c r="AB147" s="426">
        <v>28</v>
      </c>
      <c r="AC147" s="426" t="s">
        <v>876</v>
      </c>
      <c r="AD147" s="466">
        <v>248</v>
      </c>
      <c r="AE147" s="466" t="s">
        <v>876</v>
      </c>
      <c r="AF147" s="466">
        <v>37</v>
      </c>
      <c r="AG147" s="466" t="s">
        <v>876</v>
      </c>
      <c r="AH147" s="609"/>
    </row>
    <row r="148" spans="1:34" ht="21.95" customHeight="1" x14ac:dyDescent="0.2">
      <c r="A148" s="467" t="s">
        <v>54</v>
      </c>
      <c r="B148" s="1" t="s">
        <v>221</v>
      </c>
      <c r="C148" s="12">
        <v>6</v>
      </c>
      <c r="D148" s="27">
        <v>278.14615384615388</v>
      </c>
      <c r="E148" s="2"/>
      <c r="F148" s="2">
        <v>274</v>
      </c>
      <c r="G148" s="2"/>
      <c r="H148" s="33">
        <v>293</v>
      </c>
      <c r="I148" s="33">
        <v>30</v>
      </c>
      <c r="J148" s="33">
        <v>296</v>
      </c>
      <c r="K148" s="33">
        <v>38</v>
      </c>
      <c r="L148" s="33">
        <v>285</v>
      </c>
      <c r="M148" s="33">
        <v>29</v>
      </c>
      <c r="N148" s="33">
        <v>291</v>
      </c>
      <c r="O148" s="33">
        <v>41</v>
      </c>
      <c r="P148" s="130">
        <v>280</v>
      </c>
      <c r="Q148" s="130">
        <v>42</v>
      </c>
      <c r="R148" s="247">
        <v>287</v>
      </c>
      <c r="S148" s="247" t="s">
        <v>875</v>
      </c>
      <c r="T148" s="247">
        <v>29</v>
      </c>
      <c r="U148" s="247" t="s">
        <v>876</v>
      </c>
      <c r="V148" s="311">
        <v>293</v>
      </c>
      <c r="W148" s="311" t="s">
        <v>875</v>
      </c>
      <c r="X148" s="311">
        <v>34</v>
      </c>
      <c r="Y148" s="311" t="s">
        <v>876</v>
      </c>
      <c r="Z148" s="426">
        <v>307</v>
      </c>
      <c r="AA148" s="426" t="s">
        <v>875</v>
      </c>
      <c r="AB148" s="426">
        <v>36</v>
      </c>
      <c r="AC148" s="426" t="s">
        <v>876</v>
      </c>
      <c r="AD148" s="466">
        <v>288</v>
      </c>
      <c r="AE148" s="466" t="s">
        <v>875</v>
      </c>
      <c r="AF148" s="466">
        <v>34</v>
      </c>
      <c r="AG148" s="466" t="s">
        <v>876</v>
      </c>
      <c r="AH148" s="609"/>
    </row>
    <row r="149" spans="1:34" ht="21.95" customHeight="1" x14ac:dyDescent="0.2">
      <c r="A149" s="467" t="s">
        <v>844</v>
      </c>
      <c r="B149" s="1" t="s">
        <v>221</v>
      </c>
      <c r="C149" s="12">
        <v>4</v>
      </c>
      <c r="D149" s="27">
        <v>219</v>
      </c>
      <c r="E149" s="2"/>
      <c r="F149" s="2">
        <v>241</v>
      </c>
      <c r="G149" s="2"/>
      <c r="H149" s="33"/>
      <c r="I149" s="33"/>
      <c r="J149" s="33"/>
      <c r="K149" s="33"/>
      <c r="L149" s="33"/>
      <c r="M149" s="33"/>
      <c r="N149" s="33"/>
      <c r="O149" s="33"/>
      <c r="P149" s="130"/>
      <c r="Q149" s="130"/>
      <c r="Z149" s="426">
        <v>264</v>
      </c>
      <c r="AA149" s="426" t="s">
        <v>874</v>
      </c>
      <c r="AB149" s="426">
        <v>24</v>
      </c>
      <c r="AC149" s="426" t="s">
        <v>876</v>
      </c>
      <c r="AD149" s="426"/>
      <c r="AE149" s="426"/>
      <c r="AF149" s="426"/>
      <c r="AG149" s="426"/>
      <c r="AH149" s="609"/>
    </row>
    <row r="150" spans="1:34" ht="21.95" customHeight="1" x14ac:dyDescent="0.2">
      <c r="A150" s="467" t="s">
        <v>142</v>
      </c>
      <c r="B150" s="1" t="s">
        <v>221</v>
      </c>
      <c r="C150" s="12">
        <v>2</v>
      </c>
      <c r="D150" s="27">
        <v>238</v>
      </c>
      <c r="E150" s="2"/>
      <c r="F150" s="2">
        <v>247</v>
      </c>
      <c r="G150" s="2"/>
      <c r="H150" s="33">
        <v>234</v>
      </c>
      <c r="I150" s="33">
        <v>37</v>
      </c>
      <c r="J150" s="33">
        <v>268</v>
      </c>
      <c r="K150" s="33">
        <v>40</v>
      </c>
      <c r="L150" s="33">
        <v>254</v>
      </c>
      <c r="M150" s="33">
        <v>34</v>
      </c>
      <c r="N150" s="33">
        <v>212</v>
      </c>
      <c r="O150" s="33">
        <v>46</v>
      </c>
      <c r="P150" s="130">
        <v>240</v>
      </c>
      <c r="Q150" s="130">
        <v>43</v>
      </c>
      <c r="R150" s="247">
        <v>259</v>
      </c>
      <c r="S150" s="247" t="s">
        <v>874</v>
      </c>
      <c r="T150" s="247">
        <v>31</v>
      </c>
      <c r="U150" s="247" t="s">
        <v>876</v>
      </c>
      <c r="V150" s="311">
        <v>272</v>
      </c>
      <c r="W150" s="311" t="s">
        <v>875</v>
      </c>
      <c r="X150" s="311">
        <v>19</v>
      </c>
      <c r="Y150" s="311" t="s">
        <v>876</v>
      </c>
      <c r="Z150" s="426">
        <v>269</v>
      </c>
      <c r="AA150" s="426" t="s">
        <v>875</v>
      </c>
      <c r="AB150" s="426">
        <v>35</v>
      </c>
      <c r="AC150" s="426" t="s">
        <v>876</v>
      </c>
      <c r="AD150" s="466">
        <v>283</v>
      </c>
      <c r="AE150" s="466" t="s">
        <v>875</v>
      </c>
      <c r="AF150" s="466">
        <v>45</v>
      </c>
      <c r="AG150" s="466" t="s">
        <v>874</v>
      </c>
      <c r="AH150" s="609"/>
    </row>
    <row r="151" spans="1:34" ht="21.95" customHeight="1" x14ac:dyDescent="0.2">
      <c r="A151" s="467" t="s">
        <v>149</v>
      </c>
      <c r="B151" s="1" t="s">
        <v>221</v>
      </c>
      <c r="C151" s="12">
        <v>5</v>
      </c>
      <c r="D151" s="27">
        <v>241.33076923076919</v>
      </c>
      <c r="E151" s="2"/>
      <c r="F151" s="2">
        <v>229</v>
      </c>
      <c r="G151" s="2"/>
      <c r="H151" s="33">
        <v>257</v>
      </c>
      <c r="I151" s="33">
        <v>37</v>
      </c>
      <c r="J151" s="33">
        <v>243</v>
      </c>
      <c r="K151" s="33">
        <v>44</v>
      </c>
      <c r="L151" s="33">
        <v>235</v>
      </c>
      <c r="M151" s="33">
        <v>36</v>
      </c>
      <c r="N151" s="33">
        <v>252</v>
      </c>
      <c r="O151" s="33">
        <v>37</v>
      </c>
      <c r="P151" s="130">
        <v>237</v>
      </c>
      <c r="Q151" s="130">
        <v>41</v>
      </c>
      <c r="R151" s="247">
        <v>236</v>
      </c>
      <c r="S151" s="247" t="s">
        <v>876</v>
      </c>
      <c r="T151" s="247">
        <v>35</v>
      </c>
      <c r="U151" s="247" t="s">
        <v>876</v>
      </c>
      <c r="V151" s="311">
        <v>243</v>
      </c>
      <c r="W151" s="311" t="s">
        <v>876</v>
      </c>
      <c r="X151" s="311">
        <v>39</v>
      </c>
      <c r="Y151" s="311" t="s">
        <v>874</v>
      </c>
      <c r="Z151" s="426">
        <v>248</v>
      </c>
      <c r="AA151" s="426" t="s">
        <v>876</v>
      </c>
      <c r="AB151" s="426">
        <v>38</v>
      </c>
      <c r="AC151" s="426" t="s">
        <v>874</v>
      </c>
      <c r="AD151" s="466">
        <v>257</v>
      </c>
      <c r="AE151" s="466" t="s">
        <v>876</v>
      </c>
      <c r="AF151" s="466">
        <v>33</v>
      </c>
      <c r="AG151" s="466" t="s">
        <v>876</v>
      </c>
      <c r="AH151" s="609"/>
    </row>
    <row r="152" spans="1:34" ht="21.95" customHeight="1" x14ac:dyDescent="0.2">
      <c r="A152" s="467" t="s">
        <v>140</v>
      </c>
      <c r="B152" s="1" t="s">
        <v>221</v>
      </c>
      <c r="C152" s="12">
        <v>2</v>
      </c>
      <c r="D152" s="27">
        <v>258.21923076923076</v>
      </c>
      <c r="E152" s="2"/>
      <c r="F152" s="2">
        <v>251</v>
      </c>
      <c r="G152" s="2"/>
      <c r="H152" s="33">
        <v>251</v>
      </c>
      <c r="I152" s="33">
        <v>45</v>
      </c>
      <c r="J152" s="33">
        <v>278</v>
      </c>
      <c r="K152" s="33">
        <v>32</v>
      </c>
      <c r="L152" s="33">
        <v>271</v>
      </c>
      <c r="M152" s="33">
        <v>36</v>
      </c>
      <c r="N152" s="33">
        <v>262</v>
      </c>
      <c r="O152" s="33">
        <v>35</v>
      </c>
      <c r="P152" s="130">
        <v>255</v>
      </c>
      <c r="Q152" s="130">
        <v>32</v>
      </c>
      <c r="R152" s="247">
        <v>246</v>
      </c>
      <c r="S152" s="247" t="s">
        <v>876</v>
      </c>
      <c r="T152" s="247">
        <v>34</v>
      </c>
      <c r="U152" s="247" t="s">
        <v>876</v>
      </c>
      <c r="V152" s="311">
        <v>256</v>
      </c>
      <c r="W152" s="311" t="s">
        <v>876</v>
      </c>
      <c r="X152" s="311">
        <v>40</v>
      </c>
      <c r="Y152" s="311" t="s">
        <v>874</v>
      </c>
      <c r="Z152" s="426">
        <v>258</v>
      </c>
      <c r="AA152" s="426" t="s">
        <v>876</v>
      </c>
      <c r="AB152" s="426">
        <v>46</v>
      </c>
      <c r="AC152" s="426" t="s">
        <v>874</v>
      </c>
      <c r="AD152" s="466">
        <v>251</v>
      </c>
      <c r="AE152" s="466" t="s">
        <v>876</v>
      </c>
      <c r="AF152" s="466">
        <v>43</v>
      </c>
      <c r="AG152" s="466" t="s">
        <v>874</v>
      </c>
      <c r="AH152" s="609"/>
    </row>
    <row r="153" spans="1:34" ht="21.95" customHeight="1" x14ac:dyDescent="0.2">
      <c r="A153" s="467" t="s">
        <v>122</v>
      </c>
      <c r="B153" s="1" t="s">
        <v>221</v>
      </c>
      <c r="C153" s="12">
        <v>6</v>
      </c>
      <c r="D153" s="27">
        <v>261.97307692307692</v>
      </c>
      <c r="E153" s="2"/>
      <c r="F153" s="2">
        <v>277</v>
      </c>
      <c r="G153" s="2"/>
      <c r="H153" s="33">
        <v>278</v>
      </c>
      <c r="I153" s="33">
        <v>33</v>
      </c>
      <c r="J153" s="33">
        <v>273</v>
      </c>
      <c r="K153" s="33">
        <v>35</v>
      </c>
      <c r="L153" s="33">
        <v>272</v>
      </c>
      <c r="M153" s="33">
        <v>39</v>
      </c>
      <c r="N153" s="33">
        <v>264</v>
      </c>
      <c r="O153" s="33">
        <v>42</v>
      </c>
      <c r="P153" s="130">
        <v>254</v>
      </c>
      <c r="Q153" s="130">
        <v>40</v>
      </c>
      <c r="R153" s="247">
        <v>258</v>
      </c>
      <c r="S153" s="247" t="s">
        <v>874</v>
      </c>
      <c r="T153" s="247">
        <v>44</v>
      </c>
      <c r="U153" s="247" t="s">
        <v>874</v>
      </c>
      <c r="V153" s="311">
        <v>266</v>
      </c>
      <c r="W153" s="311" t="s">
        <v>875</v>
      </c>
      <c r="X153" s="311">
        <v>46</v>
      </c>
      <c r="Y153" s="311" t="s">
        <v>874</v>
      </c>
      <c r="Z153" s="426">
        <v>270</v>
      </c>
      <c r="AA153" s="426" t="s">
        <v>875</v>
      </c>
      <c r="AB153" s="426">
        <v>47</v>
      </c>
      <c r="AC153" s="426" t="s">
        <v>874</v>
      </c>
      <c r="AD153" s="466">
        <v>270</v>
      </c>
      <c r="AE153" s="466" t="s">
        <v>875</v>
      </c>
      <c r="AF153" s="466">
        <v>44</v>
      </c>
      <c r="AG153" s="466" t="s">
        <v>874</v>
      </c>
      <c r="AH153" s="609"/>
    </row>
    <row r="154" spans="1:34" ht="21.95" customHeight="1" x14ac:dyDescent="0.2">
      <c r="A154" s="467" t="s">
        <v>197</v>
      </c>
      <c r="B154" s="1" t="s">
        <v>221</v>
      </c>
      <c r="C154" s="12">
        <v>5</v>
      </c>
      <c r="D154" s="27">
        <v>273.59615384615387</v>
      </c>
      <c r="E154" s="2"/>
      <c r="F154" s="2">
        <v>279</v>
      </c>
      <c r="G154" s="2"/>
      <c r="H154" s="33">
        <v>305</v>
      </c>
      <c r="I154" s="33">
        <v>36</v>
      </c>
      <c r="J154" s="33">
        <v>297</v>
      </c>
      <c r="K154" s="33">
        <v>30</v>
      </c>
      <c r="L154" s="33">
        <v>301</v>
      </c>
      <c r="M154" s="33">
        <v>43</v>
      </c>
      <c r="N154" s="33">
        <v>280</v>
      </c>
      <c r="O154" s="33">
        <v>44</v>
      </c>
      <c r="P154" s="130">
        <v>278</v>
      </c>
      <c r="Q154" s="130">
        <v>37</v>
      </c>
      <c r="R154" s="247">
        <v>280</v>
      </c>
      <c r="S154" s="247" t="s">
        <v>875</v>
      </c>
      <c r="T154" s="247">
        <v>42</v>
      </c>
      <c r="U154" s="247" t="s">
        <v>874</v>
      </c>
      <c r="V154" s="311">
        <v>294</v>
      </c>
      <c r="W154" s="311" t="s">
        <v>875</v>
      </c>
      <c r="X154" s="311">
        <v>39</v>
      </c>
      <c r="Y154" s="311" t="s">
        <v>874</v>
      </c>
      <c r="Z154" s="426">
        <v>296</v>
      </c>
      <c r="AA154" s="426" t="s">
        <v>875</v>
      </c>
      <c r="AB154" s="426">
        <v>40</v>
      </c>
      <c r="AC154" s="426" t="s">
        <v>874</v>
      </c>
      <c r="AD154" s="466">
        <v>300</v>
      </c>
      <c r="AE154" s="466" t="s">
        <v>875</v>
      </c>
      <c r="AF154" s="466">
        <v>41</v>
      </c>
      <c r="AG154" s="466" t="s">
        <v>874</v>
      </c>
      <c r="AH154" s="609"/>
    </row>
    <row r="155" spans="1:34" ht="21.95" customHeight="1" x14ac:dyDescent="0.2">
      <c r="A155" s="467" t="s">
        <v>164</v>
      </c>
      <c r="B155" s="1" t="s">
        <v>221</v>
      </c>
      <c r="C155" s="12">
        <v>1</v>
      </c>
      <c r="D155" s="27">
        <v>260.4115384615385</v>
      </c>
      <c r="E155" s="2"/>
      <c r="F155" s="2">
        <v>240</v>
      </c>
      <c r="G155" s="2"/>
      <c r="H155" s="33">
        <v>263</v>
      </c>
      <c r="I155" s="33">
        <v>40</v>
      </c>
      <c r="J155" s="33">
        <v>257</v>
      </c>
      <c r="K155" s="33">
        <v>36</v>
      </c>
      <c r="L155" s="33">
        <v>250</v>
      </c>
      <c r="M155" s="33">
        <v>38</v>
      </c>
      <c r="N155" s="33">
        <v>256</v>
      </c>
      <c r="O155" s="33">
        <v>40</v>
      </c>
      <c r="P155" s="130">
        <v>249</v>
      </c>
      <c r="Q155" s="130">
        <v>41</v>
      </c>
      <c r="R155" s="247">
        <v>245</v>
      </c>
      <c r="S155" s="247" t="s">
        <v>876</v>
      </c>
      <c r="T155" s="247">
        <v>43</v>
      </c>
      <c r="U155" s="247" t="s">
        <v>874</v>
      </c>
      <c r="V155" s="311">
        <v>255</v>
      </c>
      <c r="W155" s="311" t="s">
        <v>876</v>
      </c>
      <c r="X155" s="311">
        <v>43</v>
      </c>
      <c r="Y155" s="311" t="s">
        <v>874</v>
      </c>
      <c r="Z155" s="426">
        <v>258</v>
      </c>
      <c r="AA155" s="426" t="s">
        <v>876</v>
      </c>
      <c r="AB155" s="426">
        <v>40</v>
      </c>
      <c r="AC155" s="426" t="s">
        <v>874</v>
      </c>
      <c r="AD155" s="466">
        <v>258</v>
      </c>
      <c r="AE155" s="466" t="s">
        <v>876</v>
      </c>
      <c r="AF155" s="466">
        <v>35</v>
      </c>
      <c r="AG155" s="466" t="s">
        <v>876</v>
      </c>
      <c r="AH155" s="609"/>
    </row>
    <row r="156" spans="1:34" ht="21.95" customHeight="1" x14ac:dyDescent="0.2">
      <c r="A156" s="467" t="s">
        <v>228</v>
      </c>
      <c r="B156" s="1" t="s">
        <v>221</v>
      </c>
      <c r="C156" s="12">
        <v>6</v>
      </c>
      <c r="D156" s="27">
        <v>275.76923076923077</v>
      </c>
      <c r="E156" s="2"/>
      <c r="F156" s="2">
        <v>271</v>
      </c>
      <c r="G156" s="2"/>
      <c r="H156" s="33" t="s">
        <v>256</v>
      </c>
      <c r="I156" s="33" t="s">
        <v>256</v>
      </c>
      <c r="J156" s="33">
        <v>243</v>
      </c>
      <c r="K156" s="33">
        <v>61</v>
      </c>
      <c r="L156" s="33">
        <v>238</v>
      </c>
      <c r="M156" s="33">
        <v>40</v>
      </c>
      <c r="N156" s="33">
        <v>241</v>
      </c>
      <c r="O156" s="33">
        <v>33</v>
      </c>
      <c r="P156" s="130">
        <v>184</v>
      </c>
      <c r="Q156" s="130">
        <v>13</v>
      </c>
      <c r="AH156" s="609"/>
    </row>
    <row r="157" spans="1:34" ht="21.95" customHeight="1" x14ac:dyDescent="0.2">
      <c r="A157" s="467" t="s">
        <v>211</v>
      </c>
      <c r="B157" s="1" t="s">
        <v>221</v>
      </c>
      <c r="C157" s="12">
        <v>3</v>
      </c>
      <c r="D157" s="27"/>
      <c r="E157" s="2"/>
      <c r="F157" s="2"/>
      <c r="G157" s="2"/>
      <c r="H157" s="33">
        <v>279</v>
      </c>
      <c r="I157" s="33">
        <v>43</v>
      </c>
      <c r="J157" s="33">
        <v>251</v>
      </c>
      <c r="K157" s="33">
        <v>19</v>
      </c>
      <c r="L157" s="33">
        <v>256</v>
      </c>
      <c r="M157" s="33">
        <v>41</v>
      </c>
      <c r="N157" s="33">
        <v>259</v>
      </c>
      <c r="O157" s="33">
        <v>41</v>
      </c>
      <c r="P157" s="130">
        <v>258</v>
      </c>
      <c r="Q157" s="130">
        <v>38</v>
      </c>
      <c r="R157" s="247">
        <v>255</v>
      </c>
      <c r="S157" s="247" t="s">
        <v>874</v>
      </c>
      <c r="T157" s="247">
        <v>39</v>
      </c>
      <c r="U157" s="247" t="s">
        <v>874</v>
      </c>
      <c r="V157" s="311">
        <v>241</v>
      </c>
      <c r="W157" s="311" t="s">
        <v>876</v>
      </c>
      <c r="X157" s="311">
        <v>46</v>
      </c>
      <c r="Y157" s="311" t="s">
        <v>874</v>
      </c>
      <c r="Z157" s="426">
        <v>257</v>
      </c>
      <c r="AA157" s="426" t="s">
        <v>876</v>
      </c>
      <c r="AB157" s="426">
        <v>35</v>
      </c>
      <c r="AC157" s="426" t="s">
        <v>876</v>
      </c>
      <c r="AD157" s="466">
        <v>262</v>
      </c>
      <c r="AE157" s="466" t="s">
        <v>874</v>
      </c>
      <c r="AF157" s="466">
        <v>37</v>
      </c>
      <c r="AG157" s="466" t="s">
        <v>876</v>
      </c>
      <c r="AH157" s="609"/>
    </row>
    <row r="158" spans="1:34" ht="21.95" customHeight="1" x14ac:dyDescent="0.2">
      <c r="A158" s="467" t="s">
        <v>57</v>
      </c>
      <c r="B158" s="1" t="s">
        <v>221</v>
      </c>
      <c r="C158" s="12">
        <v>3</v>
      </c>
      <c r="D158" s="27">
        <v>257.47307692307692</v>
      </c>
      <c r="E158" s="2"/>
      <c r="F158" s="2">
        <v>244</v>
      </c>
      <c r="G158" s="2"/>
      <c r="H158" s="33">
        <v>253</v>
      </c>
      <c r="I158" s="33">
        <v>39</v>
      </c>
      <c r="J158" s="33">
        <v>259</v>
      </c>
      <c r="K158" s="33">
        <v>40</v>
      </c>
      <c r="L158" s="33">
        <v>246</v>
      </c>
      <c r="M158" s="33">
        <v>41</v>
      </c>
      <c r="N158" s="33">
        <v>247</v>
      </c>
      <c r="O158" s="33">
        <v>47</v>
      </c>
      <c r="P158" s="130">
        <v>251</v>
      </c>
      <c r="Q158" s="130">
        <v>28</v>
      </c>
      <c r="R158" s="247">
        <v>241</v>
      </c>
      <c r="S158" s="247" t="s">
        <v>876</v>
      </c>
      <c r="T158" s="247">
        <v>42</v>
      </c>
      <c r="U158" s="247" t="s">
        <v>874</v>
      </c>
      <c r="V158" s="311">
        <v>261</v>
      </c>
      <c r="W158" s="311" t="s">
        <v>874</v>
      </c>
      <c r="X158" s="311">
        <v>37</v>
      </c>
      <c r="Y158" s="311" t="s">
        <v>874</v>
      </c>
      <c r="Z158" s="426">
        <v>257</v>
      </c>
      <c r="AA158" s="426" t="s">
        <v>876</v>
      </c>
      <c r="AB158" s="426">
        <v>41</v>
      </c>
      <c r="AC158" s="426" t="s">
        <v>874</v>
      </c>
      <c r="AD158" s="466">
        <v>253</v>
      </c>
      <c r="AE158" s="466" t="s">
        <v>876</v>
      </c>
      <c r="AF158" s="466">
        <v>32</v>
      </c>
      <c r="AG158" s="466" t="s">
        <v>876</v>
      </c>
      <c r="AH158" s="609"/>
    </row>
    <row r="159" spans="1:34" ht="21.95" customHeight="1" x14ac:dyDescent="0.2">
      <c r="A159" s="467" t="s">
        <v>195</v>
      </c>
      <c r="B159" s="1" t="s">
        <v>221</v>
      </c>
      <c r="C159" s="12">
        <v>5</v>
      </c>
      <c r="D159" s="27">
        <v>290.36153846153843</v>
      </c>
      <c r="E159" s="2"/>
      <c r="F159" s="2">
        <v>277</v>
      </c>
      <c r="G159" s="2"/>
      <c r="H159" s="33">
        <v>294</v>
      </c>
      <c r="I159" s="33">
        <v>31</v>
      </c>
      <c r="J159" s="33">
        <v>294</v>
      </c>
      <c r="K159" s="33">
        <v>32</v>
      </c>
      <c r="L159" s="33">
        <v>307</v>
      </c>
      <c r="M159" s="33">
        <v>38</v>
      </c>
      <c r="N159" s="33">
        <v>299</v>
      </c>
      <c r="O159" s="33">
        <v>34</v>
      </c>
      <c r="P159" s="130">
        <v>292</v>
      </c>
      <c r="Q159" s="130">
        <v>26</v>
      </c>
      <c r="R159" s="247">
        <v>302</v>
      </c>
      <c r="S159" s="247" t="s">
        <v>875</v>
      </c>
      <c r="T159" s="247">
        <v>36</v>
      </c>
      <c r="U159" s="247" t="s">
        <v>874</v>
      </c>
      <c r="V159" s="311">
        <v>292</v>
      </c>
      <c r="W159" s="311" t="s">
        <v>875</v>
      </c>
      <c r="X159" s="311">
        <v>49</v>
      </c>
      <c r="Y159" s="311" t="s">
        <v>874</v>
      </c>
      <c r="Z159" s="426">
        <v>317</v>
      </c>
      <c r="AA159" s="426" t="s">
        <v>875</v>
      </c>
      <c r="AB159" s="426">
        <v>31</v>
      </c>
      <c r="AC159" s="426" t="s">
        <v>876</v>
      </c>
      <c r="AD159" s="466">
        <v>316</v>
      </c>
      <c r="AE159" s="466" t="s">
        <v>875</v>
      </c>
      <c r="AF159" s="466">
        <v>39</v>
      </c>
      <c r="AG159" s="466" t="s">
        <v>874</v>
      </c>
      <c r="AH159" s="609"/>
    </row>
    <row r="160" spans="1:34" ht="21.95" customHeight="1" x14ac:dyDescent="0.2">
      <c r="A160" s="467" t="s">
        <v>19</v>
      </c>
      <c r="B160" s="1" t="s">
        <v>221</v>
      </c>
      <c r="C160" s="12">
        <v>5</v>
      </c>
      <c r="D160" s="27">
        <v>285.77307692307687</v>
      </c>
      <c r="E160" s="2"/>
      <c r="F160" s="2">
        <v>284</v>
      </c>
      <c r="G160" s="2"/>
      <c r="H160" s="33">
        <v>289</v>
      </c>
      <c r="I160" s="33">
        <v>30</v>
      </c>
      <c r="J160" s="33">
        <v>293</v>
      </c>
      <c r="K160" s="33">
        <v>37</v>
      </c>
      <c r="L160" s="33">
        <v>289</v>
      </c>
      <c r="M160" s="33">
        <v>38</v>
      </c>
      <c r="N160" s="33">
        <v>288</v>
      </c>
      <c r="O160" s="33">
        <v>33</v>
      </c>
      <c r="P160" s="130">
        <v>283</v>
      </c>
      <c r="Q160" s="130">
        <v>34</v>
      </c>
      <c r="R160" s="247">
        <v>285</v>
      </c>
      <c r="S160" s="247" t="s">
        <v>875</v>
      </c>
      <c r="T160" s="247">
        <v>40</v>
      </c>
      <c r="U160" s="247" t="s">
        <v>874</v>
      </c>
      <c r="V160" s="311">
        <v>280</v>
      </c>
      <c r="W160" s="311" t="s">
        <v>875</v>
      </c>
      <c r="X160" s="311">
        <v>41</v>
      </c>
      <c r="Y160" s="311" t="s">
        <v>874</v>
      </c>
      <c r="Z160" s="426">
        <v>289</v>
      </c>
      <c r="AA160" s="426" t="s">
        <v>875</v>
      </c>
      <c r="AB160" s="426">
        <v>42</v>
      </c>
      <c r="AC160" s="426" t="s">
        <v>874</v>
      </c>
      <c r="AD160" s="466">
        <v>285</v>
      </c>
      <c r="AE160" s="466" t="s">
        <v>875</v>
      </c>
      <c r="AF160" s="466">
        <v>41</v>
      </c>
      <c r="AG160" s="466" t="s">
        <v>874</v>
      </c>
      <c r="AH160" s="609"/>
    </row>
    <row r="161" spans="1:37" ht="21.95" customHeight="1" x14ac:dyDescent="0.2">
      <c r="A161" s="467" t="s">
        <v>118</v>
      </c>
      <c r="B161" s="1" t="s">
        <v>221</v>
      </c>
      <c r="C161" s="12">
        <v>3</v>
      </c>
      <c r="D161" s="27">
        <v>258.5884615384615</v>
      </c>
      <c r="E161" s="2"/>
      <c r="F161" s="2">
        <v>262</v>
      </c>
      <c r="G161" s="2"/>
      <c r="H161" s="33">
        <v>273</v>
      </c>
      <c r="I161" s="33">
        <v>42</v>
      </c>
      <c r="J161" s="33">
        <v>259</v>
      </c>
      <c r="K161" s="33">
        <v>30</v>
      </c>
      <c r="L161" s="33">
        <v>260</v>
      </c>
      <c r="M161" s="33">
        <v>33</v>
      </c>
      <c r="N161" s="33">
        <v>265</v>
      </c>
      <c r="O161" s="33">
        <v>39</v>
      </c>
      <c r="P161" s="130">
        <v>240</v>
      </c>
      <c r="Q161" s="130">
        <v>37</v>
      </c>
      <c r="R161" s="247">
        <v>267</v>
      </c>
      <c r="S161" s="247" t="s">
        <v>875</v>
      </c>
      <c r="T161" s="247">
        <v>37</v>
      </c>
      <c r="U161" s="247" t="s">
        <v>874</v>
      </c>
      <c r="V161" s="311">
        <v>271</v>
      </c>
      <c r="W161" s="311" t="s">
        <v>875</v>
      </c>
      <c r="X161" s="311">
        <v>44</v>
      </c>
      <c r="Y161" s="311" t="s">
        <v>874</v>
      </c>
      <c r="Z161" s="426">
        <v>262</v>
      </c>
      <c r="AA161" s="426" t="s">
        <v>874</v>
      </c>
      <c r="AB161" s="426">
        <v>36</v>
      </c>
      <c r="AC161" s="426" t="s">
        <v>876</v>
      </c>
      <c r="AD161" s="466">
        <v>239</v>
      </c>
      <c r="AE161" s="466" t="s">
        <v>876</v>
      </c>
      <c r="AF161" s="466">
        <v>38</v>
      </c>
      <c r="AG161" s="466" t="s">
        <v>874</v>
      </c>
      <c r="AH161" s="609"/>
    </row>
    <row r="162" spans="1:37" ht="21.95" customHeight="1" x14ac:dyDescent="0.2">
      <c r="A162" s="467" t="s">
        <v>205</v>
      </c>
      <c r="B162" s="1" t="s">
        <v>221</v>
      </c>
      <c r="C162" s="12">
        <v>5</v>
      </c>
      <c r="D162" s="27"/>
      <c r="E162" s="2"/>
      <c r="F162" s="2">
        <v>255</v>
      </c>
      <c r="G162" s="2"/>
      <c r="H162" s="33">
        <v>259</v>
      </c>
      <c r="I162" s="33">
        <v>40</v>
      </c>
      <c r="J162" s="33">
        <v>277</v>
      </c>
      <c r="K162" s="33">
        <v>41</v>
      </c>
      <c r="L162" s="33">
        <v>271</v>
      </c>
      <c r="M162" s="33">
        <v>40</v>
      </c>
      <c r="N162" s="33">
        <v>270</v>
      </c>
      <c r="O162" s="33">
        <v>40</v>
      </c>
      <c r="P162" s="130">
        <v>281</v>
      </c>
      <c r="Q162" s="130">
        <v>32</v>
      </c>
      <c r="R162" s="247">
        <v>269</v>
      </c>
      <c r="S162" s="247" t="s">
        <v>875</v>
      </c>
      <c r="T162" s="247">
        <v>37</v>
      </c>
      <c r="U162" s="247" t="s">
        <v>874</v>
      </c>
      <c r="V162" s="311">
        <v>286</v>
      </c>
      <c r="W162" s="311" t="s">
        <v>875</v>
      </c>
      <c r="X162" s="311">
        <v>40</v>
      </c>
      <c r="Y162" s="311" t="s">
        <v>874</v>
      </c>
      <c r="Z162" s="426">
        <v>277</v>
      </c>
      <c r="AA162" s="426" t="s">
        <v>875</v>
      </c>
      <c r="AB162" s="426">
        <v>38</v>
      </c>
      <c r="AC162" s="426" t="s">
        <v>874</v>
      </c>
      <c r="AD162" s="466">
        <v>276</v>
      </c>
      <c r="AE162" s="466" t="s">
        <v>875</v>
      </c>
      <c r="AF162" s="466">
        <v>38</v>
      </c>
      <c r="AG162" s="466" t="s">
        <v>874</v>
      </c>
      <c r="AH162" s="609"/>
    </row>
    <row r="163" spans="1:37" ht="21.95" customHeight="1" x14ac:dyDescent="0.2">
      <c r="A163" s="467" t="s">
        <v>201</v>
      </c>
      <c r="B163" s="1" t="s">
        <v>219</v>
      </c>
      <c r="C163" s="12">
        <v>5</v>
      </c>
      <c r="D163" s="27">
        <v>262.74615384615379</v>
      </c>
      <c r="E163" s="2"/>
      <c r="F163" s="2">
        <v>262</v>
      </c>
      <c r="G163" s="2"/>
      <c r="H163" s="33">
        <v>271</v>
      </c>
      <c r="I163" s="33">
        <v>35</v>
      </c>
      <c r="J163" s="33">
        <v>284</v>
      </c>
      <c r="K163" s="33">
        <v>35</v>
      </c>
      <c r="L163" s="33">
        <v>276</v>
      </c>
      <c r="M163" s="33">
        <v>37</v>
      </c>
      <c r="N163" s="33">
        <v>283</v>
      </c>
      <c r="O163" s="33">
        <v>33</v>
      </c>
      <c r="P163" s="130">
        <v>290</v>
      </c>
      <c r="Q163" s="130">
        <v>34</v>
      </c>
      <c r="R163" s="247">
        <v>280</v>
      </c>
      <c r="S163" s="247" t="s">
        <v>875</v>
      </c>
      <c r="T163" s="247">
        <v>35</v>
      </c>
      <c r="U163" s="247" t="s">
        <v>876</v>
      </c>
      <c r="V163" s="311">
        <v>292</v>
      </c>
      <c r="W163" s="311" t="s">
        <v>875</v>
      </c>
      <c r="X163" s="311">
        <v>37</v>
      </c>
      <c r="Y163" s="311" t="s">
        <v>874</v>
      </c>
      <c r="Z163" s="426">
        <v>282</v>
      </c>
      <c r="AA163" s="426" t="s">
        <v>875</v>
      </c>
      <c r="AB163" s="426">
        <v>37</v>
      </c>
      <c r="AC163" s="426" t="s">
        <v>874</v>
      </c>
      <c r="AD163" s="466">
        <v>287</v>
      </c>
      <c r="AE163" s="466" t="s">
        <v>875</v>
      </c>
      <c r="AF163" s="466">
        <v>42</v>
      </c>
      <c r="AG163" s="466" t="s">
        <v>874</v>
      </c>
      <c r="AH163" s="609"/>
    </row>
    <row r="164" spans="1:37" ht="21.95" customHeight="1" x14ac:dyDescent="0.2">
      <c r="A164" s="467" t="s">
        <v>213</v>
      </c>
      <c r="B164" s="1" t="s">
        <v>221</v>
      </c>
      <c r="C164" s="12">
        <v>5</v>
      </c>
      <c r="D164" s="27"/>
      <c r="E164" s="2"/>
      <c r="F164" s="2"/>
      <c r="G164" s="2"/>
      <c r="H164" s="33">
        <v>290</v>
      </c>
      <c r="I164" s="33">
        <v>25</v>
      </c>
      <c r="J164" s="33">
        <v>298</v>
      </c>
      <c r="K164" s="33">
        <v>28</v>
      </c>
      <c r="L164" s="33">
        <v>297</v>
      </c>
      <c r="M164" s="33">
        <v>39</v>
      </c>
      <c r="N164" s="33">
        <v>285</v>
      </c>
      <c r="O164" s="33">
        <v>30</v>
      </c>
      <c r="P164" s="130">
        <v>282</v>
      </c>
      <c r="Q164" s="130">
        <v>28</v>
      </c>
      <c r="R164" s="247">
        <v>281</v>
      </c>
      <c r="S164" s="247" t="s">
        <v>875</v>
      </c>
      <c r="T164" s="247">
        <v>43</v>
      </c>
      <c r="U164" s="247" t="s">
        <v>874</v>
      </c>
      <c r="V164" s="311">
        <v>289</v>
      </c>
      <c r="W164" s="311" t="s">
        <v>875</v>
      </c>
      <c r="X164" s="311">
        <v>43</v>
      </c>
      <c r="Y164" s="311" t="s">
        <v>874</v>
      </c>
      <c r="Z164" s="426">
        <v>294</v>
      </c>
      <c r="AA164" s="426" t="s">
        <v>875</v>
      </c>
      <c r="AB164" s="426">
        <v>37</v>
      </c>
      <c r="AC164" s="426" t="s">
        <v>874</v>
      </c>
      <c r="AD164" s="466">
        <v>295</v>
      </c>
      <c r="AE164" s="466" t="s">
        <v>875</v>
      </c>
      <c r="AF164" s="466">
        <v>38</v>
      </c>
      <c r="AG164" s="466" t="s">
        <v>874</v>
      </c>
      <c r="AH164" s="609"/>
    </row>
    <row r="165" spans="1:37" ht="21.95" customHeight="1" x14ac:dyDescent="0.2">
      <c r="A165" s="467" t="s">
        <v>176</v>
      </c>
      <c r="B165" s="1" t="s">
        <v>221</v>
      </c>
      <c r="C165" s="12">
        <v>5</v>
      </c>
      <c r="D165" s="27">
        <v>274.79230769230765</v>
      </c>
      <c r="E165" s="2"/>
      <c r="F165" s="2">
        <v>284</v>
      </c>
      <c r="G165" s="2"/>
      <c r="H165" s="33">
        <v>276</v>
      </c>
      <c r="I165" s="33">
        <v>31</v>
      </c>
      <c r="J165" s="33">
        <v>279</v>
      </c>
      <c r="K165" s="33">
        <v>33</v>
      </c>
      <c r="L165" s="33">
        <v>292</v>
      </c>
      <c r="M165" s="33">
        <v>22</v>
      </c>
      <c r="N165" s="33">
        <v>281</v>
      </c>
      <c r="O165" s="33">
        <v>37</v>
      </c>
      <c r="P165" s="130">
        <v>286</v>
      </c>
      <c r="Q165" s="130">
        <v>23</v>
      </c>
      <c r="R165" s="247">
        <v>279</v>
      </c>
      <c r="S165" s="247" t="s">
        <v>875</v>
      </c>
      <c r="T165" s="247">
        <v>39</v>
      </c>
      <c r="U165" s="247" t="s">
        <v>874</v>
      </c>
      <c r="V165" s="311">
        <v>299</v>
      </c>
      <c r="W165" s="311" t="s">
        <v>875</v>
      </c>
      <c r="X165" s="311">
        <v>26</v>
      </c>
      <c r="Y165" s="311" t="s">
        <v>876</v>
      </c>
      <c r="Z165" s="426">
        <v>281</v>
      </c>
      <c r="AA165" s="426" t="s">
        <v>875</v>
      </c>
      <c r="AB165" s="426">
        <v>40</v>
      </c>
      <c r="AC165" s="426" t="s">
        <v>874</v>
      </c>
      <c r="AD165" s="466">
        <v>288</v>
      </c>
      <c r="AE165" s="466" t="s">
        <v>875</v>
      </c>
      <c r="AF165" s="466">
        <v>34</v>
      </c>
      <c r="AG165" s="466" t="s">
        <v>876</v>
      </c>
      <c r="AH165" s="609"/>
    </row>
    <row r="166" spans="1:37" ht="21.95" customHeight="1" x14ac:dyDescent="0.2">
      <c r="A166" s="467" t="s">
        <v>285</v>
      </c>
      <c r="B166" s="1" t="s">
        <v>221</v>
      </c>
      <c r="C166" s="12">
        <v>4</v>
      </c>
      <c r="D166" s="27">
        <v>225</v>
      </c>
      <c r="E166" s="2"/>
      <c r="F166" s="2">
        <v>250</v>
      </c>
      <c r="G166" s="2"/>
      <c r="H166" s="33">
        <v>209</v>
      </c>
      <c r="I166" s="33">
        <v>23</v>
      </c>
      <c r="J166" s="33">
        <v>217</v>
      </c>
      <c r="K166" s="33">
        <v>26</v>
      </c>
      <c r="L166" s="33">
        <v>223</v>
      </c>
      <c r="M166" s="33">
        <v>22</v>
      </c>
      <c r="N166" s="33">
        <v>221</v>
      </c>
      <c r="O166" s="33">
        <v>27</v>
      </c>
      <c r="P166" s="130">
        <v>201</v>
      </c>
      <c r="Q166" s="130">
        <v>28</v>
      </c>
      <c r="R166" s="247">
        <v>231</v>
      </c>
      <c r="S166" s="247" t="s">
        <v>876</v>
      </c>
      <c r="T166" s="247">
        <v>36</v>
      </c>
      <c r="U166" s="247" t="s">
        <v>874</v>
      </c>
      <c r="V166" s="311">
        <v>244</v>
      </c>
      <c r="W166" s="311" t="s">
        <v>876</v>
      </c>
      <c r="X166" s="311">
        <v>30</v>
      </c>
      <c r="Y166" s="311" t="s">
        <v>876</v>
      </c>
      <c r="Z166" s="426">
        <v>232</v>
      </c>
      <c r="AA166" s="426" t="s">
        <v>876</v>
      </c>
      <c r="AB166" s="426">
        <v>37</v>
      </c>
      <c r="AC166" s="426" t="s">
        <v>874</v>
      </c>
      <c r="AD166" s="466">
        <v>245</v>
      </c>
      <c r="AE166" s="466" t="s">
        <v>876</v>
      </c>
      <c r="AF166" s="466">
        <v>32</v>
      </c>
      <c r="AG166" s="466" t="s">
        <v>876</v>
      </c>
      <c r="AH166" s="609"/>
    </row>
    <row r="167" spans="1:37" ht="21.95" customHeight="1" x14ac:dyDescent="0.2">
      <c r="A167" s="467" t="s">
        <v>71</v>
      </c>
      <c r="B167" s="1" t="s">
        <v>221</v>
      </c>
      <c r="C167" s="12">
        <v>6</v>
      </c>
      <c r="D167" s="27">
        <v>266.21153846153845</v>
      </c>
      <c r="E167" s="2"/>
      <c r="F167" s="2">
        <v>259</v>
      </c>
      <c r="G167" s="2"/>
      <c r="H167" s="33">
        <v>274</v>
      </c>
      <c r="I167" s="33">
        <v>31</v>
      </c>
      <c r="J167" s="33">
        <v>272</v>
      </c>
      <c r="K167" s="33">
        <v>35</v>
      </c>
      <c r="L167" s="33">
        <v>274</v>
      </c>
      <c r="M167" s="33">
        <v>41</v>
      </c>
      <c r="N167" s="33">
        <v>270</v>
      </c>
      <c r="O167" s="33">
        <v>39</v>
      </c>
      <c r="P167" s="130">
        <v>268</v>
      </c>
      <c r="Q167" s="130">
        <v>36</v>
      </c>
      <c r="R167" s="247">
        <v>270</v>
      </c>
      <c r="S167" s="247" t="s">
        <v>875</v>
      </c>
      <c r="T167" s="247">
        <v>36</v>
      </c>
      <c r="U167" s="247" t="s">
        <v>874</v>
      </c>
      <c r="V167" s="311">
        <v>274</v>
      </c>
      <c r="W167" s="311" t="s">
        <v>875</v>
      </c>
      <c r="X167" s="311">
        <v>36</v>
      </c>
      <c r="Y167" s="311" t="s">
        <v>876</v>
      </c>
      <c r="Z167" s="426">
        <v>275</v>
      </c>
      <c r="AA167" s="426" t="s">
        <v>875</v>
      </c>
      <c r="AB167" s="426">
        <v>43</v>
      </c>
      <c r="AC167" s="426" t="s">
        <v>874</v>
      </c>
      <c r="AD167" s="466">
        <v>285</v>
      </c>
      <c r="AE167" s="466" t="s">
        <v>875</v>
      </c>
      <c r="AF167" s="466">
        <v>43</v>
      </c>
      <c r="AG167" s="466" t="s">
        <v>874</v>
      </c>
      <c r="AH167" s="609"/>
    </row>
    <row r="168" spans="1:37" ht="21.95" customHeight="1" x14ac:dyDescent="0.2">
      <c r="A168" s="467" t="s">
        <v>207</v>
      </c>
      <c r="B168" s="1" t="s">
        <v>221</v>
      </c>
      <c r="C168" s="12">
        <v>4</v>
      </c>
      <c r="D168" s="27"/>
      <c r="E168" s="2"/>
      <c r="F168" s="2">
        <v>270</v>
      </c>
      <c r="G168" s="2"/>
      <c r="H168" s="33">
        <v>281</v>
      </c>
      <c r="I168" s="33">
        <v>31</v>
      </c>
      <c r="J168" s="33">
        <v>288</v>
      </c>
      <c r="K168" s="33">
        <v>32</v>
      </c>
      <c r="L168" s="33">
        <v>273</v>
      </c>
      <c r="M168" s="33">
        <v>20</v>
      </c>
      <c r="N168" s="33">
        <v>283</v>
      </c>
      <c r="O168" s="33">
        <v>36</v>
      </c>
      <c r="P168" s="130">
        <v>255</v>
      </c>
      <c r="Q168" s="130">
        <v>48</v>
      </c>
      <c r="R168" s="247">
        <v>276</v>
      </c>
      <c r="S168" s="247" t="s">
        <v>875</v>
      </c>
      <c r="T168" s="247">
        <v>35</v>
      </c>
      <c r="U168" s="247" t="s">
        <v>876</v>
      </c>
      <c r="V168" s="311">
        <v>276</v>
      </c>
      <c r="W168" s="311" t="s">
        <v>875</v>
      </c>
      <c r="X168" s="311">
        <v>39</v>
      </c>
      <c r="Y168" s="311" t="s">
        <v>874</v>
      </c>
      <c r="Z168" s="426">
        <v>273</v>
      </c>
      <c r="AA168" s="426" t="s">
        <v>875</v>
      </c>
      <c r="AB168" s="426">
        <v>48</v>
      </c>
      <c r="AC168" s="426" t="s">
        <v>874</v>
      </c>
      <c r="AD168" s="466">
        <v>300</v>
      </c>
      <c r="AE168" s="466" t="s">
        <v>875</v>
      </c>
      <c r="AF168" s="466">
        <v>40</v>
      </c>
      <c r="AG168" s="466" t="s">
        <v>874</v>
      </c>
      <c r="AH168" s="609"/>
    </row>
    <row r="169" spans="1:37" ht="21.95" customHeight="1" x14ac:dyDescent="0.2">
      <c r="A169" s="467" t="s">
        <v>99</v>
      </c>
      <c r="B169" s="1" t="s">
        <v>221</v>
      </c>
      <c r="C169" s="12">
        <v>5</v>
      </c>
      <c r="D169" s="27">
        <v>278.63461538461542</v>
      </c>
      <c r="E169" s="2"/>
      <c r="F169" s="2">
        <v>266</v>
      </c>
      <c r="G169" s="2"/>
      <c r="H169" s="33">
        <v>287</v>
      </c>
      <c r="I169" s="33">
        <v>43</v>
      </c>
      <c r="J169" s="33">
        <v>277</v>
      </c>
      <c r="K169" s="33">
        <v>38</v>
      </c>
      <c r="L169" s="33">
        <v>274</v>
      </c>
      <c r="M169" s="33">
        <v>27</v>
      </c>
      <c r="N169" s="33">
        <v>278</v>
      </c>
      <c r="O169" s="33">
        <v>45</v>
      </c>
      <c r="P169" s="130">
        <v>287</v>
      </c>
      <c r="Q169" s="130">
        <v>39</v>
      </c>
      <c r="R169" s="247">
        <v>264</v>
      </c>
      <c r="S169" s="247" t="s">
        <v>875</v>
      </c>
      <c r="T169" s="247">
        <v>32</v>
      </c>
      <c r="U169" s="247" t="s">
        <v>876</v>
      </c>
      <c r="V169" s="311">
        <v>290</v>
      </c>
      <c r="W169" s="311" t="s">
        <v>875</v>
      </c>
      <c r="X169" s="311">
        <v>26</v>
      </c>
      <c r="Y169" s="311" t="s">
        <v>876</v>
      </c>
      <c r="Z169" s="426">
        <v>282</v>
      </c>
      <c r="AA169" s="426" t="s">
        <v>875</v>
      </c>
      <c r="AB169" s="426">
        <v>47</v>
      </c>
      <c r="AC169" s="426" t="s">
        <v>874</v>
      </c>
      <c r="AD169" s="466">
        <v>273</v>
      </c>
      <c r="AE169" s="466" t="s">
        <v>875</v>
      </c>
      <c r="AF169" s="466">
        <v>51</v>
      </c>
      <c r="AG169" s="466" t="s">
        <v>875</v>
      </c>
      <c r="AH169" s="609"/>
    </row>
    <row r="170" spans="1:37" ht="21.95" customHeight="1" x14ac:dyDescent="0.2">
      <c r="A170" s="467" t="s">
        <v>73</v>
      </c>
      <c r="B170" s="1" t="s">
        <v>221</v>
      </c>
      <c r="C170" s="585">
        <v>2</v>
      </c>
      <c r="D170" s="27">
        <v>247.71153846153845</v>
      </c>
      <c r="E170" s="44"/>
      <c r="F170" s="44">
        <v>249</v>
      </c>
      <c r="G170" s="44"/>
      <c r="H170" s="131">
        <v>256</v>
      </c>
      <c r="I170" s="131">
        <v>36</v>
      </c>
      <c r="J170" s="131">
        <v>262</v>
      </c>
      <c r="K170" s="131">
        <v>38</v>
      </c>
      <c r="L170" s="131">
        <v>256</v>
      </c>
      <c r="M170" s="131">
        <v>40</v>
      </c>
      <c r="N170" s="131">
        <v>253</v>
      </c>
      <c r="O170" s="131">
        <v>43</v>
      </c>
      <c r="P170" s="130">
        <v>244</v>
      </c>
      <c r="Q170" s="130">
        <v>29</v>
      </c>
      <c r="R170" s="247">
        <v>253</v>
      </c>
      <c r="S170" s="247" t="s">
        <v>876</v>
      </c>
      <c r="T170" s="247">
        <v>41</v>
      </c>
      <c r="U170" s="247" t="s">
        <v>874</v>
      </c>
      <c r="V170" s="311">
        <v>272</v>
      </c>
      <c r="W170" s="311" t="s">
        <v>875</v>
      </c>
      <c r="X170" s="311">
        <v>39</v>
      </c>
      <c r="Y170" s="311" t="s">
        <v>874</v>
      </c>
      <c r="Z170" s="426">
        <v>276</v>
      </c>
      <c r="AA170" s="426" t="s">
        <v>875</v>
      </c>
      <c r="AB170" s="426">
        <v>44</v>
      </c>
      <c r="AC170" s="426" t="s">
        <v>874</v>
      </c>
      <c r="AD170" s="466">
        <v>260</v>
      </c>
      <c r="AE170" s="466" t="s">
        <v>876</v>
      </c>
      <c r="AF170" s="466">
        <v>46</v>
      </c>
      <c r="AG170" s="466" t="s">
        <v>874</v>
      </c>
      <c r="AH170" s="609"/>
    </row>
    <row r="171" spans="1:37" ht="21.95" customHeight="1" x14ac:dyDescent="0.2">
      <c r="A171" s="467" t="s">
        <v>1082</v>
      </c>
      <c r="B171" s="1" t="s">
        <v>221</v>
      </c>
      <c r="C171" s="528">
        <v>1</v>
      </c>
      <c r="D171" s="466">
        <v>0</v>
      </c>
      <c r="E171" s="466">
        <v>0</v>
      </c>
      <c r="F171" s="466">
        <v>0</v>
      </c>
      <c r="G171" s="466">
        <v>0</v>
      </c>
      <c r="H171" s="466">
        <v>0</v>
      </c>
      <c r="I171" s="466">
        <v>0</v>
      </c>
      <c r="J171" s="466">
        <v>0</v>
      </c>
      <c r="K171" s="466">
        <v>0</v>
      </c>
      <c r="L171" s="466">
        <v>0</v>
      </c>
      <c r="M171" s="466">
        <v>0</v>
      </c>
      <c r="N171" s="466">
        <v>0</v>
      </c>
      <c r="O171" s="466">
        <v>0</v>
      </c>
      <c r="P171" s="466">
        <v>0</v>
      </c>
      <c r="Q171" s="466">
        <v>0</v>
      </c>
      <c r="R171" s="466">
        <v>0</v>
      </c>
      <c r="S171" s="466">
        <v>0</v>
      </c>
      <c r="T171" s="466">
        <v>0</v>
      </c>
      <c r="U171" s="466">
        <v>0</v>
      </c>
      <c r="V171" s="466">
        <v>0</v>
      </c>
      <c r="W171" s="466">
        <v>0</v>
      </c>
      <c r="X171" s="466">
        <v>0</v>
      </c>
      <c r="Y171" s="466">
        <v>0</v>
      </c>
      <c r="Z171" s="466">
        <v>0</v>
      </c>
      <c r="AA171" s="466">
        <v>0</v>
      </c>
      <c r="AB171" s="466">
        <v>0</v>
      </c>
      <c r="AC171" s="466">
        <v>0</v>
      </c>
      <c r="AD171" s="466">
        <v>273</v>
      </c>
      <c r="AE171" s="466" t="s">
        <v>875</v>
      </c>
      <c r="AF171" s="466">
        <v>34</v>
      </c>
      <c r="AG171" s="466" t="s">
        <v>876</v>
      </c>
      <c r="AH171" s="609"/>
    </row>
    <row r="172" spans="1:37" ht="21.6" customHeight="1" x14ac:dyDescent="0.2">
      <c r="A172" s="240" t="s">
        <v>1073</v>
      </c>
    </row>
    <row r="173" spans="1:37" ht="21.6" customHeight="1" x14ac:dyDescent="0.2">
      <c r="A173" s="719"/>
    </row>
    <row r="174" spans="1:37" ht="21.6" customHeight="1" x14ac:dyDescent="0.2">
      <c r="A174" s="719"/>
    </row>
    <row r="175" spans="1:37" ht="12.75" customHeight="1" x14ac:dyDescent="0.2">
      <c r="D175" s="73"/>
      <c r="E175" s="73"/>
      <c r="F175" s="838" t="s">
        <v>250</v>
      </c>
      <c r="G175" s="839"/>
      <c r="H175" s="839"/>
      <c r="I175" s="839"/>
      <c r="J175" s="839"/>
      <c r="K175" s="839"/>
      <c r="L175" s="839"/>
      <c r="M175" s="839"/>
      <c r="N175" s="839"/>
      <c r="O175" s="839"/>
      <c r="P175" s="839"/>
      <c r="Q175" s="839"/>
      <c r="R175" s="839"/>
      <c r="S175" s="839"/>
      <c r="T175" s="839"/>
      <c r="U175" s="839"/>
      <c r="V175" s="839"/>
      <c r="W175" s="839"/>
      <c r="X175" s="839"/>
      <c r="Y175" s="839"/>
    </row>
    <row r="176" spans="1:37" ht="24.75" customHeight="1" x14ac:dyDescent="0.2">
      <c r="C176" s="844"/>
      <c r="E176" s="32"/>
      <c r="F176" s="204">
        <v>2014</v>
      </c>
      <c r="G176" s="205">
        <v>2015</v>
      </c>
      <c r="H176" s="838">
        <v>2016</v>
      </c>
      <c r="I176" s="839"/>
      <c r="J176" s="838">
        <v>2017</v>
      </c>
      <c r="K176" s="839"/>
      <c r="L176" s="838">
        <v>2018</v>
      </c>
      <c r="M176" s="839"/>
      <c r="N176" s="838">
        <v>2019</v>
      </c>
      <c r="O176" s="839"/>
      <c r="P176" s="838">
        <v>2020</v>
      </c>
      <c r="Q176" s="839"/>
      <c r="R176" s="838">
        <v>2021</v>
      </c>
      <c r="S176" s="839"/>
      <c r="T176" s="838">
        <v>2022</v>
      </c>
      <c r="U176" s="839"/>
      <c r="V176" s="838">
        <v>2023</v>
      </c>
      <c r="W176" s="839"/>
      <c r="X176" s="838">
        <v>2024</v>
      </c>
      <c r="Y176" s="839"/>
      <c r="AB176" s="839" t="s">
        <v>250</v>
      </c>
      <c r="AC176" s="839"/>
      <c r="AD176" s="839"/>
      <c r="AE176" s="839"/>
      <c r="AF176" s="839"/>
      <c r="AG176" s="839"/>
      <c r="AH176" s="839"/>
      <c r="AI176" s="839"/>
      <c r="AJ176" s="839"/>
      <c r="AK176" s="839"/>
    </row>
    <row r="177" spans="1:37" x14ac:dyDescent="0.2">
      <c r="C177" s="844"/>
      <c r="E177" s="32"/>
      <c r="F177" s="7" t="s">
        <v>218</v>
      </c>
      <c r="G177" s="7" t="s">
        <v>218</v>
      </c>
      <c r="H177" s="7" t="s">
        <v>218</v>
      </c>
      <c r="I177" s="7" t="s">
        <v>251</v>
      </c>
      <c r="J177" s="7" t="s">
        <v>218</v>
      </c>
      <c r="K177" s="7" t="s">
        <v>251</v>
      </c>
      <c r="L177" s="7" t="s">
        <v>218</v>
      </c>
      <c r="M177" s="7" t="s">
        <v>251</v>
      </c>
      <c r="N177" s="7" t="s">
        <v>218</v>
      </c>
      <c r="O177" s="7" t="s">
        <v>251</v>
      </c>
      <c r="P177" s="7" t="s">
        <v>218</v>
      </c>
      <c r="Q177" s="7" t="s">
        <v>251</v>
      </c>
      <c r="R177" s="7" t="s">
        <v>218</v>
      </c>
      <c r="S177" s="7" t="s">
        <v>251</v>
      </c>
      <c r="T177" s="7" t="s">
        <v>218</v>
      </c>
      <c r="U177" s="7" t="s">
        <v>251</v>
      </c>
      <c r="V177" s="7" t="s">
        <v>218</v>
      </c>
      <c r="W177" s="7" t="s">
        <v>251</v>
      </c>
      <c r="X177" s="7" t="s">
        <v>218</v>
      </c>
      <c r="Y177" s="7" t="s">
        <v>251</v>
      </c>
      <c r="AB177" s="672"/>
      <c r="AC177" s="672">
        <v>2016</v>
      </c>
      <c r="AD177" s="29">
        <v>2017</v>
      </c>
      <c r="AE177" s="672">
        <v>2018</v>
      </c>
      <c r="AF177" s="672">
        <v>2019</v>
      </c>
      <c r="AG177" s="29">
        <v>2020</v>
      </c>
      <c r="AH177" s="29">
        <v>2021</v>
      </c>
      <c r="AI177" s="29">
        <v>2022</v>
      </c>
      <c r="AJ177" s="29">
        <v>2023</v>
      </c>
      <c r="AK177" s="29">
        <v>2024</v>
      </c>
    </row>
    <row r="178" spans="1:37" x14ac:dyDescent="0.2">
      <c r="E178" s="10" t="s">
        <v>0</v>
      </c>
      <c r="F178" s="10">
        <v>253</v>
      </c>
      <c r="G178" s="10">
        <v>255</v>
      </c>
      <c r="H178" s="10">
        <v>266</v>
      </c>
      <c r="I178" s="10">
        <v>37</v>
      </c>
      <c r="J178" s="10">
        <v>263</v>
      </c>
      <c r="K178" s="10">
        <v>39</v>
      </c>
      <c r="L178" s="10">
        <v>260</v>
      </c>
      <c r="M178" s="10">
        <v>41</v>
      </c>
      <c r="N178" s="10">
        <v>257</v>
      </c>
      <c r="O178" s="10">
        <v>42</v>
      </c>
      <c r="P178" s="10" t="s">
        <v>264</v>
      </c>
      <c r="Q178" s="10" t="s">
        <v>162</v>
      </c>
      <c r="R178" s="269">
        <v>257</v>
      </c>
      <c r="S178" s="269">
        <v>42</v>
      </c>
      <c r="T178" s="269">
        <v>262</v>
      </c>
      <c r="U178" s="269">
        <v>43</v>
      </c>
      <c r="V178" s="461">
        <v>262</v>
      </c>
      <c r="W178" s="461">
        <v>43</v>
      </c>
      <c r="X178" s="461">
        <v>265</v>
      </c>
      <c r="Y178" s="461">
        <v>44</v>
      </c>
      <c r="AB178" s="673" t="s">
        <v>254</v>
      </c>
      <c r="AC178" s="508">
        <v>266</v>
      </c>
      <c r="AD178" s="508">
        <v>263</v>
      </c>
      <c r="AE178" s="508">
        <v>260</v>
      </c>
      <c r="AF178" s="508">
        <v>257</v>
      </c>
      <c r="AG178" s="466">
        <v>258</v>
      </c>
      <c r="AH178" s="674">
        <v>257</v>
      </c>
      <c r="AI178" s="674">
        <v>262</v>
      </c>
      <c r="AJ178" s="674">
        <v>262</v>
      </c>
      <c r="AK178" s="270">
        <v>265</v>
      </c>
    </row>
    <row r="179" spans="1:37" x14ac:dyDescent="0.2">
      <c r="E179" s="27" t="s">
        <v>244</v>
      </c>
      <c r="F179" s="27">
        <f>AVERAGEIF($C$36:$C$170,"=1",$D$36:$D$170)</f>
        <v>255.1122596153846</v>
      </c>
      <c r="G179" s="27">
        <f>AVERAGEIF($C$36:$C$170,"=1",$F$36:$F$170)</f>
        <v>250.52740384615385</v>
      </c>
      <c r="H179" s="27">
        <f>AVERAGEIF(C36:C170,"=1",H36:H170)</f>
        <v>260.94117647058823</v>
      </c>
      <c r="I179" s="27">
        <f>AVERAGEIF(C36:C170,"=1",I36:I170)</f>
        <v>33.823529411764703</v>
      </c>
      <c r="J179" s="27">
        <f>AVERAGEIF(C36:C170,"=1",J36:J170)</f>
        <v>260.375</v>
      </c>
      <c r="K179" s="27">
        <f>AVERAGEIF(C36:C170,"=1",K36:K170)</f>
        <v>35.0625</v>
      </c>
      <c r="L179" s="27">
        <f>AVERAGEIF(C36:C170,"=1",L36:L170)</f>
        <v>257.1764705882353</v>
      </c>
      <c r="M179" s="27">
        <f>AVERAGEIF(C36:C170,"=1",M36:M170)</f>
        <v>37.235294117647058</v>
      </c>
      <c r="N179" s="27">
        <f>AVERAGEIF(C36:C170,"=1",N36:N170)</f>
        <v>252.8235294117647</v>
      </c>
      <c r="O179" s="27">
        <f>AVERAGEIF(C36:C170,"=1",O36:O170)</f>
        <v>37.764705882352942</v>
      </c>
      <c r="P179" s="27">
        <f>AVERAGEIF($C$36:$C$170,"=1",$P$36:$P$170)</f>
        <v>257.29411764705884</v>
      </c>
      <c r="Q179" s="27">
        <f>AVERAGEIF($C$36:$C$170,"=1",$Q$36:$Q$170)</f>
        <v>36.705882352941174</v>
      </c>
      <c r="R179" s="27">
        <f>AVERAGEIF($C$36:$C$170,"=1",$R$36:$R$170)</f>
        <v>257.29411764705884</v>
      </c>
      <c r="S179" s="27">
        <f>AVERAGEIF($C$36:$C$170,"=1",$T$36:$T$170)</f>
        <v>37.529411764705884</v>
      </c>
      <c r="T179" s="27">
        <v>258.83333333333331</v>
      </c>
      <c r="U179" s="27">
        <v>40.166666666666664</v>
      </c>
      <c r="V179" s="27">
        <v>262.29411764705884</v>
      </c>
      <c r="W179" s="27">
        <v>38.176470588235297</v>
      </c>
      <c r="X179" s="27">
        <v>263.22222222222223</v>
      </c>
      <c r="Y179" s="27">
        <v>39.611111111111114</v>
      </c>
      <c r="AB179" s="508" t="s">
        <v>244</v>
      </c>
      <c r="AC179" s="508">
        <v>260.94117647058823</v>
      </c>
      <c r="AD179" s="508">
        <v>260.375</v>
      </c>
      <c r="AE179" s="508">
        <v>257.1764705882353</v>
      </c>
      <c r="AF179" s="508">
        <v>252.8235294117647</v>
      </c>
      <c r="AG179" s="508">
        <v>257.29411764705884</v>
      </c>
      <c r="AH179" s="508">
        <v>257.29411764705884</v>
      </c>
      <c r="AI179" s="508">
        <v>258.83333333333331</v>
      </c>
      <c r="AJ179" s="508">
        <v>262.29411764705884</v>
      </c>
      <c r="AK179" s="27">
        <v>263.22222222222223</v>
      </c>
    </row>
    <row r="180" spans="1:37" x14ac:dyDescent="0.2">
      <c r="A180" s="26"/>
      <c r="E180" s="27" t="s">
        <v>245</v>
      </c>
      <c r="F180" s="27">
        <f>AVERAGEIF($C$36:$C$170,"=2",$D$36:$D$170)</f>
        <v>259.49979757085015</v>
      </c>
      <c r="G180" s="27">
        <f>AVERAGEIF($C$36:$C$170,"=2",$F$36:$F$170)</f>
        <v>256.02692307692308</v>
      </c>
      <c r="H180" s="27">
        <f>AVERAGEIF(C36:C170,"=2",H36:H170)</f>
        <v>268.45</v>
      </c>
      <c r="I180" s="27">
        <f>AVERAGEIF(C36:C170,"=2",I36:I170)</f>
        <v>33.1</v>
      </c>
      <c r="J180" s="27">
        <f>AVERAGEIF(C36:C170,"=2",J36:J170)</f>
        <v>265.63157894736844</v>
      </c>
      <c r="K180" s="27">
        <f>AVERAGEIF(C36:C170,"=2",K36:K170)</f>
        <v>36</v>
      </c>
      <c r="L180" s="27">
        <f>AVERAGEIF(C36:C170,"=2",L36:L170)</f>
        <v>262.89473684210526</v>
      </c>
      <c r="M180" s="27">
        <f>AVERAGEIF(C36:C170,"=2",M36:M170)</f>
        <v>37.421052631578945</v>
      </c>
      <c r="N180" s="27">
        <f>AVERAGEIF(C36:C170,"=2",N36:N170)</f>
        <v>262.64999999999998</v>
      </c>
      <c r="O180" s="27">
        <f>AVERAGEIF(C36:C170,"=2",O36:O170)</f>
        <v>38.25</v>
      </c>
      <c r="P180" s="27">
        <f>AVERAGEIF($C$36:$C$170,"=2",$P$36:$P$170)</f>
        <v>259.125</v>
      </c>
      <c r="Q180" s="27">
        <f>AVERAGEIF($C$36:$C$170,"=2",$Q$36:$Q$170)</f>
        <v>32.083333333333336</v>
      </c>
      <c r="R180" s="27">
        <f>AVERAGEIF($C$36:$C$170,"=2",$R$36:$R$170)</f>
        <v>257.45454545454544</v>
      </c>
      <c r="S180" s="27">
        <f>AVERAGEIF($C$36:$C$170,"=2",$T$36:$T$170)</f>
        <v>35.863636363636367</v>
      </c>
      <c r="T180" s="27">
        <v>266.72000000000003</v>
      </c>
      <c r="U180" s="27">
        <v>37.880000000000003</v>
      </c>
      <c r="V180" s="27">
        <v>265.03846153846155</v>
      </c>
      <c r="W180" s="27">
        <v>37.730769230769234</v>
      </c>
      <c r="X180" s="27">
        <v>270.91666666666669</v>
      </c>
      <c r="Y180" s="27">
        <v>39.791666666666664</v>
      </c>
      <c r="AB180" s="508" t="s">
        <v>245</v>
      </c>
      <c r="AC180" s="508">
        <v>268.45</v>
      </c>
      <c r="AD180" s="508">
        <v>265.63157894736844</v>
      </c>
      <c r="AE180" s="508">
        <v>262.89473684210526</v>
      </c>
      <c r="AF180" s="508">
        <v>262.64999999999998</v>
      </c>
      <c r="AG180" s="508">
        <v>259.125</v>
      </c>
      <c r="AH180" s="508">
        <v>257.45454545454544</v>
      </c>
      <c r="AI180" s="508">
        <v>266.72000000000003</v>
      </c>
      <c r="AJ180" s="508">
        <v>265.03846153846155</v>
      </c>
      <c r="AK180" s="27">
        <v>270.91666666666669</v>
      </c>
    </row>
    <row r="181" spans="1:37" x14ac:dyDescent="0.2">
      <c r="D181" s="32"/>
      <c r="E181" s="27" t="s">
        <v>246</v>
      </c>
      <c r="F181" s="27">
        <f>AVERAGEIF($C$36:$C$170,"=3",$D$36:$D$170)</f>
        <v>259.16615384615386</v>
      </c>
      <c r="G181" s="27">
        <f>AVERAGEIF($C$36:$C$170,"=3",$F$36:$F$170)</f>
        <v>256.83769230769235</v>
      </c>
      <c r="H181" s="27">
        <f>AVERAGEIF(C36:C170,"=3",H36:H170)</f>
        <v>268.22222222222223</v>
      </c>
      <c r="I181" s="27">
        <f>AVERAGEIF(C36:C170,"=3",I36:I170)</f>
        <v>35.5</v>
      </c>
      <c r="J181" s="27">
        <f>AVERAGEIF(C36:C170,"=3",J36:J170)</f>
        <v>265.26315789473682</v>
      </c>
      <c r="K181" s="27">
        <f>AVERAGEIF(C36:C170,"=3",K36:K170)</f>
        <v>36.789473684210527</v>
      </c>
      <c r="L181" s="27">
        <f>AVERAGEIF(C36:C170,"=3",L36:L170)</f>
        <v>264.57894736842104</v>
      </c>
      <c r="M181" s="27">
        <f>AVERAGEIF(C36:C170,"=3",M36:M170)</f>
        <v>38.10526315789474</v>
      </c>
      <c r="N181" s="27">
        <f>AVERAGEIF(C36:C170,"=3",N36:N170)</f>
        <v>258.73684210526318</v>
      </c>
      <c r="O181" s="27">
        <f>AVERAGEIF(C36:C170,"=3",O36:O170)</f>
        <v>38.736842105263158</v>
      </c>
      <c r="P181" s="27">
        <f>AVERAGEIF($C$36:$C$170,"=3",$P$36:$P$170)</f>
        <v>262.75</v>
      </c>
      <c r="Q181" s="27">
        <f>AVERAGEIF($C$36:$C$170,"=3",$Q$36:$Q$170)</f>
        <v>36.1</v>
      </c>
      <c r="R181" s="27">
        <f>AVERAGEIF($C$36:$C$170,"=3",$R$36:$R$170)</f>
        <v>261.60000000000002</v>
      </c>
      <c r="S181" s="27">
        <f>AVERAGEIF($C$36:$C$170,"=3",$T$36:$T$170)</f>
        <v>38.200000000000003</v>
      </c>
      <c r="T181" s="27">
        <v>267.13636363636363</v>
      </c>
      <c r="U181" s="27">
        <v>39.636363636363633</v>
      </c>
      <c r="V181" s="27">
        <v>267.09090909090907</v>
      </c>
      <c r="W181" s="27">
        <v>39.227272727272727</v>
      </c>
      <c r="X181" s="27">
        <v>269.31818181818181</v>
      </c>
      <c r="Y181" s="27">
        <v>39.909090909090907</v>
      </c>
      <c r="AB181" s="508" t="s">
        <v>246</v>
      </c>
      <c r="AC181" s="508">
        <v>269.4375</v>
      </c>
      <c r="AD181" s="508">
        <v>265.64705882352939</v>
      </c>
      <c r="AE181" s="508">
        <v>265.11764705882354</v>
      </c>
      <c r="AF181" s="508">
        <v>259.41176470588238</v>
      </c>
      <c r="AG181" s="508">
        <v>262.78947368421052</v>
      </c>
      <c r="AH181" s="508">
        <v>261.60000000000002</v>
      </c>
      <c r="AI181" s="508">
        <v>267.13636363636363</v>
      </c>
      <c r="AJ181" s="508">
        <v>267.09090909090907</v>
      </c>
      <c r="AK181" s="27">
        <v>269.31818181818181</v>
      </c>
    </row>
    <row r="182" spans="1:37" x14ac:dyDescent="0.2">
      <c r="A182" s="26"/>
      <c r="D182" s="32"/>
      <c r="E182" s="27" t="s">
        <v>247</v>
      </c>
      <c r="F182" s="27">
        <f>AVERAGEIF($C$36:$C$170,"=4",$D$36:$D$170)</f>
        <v>237.49589743589743</v>
      </c>
      <c r="G182" s="27">
        <f>AVERAGEIF($C$36:$C$170,"=4",$F$36:$F$170)</f>
        <v>241.06085972850676</v>
      </c>
      <c r="H182" s="27">
        <f>AVERAGEIF(C36:C170,"=4",H36:H170)</f>
        <v>248.28571428571428</v>
      </c>
      <c r="I182" s="27">
        <f>AVERAGEIF(C36:C170,"=4",I36:I170)</f>
        <v>34</v>
      </c>
      <c r="J182" s="27">
        <f>AVERAGEIF(C36:C170,"=4",J36:J170)</f>
        <v>255.13333333333333</v>
      </c>
      <c r="K182" s="27">
        <f>AVERAGEIF(C36:C170,"=4",K36:K170)</f>
        <v>33.133333333333333</v>
      </c>
      <c r="L182" s="27">
        <f>AVERAGEIF(C36:C170,"=4",L36:L170)</f>
        <v>251.46666666666667</v>
      </c>
      <c r="M182" s="27">
        <f>AVERAGEIF(C36:C170,"=4",M36:M170)</f>
        <v>34.06666666666667</v>
      </c>
      <c r="N182" s="27">
        <f>AVERAGEIF(C36:C170,"=4",N36:N170)</f>
        <v>244.78571428571428</v>
      </c>
      <c r="O182" s="27">
        <f>AVERAGEIF(C36:C170,"=4",O36:O170)</f>
        <v>37.642857142857146</v>
      </c>
      <c r="P182" s="27">
        <f>AVERAGEIF($C$36:$C$170,"=4",$P$36:$P$170)</f>
        <v>241.84615384615384</v>
      </c>
      <c r="Q182" s="27">
        <f>AVERAGEIF($C$36:$C$170,"=4",$Q$36:$Q$170)</f>
        <v>36.46153846153846</v>
      </c>
      <c r="R182" s="27">
        <f>AVERAGEIF($C$36:$C$170,"=4",$R$36:$R$170)</f>
        <v>243.85714285714286</v>
      </c>
      <c r="S182" s="27">
        <f>AVERAGEIF($C$36:$C$170,"=4",$T$36:$T$170)</f>
        <v>36.142857142857146</v>
      </c>
      <c r="T182" s="27">
        <v>249.64285714285714</v>
      </c>
      <c r="U182" s="27">
        <v>39</v>
      </c>
      <c r="V182" s="27">
        <v>245.2</v>
      </c>
      <c r="W182" s="27">
        <v>38.133333333333333</v>
      </c>
      <c r="X182" s="27">
        <v>254</v>
      </c>
      <c r="Y182" s="27">
        <v>39.53846153846154</v>
      </c>
      <c r="AB182" s="508" t="s">
        <v>247</v>
      </c>
      <c r="AC182" s="508">
        <v>248.28571428571428</v>
      </c>
      <c r="AD182" s="508">
        <v>255.13333333333333</v>
      </c>
      <c r="AE182" s="508">
        <v>251.46666666666667</v>
      </c>
      <c r="AF182" s="508">
        <v>244.78571428571428</v>
      </c>
      <c r="AG182" s="508">
        <v>241.84615384615384</v>
      </c>
      <c r="AH182" s="508">
        <v>243.85714285714286</v>
      </c>
      <c r="AI182" s="508">
        <v>249.64285714285714</v>
      </c>
      <c r="AJ182" s="508">
        <v>245.2</v>
      </c>
      <c r="AK182" s="27">
        <v>254</v>
      </c>
    </row>
    <row r="183" spans="1:37" x14ac:dyDescent="0.2">
      <c r="A183" s="26"/>
      <c r="D183" s="32"/>
      <c r="E183" s="27" t="s">
        <v>248</v>
      </c>
      <c r="F183" s="27">
        <f>AVERAGEIF($C$36:$C$170,"=5",$D$36:$D$170)</f>
        <v>267.17564102564103</v>
      </c>
      <c r="G183" s="27">
        <f>AVERAGEIF($C$36:$C$170,"=5",$F$36:$F$170)</f>
        <v>267.14663461538464</v>
      </c>
      <c r="H183" s="27">
        <f>AVERAGEIF(C36:C170,"=5",H36:H170)</f>
        <v>276.1764705882353</v>
      </c>
      <c r="I183" s="27">
        <f>AVERAGEIF(C36:C170,"=5",I36:I170)</f>
        <v>33.941176470588232</v>
      </c>
      <c r="J183" s="27">
        <f>AVERAGEIF(C36:C170,"=5",J36:J170)</f>
        <v>275.47058823529414</v>
      </c>
      <c r="K183" s="27">
        <f>AVERAGEIF(C36:C170,"=5",K36:K170)</f>
        <v>35.705882352941174</v>
      </c>
      <c r="L183" s="27">
        <f>AVERAGEIF(C36:C170,"=5",L36:L170)</f>
        <v>271.5</v>
      </c>
      <c r="M183" s="27">
        <f>AVERAGEIF(C36:C170,"=5",M36:M170)</f>
        <v>36.277777777777779</v>
      </c>
      <c r="N183" s="27">
        <f>AVERAGEIF(C36:C170,"=5",N36:N170)</f>
        <v>268.31578947368422</v>
      </c>
      <c r="O183" s="27">
        <f>AVERAGEIF(C36:C170,"=5",O36:O170)</f>
        <v>37.05263157894737</v>
      </c>
      <c r="P183" s="27">
        <f>AVERAGEIF($C$36:$C$170,"=5",$P$36:$P$170)</f>
        <v>272</v>
      </c>
      <c r="Q183" s="27">
        <f>AVERAGEIF($C$36:$C$170,"=5",$Q$36:$Q$170)</f>
        <v>34.444444444444443</v>
      </c>
      <c r="R183" s="27">
        <f>AVERAGEIF($C$36:$C$170,"=5",$R$36:$R$170)</f>
        <v>270.44444444444446</v>
      </c>
      <c r="S183" s="27">
        <f>AVERAGEIF($C$36:$C$170,"=5",$T$36:$T$170)</f>
        <v>38.611111111111114</v>
      </c>
      <c r="T183" s="27">
        <v>276.64705882352939</v>
      </c>
      <c r="U183" s="27">
        <v>37.294117647058826</v>
      </c>
      <c r="V183" s="27">
        <v>278.11764705882354</v>
      </c>
      <c r="W183" s="27">
        <v>38.941176470588232</v>
      </c>
      <c r="X183" s="27">
        <v>273.66666666666669</v>
      </c>
      <c r="Y183" s="27">
        <v>38.277777777777779</v>
      </c>
      <c r="AB183" s="508" t="s">
        <v>248</v>
      </c>
      <c r="AC183" s="508">
        <v>276.1764705882353</v>
      </c>
      <c r="AD183" s="508">
        <v>275.47058823529414</v>
      </c>
      <c r="AE183" s="508">
        <v>271.5</v>
      </c>
      <c r="AF183" s="508">
        <v>268.31578947368422</v>
      </c>
      <c r="AG183" s="508">
        <v>272</v>
      </c>
      <c r="AH183" s="508">
        <v>270.44444444444446</v>
      </c>
      <c r="AI183" s="508">
        <v>276.64705882352939</v>
      </c>
      <c r="AJ183" s="508">
        <v>278.11764705882354</v>
      </c>
      <c r="AK183" s="27">
        <v>273.66666666666669</v>
      </c>
    </row>
    <row r="184" spans="1:37" x14ac:dyDescent="0.2">
      <c r="A184" s="26"/>
      <c r="D184" s="32"/>
      <c r="E184" s="27" t="s">
        <v>249</v>
      </c>
      <c r="F184" s="27">
        <f>AVERAGEIF($C$36:$C$170,"=6",$D$36:$D$170)</f>
        <v>256.91706730769238</v>
      </c>
      <c r="G184" s="27">
        <f>AVERAGEIF($C$36:$C$170,"=6",$F$36:$F$170)</f>
        <v>256.44615384615383</v>
      </c>
      <c r="H184" s="27">
        <f>AVERAGEIF(C36:C170,"=6",H36:H170)</f>
        <v>267.13333333333333</v>
      </c>
      <c r="I184" s="27">
        <f>AVERAGEIF(C36:C170,"=6",I36:I170)</f>
        <v>31.928571428571427</v>
      </c>
      <c r="J184" s="27">
        <f>AVERAGEIF(C36:C170,"=6",J36:J170)</f>
        <v>258.86666666666667</v>
      </c>
      <c r="K184" s="27">
        <f>AVERAGEIF(C36:C170,"=6",K36:K170)</f>
        <v>39</v>
      </c>
      <c r="L184" s="27">
        <f>AVERAGEIF(C36:C170,"=6",L36:L170)</f>
        <v>260.07142857142856</v>
      </c>
      <c r="M184" s="27">
        <f>AVERAGEIF(C36:C170,"=6",M36:M170)</f>
        <v>38.785714285714285</v>
      </c>
      <c r="N184" s="27">
        <f>AVERAGEIF(C36:C170,"=6",N36:N170)</f>
        <v>259</v>
      </c>
      <c r="O184" s="27">
        <f>AVERAGEIF(C36:C170,"=6",O36:O170)</f>
        <v>40.866666666666667</v>
      </c>
      <c r="P184" s="27">
        <f>AVERAGEIF($C$36:$C$170,"=6",$P$36:$P$170)</f>
        <v>252.94117647058823</v>
      </c>
      <c r="Q184" s="27">
        <f>AVERAGEIF($C$36:$C$170,"=6",$Q$36:$Q$170)</f>
        <v>35.117647058823529</v>
      </c>
      <c r="R184" s="27">
        <f>AVERAGEIF($C$36:$C$170,"=6",$R$36:$R$170)</f>
        <v>255.58823529411765</v>
      </c>
      <c r="S184" s="27">
        <f>AVERAGEIF($C$36:$C$170,"=6",$T$36:$T$170)</f>
        <v>34.411764705882355</v>
      </c>
      <c r="T184" s="27">
        <v>258.31578947368422</v>
      </c>
      <c r="U184" s="27">
        <v>41.368421052631582</v>
      </c>
      <c r="V184" s="27">
        <v>264.3</v>
      </c>
      <c r="W184" s="27">
        <v>36.15</v>
      </c>
      <c r="X184" s="27">
        <v>264.83333333333331</v>
      </c>
      <c r="Y184" s="27">
        <v>41.055555555555557</v>
      </c>
      <c r="AB184" s="508" t="s">
        <v>249</v>
      </c>
      <c r="AC184" s="508">
        <v>267.13333333333333</v>
      </c>
      <c r="AD184" s="508">
        <v>258.86666666666667</v>
      </c>
      <c r="AE184" s="508">
        <v>260.07142857142856</v>
      </c>
      <c r="AF184" s="508">
        <v>259</v>
      </c>
      <c r="AG184" s="508">
        <v>252.94117647058823</v>
      </c>
      <c r="AH184" s="508">
        <v>255.58823529411765</v>
      </c>
      <c r="AI184" s="508">
        <v>258.31578947368422</v>
      </c>
      <c r="AJ184" s="508">
        <v>264.3</v>
      </c>
      <c r="AK184" s="27">
        <v>264.83333333333331</v>
      </c>
    </row>
    <row r="185" spans="1:37" x14ac:dyDescent="0.2">
      <c r="A185" s="26"/>
      <c r="D185" s="32"/>
      <c r="E185" s="32"/>
      <c r="F185" s="32"/>
      <c r="G185" s="508"/>
      <c r="H185" s="32"/>
      <c r="I185" s="32"/>
      <c r="J185" s="32"/>
      <c r="K185" s="32"/>
      <c r="L185" s="32"/>
      <c r="M185" s="32"/>
      <c r="N185" s="32"/>
      <c r="O185" s="32"/>
      <c r="P185" s="32"/>
      <c r="Q185" s="32"/>
      <c r="R185" s="32"/>
      <c r="S185" s="32"/>
      <c r="T185" s="32"/>
      <c r="U185" s="32"/>
      <c r="V185" s="32"/>
      <c r="W185" s="32"/>
      <c r="X185" s="32"/>
      <c r="Y185" s="32"/>
      <c r="AB185" s="32"/>
      <c r="AC185" s="32"/>
      <c r="AD185" s="32"/>
      <c r="AE185" s="32"/>
      <c r="AF185" s="32"/>
      <c r="AG185" s="32"/>
      <c r="AH185" s="32"/>
      <c r="AI185" s="32"/>
      <c r="AJ185" s="32"/>
      <c r="AK185" s="32"/>
    </row>
    <row r="186" spans="1:37" x14ac:dyDescent="0.2">
      <c r="A186" s="26"/>
      <c r="D186" s="32"/>
      <c r="E186" s="32"/>
      <c r="F186" s="32"/>
      <c r="G186" s="508"/>
      <c r="H186" s="32"/>
      <c r="I186" s="32"/>
      <c r="J186" s="32"/>
      <c r="K186" s="32"/>
      <c r="L186" s="32"/>
      <c r="M186" s="32"/>
      <c r="N186" s="32"/>
      <c r="O186" s="32"/>
      <c r="P186" s="32"/>
      <c r="Q186" s="32"/>
      <c r="R186" s="32"/>
      <c r="S186" s="32"/>
      <c r="T186" s="32"/>
      <c r="U186" s="32"/>
      <c r="V186" s="32"/>
      <c r="W186" s="32"/>
      <c r="X186" s="32"/>
      <c r="Y186" s="32"/>
      <c r="AB186" s="32"/>
      <c r="AC186" s="32"/>
      <c r="AD186" s="32"/>
      <c r="AE186" s="32"/>
      <c r="AF186" s="32"/>
      <c r="AG186" s="32"/>
      <c r="AH186" s="32"/>
      <c r="AI186" s="32"/>
      <c r="AJ186" s="32"/>
      <c r="AK186" s="32"/>
    </row>
    <row r="187" spans="1:37" x14ac:dyDescent="0.2">
      <c r="A187" s="26"/>
      <c r="D187" s="32"/>
      <c r="E187" s="32"/>
      <c r="F187" s="32"/>
      <c r="G187" s="508"/>
      <c r="H187" s="32"/>
      <c r="I187" s="32"/>
      <c r="J187" s="32"/>
      <c r="K187" s="32"/>
      <c r="L187" s="32"/>
      <c r="M187" s="32"/>
      <c r="N187" s="32"/>
      <c r="O187" s="32"/>
      <c r="P187" s="32"/>
      <c r="Q187" s="32"/>
      <c r="R187" s="32"/>
      <c r="S187" s="32"/>
      <c r="T187" s="32"/>
      <c r="U187" s="32"/>
      <c r="V187" s="32"/>
      <c r="W187" s="32"/>
      <c r="X187" s="32"/>
      <c r="Y187" s="32"/>
      <c r="AB187" s="32"/>
      <c r="AC187" s="32"/>
      <c r="AD187" s="32"/>
      <c r="AE187" s="32"/>
      <c r="AF187" s="32"/>
      <c r="AG187" s="32"/>
      <c r="AH187" s="32"/>
      <c r="AI187" s="32"/>
      <c r="AJ187" s="32"/>
      <c r="AK187" s="32"/>
    </row>
    <row r="188" spans="1:37" x14ac:dyDescent="0.2">
      <c r="A188" s="26"/>
      <c r="D188" s="32"/>
      <c r="E188" s="32"/>
      <c r="F188" s="32"/>
      <c r="G188" s="508"/>
      <c r="H188" s="32"/>
      <c r="I188" s="32"/>
      <c r="J188" s="32"/>
      <c r="K188" s="32"/>
      <c r="L188" s="32"/>
      <c r="M188" s="32"/>
      <c r="N188" s="32"/>
      <c r="O188" s="32"/>
      <c r="P188" s="32"/>
      <c r="Q188" s="32"/>
      <c r="R188" s="32"/>
      <c r="S188" s="32"/>
      <c r="T188" s="32"/>
      <c r="U188" s="32"/>
      <c r="V188" s="32"/>
      <c r="W188" s="32"/>
      <c r="X188" s="32"/>
      <c r="Y188" s="32"/>
      <c r="AB188" s="32"/>
      <c r="AC188" s="32"/>
      <c r="AD188" s="32"/>
      <c r="AE188" s="32"/>
      <c r="AF188" s="32"/>
      <c r="AG188" s="32"/>
      <c r="AH188" s="32"/>
      <c r="AI188" s="32"/>
      <c r="AJ188" s="32"/>
      <c r="AK188" s="32"/>
    </row>
    <row r="189" spans="1:37" x14ac:dyDescent="0.2">
      <c r="A189" s="26"/>
      <c r="D189" s="32"/>
      <c r="E189" s="32"/>
      <c r="F189" s="32"/>
      <c r="G189" s="508"/>
      <c r="H189" s="32"/>
      <c r="I189" s="32"/>
      <c r="J189" s="32"/>
      <c r="K189" s="32"/>
      <c r="L189" s="32"/>
      <c r="M189" s="32"/>
      <c r="N189" s="32"/>
      <c r="O189" s="32"/>
      <c r="P189" s="32"/>
      <c r="Q189" s="32"/>
      <c r="R189" s="32"/>
      <c r="S189" s="32"/>
      <c r="T189" s="32"/>
      <c r="U189" s="32"/>
      <c r="V189" s="32"/>
      <c r="W189" s="32"/>
      <c r="X189" s="32"/>
      <c r="Y189" s="32"/>
      <c r="AB189" s="32"/>
      <c r="AC189" s="32"/>
      <c r="AD189" s="32"/>
      <c r="AE189" s="32"/>
      <c r="AF189" s="32"/>
      <c r="AG189" s="32"/>
      <c r="AH189" s="32"/>
      <c r="AI189" s="32"/>
      <c r="AJ189" s="32"/>
      <c r="AK189" s="32"/>
    </row>
    <row r="190" spans="1:37" x14ac:dyDescent="0.2">
      <c r="A190" s="26"/>
      <c r="D190" s="32"/>
      <c r="E190" s="32"/>
      <c r="F190" s="32"/>
      <c r="G190" s="508"/>
      <c r="H190" s="32"/>
      <c r="I190" s="32"/>
      <c r="J190" s="32"/>
      <c r="K190" s="32"/>
      <c r="L190" s="32"/>
      <c r="M190" s="32"/>
      <c r="N190" s="32"/>
      <c r="O190" s="32"/>
      <c r="P190" s="32"/>
      <c r="Q190" s="32"/>
      <c r="R190" s="32"/>
      <c r="S190" s="32"/>
      <c r="T190" s="32"/>
      <c r="U190" s="32"/>
      <c r="V190" s="32"/>
      <c r="W190" s="32"/>
      <c r="X190" s="32"/>
      <c r="Y190" s="32"/>
      <c r="AB190" s="32"/>
      <c r="AC190" s="32"/>
      <c r="AD190" s="32"/>
      <c r="AE190" s="32"/>
      <c r="AF190" s="32"/>
      <c r="AG190" s="32"/>
      <c r="AH190" s="32"/>
      <c r="AI190" s="32"/>
      <c r="AJ190" s="32"/>
      <c r="AK190" s="32"/>
    </row>
    <row r="191" spans="1:37" x14ac:dyDescent="0.2">
      <c r="A191" s="26"/>
      <c r="D191" s="32"/>
      <c r="E191" s="32"/>
      <c r="F191" s="32"/>
      <c r="G191" s="508"/>
      <c r="H191" s="32"/>
      <c r="I191" s="32"/>
      <c r="J191" s="32"/>
      <c r="K191" s="32"/>
      <c r="L191" s="32"/>
      <c r="M191" s="32"/>
      <c r="N191" s="32"/>
      <c r="O191" s="32"/>
      <c r="P191" s="32"/>
      <c r="Q191" s="32"/>
      <c r="R191" s="32"/>
      <c r="S191" s="32"/>
      <c r="T191" s="32"/>
      <c r="U191" s="32"/>
      <c r="V191" s="32"/>
      <c r="W191" s="32"/>
      <c r="X191" s="32"/>
      <c r="Y191" s="32"/>
      <c r="AB191" s="32"/>
      <c r="AC191" s="32"/>
      <c r="AD191" s="32"/>
      <c r="AE191" s="32"/>
      <c r="AF191" s="32"/>
      <c r="AG191" s="32"/>
      <c r="AH191" s="32"/>
      <c r="AI191" s="32"/>
      <c r="AJ191" s="32"/>
      <c r="AK191" s="32"/>
    </row>
    <row r="192" spans="1:37" x14ac:dyDescent="0.2">
      <c r="A192" s="26"/>
      <c r="D192" s="32"/>
      <c r="E192" s="32"/>
      <c r="F192" s="32"/>
      <c r="G192" s="508"/>
      <c r="H192" s="32"/>
      <c r="I192" s="32"/>
      <c r="J192" s="32"/>
      <c r="K192" s="32"/>
      <c r="L192" s="32"/>
      <c r="M192" s="32"/>
      <c r="N192" s="32"/>
      <c r="O192" s="32"/>
      <c r="P192" s="32"/>
      <c r="Q192" s="32"/>
      <c r="R192" s="32"/>
      <c r="S192" s="32"/>
      <c r="T192" s="32"/>
      <c r="U192" s="32"/>
      <c r="V192" s="32"/>
      <c r="W192" s="32"/>
      <c r="X192" s="32"/>
      <c r="Y192" s="32"/>
      <c r="AB192" s="32"/>
      <c r="AC192" s="32"/>
      <c r="AD192" s="32"/>
      <c r="AE192" s="32"/>
      <c r="AF192" s="32"/>
      <c r="AG192" s="32"/>
      <c r="AH192" s="32"/>
      <c r="AI192" s="32"/>
      <c r="AJ192" s="32"/>
      <c r="AK192" s="32"/>
    </row>
    <row r="193" spans="1:37" x14ac:dyDescent="0.2">
      <c r="A193" s="26"/>
      <c r="D193" s="32"/>
      <c r="E193" s="32"/>
      <c r="F193" s="32"/>
      <c r="G193" s="508"/>
      <c r="H193" s="32"/>
      <c r="I193" s="32"/>
      <c r="J193" s="32"/>
      <c r="K193" s="32"/>
      <c r="L193" s="32"/>
      <c r="M193" s="32"/>
      <c r="N193" s="32"/>
      <c r="O193" s="32"/>
      <c r="P193" s="32"/>
      <c r="Q193" s="32"/>
      <c r="R193" s="32"/>
      <c r="S193" s="32"/>
      <c r="T193" s="32"/>
      <c r="U193" s="32"/>
      <c r="V193" s="32"/>
      <c r="W193" s="32"/>
      <c r="X193" s="32"/>
      <c r="Y193" s="32"/>
      <c r="AB193" s="32"/>
      <c r="AC193" s="32"/>
      <c r="AD193" s="32"/>
      <c r="AE193" s="32"/>
      <c r="AF193" s="32"/>
      <c r="AG193" s="32"/>
      <c r="AH193" s="32"/>
      <c r="AI193" s="32"/>
      <c r="AJ193" s="32"/>
      <c r="AK193" s="32"/>
    </row>
    <row r="194" spans="1:37" x14ac:dyDescent="0.2">
      <c r="A194" s="26"/>
      <c r="D194" s="32"/>
      <c r="E194" s="32"/>
      <c r="F194" s="32"/>
      <c r="G194" s="508"/>
      <c r="H194" s="32"/>
      <c r="I194" s="32"/>
      <c r="J194" s="32"/>
      <c r="K194" s="32"/>
      <c r="L194" s="32"/>
      <c r="M194" s="32"/>
      <c r="N194" s="32"/>
      <c r="O194" s="32"/>
      <c r="P194" s="32"/>
      <c r="Q194" s="32"/>
      <c r="R194" s="32"/>
      <c r="S194" s="32"/>
      <c r="T194" s="32"/>
      <c r="U194" s="32"/>
      <c r="V194" s="32"/>
      <c r="W194" s="32"/>
      <c r="X194" s="32"/>
      <c r="Y194" s="32"/>
      <c r="AB194" s="32"/>
      <c r="AC194" s="32"/>
      <c r="AD194" s="32"/>
      <c r="AE194" s="32"/>
      <c r="AF194" s="32"/>
      <c r="AG194" s="32"/>
      <c r="AH194" s="32"/>
      <c r="AI194" s="32"/>
      <c r="AJ194" s="32"/>
      <c r="AK194" s="32"/>
    </row>
    <row r="195" spans="1:37" x14ac:dyDescent="0.2">
      <c r="A195" s="26"/>
      <c r="D195" s="32"/>
      <c r="E195" s="32"/>
      <c r="F195" s="32"/>
      <c r="G195" s="508"/>
      <c r="H195" s="32"/>
      <c r="I195" s="32"/>
      <c r="J195" s="32"/>
      <c r="K195" s="32"/>
      <c r="L195" s="32"/>
      <c r="M195" s="32"/>
      <c r="N195" s="32"/>
      <c r="O195" s="32"/>
      <c r="P195" s="32"/>
      <c r="Q195" s="32"/>
      <c r="R195" s="32"/>
      <c r="S195" s="32"/>
      <c r="T195" s="32"/>
      <c r="U195" s="32"/>
      <c r="V195" s="32"/>
      <c r="W195" s="32"/>
      <c r="X195" s="32"/>
      <c r="Y195" s="32"/>
      <c r="AB195" s="32"/>
      <c r="AC195" s="32"/>
      <c r="AD195" s="32"/>
      <c r="AE195" s="32"/>
      <c r="AF195" s="32"/>
      <c r="AG195" s="32"/>
      <c r="AH195" s="32"/>
      <c r="AI195" s="32"/>
      <c r="AJ195" s="32"/>
      <c r="AK195" s="32"/>
    </row>
    <row r="196" spans="1:37" x14ac:dyDescent="0.2">
      <c r="A196" s="26"/>
      <c r="D196" s="32"/>
      <c r="E196" s="32"/>
      <c r="F196" s="32"/>
      <c r="G196" s="508"/>
      <c r="H196" s="32"/>
      <c r="I196" s="32"/>
      <c r="J196" s="32"/>
      <c r="K196" s="32"/>
      <c r="L196" s="32"/>
      <c r="M196" s="32"/>
      <c r="N196" s="32"/>
      <c r="O196" s="32"/>
      <c r="P196" s="32"/>
      <c r="Q196" s="32"/>
      <c r="R196" s="32"/>
      <c r="S196" s="32"/>
      <c r="T196" s="32"/>
      <c r="U196" s="32"/>
      <c r="V196" s="32"/>
      <c r="W196" s="32"/>
      <c r="X196" s="32"/>
      <c r="Y196" s="32"/>
      <c r="AB196" s="32"/>
      <c r="AC196" s="32"/>
      <c r="AD196" s="32"/>
      <c r="AE196" s="32"/>
      <c r="AF196" s="32"/>
      <c r="AG196" s="32"/>
      <c r="AH196" s="32"/>
      <c r="AI196" s="32"/>
      <c r="AJ196" s="32"/>
      <c r="AK196" s="32"/>
    </row>
    <row r="197" spans="1:37" x14ac:dyDescent="0.2">
      <c r="A197" s="26"/>
      <c r="D197" s="32"/>
      <c r="E197" s="32"/>
      <c r="F197" s="32"/>
      <c r="G197" s="508"/>
      <c r="H197" s="32"/>
      <c r="I197" s="32"/>
      <c r="J197" s="32"/>
      <c r="K197" s="32"/>
      <c r="L197" s="32"/>
      <c r="M197" s="32"/>
      <c r="N197" s="32"/>
      <c r="O197" s="32"/>
      <c r="P197" s="32"/>
      <c r="Q197" s="32"/>
      <c r="R197" s="32"/>
      <c r="S197" s="32"/>
      <c r="T197" s="32"/>
      <c r="U197" s="32"/>
      <c r="V197" s="32"/>
      <c r="W197" s="32"/>
      <c r="X197" s="32"/>
      <c r="Y197" s="32"/>
      <c r="AB197" s="32"/>
      <c r="AC197" s="32"/>
      <c r="AD197" s="32"/>
      <c r="AE197" s="32"/>
      <c r="AF197" s="32"/>
      <c r="AG197" s="32"/>
      <c r="AH197" s="32"/>
      <c r="AI197" s="32"/>
      <c r="AJ197" s="32"/>
      <c r="AK197" s="32"/>
    </row>
    <row r="198" spans="1:37" x14ac:dyDescent="0.2">
      <c r="A198" s="26"/>
      <c r="D198" s="32"/>
      <c r="E198" s="32"/>
      <c r="F198" s="32"/>
      <c r="G198" s="508"/>
      <c r="H198" s="32"/>
      <c r="I198" s="32"/>
      <c r="J198" s="32"/>
      <c r="K198" s="32"/>
      <c r="L198" s="32"/>
      <c r="M198" s="32"/>
      <c r="N198" s="32"/>
      <c r="O198" s="32"/>
      <c r="P198" s="32"/>
      <c r="Q198" s="32"/>
      <c r="R198" s="32"/>
      <c r="S198" s="32"/>
      <c r="T198" s="32"/>
      <c r="U198" s="32"/>
      <c r="V198" s="32"/>
      <c r="W198" s="32"/>
      <c r="X198" s="32"/>
      <c r="Y198" s="32"/>
      <c r="AB198" s="32"/>
      <c r="AC198" s="32"/>
      <c r="AD198" s="32"/>
      <c r="AE198" s="32"/>
      <c r="AF198" s="32"/>
      <c r="AG198" s="32"/>
      <c r="AH198" s="32"/>
      <c r="AI198" s="32"/>
      <c r="AJ198" s="32"/>
      <c r="AK198" s="32"/>
    </row>
    <row r="199" spans="1:37" x14ac:dyDescent="0.2">
      <c r="A199" s="26"/>
      <c r="D199" s="32"/>
      <c r="E199" s="32"/>
      <c r="F199" s="32"/>
      <c r="G199" s="508"/>
      <c r="H199" s="32"/>
      <c r="I199" s="32"/>
      <c r="J199" s="32"/>
      <c r="K199" s="32"/>
      <c r="L199" s="32"/>
      <c r="M199" s="32"/>
      <c r="N199" s="32"/>
      <c r="O199" s="32"/>
      <c r="P199" s="32"/>
      <c r="Q199" s="32"/>
      <c r="R199" s="32"/>
      <c r="S199" s="32"/>
      <c r="T199" s="32"/>
      <c r="U199" s="32"/>
      <c r="V199" s="32"/>
      <c r="W199" s="32"/>
      <c r="X199" s="32"/>
      <c r="Y199" s="32"/>
      <c r="AB199" s="32"/>
      <c r="AC199" s="32"/>
      <c r="AD199" s="32"/>
      <c r="AE199" s="32"/>
      <c r="AF199" s="32"/>
      <c r="AG199" s="32"/>
      <c r="AH199" s="32"/>
      <c r="AI199" s="32"/>
      <c r="AJ199" s="32"/>
      <c r="AK199" s="32"/>
    </row>
    <row r="200" spans="1:37" x14ac:dyDescent="0.2">
      <c r="A200" s="26"/>
      <c r="D200" s="32"/>
      <c r="E200" s="32"/>
      <c r="F200" s="32"/>
      <c r="G200" s="508"/>
      <c r="H200" s="32"/>
      <c r="I200" s="32"/>
      <c r="J200" s="32"/>
      <c r="K200" s="32"/>
      <c r="L200" s="32"/>
      <c r="M200" s="32"/>
      <c r="N200" s="32"/>
      <c r="O200" s="32"/>
      <c r="P200" s="32"/>
      <c r="Q200" s="32"/>
      <c r="R200" s="32"/>
      <c r="S200" s="32"/>
      <c r="T200" s="32"/>
      <c r="U200" s="32"/>
      <c r="V200" s="32"/>
      <c r="W200" s="32"/>
      <c r="X200" s="32"/>
      <c r="Y200" s="32"/>
      <c r="AB200" s="32"/>
      <c r="AC200" s="32"/>
      <c r="AD200" s="32"/>
      <c r="AE200" s="32"/>
      <c r="AF200" s="32"/>
      <c r="AG200" s="32"/>
      <c r="AH200" s="32"/>
      <c r="AI200" s="32"/>
      <c r="AJ200" s="32"/>
      <c r="AK200" s="32"/>
    </row>
    <row r="201" spans="1:37" x14ac:dyDescent="0.2">
      <c r="A201" s="26"/>
      <c r="D201" s="32"/>
      <c r="E201" s="32"/>
      <c r="F201" s="32"/>
      <c r="G201" s="508"/>
      <c r="H201" s="32"/>
      <c r="I201" s="32"/>
      <c r="J201" s="32"/>
      <c r="K201" s="32"/>
      <c r="L201" s="32"/>
      <c r="M201" s="32"/>
      <c r="N201" s="32"/>
      <c r="O201" s="32"/>
      <c r="P201" s="32"/>
      <c r="Q201" s="32"/>
      <c r="R201" s="32"/>
      <c r="S201" s="32"/>
      <c r="T201" s="32"/>
      <c r="U201" s="32"/>
      <c r="V201" s="32"/>
      <c r="W201" s="32"/>
      <c r="X201" s="32"/>
      <c r="Y201" s="32"/>
      <c r="AB201" s="32"/>
      <c r="AC201" s="32"/>
      <c r="AD201" s="32"/>
      <c r="AE201" s="32"/>
      <c r="AF201" s="32"/>
      <c r="AG201" s="32"/>
      <c r="AH201" s="32"/>
      <c r="AI201" s="32"/>
      <c r="AJ201" s="32"/>
      <c r="AK201" s="32"/>
    </row>
    <row r="202" spans="1:37" x14ac:dyDescent="0.2">
      <c r="A202" s="26"/>
      <c r="D202" s="32"/>
      <c r="E202" s="32"/>
      <c r="F202" s="32"/>
      <c r="G202" s="508"/>
      <c r="H202" s="32"/>
      <c r="I202" s="32"/>
      <c r="J202" s="32"/>
      <c r="K202" s="32"/>
      <c r="L202" s="32"/>
      <c r="M202" s="32"/>
      <c r="N202" s="32"/>
      <c r="O202" s="32"/>
      <c r="P202" s="32"/>
      <c r="Q202" s="32"/>
      <c r="R202" s="32"/>
      <c r="S202" s="32"/>
      <c r="T202" s="32"/>
      <c r="U202" s="32"/>
      <c r="V202" s="32"/>
      <c r="W202" s="32"/>
      <c r="X202" s="32"/>
      <c r="Y202" s="32"/>
      <c r="AB202" s="32"/>
      <c r="AC202" s="32"/>
      <c r="AD202" s="32"/>
      <c r="AE202" s="32"/>
      <c r="AF202" s="32"/>
      <c r="AG202" s="32"/>
      <c r="AH202" s="32"/>
      <c r="AI202" s="32"/>
      <c r="AJ202" s="32"/>
      <c r="AK202" s="32"/>
    </row>
    <row r="203" spans="1:37" x14ac:dyDescent="0.2">
      <c r="A203" s="26"/>
      <c r="D203" s="32"/>
      <c r="E203" s="32"/>
      <c r="F203" s="32"/>
      <c r="G203" s="508"/>
      <c r="H203" s="32"/>
      <c r="I203" s="32"/>
      <c r="J203" s="32"/>
      <c r="K203" s="32"/>
      <c r="L203" s="32"/>
      <c r="M203" s="32"/>
      <c r="N203" s="32"/>
      <c r="O203" s="32"/>
      <c r="P203" s="32"/>
      <c r="Q203" s="32"/>
      <c r="R203" s="32"/>
      <c r="S203" s="32"/>
      <c r="T203" s="32"/>
      <c r="U203" s="32"/>
      <c r="V203" s="32"/>
      <c r="W203" s="32"/>
      <c r="X203" s="32"/>
      <c r="Y203" s="32"/>
      <c r="AB203" s="32"/>
      <c r="AC203" s="32"/>
      <c r="AD203" s="32"/>
      <c r="AE203" s="32"/>
      <c r="AF203" s="32"/>
      <c r="AG203" s="32"/>
      <c r="AH203" s="32"/>
      <c r="AI203" s="32"/>
      <c r="AJ203" s="32"/>
      <c r="AK203" s="32"/>
    </row>
    <row r="204" spans="1:37" x14ac:dyDescent="0.2">
      <c r="A204" s="26"/>
      <c r="D204" s="32"/>
      <c r="E204" s="32"/>
      <c r="F204" s="32"/>
      <c r="G204" s="508"/>
      <c r="H204" s="32"/>
      <c r="I204" s="32"/>
      <c r="J204" s="32"/>
      <c r="K204" s="32"/>
      <c r="L204" s="32"/>
      <c r="M204" s="32"/>
      <c r="N204" s="32"/>
      <c r="O204" s="32"/>
      <c r="P204" s="32"/>
      <c r="Q204" s="32"/>
      <c r="R204" s="32"/>
      <c r="S204" s="32"/>
      <c r="T204" s="32"/>
      <c r="U204" s="32"/>
      <c r="V204" s="32"/>
      <c r="W204" s="32"/>
      <c r="X204" s="32"/>
      <c r="Y204" s="32"/>
      <c r="AB204" s="32"/>
      <c r="AC204" s="32"/>
      <c r="AD204" s="32"/>
      <c r="AE204" s="32"/>
      <c r="AF204" s="32"/>
      <c r="AG204" s="32"/>
      <c r="AH204" s="32"/>
      <c r="AI204" s="32"/>
      <c r="AJ204" s="32"/>
      <c r="AK204" s="32"/>
    </row>
    <row r="205" spans="1:37" x14ac:dyDescent="0.2">
      <c r="A205" s="26"/>
      <c r="D205" s="32"/>
      <c r="E205" s="32"/>
      <c r="F205" s="32"/>
      <c r="G205" s="508"/>
      <c r="H205" s="32"/>
      <c r="I205" s="32"/>
      <c r="J205" s="32"/>
      <c r="K205" s="32"/>
      <c r="L205" s="32"/>
      <c r="M205" s="32"/>
      <c r="N205" s="32"/>
      <c r="O205" s="32"/>
      <c r="P205" s="32"/>
      <c r="Q205" s="32"/>
      <c r="R205" s="32"/>
      <c r="S205" s="32"/>
      <c r="T205" s="32"/>
      <c r="U205" s="32"/>
      <c r="V205" s="32"/>
      <c r="W205" s="32"/>
      <c r="X205" s="32"/>
      <c r="Y205" s="32"/>
      <c r="AB205" s="32"/>
      <c r="AC205" s="32"/>
      <c r="AD205" s="32"/>
      <c r="AE205" s="32"/>
      <c r="AF205" s="32"/>
      <c r="AG205" s="32"/>
      <c r="AH205" s="32"/>
      <c r="AI205" s="32"/>
      <c r="AJ205" s="32"/>
      <c r="AK205" s="32"/>
    </row>
    <row r="206" spans="1:37" x14ac:dyDescent="0.2">
      <c r="A206" s="26"/>
      <c r="D206" s="32"/>
      <c r="E206" s="32"/>
      <c r="F206" s="32"/>
      <c r="G206" s="508"/>
      <c r="H206" s="32"/>
      <c r="I206" s="32"/>
      <c r="J206" s="32"/>
      <c r="K206" s="32"/>
      <c r="L206" s="32"/>
      <c r="M206" s="32"/>
      <c r="N206" s="32"/>
      <c r="O206" s="32"/>
      <c r="P206" s="32"/>
      <c r="Q206" s="32"/>
      <c r="R206" s="32"/>
      <c r="S206" s="32"/>
      <c r="T206" s="32"/>
      <c r="U206" s="32"/>
      <c r="V206" s="32"/>
      <c r="W206" s="32"/>
      <c r="X206" s="32"/>
      <c r="Y206" s="32"/>
      <c r="AB206" s="32"/>
      <c r="AC206" s="32"/>
      <c r="AD206" s="32"/>
      <c r="AE206" s="32"/>
      <c r="AF206" s="32"/>
      <c r="AG206" s="32"/>
      <c r="AH206" s="32"/>
      <c r="AI206" s="32"/>
      <c r="AJ206" s="32"/>
      <c r="AK206" s="32"/>
    </row>
    <row r="207" spans="1:37" x14ac:dyDescent="0.2">
      <c r="A207" s="26"/>
      <c r="D207" s="32"/>
      <c r="E207" s="32"/>
      <c r="F207" s="32"/>
      <c r="G207" s="508"/>
      <c r="H207" s="32"/>
      <c r="I207" s="32"/>
      <c r="J207" s="32"/>
      <c r="K207" s="32"/>
      <c r="L207" s="32"/>
      <c r="M207" s="32"/>
      <c r="N207" s="32"/>
      <c r="O207" s="32"/>
      <c r="P207" s="32"/>
      <c r="Q207" s="32"/>
      <c r="R207" s="32"/>
      <c r="S207" s="32"/>
      <c r="T207" s="32"/>
      <c r="U207" s="32"/>
      <c r="V207" s="32"/>
      <c r="W207" s="32"/>
      <c r="X207" s="32"/>
      <c r="Y207" s="32"/>
      <c r="AB207" s="32"/>
      <c r="AC207" s="32"/>
      <c r="AD207" s="32"/>
      <c r="AE207" s="32"/>
      <c r="AF207" s="32"/>
      <c r="AG207" s="32"/>
      <c r="AH207" s="32"/>
      <c r="AI207" s="32"/>
      <c r="AJ207" s="32"/>
      <c r="AK207" s="32"/>
    </row>
    <row r="208" spans="1:37" x14ac:dyDescent="0.2">
      <c r="A208" s="26"/>
      <c r="D208" s="32"/>
      <c r="E208" s="32"/>
      <c r="F208" s="32"/>
      <c r="G208" s="508"/>
      <c r="H208" s="32"/>
      <c r="I208" s="32"/>
      <c r="J208" s="32"/>
      <c r="K208" s="32"/>
      <c r="L208" s="32"/>
      <c r="M208" s="32"/>
      <c r="N208" s="32"/>
      <c r="O208" s="32"/>
      <c r="P208" s="32"/>
      <c r="Q208" s="32"/>
      <c r="R208" s="32"/>
      <c r="S208" s="32"/>
      <c r="T208" s="32"/>
      <c r="U208" s="32"/>
      <c r="V208" s="32"/>
      <c r="W208" s="32"/>
      <c r="X208" s="32"/>
      <c r="Y208" s="32"/>
      <c r="AB208" s="32"/>
      <c r="AC208" s="32"/>
      <c r="AD208" s="32"/>
      <c r="AE208" s="32"/>
      <c r="AF208" s="32"/>
      <c r="AG208" s="32"/>
      <c r="AH208" s="32"/>
      <c r="AI208" s="32"/>
      <c r="AJ208" s="32"/>
      <c r="AK208" s="32"/>
    </row>
    <row r="209" spans="1:43" x14ac:dyDescent="0.2">
      <c r="A209" s="26"/>
      <c r="D209" s="32"/>
      <c r="E209" s="32"/>
      <c r="F209" s="32"/>
      <c r="G209" s="508"/>
      <c r="H209" s="32"/>
      <c r="I209" s="32"/>
      <c r="J209" s="32"/>
      <c r="K209" s="32"/>
      <c r="L209" s="32"/>
      <c r="M209" s="32"/>
      <c r="N209" s="32"/>
      <c r="O209" s="32"/>
      <c r="P209" s="32"/>
      <c r="Q209" s="32"/>
      <c r="R209" s="32"/>
      <c r="S209" s="32"/>
      <c r="T209" s="32"/>
      <c r="U209" s="32"/>
      <c r="V209" s="32"/>
      <c r="W209" s="32"/>
      <c r="X209" s="32"/>
      <c r="Y209" s="32"/>
      <c r="AB209" s="32"/>
      <c r="AC209" s="32"/>
      <c r="AD209" s="32"/>
      <c r="AE209" s="32"/>
      <c r="AF209" s="32"/>
      <c r="AG209" s="32"/>
      <c r="AH209" s="32"/>
      <c r="AI209" s="32"/>
      <c r="AJ209" s="32"/>
      <c r="AK209" s="32"/>
    </row>
    <row r="210" spans="1:43" x14ac:dyDescent="0.2">
      <c r="A210" s="26"/>
      <c r="D210" s="32"/>
      <c r="E210" s="32"/>
      <c r="F210" s="32"/>
      <c r="G210" s="508"/>
      <c r="H210" s="32"/>
      <c r="I210" s="32"/>
      <c r="J210" s="32"/>
      <c r="K210" s="32"/>
      <c r="L210" s="32"/>
      <c r="M210" s="32"/>
      <c r="N210" s="32"/>
      <c r="O210" s="32"/>
      <c r="P210" s="32"/>
      <c r="Q210" s="32"/>
      <c r="R210" s="32"/>
      <c r="S210" s="32"/>
      <c r="T210" s="32"/>
      <c r="U210" s="32"/>
      <c r="V210" s="32"/>
      <c r="W210" s="32"/>
      <c r="X210" s="32"/>
      <c r="Y210" s="32"/>
      <c r="AB210" s="32"/>
      <c r="AC210" s="32"/>
      <c r="AD210" s="32"/>
      <c r="AE210" s="32"/>
      <c r="AF210" s="32"/>
      <c r="AG210" s="32"/>
      <c r="AH210" s="32"/>
      <c r="AI210" s="32"/>
      <c r="AJ210" s="32"/>
      <c r="AK210" s="32"/>
    </row>
    <row r="211" spans="1:43" x14ac:dyDescent="0.2">
      <c r="A211" s="26"/>
      <c r="D211" s="32"/>
      <c r="E211" s="32"/>
      <c r="F211" s="32"/>
      <c r="G211" s="508"/>
      <c r="H211" s="32"/>
      <c r="I211" s="32"/>
      <c r="J211" s="32"/>
      <c r="K211" s="32"/>
      <c r="L211" s="32"/>
      <c r="M211" s="32"/>
      <c r="N211" s="32"/>
      <c r="O211" s="32"/>
      <c r="P211" s="32"/>
      <c r="Q211" s="32"/>
      <c r="R211" s="32"/>
      <c r="S211" s="32"/>
      <c r="T211" s="32"/>
      <c r="U211" s="32"/>
      <c r="V211" s="32"/>
      <c r="W211" s="32"/>
      <c r="X211" s="32"/>
      <c r="Y211" s="32"/>
      <c r="AB211" s="32"/>
      <c r="AC211" s="32"/>
      <c r="AD211" s="32"/>
      <c r="AE211" s="32"/>
      <c r="AF211" s="32"/>
      <c r="AG211" s="32"/>
      <c r="AH211" s="32"/>
      <c r="AI211" s="32"/>
      <c r="AJ211" s="32"/>
      <c r="AK211" s="32"/>
    </row>
    <row r="212" spans="1:43" x14ac:dyDescent="0.2">
      <c r="A212" s="26"/>
      <c r="D212" s="32"/>
      <c r="E212" s="32"/>
      <c r="F212" s="32"/>
      <c r="G212" s="508"/>
      <c r="H212" s="32"/>
      <c r="I212" s="32"/>
      <c r="J212" s="32"/>
      <c r="K212" s="32"/>
      <c r="L212" s="32"/>
      <c r="M212" s="32"/>
      <c r="N212" s="32"/>
      <c r="O212" s="32"/>
      <c r="P212" s="32"/>
      <c r="Q212" s="32"/>
      <c r="R212" s="32"/>
      <c r="S212" s="32"/>
      <c r="T212" s="32"/>
      <c r="U212" s="32"/>
      <c r="V212" s="32"/>
      <c r="W212" s="32"/>
      <c r="X212" s="32"/>
      <c r="Y212" s="32"/>
      <c r="AB212" s="32"/>
      <c r="AC212" s="32"/>
      <c r="AD212" s="32"/>
      <c r="AE212" s="32"/>
      <c r="AF212" s="32"/>
      <c r="AG212" s="32"/>
      <c r="AH212" s="32"/>
      <c r="AI212" s="32"/>
      <c r="AJ212" s="32"/>
      <c r="AK212" s="32"/>
    </row>
    <row r="213" spans="1:43" x14ac:dyDescent="0.2">
      <c r="A213" s="26"/>
      <c r="D213" s="32"/>
      <c r="E213" s="32"/>
      <c r="F213" s="32"/>
      <c r="G213" s="508"/>
      <c r="H213" s="32"/>
      <c r="I213" s="32"/>
      <c r="J213" s="32"/>
      <c r="K213" s="32"/>
      <c r="L213" s="32"/>
      <c r="M213" s="32"/>
      <c r="N213" s="32"/>
      <c r="O213" s="32"/>
      <c r="P213" s="32"/>
      <c r="Q213" s="32"/>
      <c r="R213" s="32"/>
      <c r="S213" s="32"/>
      <c r="T213" s="32"/>
      <c r="U213" s="32"/>
      <c r="V213" s="32"/>
      <c r="W213" s="32"/>
      <c r="X213" s="32"/>
      <c r="Y213" s="32"/>
      <c r="AB213" s="32"/>
      <c r="AC213" s="32"/>
      <c r="AD213" s="32"/>
      <c r="AE213" s="32"/>
      <c r="AF213" s="32"/>
      <c r="AG213" s="32"/>
      <c r="AH213" s="32"/>
      <c r="AI213" s="32"/>
      <c r="AJ213" s="32"/>
      <c r="AK213" s="32"/>
    </row>
    <row r="214" spans="1:43" x14ac:dyDescent="0.2">
      <c r="A214" s="26"/>
      <c r="D214" s="32"/>
      <c r="E214" s="32"/>
      <c r="F214" s="32"/>
      <c r="G214" s="508"/>
      <c r="H214" s="32"/>
      <c r="I214" s="32"/>
      <c r="J214" s="32"/>
      <c r="K214" s="32"/>
      <c r="L214" s="32"/>
      <c r="M214" s="32"/>
      <c r="N214" s="32"/>
      <c r="O214" s="32"/>
      <c r="P214" s="32"/>
      <c r="Q214" s="32"/>
      <c r="R214" s="32"/>
      <c r="S214" s="32"/>
      <c r="T214" s="32"/>
      <c r="U214" s="32"/>
      <c r="V214" s="32"/>
      <c r="W214" s="32"/>
      <c r="X214" s="32"/>
      <c r="Y214" s="32"/>
      <c r="AB214" s="32"/>
      <c r="AC214" s="32"/>
      <c r="AD214" s="32"/>
      <c r="AE214" s="32"/>
      <c r="AF214" s="32"/>
      <c r="AG214" s="32"/>
      <c r="AH214" s="32"/>
      <c r="AI214" s="32"/>
      <c r="AJ214" s="32"/>
      <c r="AK214" s="32"/>
    </row>
    <row r="215" spans="1:43" x14ac:dyDescent="0.2">
      <c r="A215" s="26"/>
      <c r="G215" s="27"/>
    </row>
    <row r="216" spans="1:43" x14ac:dyDescent="0.2">
      <c r="A216" s="26"/>
    </row>
    <row r="217" spans="1:43" ht="20.25" customHeight="1" x14ac:dyDescent="0.2">
      <c r="D217" s="842">
        <v>2014</v>
      </c>
      <c r="E217" s="843"/>
      <c r="F217" s="842">
        <v>2015</v>
      </c>
      <c r="G217" s="843"/>
      <c r="H217" s="842">
        <v>2016</v>
      </c>
      <c r="I217" s="845"/>
      <c r="J217" s="845"/>
      <c r="K217" s="843"/>
      <c r="L217" s="842">
        <v>2017</v>
      </c>
      <c r="M217" s="845"/>
      <c r="N217" s="845"/>
      <c r="O217" s="843"/>
      <c r="P217" s="842">
        <v>2018</v>
      </c>
      <c r="Q217" s="845"/>
      <c r="R217" s="845"/>
      <c r="S217" s="843"/>
      <c r="T217" s="842">
        <v>2019</v>
      </c>
      <c r="U217" s="845"/>
      <c r="V217" s="845"/>
      <c r="W217" s="843"/>
      <c r="X217" s="842">
        <v>2020</v>
      </c>
      <c r="Y217" s="845"/>
      <c r="Z217" s="845"/>
      <c r="AA217" s="843"/>
      <c r="AB217" s="842">
        <v>2021</v>
      </c>
      <c r="AC217" s="845"/>
      <c r="AD217" s="845"/>
      <c r="AE217" s="843"/>
      <c r="AF217" s="842">
        <v>2022</v>
      </c>
      <c r="AG217" s="845"/>
      <c r="AH217" s="845"/>
      <c r="AI217" s="843"/>
      <c r="AJ217" s="842">
        <v>2023</v>
      </c>
      <c r="AK217" s="845"/>
      <c r="AL217" s="845"/>
      <c r="AM217" s="843"/>
      <c r="AN217" s="842">
        <v>2024</v>
      </c>
      <c r="AO217" s="845"/>
      <c r="AP217" s="845"/>
      <c r="AQ217" s="843"/>
    </row>
    <row r="218" spans="1:43" ht="12.75" customHeight="1" x14ac:dyDescent="0.2">
      <c r="D218" s="850" t="s">
        <v>252</v>
      </c>
      <c r="E218" s="850" t="s">
        <v>253</v>
      </c>
      <c r="F218" s="850" t="s">
        <v>252</v>
      </c>
      <c r="G218" s="850" t="s">
        <v>253</v>
      </c>
      <c r="H218" s="842" t="s">
        <v>252</v>
      </c>
      <c r="I218" s="843"/>
      <c r="J218" s="842" t="s">
        <v>253</v>
      </c>
      <c r="K218" s="843"/>
      <c r="L218" s="842" t="s">
        <v>252</v>
      </c>
      <c r="M218" s="843"/>
      <c r="N218" s="842" t="s">
        <v>253</v>
      </c>
      <c r="O218" s="843"/>
      <c r="P218" s="842" t="s">
        <v>252</v>
      </c>
      <c r="Q218" s="843"/>
      <c r="R218" s="842" t="s">
        <v>253</v>
      </c>
      <c r="S218" s="843"/>
      <c r="T218" s="842" t="s">
        <v>252</v>
      </c>
      <c r="U218" s="843"/>
      <c r="V218" s="842" t="s">
        <v>253</v>
      </c>
      <c r="W218" s="843"/>
      <c r="X218" s="842" t="s">
        <v>252</v>
      </c>
      <c r="Y218" s="843"/>
      <c r="Z218" s="842" t="s">
        <v>253</v>
      </c>
      <c r="AA218" s="843"/>
      <c r="AB218" s="842" t="s">
        <v>252</v>
      </c>
      <c r="AC218" s="843"/>
      <c r="AD218" s="842" t="s">
        <v>253</v>
      </c>
      <c r="AE218" s="843"/>
      <c r="AF218" s="842" t="s">
        <v>252</v>
      </c>
      <c r="AG218" s="843"/>
      <c r="AH218" s="842" t="s">
        <v>253</v>
      </c>
      <c r="AI218" s="843"/>
      <c r="AJ218" s="842" t="s">
        <v>252</v>
      </c>
      <c r="AK218" s="843"/>
      <c r="AL218" s="842" t="s">
        <v>253</v>
      </c>
      <c r="AM218" s="843"/>
      <c r="AN218" s="842" t="s">
        <v>252</v>
      </c>
      <c r="AO218" s="843"/>
      <c r="AP218" s="842" t="s">
        <v>253</v>
      </c>
      <c r="AQ218" s="843"/>
    </row>
    <row r="219" spans="1:43" ht="25.5" x14ac:dyDescent="0.2">
      <c r="D219" s="851"/>
      <c r="E219" s="851"/>
      <c r="F219" s="851"/>
      <c r="G219" s="851"/>
      <c r="H219" s="7" t="s">
        <v>218</v>
      </c>
      <c r="I219" s="7" t="s">
        <v>251</v>
      </c>
      <c r="J219" s="7" t="s">
        <v>218</v>
      </c>
      <c r="K219" s="7" t="s">
        <v>251</v>
      </c>
      <c r="L219" s="7" t="s">
        <v>218</v>
      </c>
      <c r="M219" s="7" t="s">
        <v>251</v>
      </c>
      <c r="N219" s="7" t="s">
        <v>218</v>
      </c>
      <c r="O219" s="7" t="s">
        <v>251</v>
      </c>
      <c r="P219" s="7" t="s">
        <v>218</v>
      </c>
      <c r="Q219" s="7" t="s">
        <v>251</v>
      </c>
      <c r="R219" s="7" t="s">
        <v>218</v>
      </c>
      <c r="S219" s="7" t="s">
        <v>251</v>
      </c>
      <c r="T219" s="7" t="s">
        <v>218</v>
      </c>
      <c r="U219" s="7" t="s">
        <v>251</v>
      </c>
      <c r="V219" s="7" t="s">
        <v>218</v>
      </c>
      <c r="W219" s="7" t="s">
        <v>251</v>
      </c>
      <c r="X219" s="7" t="s">
        <v>218</v>
      </c>
      <c r="Y219" s="7" t="s">
        <v>251</v>
      </c>
      <c r="Z219" s="7" t="s">
        <v>218</v>
      </c>
      <c r="AA219" s="7" t="s">
        <v>251</v>
      </c>
      <c r="AB219" s="7" t="s">
        <v>218</v>
      </c>
      <c r="AC219" s="7" t="s">
        <v>251</v>
      </c>
      <c r="AD219" s="7" t="s">
        <v>218</v>
      </c>
      <c r="AE219" s="7" t="s">
        <v>251</v>
      </c>
      <c r="AF219" s="7" t="s">
        <v>218</v>
      </c>
      <c r="AG219" s="7" t="s">
        <v>251</v>
      </c>
      <c r="AH219" s="7" t="s">
        <v>218</v>
      </c>
      <c r="AI219" s="7" t="s">
        <v>251</v>
      </c>
      <c r="AJ219" s="7" t="s">
        <v>218</v>
      </c>
      <c r="AK219" s="7" t="s">
        <v>251</v>
      </c>
      <c r="AL219" s="7" t="s">
        <v>218</v>
      </c>
      <c r="AM219" s="7" t="s">
        <v>251</v>
      </c>
      <c r="AN219" s="7" t="s">
        <v>218</v>
      </c>
      <c r="AO219" s="7" t="s">
        <v>251</v>
      </c>
      <c r="AP219" s="7" t="s">
        <v>218</v>
      </c>
      <c r="AQ219" s="7" t="s">
        <v>251</v>
      </c>
    </row>
    <row r="220" spans="1:43" x14ac:dyDescent="0.2">
      <c r="C220" s="5" t="s">
        <v>0</v>
      </c>
      <c r="D220" s="203">
        <f>AVERAGEIF($B$36:$B$170,"=OFICIAL",$D$36:$D$170)</f>
        <v>251.07692307692307</v>
      </c>
      <c r="E220" s="203">
        <f>AVERAGEIF($B$36:$B$170,"=NO OFICIAL",$D$36:$D$170)</f>
        <v>257.45057172557176</v>
      </c>
      <c r="F220" s="203">
        <f>AVERAGEIF($B$36:$B$170,"=OFICIAL",$F$36:$F$170)</f>
        <v>248.81839464882941</v>
      </c>
      <c r="G220" s="203">
        <f>AVERAGEIF($B$36:$B$170,"=NO OFICIAL",$F$36:$F$170)</f>
        <v>256.09365634365633</v>
      </c>
      <c r="H220" s="10">
        <v>260</v>
      </c>
      <c r="I220" s="10">
        <v>36</v>
      </c>
      <c r="J220" s="10">
        <v>272</v>
      </c>
      <c r="K220" s="10">
        <v>38</v>
      </c>
      <c r="L220" s="10">
        <v>253</v>
      </c>
      <c r="M220" s="10">
        <v>35</v>
      </c>
      <c r="N220" s="10">
        <v>270</v>
      </c>
      <c r="O220" s="10">
        <v>40</v>
      </c>
      <c r="P220" s="30">
        <v>250</v>
      </c>
      <c r="Q220" s="30">
        <v>40</v>
      </c>
      <c r="R220" s="30">
        <v>269</v>
      </c>
      <c r="S220" s="30">
        <v>41</v>
      </c>
      <c r="T220" s="30">
        <v>249</v>
      </c>
      <c r="U220" s="30">
        <v>41</v>
      </c>
      <c r="V220" s="30">
        <v>266</v>
      </c>
      <c r="W220" s="30">
        <v>41</v>
      </c>
      <c r="X220" s="30" t="s">
        <v>265</v>
      </c>
      <c r="Y220" s="30" t="s">
        <v>145</v>
      </c>
      <c r="Z220" s="30">
        <v>265</v>
      </c>
      <c r="AA220" s="30">
        <v>41</v>
      </c>
      <c r="AB220" s="30">
        <v>248</v>
      </c>
      <c r="AC220" s="30"/>
      <c r="AD220" s="30">
        <v>265</v>
      </c>
      <c r="AE220" s="30">
        <v>41</v>
      </c>
      <c r="AF220" s="30">
        <v>248</v>
      </c>
      <c r="AG220" s="30"/>
      <c r="AH220" s="269">
        <v>272</v>
      </c>
      <c r="AI220" s="30"/>
      <c r="AJ220" s="269">
        <v>253</v>
      </c>
      <c r="AK220" s="30"/>
      <c r="AL220" s="269">
        <v>273</v>
      </c>
      <c r="AM220" s="30"/>
      <c r="AN220" s="269">
        <v>257</v>
      </c>
      <c r="AO220" s="30">
        <v>43</v>
      </c>
      <c r="AP220" s="269">
        <v>276</v>
      </c>
      <c r="AQ220" s="30">
        <v>43</v>
      </c>
    </row>
    <row r="221" spans="1:43" x14ac:dyDescent="0.2">
      <c r="C221" s="27" t="s">
        <v>244</v>
      </c>
      <c r="D221" s="27">
        <f>AVERAGEIFS($D$36:$D$170,$C$36:$C$170,"=1", $B$36:$B$170,"OFICIAL")</f>
        <v>254.57596153846151</v>
      </c>
      <c r="E221" s="27">
        <f>AVERAGEIFS($D$36:$D$170,$C$36:$C$170,"=1", $B$36:$B$170,"NO OFICIAL")</f>
        <v>255.29102564102564</v>
      </c>
      <c r="F221" s="27">
        <f>AVERAGEIFS($F$36:$F$170,$C$36:$C$170,"=1", $B$36:$B$170,"OFICIAL")</f>
        <v>252.89038461538462</v>
      </c>
      <c r="G221" s="27">
        <f>AVERAGEIFS($F$36:$F$170,$C$36:$C$170,"=1", $B$36:$B$170,"NO OFICIAL")</f>
        <v>249.7397435897436</v>
      </c>
      <c r="H221" s="27">
        <f>AVERAGEIFS($H$36:$H$170,$C$36:$C$170,"=1", $B$36:$B$170,"OFICIAL")</f>
        <v>262.5</v>
      </c>
      <c r="I221" s="27">
        <f>AVERAGEIFS(I36:I170,$C$36:$C$170,"=1", $B$36:$B$170,"OFICIAL")</f>
        <v>35.75</v>
      </c>
      <c r="J221" s="27">
        <f>AVERAGEIFS(H36:H170,$C$36:$C$170,"=1", $B$36:$B$170,"NO OFICIAL")</f>
        <v>260.46153846153845</v>
      </c>
      <c r="K221" s="27">
        <f>AVERAGEIFS($I$36:$I$170,$C$36:$C$170,"=1", $B$36:$B$170,"NO OFICIAL")</f>
        <v>33.230769230769234</v>
      </c>
      <c r="L221" s="27">
        <f>AVERAGEIFS($J$36:$J$170,$C$36:$C$170,"=1", $B$36:$B$170,"OFICIAL")</f>
        <v>263</v>
      </c>
      <c r="M221" s="27">
        <f>AVERAGEIFS($K$36:$K$170,$C$36:$C$170,"=1", $B$36:$B$170,"OFICIAL")</f>
        <v>34.75</v>
      </c>
      <c r="N221" s="27">
        <f>AVERAGEIFS($J$36:$J$170,$C$36:$C$170,"=1", $B$36:$B$170,"NO OFICIAL")</f>
        <v>259.5</v>
      </c>
      <c r="O221" s="27">
        <f>AVERAGEIFS($K$36:$K$170,$C$36:$C$170,"=1", $B$36:$B$170,"NO OFICIAL")</f>
        <v>35.166666666666664</v>
      </c>
      <c r="P221" s="27">
        <f>AVERAGEIFS($L$36:$L$170,$C$36:$C$170,"=1", $B$36:$B$170,"OFICIAL")</f>
        <v>255.75</v>
      </c>
      <c r="Q221" s="27">
        <f>AVERAGEIFS($M$36:$M$170,$C$36:$C$170,"=1", $B$36:$B$170,"OFICIAL")</f>
        <v>36.75</v>
      </c>
      <c r="R221" s="27">
        <f>AVERAGEIFS($L$36:$L$170,$C$36:$C$170,"=1", $B$36:$B$170,"NO OFICIAL")</f>
        <v>257.61538461538464</v>
      </c>
      <c r="S221" s="27">
        <f>AVERAGEIFS($M$36:$M$170,$C$36:$C$170,"=1", $B$36:$B$170,"NO OFICIAL")</f>
        <v>37.384615384615387</v>
      </c>
      <c r="T221" s="27">
        <f>AVERAGEIFS($N$36:$N$170,$C$36:$C$170,"=1", $B$36:$B$170,"OFICIAL")</f>
        <v>253.75</v>
      </c>
      <c r="U221" s="27">
        <f>AVERAGEIFS($O$36:$O$170,$C$36:$C$170,"=1", $B$36:$B$170,"OFICIAL")</f>
        <v>40.25</v>
      </c>
      <c r="V221" s="27">
        <f>AVERAGEIFS($N$36:$N$170,$C$36:$C$170,"=1", $B$36:$B$170,"NO OFICIAL")</f>
        <v>252.53846153846155</v>
      </c>
      <c r="W221" s="27">
        <f>AVERAGEIFS($O$36:$O$170,$C$36:$C$170,"=1", $B$36:$B$170,"NO OFICIAL")</f>
        <v>37</v>
      </c>
      <c r="X221" s="27">
        <f>AVERAGEIFS($P$36:$P$170,$C$36:$C$170,"=1", $B$36:$B$170,"OFICIAL")</f>
        <v>255.5</v>
      </c>
      <c r="Y221" s="27">
        <f>AVERAGEIFS($Q$36:$Q$170,$C$36:$C$170,"=1", $B$36:$B$170,"OFICIAL")</f>
        <v>37.5</v>
      </c>
      <c r="Z221" s="27">
        <f>AVERAGEIFS($P$36:$P$170,$C$36:$C$170,"=1", $B$36:$B$170,"NO OFICIAL")</f>
        <v>257.84615384615387</v>
      </c>
      <c r="AA221" s="27">
        <f>AVERAGEIFS($Q$36:$Q$170,$C$36:$C$170,"=1", $B$36:$B$170,"NO OFICIAL")</f>
        <v>36.46153846153846</v>
      </c>
      <c r="AB221" s="27">
        <f>AVERAGEIFS($R$36:$R$170,$C$36:$C$170,"=1", $B$36:$B$170,"OFICIAL")</f>
        <v>251.5</v>
      </c>
      <c r="AC221" s="27">
        <f>AVERAGEIFS($T$36:$T$170,$C$36:$C$170,"=1", $B$36:$B$170,"OFICIAL")</f>
        <v>39.25</v>
      </c>
      <c r="AD221" s="27">
        <f>AVERAGEIFS($P$36:$P$170,$C$36:$C$170,"=1", $B$36:$B$170,"NO OFICIAL")</f>
        <v>257.84615384615387</v>
      </c>
      <c r="AE221" s="27">
        <f>AVERAGEIFS($Q$36:$Q$170,$C$36:$C$170,"=1", $B$36:$B$170,"NO OFICIAL")</f>
        <v>36.46153846153846</v>
      </c>
      <c r="AF221" s="27">
        <f>AVERAGEIFS($R$36:$R$170,$C$36:$C$170,"=1", $B$36:$B$170,"OFICIAL")</f>
        <v>251.5</v>
      </c>
      <c r="AG221" s="27">
        <f>AVERAGEIFS($T$36:$T$170,$C$36:$C$170,"=1", $B$36:$B$170,"OFICIAL")</f>
        <v>39.25</v>
      </c>
      <c r="AH221" s="27">
        <f>AVERAGEIFS($V$36:$V$170,$C$36:$C$170,"=1", $B$36:$B$170,"NO OFICIAL")</f>
        <v>261.15384615384613</v>
      </c>
      <c r="AI221" s="27">
        <f>AVERAGEIFS($X$36:$X$170,$C$36:$C$170,"=1", $B$36:$B$170,"NO OFICIAL")</f>
        <v>40.615384615384613</v>
      </c>
      <c r="AJ221" s="27">
        <f>AVERAGEIFS($Z$36:$Z$170,$C$36:$C$170,"=1", $B$36:$B$170,"OFICIAL")</f>
        <v>253.6</v>
      </c>
      <c r="AK221" s="27">
        <f>AVERAGEIFS($AB$36:$AB$170,$C$36:$C$170,"=1", $B$36:$B$170,"OFICIAL")</f>
        <v>38.6</v>
      </c>
      <c r="AL221" s="27">
        <f>AVERAGEIFS($Z$36:$Z$170,$C$36:$C$170,"=1", $B$36:$B$170,"NO OFICIAL")</f>
        <v>265.91666666666669</v>
      </c>
      <c r="AM221" s="27">
        <f>AVERAGEIFS($AB$36:$AB$170,$C$36:$C$170,"=1", $B$36:$B$170,"NO OFICIAL")</f>
        <v>38</v>
      </c>
      <c r="AN221" s="27">
        <v>255.4</v>
      </c>
      <c r="AO221" s="27">
        <v>41.8</v>
      </c>
      <c r="AP221" s="27">
        <v>266.23076923076923</v>
      </c>
      <c r="AQ221" s="27">
        <v>38.769230769230766</v>
      </c>
    </row>
    <row r="222" spans="1:43" x14ac:dyDescent="0.2">
      <c r="C222" s="27" t="s">
        <v>245</v>
      </c>
      <c r="D222" s="27">
        <f>AVERAGEIFS($D$36:$D$170,$C$36:$C$170,"=2", $B$36:$B$170,"OFICIAL")</f>
        <v>255.5</v>
      </c>
      <c r="E222" s="27">
        <f>AVERAGEIFS($D$36:$D$170,$C$36:$C$170,"=2", $B$36:$B$170,"NO OFICIAL")</f>
        <v>259.97036199095021</v>
      </c>
      <c r="F222" s="27">
        <f>AVERAGEIFS($F$36:$F$170,$C$36:$C$170,"=2", $B$36:$B$170,"OFICIAL")</f>
        <v>252</v>
      </c>
      <c r="G222" s="27">
        <f>AVERAGEIFS($F$36:$F$170,$C$36:$C$170,"=2", $B$36:$B$170,"NO OFICIAL")</f>
        <v>256.50067873303169</v>
      </c>
      <c r="H222" s="27">
        <f>AVERAGEIFS($H$36:$H$170,$C$36:$C$170,"=2", $B$36:$B$170,"OFICIAL")</f>
        <v>264.5</v>
      </c>
      <c r="I222" s="27">
        <f>AVERAGEIFS($I$36:$I$170,$C$36:$C$170,"=2", $B$36:$B$170,"OFICIAL")</f>
        <v>35</v>
      </c>
      <c r="J222" s="27">
        <f>AVERAGEIFS(H36:H170,C36:C170,"=2", B36:B170,"NO OFICIAL")</f>
        <v>268.88888888888891</v>
      </c>
      <c r="K222" s="27">
        <f>AVERAGEIFS($I$36:$I$170,$C$36:$C$170,"=2", $B$36:$B$170,"NO OFICIAL")</f>
        <v>32.888888888888886</v>
      </c>
      <c r="L222" s="27">
        <f>AVERAGEIFS($J$36:$J$170,$C$36:$C$170,"=2", $B$36:$B$170,"OFICIAL")</f>
        <v>261.5</v>
      </c>
      <c r="M222" s="27">
        <f>AVERAGEIFS($K$36:$K$170,$C$36:$C$170,"=2", $B$36:$B$170,"OFICIAL")</f>
        <v>39</v>
      </c>
      <c r="N222" s="27">
        <f>AVERAGEIFS($J$36:$J$170,$C$36:$C$170,"=2", $B$36:$B$170,"NO OFICIAL")</f>
        <v>266.11764705882354</v>
      </c>
      <c r="O222" s="27">
        <f>AVERAGEIFS($K$36:$K$170,$C$36:$C$170,"=2", $B$36:$B$170,"NO OFICIAL")</f>
        <v>35.647058823529413</v>
      </c>
      <c r="P222" s="27">
        <f>AVERAGEIFS($L$36:$L$170,$C$36:$C$170,"=2", $B$36:$B$170,"OFICIAL")</f>
        <v>257.5</v>
      </c>
      <c r="Q222" s="27">
        <f>AVERAGEIFS($M$36:$M$170,$C$36:$C$170,"=2", $B$36:$B$170,"OFICIAL")</f>
        <v>40.5</v>
      </c>
      <c r="R222" s="27">
        <f>AVERAGEIFS($L$36:$L$170,$C$36:$C$170,"=2", $B$36:$B$170,"NO OFICIAL")</f>
        <v>263.52941176470586</v>
      </c>
      <c r="S222" s="27">
        <f>AVERAGEIFS($M$36:$M$170,$C$36:$C$170,"=2", $B$36:$B$170,"NO OFICIAL")</f>
        <v>37.058823529411768</v>
      </c>
      <c r="T222" s="27">
        <f>AVERAGEIFS($N$36:$N$170,$C$36:$C$170,"=2", $B$36:$B$170,"OFICIAL")</f>
        <v>253.5</v>
      </c>
      <c r="U222" s="27">
        <f>AVERAGEIFS($O$36:$O$170,$C$36:$C$170,"=2", $B$36:$B$170,"OFICIAL")</f>
        <v>40.5</v>
      </c>
      <c r="V222" s="27">
        <f>AVERAGEIFS($N$36:$N$170,$C$36:$C$170,"=2", $B$36:$B$170,"NO OFICIAL")</f>
        <v>263.66666666666669</v>
      </c>
      <c r="W222" s="27">
        <f>AVERAGEIFS($O$36:$O$170,$C$36:$C$170,"=2", $B$36:$B$170,"NO OFICIAL")</f>
        <v>38</v>
      </c>
      <c r="X222" s="27">
        <f>AVERAGEIFS($P$36:$P$170,$C$36:$C$170,"=2", $B$36:$B$170,"OFICIAL")</f>
        <v>255.5</v>
      </c>
      <c r="Y222" s="27">
        <f>AVERAGEIFS($Q$36:$Q$170,$C$36:$C$170,"=2", $B$36:$B$170,"OFICIAL")</f>
        <v>37.5</v>
      </c>
      <c r="Z222" s="27">
        <f>AVERAGEIFS($P$36:$P$170,$C$36:$C$170,"=2", $B$36:$B$170,"NO OFICIAL")</f>
        <v>259.45454545454544</v>
      </c>
      <c r="AA222" s="27">
        <f>AVERAGEIFS($Q$36:$Q$170,$C$36:$C$170,"=2", $B$36:$B$170,"NO OFICIAL")</f>
        <v>31.59090909090909</v>
      </c>
      <c r="AB222" s="27">
        <f>AVERAGEIFS($R$36:$R$170,$C$36:$C$170,"=2", $B$36:$B$170,"OFICIAL")</f>
        <v>250.5</v>
      </c>
      <c r="AC222" s="27">
        <f>AVERAGEIFS($T$36:$T$170,$C$36:$C$170,"=2", $B$36:$B$170,"OFICIAL")</f>
        <v>39</v>
      </c>
      <c r="AD222" s="27">
        <f>AVERAGEIFS($P$36:$P$170,$C$36:$C$170,"=2", $B$36:$B$170,"NO OFICIAL")</f>
        <v>259.45454545454544</v>
      </c>
      <c r="AE222" s="27">
        <f>AVERAGEIFS($Q$36:$Q$170,$C$36:$C$170,"=2", $B$36:$B$170,"NO OFICIAL")</f>
        <v>31.59090909090909</v>
      </c>
      <c r="AF222" s="27">
        <f>AVERAGEIFS($R$36:$R$170,$C$36:$C$170,"=2", $B$36:$B$170,"OFICIAL")</f>
        <v>250.5</v>
      </c>
      <c r="AG222" s="27">
        <f>AVERAGEIFS($T$36:$T$170,$C$36:$C$170,"=2", $B$36:$B$170,"OFICIAL")</f>
        <v>39</v>
      </c>
      <c r="AH222" s="27">
        <f>AVERAGEIFS($V$36:$V$170,$C$36:$C$170,"=2", $B$36:$B$170,"NO OFICIAL")</f>
        <v>269.28571428571428</v>
      </c>
      <c r="AI222" s="27">
        <f>AVERAGEIFS($X$36:$X$170,$C$36:$C$170,"=2", $B$36:$B$170,"NO OFICIAL")</f>
        <v>37.666666666666664</v>
      </c>
      <c r="AJ222" s="27">
        <f>AVERAGEIFS($Z$36:$Z$170,$C$36:$C$170,"=2", $B$36:$B$170,"OFICIAL")</f>
        <v>255.5</v>
      </c>
      <c r="AK222" s="27">
        <f>AVERAGEIFS($AB$36:$AB$170,$C$36:$C$170,"=2", $B$36:$B$170,"OFICIAL")</f>
        <v>39.5</v>
      </c>
      <c r="AL222" s="27">
        <f>AVERAGEIFS($Z$36:$Z$170,$C$36:$C$170,"=2", $B$36:$B$170,"NO OFICIAL")</f>
        <v>266.77272727272725</v>
      </c>
      <c r="AM222" s="27">
        <f>AVERAGEIFS($AB$36:$AB$170,$C$36:$C$170,"=2", $B$36:$B$170,"NO OFICIAL")</f>
        <v>37.409090909090907</v>
      </c>
      <c r="AN222" s="27">
        <v>262</v>
      </c>
      <c r="AO222" s="27">
        <v>41.75</v>
      </c>
      <c r="AP222" s="27">
        <v>272.7</v>
      </c>
      <c r="AQ222" s="27">
        <v>39.4</v>
      </c>
    </row>
    <row r="223" spans="1:43" x14ac:dyDescent="0.2">
      <c r="C223" s="27" t="s">
        <v>246</v>
      </c>
      <c r="D223" s="27">
        <f>AVERAGEIFS($D$36:$D$170,$C$36:$C$170,"=3", $B$36:$B$170,"OFICIAL")</f>
        <v>251.66923076923072</v>
      </c>
      <c r="E223" s="27">
        <f>AVERAGEIFS($D$36:$D$170,$C$36:$C$170,"=3", $B$36:$B$170,"NO OFICIAL")</f>
        <v>261.04038461538465</v>
      </c>
      <c r="F223" s="27">
        <f>AVERAGEIFS($F$36:$F$170,$C$36:$C$170,"=3", $B$36:$B$170,"OFICIAL")</f>
        <v>245.92307692307691</v>
      </c>
      <c r="G223" s="27">
        <f>AVERAGEIFS($F$36:$F$170,$C$36:$C$170,"=3", $B$36:$B$170,"NO OFICIAL")</f>
        <v>259.56634615384615</v>
      </c>
      <c r="H223" s="27">
        <f>AVERAGEIFS($H$36:$H$170,$C$36:$C$170,"=3", $B$36:$B$170,"OFICIAL")</f>
        <v>259.39999999999998</v>
      </c>
      <c r="I223" s="27">
        <f>AVERAGEIFS($I$36:$I$170,$C$36:$C$170,"=3", $B$36:$B$170,"OFICIAL")</f>
        <v>36.6</v>
      </c>
      <c r="J223" s="27">
        <f>AVERAGEIFS(H36:H170,C36:C170,"=3", B36:B170,"NO OFICIAL")</f>
        <v>271.61538461538464</v>
      </c>
      <c r="K223" s="27">
        <f>AVERAGEIFS($I$36:$I$170,$C$36:$C$170,"=3", $B$36:$B$170,"NO OFICIAL")</f>
        <v>35.07692307692308</v>
      </c>
      <c r="L223" s="27">
        <f>AVERAGEIFS($J$36:$J$170,$C$36:$C$170,"=3", $B$36:$B$170,"OFICIAL")</f>
        <v>258.5</v>
      </c>
      <c r="M223" s="27">
        <f>AVERAGEIFS($K$36:$K$170,$C$36:$C$170,"=3", $B$36:$B$170,"OFICIAL")</f>
        <v>37.5</v>
      </c>
      <c r="N223" s="27">
        <f>AVERAGEIFS($J$36:$J$170,$C$36:$C$170,"=3", $B$36:$B$170,"NO OFICIAL")</f>
        <v>268.38461538461536</v>
      </c>
      <c r="O223" s="27">
        <f>AVERAGEIFS($K$36:$K$170,$C$36:$C$170,"=3", $B$36:$B$170,"NO OFICIAL")</f>
        <v>36.46153846153846</v>
      </c>
      <c r="P223" s="27">
        <f>AVERAGEIFS($L$36:$L$170,$C$36:$C$170,"=3", $B$36:$B$170,"OFICIAL")</f>
        <v>255.66666666666666</v>
      </c>
      <c r="Q223" s="27">
        <f>AVERAGEIFS($M$36:$M$170,$C$36:$C$170,"=3", $B$36:$B$170,"OFICIAL")</f>
        <v>38.5</v>
      </c>
      <c r="R223" s="27">
        <f>AVERAGEIFS($L$36:$L$170,$C$36:$C$170,"=3", $B$36:$B$170,"NO OFICIAL")</f>
        <v>268.69230769230768</v>
      </c>
      <c r="S223" s="27">
        <f>AVERAGEIFS($M$36:$M$170,$C$36:$C$170,"=3", $B$36:$B$170,"NO OFICIAL")</f>
        <v>37.92307692307692</v>
      </c>
      <c r="T223" s="27">
        <f>AVERAGEIFS($N$36:$N$170,$C$36:$C$170,"=3", $B$36:$B$170,"OFICIAL")</f>
        <v>249.66666666666666</v>
      </c>
      <c r="U223" s="27">
        <f>AVERAGEIFS($O$36:$O$170,$C$36:$C$170,"=3", $B$36:$B$170,"OFICIAL")</f>
        <v>39.166666666666664</v>
      </c>
      <c r="V223" s="27">
        <f>AVERAGEIFS($N$36:$N$170,$C$36:$C$170,"=3", $B$36:$B$170,"NO OFICIAL")</f>
        <v>262.92307692307691</v>
      </c>
      <c r="W223" s="27">
        <f>AVERAGEIFS($O$36:$O$170,$C$36:$C$170,"=3", $B$36:$B$170,"NO OFICIAL")</f>
        <v>38.53846153846154</v>
      </c>
      <c r="X223" s="27">
        <f>AVERAGEIFS($P$36:$P$170,$C$36:$C$170,"=3", $B$36:$B$170,"OFICIAL")</f>
        <v>251.83333333333334</v>
      </c>
      <c r="Y223" s="27">
        <f>AVERAGEIFS($Q$36:$Q$170,$C$36:$C$170,"=3", $B$36:$B$170,"OFICIAL")</f>
        <v>38.166666666666664</v>
      </c>
      <c r="Z223" s="27">
        <f>AVERAGEIFS($P$36:$P$170,$C$36:$C$170,"=3", $B$36:$B$170,"NO OFICIAL")</f>
        <v>267.42857142857144</v>
      </c>
      <c r="AA223" s="27">
        <f>AVERAGEIFS($Q$36:$Q$170,$C$36:$C$170,"=3", $B$36:$B$170,"NO OFICIAL")</f>
        <v>35.214285714285715</v>
      </c>
      <c r="AB223" s="27">
        <f>AVERAGEIFS($R$36:$R$170,$C$36:$C$170,"=3", $B$36:$B$170,"OFICIAL")</f>
        <v>248.66666666666666</v>
      </c>
      <c r="AC223" s="27">
        <f>AVERAGEIFS($T$36:$T$170,$C$36:$C$170,"=3", $B$36:$B$170,"OFICIAL")</f>
        <v>38.333333333333336</v>
      </c>
      <c r="AD223" s="27">
        <f>AVERAGEIFS($P$36:$P$170,$C$36:$C$170,"=3", $B$36:$B$170,"NO OFICIAL")</f>
        <v>267.42857142857144</v>
      </c>
      <c r="AE223" s="27">
        <f>AVERAGEIFS($Q$36:$Q$170,$C$36:$C$170,"=3", $B$36:$B$170,"NO OFICIAL")</f>
        <v>35.214285714285715</v>
      </c>
      <c r="AF223" s="27">
        <f>AVERAGEIFS($R$36:$R$170,$C$36:$C$170,"=3", $B$36:$B$170,"OFICIAL")</f>
        <v>248.66666666666666</v>
      </c>
      <c r="AG223" s="27">
        <f>AVERAGEIFS($T$36:$T$170,$C$36:$C$170,"=3", $B$36:$B$170,"OFICIAL")</f>
        <v>38.333333333333336</v>
      </c>
      <c r="AH223" s="27">
        <f>AVERAGEIFS($V$36:$V$170,$C$36:$C$170,"=3", $B$36:$B$170,"NO OFICIAL")</f>
        <v>272.93333333333334</v>
      </c>
      <c r="AI223" s="27">
        <f>AVERAGEIFS($X$36:$X$170,$C$36:$C$170,"=3", $B$36:$B$170,"NO OFICIAL")</f>
        <v>39.466666666666669</v>
      </c>
      <c r="AJ223" s="27">
        <f>AVERAGEIFS($Z$36:$Z$170,$C$36:$C$170,"=3", $B$36:$B$170,"OFICIAL")</f>
        <v>256.42857142857144</v>
      </c>
      <c r="AK223" s="27">
        <f>AVERAGEIFS($AB$36:$AB$170,$C$36:$C$170,"=3", $B$36:$B$170,"OFICIAL")</f>
        <v>40</v>
      </c>
      <c r="AL223" s="27">
        <f>AVERAGEIFS($Z$36:$Z$170,$C$36:$C$170,"=3", $B$36:$B$170,"NO OFICIAL")</f>
        <v>272.06666666666666</v>
      </c>
      <c r="AM223" s="27">
        <f>AVERAGEIFS($AB$36:$AB$170,$C$36:$C$170,"=3", $B$36:$B$170,"NO OFICIAL")</f>
        <v>38.866666666666667</v>
      </c>
      <c r="AN223" s="27">
        <v>259</v>
      </c>
      <c r="AO223" s="27">
        <v>42.833333333333336</v>
      </c>
      <c r="AP223" s="27">
        <v>274.13333333333333</v>
      </c>
      <c r="AQ223" s="27">
        <v>38.8125</v>
      </c>
    </row>
    <row r="224" spans="1:43" x14ac:dyDescent="0.2">
      <c r="C224" s="27" t="s">
        <v>247</v>
      </c>
      <c r="D224" s="27">
        <f>AVERAGEIFS($D$36:$D$170,$C$36:$C$170,"=4", $B$36:$B$170,"OFICIAL")</f>
        <v>244.03717948717949</v>
      </c>
      <c r="E224" s="27">
        <f>AVERAGEIFS($D$36:$D$170,$C$36:$C$170,"=4", $B$36:$B$170,"NO OFICIAL")</f>
        <v>233.13504273504273</v>
      </c>
      <c r="F224" s="27">
        <f>AVERAGEIFS($F$36:$F$170,$C$36:$C$170,"=4", $B$36:$B$170,"OFICIAL")</f>
        <v>241.96089743589744</v>
      </c>
      <c r="G224" s="27">
        <f>AVERAGEIFS($F$36:$F$170,$C$36:$C$170,"=4", $B$36:$B$170,"NO OFICIAL")</f>
        <v>240.56993006993008</v>
      </c>
      <c r="H224" s="27">
        <f>AVERAGEIFS($H$36:$H$170,$C$36:$C$170,"=4", $B$36:$B$170,"OFICIAL")</f>
        <v>243.83333333333334</v>
      </c>
      <c r="I224" s="27">
        <f>AVERAGEIFS($I$36:$I$170,$C$36:$C$170,"=4", $B$36:$B$170,"OFICIAL")</f>
        <v>35</v>
      </c>
      <c r="J224" s="27">
        <f>AVERAGEIFS(H36:H170,C36:C170,"=4", B36:B170,"NO OFICIAL")</f>
        <v>251.625</v>
      </c>
      <c r="K224" s="27">
        <f>AVERAGEIFS($I$36:$I$170,$C$36:$C$170,"=4", $B$36:$B$170,"NO OFICIAL")</f>
        <v>33.25</v>
      </c>
      <c r="L224" s="27">
        <f>AVERAGEIFS($J$36:$J$170,$C$36:$C$170,"=4", $B$36:$B$170,"OFICIAL")</f>
        <v>244.33333333333334</v>
      </c>
      <c r="M224" s="27">
        <f>AVERAGEIFS($K$36:$K$170,$C$36:$C$170,"=4", $B$36:$B$170,"OFICIAL")</f>
        <v>37.333333333333336</v>
      </c>
      <c r="N224" s="27">
        <f>AVERAGEIFS($J$36:$J$170,$C$36:$C$170,"=4", $B$36:$B$170,"NO OFICIAL")</f>
        <v>262.33333333333331</v>
      </c>
      <c r="O224" s="27">
        <f>AVERAGEIFS($K$36:$K$170,$C$36:$C$170,"=4", $B$36:$B$170,"NO OFICIAL")</f>
        <v>30.333333333333332</v>
      </c>
      <c r="P224" s="27">
        <f>AVERAGEIFS($L$36:$L$170,$C$36:$C$170,"=4", $B$36:$B$170,"OFICIAL")</f>
        <v>237</v>
      </c>
      <c r="Q224" s="27">
        <f>AVERAGEIFS($M$36:$M$170,$C$36:$C$170,"=4", $B$36:$B$170,"OFICIAL")</f>
        <v>38.833333333333336</v>
      </c>
      <c r="R224" s="27">
        <f>AVERAGEIFS($L$36:$L$170,$C$36:$C$170,"=4", $B$36:$B$170,"NO OFICIAL")</f>
        <v>261.11111111111109</v>
      </c>
      <c r="S224" s="27">
        <f>AVERAGEIFS($M$36:$M$170,$C$36:$C$170,"=4", $B$36:$B$170,"NO OFICIAL")</f>
        <v>30.888888888888889</v>
      </c>
      <c r="T224" s="27">
        <f>AVERAGEIFS($N$36:$N$170,$C$36:$C$170,"=4", $B$36:$B$170,"OFICIAL")</f>
        <v>232.5</v>
      </c>
      <c r="U224" s="27">
        <f>AVERAGEIFS($O$36:$O$170,$C$36:$C$170,"=4", $B$36:$B$170,"OFICIAL")</f>
        <v>39.333333333333336</v>
      </c>
      <c r="V224" s="27">
        <f>AVERAGEIFS($N$36:$N$170,$C$36:$C$170,"=4", $B$36:$B$170,"NO OFICIAL")</f>
        <v>254</v>
      </c>
      <c r="W224" s="27">
        <f>AVERAGEIFS($O$36:$O$170,$C$36:$C$170,"=4", $B$36:$B$170,"NO OFICIAL")</f>
        <v>36.375</v>
      </c>
      <c r="X224" s="27">
        <f>AVERAGEIFS($P$36:$P$170,$C$36:$C$170,"=4", $B$36:$B$170,"OFICIAL")</f>
        <v>234.5</v>
      </c>
      <c r="Y224" s="27">
        <f>AVERAGEIFS($Q$36:$Q$170,$C$36:$C$170,"=4", $B$36:$B$170,"OFICIAL")</f>
        <v>35.5</v>
      </c>
      <c r="Z224" s="27">
        <f>AVERAGEIFS($P$36:$P$170,$C$36:$C$170,"=4", $B$36:$B$170,"NO OFICIAL")</f>
        <v>248.14285714285714</v>
      </c>
      <c r="AA224" s="27">
        <f>AVERAGEIFS($Q$36:$Q$170,$C$36:$C$170,"=4", $B$36:$B$170,"NO OFICIAL")</f>
        <v>37.285714285714285</v>
      </c>
      <c r="AB224" s="27">
        <f>AVERAGEIFS($R$36:$R$170,$C$36:$C$170,"=4", $B$36:$B$170,"OFICIAL")</f>
        <v>233.66666666666666</v>
      </c>
      <c r="AC224" s="27">
        <f>AVERAGEIFS($T$36:$T$170,$C$36:$C$170,"=4", $B$36:$B$170,"OFICIAL")</f>
        <v>37.333333333333336</v>
      </c>
      <c r="AD224" s="27">
        <f>AVERAGEIFS($P$36:$P$170,$C$36:$C$170,"=4", $B$36:$B$170,"NO OFICIAL")</f>
        <v>248.14285714285714</v>
      </c>
      <c r="AE224" s="27">
        <f>AVERAGEIFS($Q$36:$Q$170,$C$36:$C$170,"=4", $B$36:$B$170,"NO OFICIAL")</f>
        <v>37.285714285714285</v>
      </c>
      <c r="AF224" s="27">
        <f>AVERAGEIFS($R$36:$R$170,$C$36:$C$170,"=4", $B$36:$B$170,"OFICIAL")</f>
        <v>233.66666666666666</v>
      </c>
      <c r="AG224" s="27">
        <f>AVERAGEIFS($T$36:$T$170,$C$36:$C$170,"=4", $B$36:$B$170,"OFICIAL")</f>
        <v>37.333333333333336</v>
      </c>
      <c r="AH224" s="27">
        <f>AVERAGEIFS($V$36:$V$170,$C$36:$C$170,"=4", $B$36:$B$170,"NO OFICIAL")</f>
        <v>258.125</v>
      </c>
      <c r="AI224" s="27">
        <f>AVERAGEIFS($X$36:$X$170,$C$36:$C$170,"=4", $B$36:$B$170,"NO OFICIAL")</f>
        <v>38.5</v>
      </c>
      <c r="AJ224" s="27">
        <f>AVERAGEIFS($Z$36:$Z$170,$C$36:$C$170,"=4", $B$36:$B$170,"OFICIAL")</f>
        <v>237.66666666666666</v>
      </c>
      <c r="AK224" s="27">
        <f>AVERAGEIFS($AB$36:$AB$170,$C$36:$C$170,"=4", $B$36:$B$170,"OFICIAL")</f>
        <v>41.166666666666664</v>
      </c>
      <c r="AL224" s="27">
        <f>AVERAGEIFS($Z$36:$Z$170,$C$36:$C$170,"=4", $B$36:$B$170,"NO OFICIAL")</f>
        <v>250.22222222222223</v>
      </c>
      <c r="AM224" s="27">
        <f>AVERAGEIFS($AB$36:$AB$170,$C$36:$C$170,"=4", $B$36:$B$170,"NO OFICIAL")</f>
        <v>36.111111111111114</v>
      </c>
      <c r="AN224" s="27">
        <v>238.16666666666666</v>
      </c>
      <c r="AO224" s="27">
        <v>40.833333333333336</v>
      </c>
      <c r="AP224" s="27">
        <v>267.57142857142856</v>
      </c>
      <c r="AQ224" s="27">
        <v>38.428571428571431</v>
      </c>
    </row>
    <row r="225" spans="3:45" x14ac:dyDescent="0.2">
      <c r="C225" s="27" t="s">
        <v>248</v>
      </c>
      <c r="D225" s="27">
        <f>AVERAGEIFS($D$36:$D$170,$C$36:$C$170,"=5", $B$36:$B$170,"OFICIAL")</f>
        <v>259.44358974358977</v>
      </c>
      <c r="E225" s="27">
        <f>AVERAGEIFS($D$36:$D$170,$C$36:$C$170,"=5", $B$36:$B$170,"NO OFICIAL")</f>
        <v>269.10865384615386</v>
      </c>
      <c r="F225" s="27">
        <f>AVERAGEIFS($F$36:$F$170,$C$36:$C$170,"=5", $B$36:$B$170,"OFICIAL")</f>
        <v>259</v>
      </c>
      <c r="G225" s="27">
        <f>AVERAGEIFS($F$36:$F$170,$C$36:$C$170,"=5", $B$36:$B$170,"NO OFICIAL")</f>
        <v>269.02662721893489</v>
      </c>
      <c r="H225" s="27">
        <f>AVERAGEIFS($H$36:$H$170,$C$36:$C$170,"=5", $B$36:$B$170,"OFICIAL")</f>
        <v>266.66666666666669</v>
      </c>
      <c r="I225" s="27">
        <f>AVERAGEIFS($I$36:$I$170,$C$36:$C$170,"=5", $B$36:$B$170,"OFICIAL")</f>
        <v>34.333333333333336</v>
      </c>
      <c r="J225" s="27">
        <f>AVERAGEIFS(H36:H170,C36:C170,"=5", B36:B170,"NO OFICIAL")</f>
        <v>278.21428571428572</v>
      </c>
      <c r="K225" s="27">
        <f>AVERAGEIFS($I$36:$I$170,$C$36:$C$170,"=5", $B$36:$B$170,"NO OFICIAL")</f>
        <v>33.857142857142854</v>
      </c>
      <c r="L225" s="27">
        <f>AVERAGEIFS($J$36:$J$170,$C$36:$C$170,"=5", $B$36:$B$170,"OFICIAL")</f>
        <v>266.33333333333331</v>
      </c>
      <c r="M225" s="27">
        <f>AVERAGEIFS($K$36:$K$170,$C$36:$C$170,"=5", $B$36:$B$170,"OFICIAL")</f>
        <v>37</v>
      </c>
      <c r="N225" s="27">
        <f>AVERAGEIFS($J$36:$J$170,$C$36:$C$170,"=5", $B$36:$B$170,"NO OFICIAL")</f>
        <v>277.42857142857144</v>
      </c>
      <c r="O225" s="27">
        <f>AVERAGEIFS($K$36:$K$170,$C$36:$C$170,"=5", $B$36:$B$170,"NO OFICIAL")</f>
        <v>35.428571428571431</v>
      </c>
      <c r="P225" s="27">
        <f>AVERAGEIFS($L$36:$L$170,$C$36:$C$170,"=5", $B$36:$B$170,"OFICIAL")</f>
        <v>259.33333333333331</v>
      </c>
      <c r="Q225" s="27">
        <f>AVERAGEIFS($M$36:$M$170,$C$36:$C$170,"=5", $B$36:$B$170,"OFICIAL")</f>
        <v>37</v>
      </c>
      <c r="R225" s="27">
        <f>AVERAGEIFS($L$36:$L$170,$C$36:$C$170,"=5", $B$36:$B$170,"NO OFICIAL")</f>
        <v>273.93333333333334</v>
      </c>
      <c r="S225" s="27">
        <f>AVERAGEIFS($M$36:$M$170,$C$36:$C$170,"=5", $B$36:$B$170,"NO OFICIAL")</f>
        <v>36.133333333333333</v>
      </c>
      <c r="T225" s="27">
        <f>AVERAGEIFS($N$36:$N$170,$C$36:$C$170,"=5", $B$36:$B$170,"OFICIAL")</f>
        <v>262.66666666666669</v>
      </c>
      <c r="U225" s="27">
        <f>AVERAGEIFS($O$36:$O$170,$C$36:$C$170,"=5", $B$36:$B$170,"OFICIAL")</f>
        <v>36</v>
      </c>
      <c r="V225" s="27">
        <f>AVERAGEIFS($N$36:$N$170,$C$36:$C$170,"=5", $B$36:$B$170,"NO OFICIAL")</f>
        <v>269.375</v>
      </c>
      <c r="W225" s="27">
        <f>AVERAGEIFS($O$36:$O$170,$C$36:$C$170,"=5", $B$36:$B$170,"NO OFICIAL")</f>
        <v>37.25</v>
      </c>
      <c r="X225" s="27">
        <f>AVERAGEIFS($P$36:$P$170,$C$36:$C$170,"=5", $B$36:$B$170,"OFICIAL")</f>
        <v>265</v>
      </c>
      <c r="Y225" s="27">
        <f>AVERAGEIFS($Q$36:$Q$170,$C$36:$C$170,"=5", $B$36:$B$170,"OFICIAL")</f>
        <v>35.333333333333336</v>
      </c>
      <c r="Z225" s="27">
        <f>AVERAGEIFS($P$36:$P$170,$C$36:$C$170,"=5", $B$36:$B$170,"NO OFICIAL")</f>
        <v>273.39999999999998</v>
      </c>
      <c r="AA225" s="27">
        <f>AVERAGEIFS($Q$36:$Q$170,$C$36:$C$170,"=5", $B$36:$B$170,"NO OFICIAL")</f>
        <v>34.266666666666666</v>
      </c>
      <c r="AB225" s="27">
        <f>AVERAGEIFS($R$36:$R$170,$C$36:$C$170,"=5", $B$36:$B$170,"OFICIAL")</f>
        <v>260.66666666666669</v>
      </c>
      <c r="AC225" s="27">
        <f>AVERAGEIFS($T$36:$T$170,$C$36:$C$170,"=5", $B$36:$B$170,"OFICIAL")</f>
        <v>39</v>
      </c>
      <c r="AD225" s="27">
        <f>AVERAGEIFS($P$36:$P$170,$C$36:$C$170,"=5", $B$36:$B$170,"NO OFICIAL")</f>
        <v>273.39999999999998</v>
      </c>
      <c r="AE225" s="27">
        <f>AVERAGEIFS($Q$36:$Q$170,$C$36:$C$170,"=5", $B$36:$B$170,"NO OFICIAL")</f>
        <v>34.266666666666666</v>
      </c>
      <c r="AF225" s="27">
        <f>AVERAGEIFS($R$36:$R$170,$C$36:$C$170,"=5", $B$36:$B$170,"OFICIAL")</f>
        <v>260.66666666666669</v>
      </c>
      <c r="AG225" s="27">
        <f>AVERAGEIFS($T$36:$T$170,$C$36:$C$170,"=5", $B$36:$B$170,"OFICIAL")</f>
        <v>39</v>
      </c>
      <c r="AH225" s="27">
        <f>AVERAGEIFS($V$36:$V$170,$C$36:$C$170,"=5", $B$36:$B$170,"NO OFICIAL")</f>
        <v>278</v>
      </c>
      <c r="AI225" s="27">
        <f>AVERAGEIFS($X$36:$X$170,$C$36:$C$170,"=5", $B$36:$B$170,"NO OFICIAL")</f>
        <v>36.928571428571431</v>
      </c>
      <c r="AJ225" s="27">
        <f>AVERAGEIFS($Z$36:$Z$170,$C$36:$C$170,"=5", $B$36:$B$170,"OFICIAL")</f>
        <v>265</v>
      </c>
      <c r="AK225" s="27">
        <f>AVERAGEIFS($AB$36:$AB$170,$C$36:$C$170,"=5", $B$36:$B$170,"OFICIAL")</f>
        <v>40</v>
      </c>
      <c r="AL225" s="27">
        <f>AVERAGEIFS($Z$36:$Z$170,$C$36:$C$170,"=5", $B$36:$B$170,"NO OFICIAL")</f>
        <v>280.92857142857144</v>
      </c>
      <c r="AM225" s="27">
        <f>AVERAGEIFS($AB$36:$AB$170,$C$36:$C$170,"=5", $B$36:$B$170,"NO OFICIAL")</f>
        <v>38.714285714285715</v>
      </c>
      <c r="AN225" s="27">
        <v>270.66666666666669</v>
      </c>
      <c r="AO225" s="27">
        <v>42</v>
      </c>
      <c r="AP225" s="27">
        <v>274.26666666666665</v>
      </c>
      <c r="AQ225" s="27">
        <v>37.8125</v>
      </c>
    </row>
    <row r="226" spans="3:45" x14ac:dyDescent="0.2">
      <c r="C226" s="27" t="s">
        <v>249</v>
      </c>
      <c r="D226" s="27">
        <f>AVERAGEIFS($D$36:$D$170,$C$36:$C$170,"=6", $B$36:$B$170,"OFICIAL")</f>
        <v>250.58076923076925</v>
      </c>
      <c r="E226" s="27">
        <f>AVERAGEIFS($D$36:$D$170,$C$36:$C$170,"=6", $B$36:$B$170,"NO OFICIAL")</f>
        <v>259.0291666666667</v>
      </c>
      <c r="F226" s="27">
        <f>AVERAGEIFS($F$36:$F$170,$C$36:$C$170,"=6", $B$36:$B$170,"OFICIAL")</f>
        <v>249.93173076923077</v>
      </c>
      <c r="G226" s="27">
        <f>AVERAGEIFS($F$36:$F$170,$C$36:$C$170,"=6", $B$36:$B$170,"NO OFICIAL")</f>
        <v>258.6176282051282</v>
      </c>
      <c r="H226" s="27">
        <f>AVERAGEIFS($H$36:$H$170,$C$36:$C$170,"=6", $B$36:$B$170,"OFICIAL")</f>
        <v>259.25</v>
      </c>
      <c r="I226" s="27">
        <f>AVERAGEIFS($I$36:$I$170,$C$36:$C$170,"=6", $B$36:$B$170,"OFICIAL")</f>
        <v>35.25</v>
      </c>
      <c r="J226" s="27">
        <f>AVERAGEIFS(H36:H170,C36:C170,"=6", B36:B170,"NO OFICIAL")</f>
        <v>270</v>
      </c>
      <c r="K226" s="27">
        <f>AVERAGEIFS($I$36:$I$170,$C$36:$C$170,"=6", $B$36:$B$170,"NO OFICIAL")</f>
        <v>30.6</v>
      </c>
      <c r="L226" s="27">
        <f>AVERAGEIFS($J$36:$J$170,$C$36:$C$170,"=6", $B$36:$B$170,"OFICIAL")</f>
        <v>256.75</v>
      </c>
      <c r="M226" s="27">
        <f>AVERAGEIFS($K$36:$K$170,$C$36:$C$170,"=6", $B$36:$B$170,"OFICIAL")</f>
        <v>37.75</v>
      </c>
      <c r="N226" s="27">
        <f>AVERAGEIFS($J$36:$J$170,$C$36:$C$170,"=6", $B$36:$B$170,"NO OFICIAL")</f>
        <v>259.63636363636363</v>
      </c>
      <c r="O226" s="27">
        <f>AVERAGEIFS($K$36:$K$170,$C$36:$C$170,"=6", $B$36:$B$170,"NO OFICIAL")</f>
        <v>39.454545454545453</v>
      </c>
      <c r="P226" s="27">
        <f>AVERAGEIFS($L$36:$L$170,$C$36:$C$170,"=6", $B$36:$B$170,"OFICIAL")</f>
        <v>252</v>
      </c>
      <c r="Q226" s="27">
        <f>AVERAGEIFS($M$36:$M$170,$C$36:$C$170,"=6", $B$36:$B$170,"OFICIAL")</f>
        <v>39</v>
      </c>
      <c r="R226" s="27">
        <f>AVERAGEIFS($L$36:$L$170,$C$36:$C$170,"=6", $B$36:$B$170,"NO OFICIAL")</f>
        <v>263.3</v>
      </c>
      <c r="S226" s="27">
        <f>AVERAGEIFS($M$36:$M$170,$C$36:$C$170,"=6", $B$36:$B$170,"NO OFICIAL")</f>
        <v>38.700000000000003</v>
      </c>
      <c r="T226" s="27">
        <f>AVERAGEIFS($N$36:$N$170,$C$36:$C$170,"=6", $B$36:$B$170,"OFICIAL")</f>
        <v>249.25</v>
      </c>
      <c r="U226" s="27">
        <f>AVERAGEIFS($O$36:$O$170,$C$36:$C$170,"=6", $B$36:$B$170,"OFICIAL")</f>
        <v>38</v>
      </c>
      <c r="V226" s="27">
        <f>AVERAGEIFS($N$36:$N$170,$C$36:$C$170,"6", $B$36:$B$170,"NO OFICIAL")</f>
        <v>262.54545454545456</v>
      </c>
      <c r="W226" s="27">
        <f>AVERAGEIFS($O$36:$O$170,$C$36:$C$170,"=6", $B$36:$B$170,"NO OFICIAL")</f>
        <v>41.909090909090907</v>
      </c>
      <c r="X226" s="27">
        <f>AVERAGEIFS($P$36:$P$170,$C$36:$C$170,"=6", $B$36:$B$170,"OFICIAL")</f>
        <v>251.25</v>
      </c>
      <c r="Y226" s="27">
        <f>AVERAGEIFS($Q$36:$Q$170,$C$36:$C$170,"=6", $B$36:$B$170,"OFICIAL")</f>
        <v>37.5</v>
      </c>
      <c r="Z226" s="27">
        <f>AVERAGEIFS($P$36:$P$170,$C$36:$C$170,"=6", $B$36:$B$170,"NO OFICIAL")</f>
        <v>253.46153846153845</v>
      </c>
      <c r="AA226" s="27">
        <f>AVERAGEIFS($Q$36:$Q$170,$C$36:$C$170,"=6", $B$36:$B$170,"NO OFICIAL")</f>
        <v>34.384615384615387</v>
      </c>
      <c r="AB226" s="27">
        <f>AVERAGEIFS($R$36:$R$170,$C$36:$C$170,"=6", $B$36:$B$170,"OFICIAL")</f>
        <v>245.75</v>
      </c>
      <c r="AC226" s="27">
        <f>AVERAGEIFS($T$36:$T$170,$C$36:$C$170,"=6", $B$36:$B$170,"OFICIAL")</f>
        <v>38.75</v>
      </c>
      <c r="AD226" s="27">
        <f>AVERAGEIFS($P$36:$P$170,$C$36:$C$170,"=6", $B$36:$B$170,"NO OFICIAL")</f>
        <v>253.46153846153845</v>
      </c>
      <c r="AE226" s="27">
        <f>AVERAGEIFS($Q$36:$Q$170,$C$36:$C$170,"=6", $B$36:$B$170,"NO OFICIAL")</f>
        <v>34.384615384615387</v>
      </c>
      <c r="AF226" s="27">
        <f>AVERAGEIFS($R$36:$R$170,$C$36:$C$170,"=6", $B$36:$B$170,"OFICIAL")</f>
        <v>245.75</v>
      </c>
      <c r="AG226" s="27">
        <f>AVERAGEIFS($T$36:$T$170,$C$36:$C$170,"=6", $B$36:$B$170,"OFICIAL")</f>
        <v>38.75</v>
      </c>
      <c r="AH226" s="27">
        <f>AVERAGEIFS($V$36:$V$170,$C$36:$C$170,"=6", $B$36:$B$170,"NO OFICIAL")</f>
        <v>261</v>
      </c>
      <c r="AI226" s="27">
        <f>AVERAGEIFS($X$36:$X$170,$C$36:$C$170,"=6", $B$36:$B$170,"NO OFICIAL")</f>
        <v>41.466666666666669</v>
      </c>
      <c r="AJ226" s="27">
        <f>AVERAGEIFS($R$36:$R$170,$C$36:$C$170,"=6", $B$36:$B$170,"OFICIAL")</f>
        <v>245.75</v>
      </c>
      <c r="AK226" s="27">
        <f>AVERAGEIFS($AB$36:$AB$170,$C$36:$C$170,"=6", $B$36:$B$170,"OFICIAL")</f>
        <v>40</v>
      </c>
      <c r="AL226" s="27">
        <f>AVERAGEIFS($R$36:$R$170,$C$36:$C$170,"=6", $B$36:$B$170,"NO OFICIAL")</f>
        <v>258.61538461538464</v>
      </c>
      <c r="AM226" s="27">
        <f>AVERAGEIFS($AB$36:$AB$170,$C$36:$C$170,"=6", $B$36:$B$170,"NO OFICIAL")</f>
        <v>35.1875</v>
      </c>
      <c r="AN226" s="27">
        <v>253.5</v>
      </c>
      <c r="AO226" s="27">
        <v>42</v>
      </c>
      <c r="AP226" s="27">
        <v>268.07142857142856</v>
      </c>
      <c r="AQ226" s="27">
        <v>41.133333333333333</v>
      </c>
    </row>
    <row r="229" spans="3:45" x14ac:dyDescent="0.2">
      <c r="AK229" s="26"/>
      <c r="AL229" s="26"/>
      <c r="AM229" s="26"/>
    </row>
    <row r="230" spans="3:45" x14ac:dyDescent="0.2">
      <c r="AJ230" s="26"/>
      <c r="AK230" s="26"/>
      <c r="AL230" s="26"/>
      <c r="AM230" s="26"/>
      <c r="AN230" s="26"/>
      <c r="AO230" s="26"/>
    </row>
    <row r="231" spans="3:45" ht="12.75" customHeight="1" x14ac:dyDescent="0.2">
      <c r="H231" s="840" t="s">
        <v>252</v>
      </c>
      <c r="I231" s="841"/>
      <c r="J231" s="841"/>
      <c r="K231" s="841"/>
      <c r="L231" s="841"/>
      <c r="M231" s="841"/>
      <c r="N231" s="841"/>
      <c r="O231" s="841"/>
      <c r="P231" s="841"/>
      <c r="Q231" s="841"/>
      <c r="V231" s="852" t="s">
        <v>253</v>
      </c>
      <c r="W231" s="853"/>
      <c r="X231" s="853"/>
      <c r="Y231" s="853"/>
      <c r="Z231" s="853"/>
      <c r="AA231" s="853"/>
      <c r="AB231" s="853"/>
      <c r="AC231" s="853"/>
      <c r="AD231" s="853"/>
      <c r="AE231" s="853"/>
      <c r="AJ231" s="26"/>
      <c r="AK231" s="26"/>
      <c r="AL231" s="26"/>
      <c r="AM231" s="26"/>
      <c r="AN231" s="26"/>
      <c r="AO231" s="26"/>
      <c r="AP231" s="26"/>
      <c r="AQ231" s="26"/>
      <c r="AS231" s="26"/>
    </row>
    <row r="232" spans="3:45" x14ac:dyDescent="0.2">
      <c r="H232" s="7"/>
      <c r="I232" s="7">
        <v>2016</v>
      </c>
      <c r="J232" s="7">
        <v>2017</v>
      </c>
      <c r="K232" s="7">
        <v>2018</v>
      </c>
      <c r="L232" s="7">
        <v>2019</v>
      </c>
      <c r="M232" s="7">
        <v>2020</v>
      </c>
      <c r="N232" s="249">
        <v>2021</v>
      </c>
      <c r="O232" s="460">
        <v>2022</v>
      </c>
      <c r="P232" s="460">
        <v>2023</v>
      </c>
      <c r="Q232" s="460">
        <v>2024</v>
      </c>
      <c r="V232" s="7"/>
      <c r="W232" s="7">
        <v>2016</v>
      </c>
      <c r="X232" s="7">
        <v>2017</v>
      </c>
      <c r="Y232" s="7">
        <v>2018</v>
      </c>
      <c r="Z232" s="7">
        <v>2019</v>
      </c>
      <c r="AA232" s="7">
        <v>2020</v>
      </c>
      <c r="AB232" s="7">
        <v>2021</v>
      </c>
      <c r="AC232" s="7">
        <v>2022</v>
      </c>
      <c r="AD232" s="7">
        <v>2023</v>
      </c>
      <c r="AE232" s="7">
        <v>2024</v>
      </c>
      <c r="AJ232" s="26"/>
      <c r="AK232" s="26"/>
      <c r="AL232" s="26"/>
      <c r="AM232" s="26"/>
      <c r="AN232" s="26"/>
      <c r="AO232" s="26"/>
      <c r="AP232" s="26"/>
      <c r="AQ232" s="26"/>
      <c r="AS232" s="26"/>
    </row>
    <row r="233" spans="3:45" x14ac:dyDescent="0.2">
      <c r="H233" s="5" t="s">
        <v>1071</v>
      </c>
      <c r="I233" s="10">
        <v>260</v>
      </c>
      <c r="J233" s="10">
        <v>253</v>
      </c>
      <c r="K233" s="10">
        <v>250</v>
      </c>
      <c r="L233" s="10">
        <v>249</v>
      </c>
      <c r="M233" s="10">
        <v>251</v>
      </c>
      <c r="N233" s="269">
        <v>248</v>
      </c>
      <c r="O233" s="269">
        <v>252</v>
      </c>
      <c r="P233" s="269">
        <v>253</v>
      </c>
      <c r="Q233" s="269">
        <v>257</v>
      </c>
      <c r="V233" s="5" t="s">
        <v>1072</v>
      </c>
      <c r="W233" s="10">
        <v>272</v>
      </c>
      <c r="X233" s="10">
        <v>270</v>
      </c>
      <c r="Y233" s="10">
        <v>269</v>
      </c>
      <c r="Z233" s="10">
        <v>266</v>
      </c>
      <c r="AA233" s="10">
        <v>265</v>
      </c>
      <c r="AB233" s="269">
        <v>266</v>
      </c>
      <c r="AC233" s="269">
        <v>272</v>
      </c>
      <c r="AD233" s="10">
        <v>266</v>
      </c>
      <c r="AE233" s="10">
        <v>265</v>
      </c>
      <c r="AF233" s="675"/>
      <c r="AJ233" s="26"/>
      <c r="AK233" s="26"/>
      <c r="AL233" s="26"/>
      <c r="AM233" s="26"/>
      <c r="AN233" s="26"/>
      <c r="AO233" s="26"/>
      <c r="AP233" s="26"/>
      <c r="AQ233" s="26"/>
      <c r="AS233" s="26"/>
    </row>
    <row r="234" spans="3:45" x14ac:dyDescent="0.2">
      <c r="H234" s="27" t="s">
        <v>244</v>
      </c>
      <c r="I234" s="27">
        <v>262.5</v>
      </c>
      <c r="J234" s="27">
        <v>263</v>
      </c>
      <c r="K234" s="27">
        <v>255.75</v>
      </c>
      <c r="L234" s="27">
        <v>253.75</v>
      </c>
      <c r="M234" s="27">
        <v>255.5</v>
      </c>
      <c r="N234" s="27">
        <v>251.5</v>
      </c>
      <c r="O234" s="27">
        <v>252.8</v>
      </c>
      <c r="P234" s="27">
        <v>253.6</v>
      </c>
      <c r="Q234" s="27">
        <v>255.4</v>
      </c>
      <c r="V234" s="27" t="s">
        <v>244</v>
      </c>
      <c r="W234" s="27">
        <v>260.46153846153845</v>
      </c>
      <c r="X234" s="27">
        <v>259.5</v>
      </c>
      <c r="Y234" s="27">
        <v>257.61538461538464</v>
      </c>
      <c r="Z234" s="27">
        <v>252.53846153846155</v>
      </c>
      <c r="AA234" s="27">
        <v>257.84615384615387</v>
      </c>
      <c r="AB234" s="27">
        <v>259.07692307692309</v>
      </c>
      <c r="AC234" s="27">
        <v>261.15384615384613</v>
      </c>
      <c r="AD234" s="27">
        <v>252.53846153846155</v>
      </c>
      <c r="AE234" s="27">
        <v>266.23076923076923</v>
      </c>
      <c r="AJ234" s="26"/>
      <c r="AK234" s="26"/>
      <c r="AL234" s="26"/>
      <c r="AM234" s="26"/>
      <c r="AN234" s="26"/>
      <c r="AO234" s="26"/>
      <c r="AP234" s="26"/>
      <c r="AQ234" s="26"/>
      <c r="AS234" s="26"/>
    </row>
    <row r="235" spans="3:45" x14ac:dyDescent="0.2">
      <c r="H235" s="27" t="s">
        <v>245</v>
      </c>
      <c r="I235" s="27">
        <v>264.5</v>
      </c>
      <c r="J235" s="27">
        <v>261.5</v>
      </c>
      <c r="K235" s="27">
        <v>257.5</v>
      </c>
      <c r="L235" s="27">
        <v>253.5</v>
      </c>
      <c r="M235" s="27">
        <v>255.5</v>
      </c>
      <c r="N235" s="27">
        <v>250.5</v>
      </c>
      <c r="O235" s="27">
        <v>253.25</v>
      </c>
      <c r="P235" s="27">
        <v>255.5</v>
      </c>
      <c r="Q235" s="27">
        <v>262</v>
      </c>
      <c r="V235" s="27" t="s">
        <v>245</v>
      </c>
      <c r="W235" s="27">
        <v>268.88888888888891</v>
      </c>
      <c r="X235" s="27">
        <v>266.11764705882354</v>
      </c>
      <c r="Y235" s="27">
        <v>263.52941176470586</v>
      </c>
      <c r="Z235" s="27">
        <v>263.66666666666669</v>
      </c>
      <c r="AA235" s="27">
        <v>259.45454545454544</v>
      </c>
      <c r="AB235" s="27">
        <v>258.14999999999998</v>
      </c>
      <c r="AC235" s="27">
        <v>269.28571428571428</v>
      </c>
      <c r="AD235" s="27">
        <v>263.66666666666669</v>
      </c>
      <c r="AE235" s="27">
        <v>272.7</v>
      </c>
      <c r="AJ235" s="26"/>
      <c r="AK235" s="26"/>
      <c r="AL235" s="26"/>
      <c r="AM235" s="26"/>
      <c r="AN235" s="26"/>
      <c r="AO235" s="26"/>
      <c r="AP235" s="26"/>
      <c r="AQ235" s="26"/>
      <c r="AS235" s="26"/>
    </row>
    <row r="236" spans="3:45" x14ac:dyDescent="0.2">
      <c r="H236" s="27" t="s">
        <v>246</v>
      </c>
      <c r="I236" s="27">
        <v>259</v>
      </c>
      <c r="J236" s="27">
        <v>256.66666666666669</v>
      </c>
      <c r="K236" s="27">
        <v>257</v>
      </c>
      <c r="L236" s="27">
        <v>250</v>
      </c>
      <c r="M236" s="27">
        <v>252.75</v>
      </c>
      <c r="N236" s="27">
        <v>250.4</v>
      </c>
      <c r="O236" s="27">
        <v>257</v>
      </c>
      <c r="P236" s="27">
        <v>257</v>
      </c>
      <c r="Q236" s="27">
        <v>259</v>
      </c>
      <c r="V236" s="27" t="s">
        <v>246</v>
      </c>
      <c r="W236" s="27">
        <v>271.61538461538464</v>
      </c>
      <c r="X236" s="27">
        <v>267.57142857142856</v>
      </c>
      <c r="Y236" s="27">
        <v>267.07142857142856</v>
      </c>
      <c r="Z236" s="27">
        <v>261.71428571428572</v>
      </c>
      <c r="AA236" s="27">
        <v>265.46666666666664</v>
      </c>
      <c r="AB236" s="27">
        <v>265.33333333333331</v>
      </c>
      <c r="AC236" s="27">
        <v>270.9375</v>
      </c>
      <c r="AD236" s="27">
        <v>261.71428571428572</v>
      </c>
      <c r="AE236" s="27">
        <v>274.13333333333333</v>
      </c>
      <c r="AJ236" s="26"/>
      <c r="AK236" s="26"/>
      <c r="AL236" s="26"/>
      <c r="AM236" s="26"/>
      <c r="AN236" s="26"/>
      <c r="AO236" s="26"/>
      <c r="AP236" s="26"/>
      <c r="AQ236" s="26"/>
      <c r="AS236" s="26"/>
    </row>
    <row r="237" spans="3:45" x14ac:dyDescent="0.2">
      <c r="H237" s="27" t="s">
        <v>247</v>
      </c>
      <c r="I237" s="27">
        <v>243.83333333333334</v>
      </c>
      <c r="J237" s="27">
        <v>244.33333333333334</v>
      </c>
      <c r="K237" s="27">
        <v>237</v>
      </c>
      <c r="L237" s="27">
        <v>232.5</v>
      </c>
      <c r="M237" s="27">
        <v>234.5</v>
      </c>
      <c r="N237" s="27">
        <v>233.66666666666666</v>
      </c>
      <c r="O237" s="27">
        <v>238.33333333333334</v>
      </c>
      <c r="P237" s="27">
        <v>237.66666666666666</v>
      </c>
      <c r="Q237" s="27">
        <v>238.16666666666666</v>
      </c>
      <c r="V237" s="27" t="s">
        <v>247</v>
      </c>
      <c r="W237" s="27">
        <v>251.625</v>
      </c>
      <c r="X237" s="27">
        <v>262.33333333333331</v>
      </c>
      <c r="Y237" s="27">
        <v>261.11111111111109</v>
      </c>
      <c r="Z237" s="27">
        <v>254</v>
      </c>
      <c r="AA237" s="27">
        <v>248.14285714285714</v>
      </c>
      <c r="AB237" s="27">
        <v>251.5</v>
      </c>
      <c r="AC237" s="27">
        <v>258.125</v>
      </c>
      <c r="AD237" s="27">
        <v>254</v>
      </c>
      <c r="AE237" s="27">
        <v>267.57142857142856</v>
      </c>
      <c r="AJ237" s="26"/>
      <c r="AK237" s="26"/>
      <c r="AL237" s="26"/>
      <c r="AM237" s="26"/>
      <c r="AN237" s="26"/>
      <c r="AO237" s="26"/>
      <c r="AP237" s="26"/>
      <c r="AQ237" s="26"/>
      <c r="AR237" s="26"/>
      <c r="AS237" s="26"/>
    </row>
    <row r="238" spans="3:45" x14ac:dyDescent="0.2">
      <c r="H238" s="27" t="s">
        <v>248</v>
      </c>
      <c r="I238" s="27">
        <v>264.5</v>
      </c>
      <c r="J238" s="27">
        <v>257.5</v>
      </c>
      <c r="K238" s="27">
        <v>251</v>
      </c>
      <c r="L238" s="27">
        <v>252.5</v>
      </c>
      <c r="M238" s="27">
        <v>252.5</v>
      </c>
      <c r="N238" s="27">
        <v>251</v>
      </c>
      <c r="O238" s="27">
        <v>259.5</v>
      </c>
      <c r="P238" s="27">
        <v>256.5</v>
      </c>
      <c r="Q238" s="27">
        <v>270.66666666666669</v>
      </c>
      <c r="V238" s="27" t="s">
        <v>248</v>
      </c>
      <c r="W238" s="27">
        <v>277.73333333333335</v>
      </c>
      <c r="X238" s="27">
        <v>277.86666666666667</v>
      </c>
      <c r="Y238" s="27">
        <v>274.0625</v>
      </c>
      <c r="Z238" s="27">
        <v>270.1764705882353</v>
      </c>
      <c r="AA238" s="27">
        <v>274.4375</v>
      </c>
      <c r="AB238" s="27">
        <v>272.875</v>
      </c>
      <c r="AC238" s="27">
        <v>278.93333333333334</v>
      </c>
      <c r="AD238" s="27">
        <v>270.1764705882353</v>
      </c>
      <c r="AE238" s="27">
        <v>274.26666666666665</v>
      </c>
      <c r="AJ238" s="26"/>
      <c r="AK238" s="26"/>
      <c r="AL238" s="26"/>
      <c r="AM238" s="26"/>
      <c r="AN238" s="26"/>
      <c r="AO238" s="26"/>
    </row>
    <row r="239" spans="3:45" x14ac:dyDescent="0.2">
      <c r="H239" s="27" t="s">
        <v>249</v>
      </c>
      <c r="I239" s="27">
        <v>259.33333333333331</v>
      </c>
      <c r="J239" s="27">
        <v>257</v>
      </c>
      <c r="K239" s="27">
        <v>252.33333333333334</v>
      </c>
      <c r="L239" s="27">
        <v>250</v>
      </c>
      <c r="M239" s="27">
        <v>251.33333333333334</v>
      </c>
      <c r="N239" s="27">
        <v>246.33333333333334</v>
      </c>
      <c r="O239" s="27">
        <v>251</v>
      </c>
      <c r="P239" s="27">
        <v>249.33333333333334</v>
      </c>
      <c r="Q239" s="27">
        <v>253.5</v>
      </c>
      <c r="V239" s="27" t="s">
        <v>249</v>
      </c>
      <c r="W239" s="27">
        <v>269.08333333333331</v>
      </c>
      <c r="X239" s="27">
        <v>259.33333333333331</v>
      </c>
      <c r="Y239" s="27">
        <v>262.18181818181819</v>
      </c>
      <c r="Z239" s="27">
        <v>261.25</v>
      </c>
      <c r="AA239" s="27">
        <v>253.28571428571428</v>
      </c>
      <c r="AB239" s="27">
        <v>257.57142857142856</v>
      </c>
      <c r="AC239" s="27">
        <v>259.6875</v>
      </c>
      <c r="AD239" s="27">
        <v>261.25</v>
      </c>
      <c r="AE239" s="27">
        <v>268.07142857142856</v>
      </c>
      <c r="AJ239" s="26"/>
      <c r="AK239" s="26"/>
      <c r="AL239" s="26"/>
      <c r="AM239" s="26"/>
      <c r="AN239" s="26"/>
      <c r="AO239" s="26"/>
    </row>
    <row r="240" spans="3:45" x14ac:dyDescent="0.2">
      <c r="I240" s="26"/>
      <c r="J240" s="26"/>
      <c r="K240" s="26"/>
      <c r="L240" s="26"/>
      <c r="M240" s="26"/>
      <c r="N240" s="26"/>
      <c r="O240" s="26"/>
      <c r="P240" s="26"/>
      <c r="T240" s="26"/>
      <c r="U240" s="26"/>
      <c r="V240" s="26"/>
      <c r="W240" s="26"/>
      <c r="X240" s="26"/>
      <c r="Y240" s="26"/>
      <c r="Z240" s="26"/>
      <c r="AD240" s="26"/>
      <c r="AJ240" s="26"/>
      <c r="AK240" s="26"/>
      <c r="AL240" s="26"/>
      <c r="AM240" s="26"/>
      <c r="AN240" s="26"/>
      <c r="AO240" s="26"/>
    </row>
    <row r="241" spans="20:41" x14ac:dyDescent="0.2">
      <c r="T241" s="26"/>
      <c r="U241" s="26"/>
      <c r="V241" s="26"/>
      <c r="W241" s="26"/>
      <c r="X241" s="26"/>
      <c r="Y241" s="26"/>
      <c r="Z241" s="26"/>
      <c r="AD241" s="26"/>
      <c r="AJ241" s="26"/>
      <c r="AK241" s="26"/>
      <c r="AL241" s="26"/>
      <c r="AM241" s="26"/>
      <c r="AN241" s="26"/>
      <c r="AO241" s="26"/>
    </row>
    <row r="242" spans="20:41" x14ac:dyDescent="0.2">
      <c r="AJ242" s="26"/>
      <c r="AK242" s="26"/>
      <c r="AL242" s="26"/>
      <c r="AM242" s="26"/>
      <c r="AN242" s="26"/>
      <c r="AO242" s="26"/>
    </row>
    <row r="243" spans="20:41" x14ac:dyDescent="0.2">
      <c r="AJ243" s="26"/>
      <c r="AK243" s="26"/>
      <c r="AL243" s="26"/>
      <c r="AM243" s="26"/>
      <c r="AN243" s="26"/>
      <c r="AO243" s="26"/>
    </row>
    <row r="244" spans="20:41" x14ac:dyDescent="0.2">
      <c r="AJ244" s="26"/>
      <c r="AK244" s="26"/>
      <c r="AL244" s="26"/>
      <c r="AM244" s="26"/>
      <c r="AN244" s="26"/>
      <c r="AO244" s="26"/>
    </row>
    <row r="245" spans="20:41" x14ac:dyDescent="0.2">
      <c r="AJ245" s="26"/>
      <c r="AK245" s="26"/>
      <c r="AL245" s="26"/>
      <c r="AM245" s="26"/>
      <c r="AN245" s="26"/>
      <c r="AO245" s="26"/>
    </row>
    <row r="246" spans="20:41" x14ac:dyDescent="0.2">
      <c r="AJ246" s="26"/>
      <c r="AK246" s="26"/>
      <c r="AL246" s="26"/>
      <c r="AM246" s="26"/>
      <c r="AN246" s="26"/>
      <c r="AO246" s="26"/>
    </row>
    <row r="247" spans="20:41" x14ac:dyDescent="0.2">
      <c r="AJ247" s="26"/>
      <c r="AK247" s="26"/>
      <c r="AL247" s="26"/>
      <c r="AM247" s="26"/>
      <c r="AN247" s="26"/>
      <c r="AO247" s="26"/>
    </row>
    <row r="248" spans="20:41" x14ac:dyDescent="0.2">
      <c r="AJ248" s="26"/>
      <c r="AK248" s="26"/>
      <c r="AL248" s="26"/>
      <c r="AM248" s="26"/>
      <c r="AN248" s="26"/>
      <c r="AO248" s="26"/>
    </row>
    <row r="249" spans="20:41" x14ac:dyDescent="0.2">
      <c r="AJ249" s="26"/>
      <c r="AK249" s="26"/>
      <c r="AL249" s="26"/>
      <c r="AM249" s="26"/>
      <c r="AN249" s="26"/>
      <c r="AO249" s="26"/>
    </row>
    <row r="250" spans="20:41" x14ac:dyDescent="0.2">
      <c r="AJ250" s="26"/>
      <c r="AK250" s="26"/>
      <c r="AL250" s="26"/>
      <c r="AM250" s="26"/>
      <c r="AN250" s="26"/>
      <c r="AO250" s="26"/>
    </row>
    <row r="251" spans="20:41" x14ac:dyDescent="0.2">
      <c r="AJ251" s="26"/>
      <c r="AK251" s="26"/>
      <c r="AL251" s="26"/>
      <c r="AM251" s="26"/>
      <c r="AN251" s="26"/>
      <c r="AO251" s="26"/>
    </row>
    <row r="252" spans="20:41" x14ac:dyDescent="0.2">
      <c r="AJ252" s="26"/>
      <c r="AK252" s="26"/>
      <c r="AL252" s="26"/>
      <c r="AM252" s="26"/>
      <c r="AN252" s="26"/>
      <c r="AO252" s="26"/>
    </row>
    <row r="253" spans="20:41" x14ac:dyDescent="0.2">
      <c r="AJ253" s="26"/>
      <c r="AK253" s="26"/>
      <c r="AL253" s="26"/>
      <c r="AM253" s="26"/>
      <c r="AN253" s="26"/>
      <c r="AO253" s="26"/>
    </row>
    <row r="254" spans="20:41" x14ac:dyDescent="0.2">
      <c r="AJ254" s="26"/>
      <c r="AK254" s="26"/>
      <c r="AL254" s="26"/>
      <c r="AM254" s="26"/>
      <c r="AN254" s="26"/>
      <c r="AO254" s="26"/>
    </row>
    <row r="255" spans="20:41" x14ac:dyDescent="0.2">
      <c r="AJ255" s="26"/>
      <c r="AK255" s="26"/>
      <c r="AL255" s="26"/>
      <c r="AM255" s="26"/>
      <c r="AN255" s="26"/>
      <c r="AO255" s="26"/>
    </row>
    <row r="277" spans="18:27" ht="12.75" customHeight="1" x14ac:dyDescent="0.2">
      <c r="R277" s="838" t="s">
        <v>1074</v>
      </c>
      <c r="S277" s="839"/>
      <c r="T277" s="839"/>
      <c r="U277" s="839"/>
      <c r="V277" s="839"/>
      <c r="W277" s="839"/>
      <c r="X277" s="839"/>
      <c r="Y277" s="839"/>
      <c r="Z277" s="839"/>
      <c r="AA277" s="839"/>
    </row>
    <row r="278" spans="18:27" x14ac:dyDescent="0.2">
      <c r="R278" s="31"/>
      <c r="S278" s="459">
        <v>2016</v>
      </c>
      <c r="T278" s="459">
        <v>2017</v>
      </c>
      <c r="U278" s="459">
        <v>2018</v>
      </c>
      <c r="V278" s="459">
        <v>2019</v>
      </c>
      <c r="W278" s="459">
        <v>2020</v>
      </c>
      <c r="X278" s="459">
        <v>2021</v>
      </c>
      <c r="Y278" s="459">
        <v>2022</v>
      </c>
      <c r="Z278" s="459">
        <v>2023</v>
      </c>
      <c r="AA278" s="459">
        <v>2024</v>
      </c>
    </row>
    <row r="279" spans="18:27" x14ac:dyDescent="0.2">
      <c r="R279" s="5" t="s">
        <v>240</v>
      </c>
      <c r="S279" s="23">
        <v>54</v>
      </c>
      <c r="T279" s="24">
        <v>55</v>
      </c>
      <c r="U279" s="24">
        <v>54</v>
      </c>
      <c r="V279" s="24">
        <v>54</v>
      </c>
      <c r="W279" s="24">
        <v>54</v>
      </c>
      <c r="X279" s="24">
        <v>55</v>
      </c>
      <c r="Y279" s="24">
        <v>55</v>
      </c>
      <c r="Z279" s="24">
        <v>55</v>
      </c>
      <c r="AA279" s="24">
        <v>56</v>
      </c>
    </row>
    <row r="280" spans="18:27" x14ac:dyDescent="0.2">
      <c r="R280" s="5" t="s">
        <v>261</v>
      </c>
      <c r="S280" s="23">
        <v>52</v>
      </c>
      <c r="T280" s="23">
        <v>52</v>
      </c>
      <c r="U280" s="23">
        <v>52</v>
      </c>
      <c r="V280" s="23">
        <v>53</v>
      </c>
      <c r="W280" s="23">
        <v>53</v>
      </c>
      <c r="X280" s="24">
        <v>52</v>
      </c>
      <c r="Y280" s="23">
        <v>53</v>
      </c>
      <c r="Z280" s="23">
        <v>53</v>
      </c>
      <c r="AA280" s="23">
        <v>54</v>
      </c>
    </row>
    <row r="281" spans="18:27" x14ac:dyDescent="0.2">
      <c r="R281" s="5" t="s">
        <v>262</v>
      </c>
      <c r="S281" s="23">
        <v>52</v>
      </c>
      <c r="T281" s="23">
        <v>52</v>
      </c>
      <c r="U281" s="23">
        <v>50</v>
      </c>
      <c r="V281" s="23">
        <v>48</v>
      </c>
      <c r="W281" s="23">
        <v>50</v>
      </c>
      <c r="X281" s="23">
        <v>49</v>
      </c>
      <c r="Y281" s="23">
        <v>50</v>
      </c>
      <c r="Z281" s="23">
        <v>50</v>
      </c>
      <c r="AA281" s="23">
        <v>50</v>
      </c>
    </row>
    <row r="282" spans="18:27" x14ac:dyDescent="0.2">
      <c r="R282" s="5" t="s">
        <v>241</v>
      </c>
      <c r="S282" s="23">
        <v>54</v>
      </c>
      <c r="T282" s="23">
        <v>53</v>
      </c>
      <c r="U282" s="23">
        <v>51</v>
      </c>
      <c r="V282" s="23">
        <v>50</v>
      </c>
      <c r="W282" s="23">
        <v>50</v>
      </c>
      <c r="X282" s="23">
        <v>50</v>
      </c>
      <c r="Y282" s="23">
        <v>51</v>
      </c>
      <c r="Z282" s="23">
        <v>51</v>
      </c>
      <c r="AA282" s="23">
        <v>52</v>
      </c>
    </row>
    <row r="283" spans="18:27" x14ac:dyDescent="0.2">
      <c r="R283" s="5" t="s">
        <v>263</v>
      </c>
      <c r="S283" s="23">
        <v>54</v>
      </c>
      <c r="T283" s="23">
        <v>53</v>
      </c>
      <c r="U283" s="23">
        <v>51</v>
      </c>
      <c r="V283" s="23">
        <v>50</v>
      </c>
      <c r="W283" s="23">
        <v>48</v>
      </c>
      <c r="X283" s="23">
        <v>52</v>
      </c>
      <c r="Y283" s="23">
        <v>53</v>
      </c>
      <c r="Z283" s="23">
        <v>53</v>
      </c>
      <c r="AA283" s="23">
        <v>54</v>
      </c>
    </row>
    <row r="316" spans="3:17" x14ac:dyDescent="0.2">
      <c r="H316" s="840"/>
      <c r="I316" s="849"/>
      <c r="J316" s="849"/>
      <c r="K316" s="849"/>
      <c r="L316" s="849"/>
      <c r="M316" s="849"/>
      <c r="N316" s="849"/>
      <c r="O316" s="849"/>
      <c r="P316" s="849"/>
      <c r="Q316" s="73"/>
    </row>
    <row r="317" spans="3:17" x14ac:dyDescent="0.2">
      <c r="H317" s="34">
        <v>2016</v>
      </c>
      <c r="I317" s="462">
        <v>2017</v>
      </c>
      <c r="J317" s="34">
        <v>2018</v>
      </c>
      <c r="K317" s="462">
        <v>2019</v>
      </c>
      <c r="L317" s="34">
        <v>2020</v>
      </c>
      <c r="M317" s="7">
        <v>2021</v>
      </c>
      <c r="N317" s="29">
        <v>2022</v>
      </c>
      <c r="O317" s="29">
        <v>2023</v>
      </c>
      <c r="P317" s="29">
        <v>2024</v>
      </c>
      <c r="Q317" s="72"/>
    </row>
    <row r="318" spans="3:17" x14ac:dyDescent="0.2">
      <c r="C318" s="3" t="s">
        <v>10</v>
      </c>
      <c r="D318" s="3"/>
      <c r="E318" s="3"/>
      <c r="F318" s="3"/>
      <c r="G318" s="3"/>
      <c r="H318" s="17">
        <v>264</v>
      </c>
      <c r="I318" s="17">
        <v>262</v>
      </c>
      <c r="J318" s="17">
        <v>258</v>
      </c>
      <c r="K318" s="17">
        <v>253</v>
      </c>
      <c r="L318" s="91">
        <v>252</v>
      </c>
      <c r="M318" s="284">
        <v>250</v>
      </c>
      <c r="N318" s="315">
        <v>254</v>
      </c>
      <c r="O318" s="423">
        <v>257</v>
      </c>
      <c r="P318" s="423">
        <v>260</v>
      </c>
      <c r="Q318" s="94"/>
    </row>
    <row r="319" spans="3:17" x14ac:dyDescent="0.2">
      <c r="C319" s="4" t="s">
        <v>0</v>
      </c>
      <c r="D319" s="4"/>
      <c r="E319" s="4"/>
      <c r="F319" s="4"/>
      <c r="G319" s="4"/>
      <c r="H319" s="19">
        <v>266</v>
      </c>
      <c r="I319" s="19">
        <v>263</v>
      </c>
      <c r="J319" s="19">
        <v>260</v>
      </c>
      <c r="K319" s="19">
        <v>257</v>
      </c>
      <c r="L319" s="92">
        <v>258</v>
      </c>
      <c r="M319" s="285">
        <v>257</v>
      </c>
      <c r="N319" s="316">
        <v>262</v>
      </c>
      <c r="O319" s="424">
        <v>262</v>
      </c>
      <c r="P319" s="424">
        <v>265</v>
      </c>
      <c r="Q319" s="47"/>
    </row>
    <row r="320" spans="3:17" x14ac:dyDescent="0.2">
      <c r="C320" s="6" t="s">
        <v>12</v>
      </c>
      <c r="D320" s="6"/>
      <c r="E320" s="6"/>
      <c r="F320" s="6"/>
      <c r="G320" s="6"/>
      <c r="H320" s="21">
        <v>260</v>
      </c>
      <c r="I320" s="21">
        <v>257</v>
      </c>
      <c r="J320" s="21">
        <v>252</v>
      </c>
      <c r="K320" s="21">
        <v>249</v>
      </c>
      <c r="L320" s="93">
        <v>251</v>
      </c>
      <c r="M320" s="286">
        <v>248</v>
      </c>
      <c r="N320" s="317">
        <v>252</v>
      </c>
      <c r="O320" s="425">
        <v>253</v>
      </c>
      <c r="P320" s="425">
        <v>257</v>
      </c>
      <c r="Q320" s="47"/>
    </row>
    <row r="321" spans="3:17" x14ac:dyDescent="0.2">
      <c r="C321" s="6" t="s">
        <v>13</v>
      </c>
      <c r="D321" s="6"/>
      <c r="E321" s="6"/>
      <c r="F321" s="6"/>
      <c r="G321" s="6"/>
      <c r="H321" s="21">
        <v>260</v>
      </c>
      <c r="I321" s="21">
        <v>249</v>
      </c>
      <c r="J321" s="21">
        <v>248</v>
      </c>
      <c r="K321" s="21">
        <v>249</v>
      </c>
      <c r="L321" s="93">
        <v>248</v>
      </c>
      <c r="M321" s="286">
        <v>244</v>
      </c>
      <c r="N321" s="317">
        <v>249</v>
      </c>
      <c r="O321" s="425">
        <v>240</v>
      </c>
      <c r="P321" s="425">
        <v>244</v>
      </c>
      <c r="Q321" s="47"/>
    </row>
    <row r="322" spans="3:17" x14ac:dyDescent="0.2">
      <c r="C322" s="6" t="s">
        <v>14</v>
      </c>
      <c r="D322" s="6"/>
      <c r="E322" s="6"/>
      <c r="F322" s="6"/>
      <c r="G322" s="6"/>
      <c r="H322" s="21">
        <v>272</v>
      </c>
      <c r="I322" s="21">
        <v>270</v>
      </c>
      <c r="J322" s="21">
        <v>269</v>
      </c>
      <c r="K322" s="21">
        <v>266</v>
      </c>
      <c r="L322" s="93">
        <v>265</v>
      </c>
      <c r="M322" s="286">
        <v>266</v>
      </c>
      <c r="N322" s="317">
        <v>272</v>
      </c>
      <c r="O322" s="425">
        <v>273</v>
      </c>
      <c r="P322" s="425">
        <v>276</v>
      </c>
      <c r="Q322" s="47"/>
    </row>
    <row r="323" spans="3:17" x14ac:dyDescent="0.2">
      <c r="C323" s="6" t="s">
        <v>15</v>
      </c>
      <c r="D323" s="6"/>
      <c r="E323" s="6"/>
      <c r="F323" s="6"/>
      <c r="G323" s="6"/>
      <c r="H323" s="21">
        <v>256</v>
      </c>
      <c r="I323" s="21">
        <v>256</v>
      </c>
      <c r="J323" s="21">
        <v>251</v>
      </c>
      <c r="K323" s="21">
        <v>248</v>
      </c>
      <c r="L323" s="93">
        <v>247</v>
      </c>
      <c r="M323" s="286">
        <v>244</v>
      </c>
      <c r="N323" s="21">
        <v>248</v>
      </c>
      <c r="O323" s="425">
        <v>250</v>
      </c>
      <c r="P323" s="425">
        <v>248</v>
      </c>
      <c r="Q323" s="47"/>
    </row>
    <row r="324" spans="3:17" x14ac:dyDescent="0.2">
      <c r="C324" s="6" t="s">
        <v>16</v>
      </c>
      <c r="D324" s="6"/>
      <c r="E324" s="6"/>
      <c r="F324" s="6"/>
      <c r="G324" s="6"/>
      <c r="H324" s="21">
        <v>270</v>
      </c>
      <c r="I324" s="21">
        <v>269</v>
      </c>
      <c r="J324" s="21">
        <v>265</v>
      </c>
      <c r="K324" s="21">
        <v>262</v>
      </c>
      <c r="L324" s="93">
        <v>262</v>
      </c>
      <c r="M324" s="286">
        <v>261</v>
      </c>
      <c r="N324" s="21">
        <v>267</v>
      </c>
      <c r="O324" s="425">
        <v>269</v>
      </c>
      <c r="P324" s="425">
        <v>267</v>
      </c>
      <c r="Q324" s="47"/>
    </row>
    <row r="325" spans="3:17" x14ac:dyDescent="0.2">
      <c r="C325" s="6" t="s">
        <v>17</v>
      </c>
      <c r="D325" s="6"/>
      <c r="E325" s="6"/>
      <c r="F325" s="6"/>
      <c r="G325" s="6"/>
      <c r="H325" s="21"/>
      <c r="I325" s="21"/>
      <c r="J325" s="21"/>
      <c r="K325" s="21"/>
      <c r="L325" s="21"/>
      <c r="M325" s="21"/>
      <c r="N325" s="21">
        <v>313</v>
      </c>
      <c r="O325" s="21"/>
      <c r="P325" s="21">
        <v>309</v>
      </c>
      <c r="Q325" s="47"/>
    </row>
    <row r="350" spans="7:16" x14ac:dyDescent="0.2">
      <c r="H350" s="840"/>
      <c r="I350" s="841"/>
      <c r="J350" s="841"/>
      <c r="K350" s="841"/>
      <c r="L350" s="841"/>
      <c r="M350" s="841"/>
      <c r="N350" s="841"/>
      <c r="O350" s="841"/>
      <c r="P350" s="841"/>
    </row>
    <row r="351" spans="7:16" x14ac:dyDescent="0.2">
      <c r="H351" s="34">
        <v>2016</v>
      </c>
      <c r="I351" s="462">
        <v>2017</v>
      </c>
      <c r="J351" s="34">
        <v>2018</v>
      </c>
      <c r="K351" s="462">
        <v>2019</v>
      </c>
      <c r="L351" s="34">
        <v>2020</v>
      </c>
      <c r="M351" s="29">
        <v>2021</v>
      </c>
      <c r="N351" s="29">
        <v>2022</v>
      </c>
      <c r="O351" s="29">
        <v>2023</v>
      </c>
      <c r="P351" s="29">
        <v>2024</v>
      </c>
    </row>
    <row r="352" spans="7:16" x14ac:dyDescent="0.2">
      <c r="G352" s="3" t="s">
        <v>10</v>
      </c>
      <c r="H352" s="17">
        <v>264</v>
      </c>
      <c r="I352" s="17">
        <v>262</v>
      </c>
      <c r="J352" s="17">
        <v>258</v>
      </c>
      <c r="K352" s="17">
        <v>253</v>
      </c>
      <c r="L352" s="91">
        <v>252</v>
      </c>
      <c r="M352" s="284">
        <v>250</v>
      </c>
      <c r="N352" s="315">
        <v>254</v>
      </c>
      <c r="O352" s="423">
        <v>257</v>
      </c>
      <c r="P352" s="423">
        <v>260</v>
      </c>
    </row>
    <row r="353" spans="7:16" x14ac:dyDescent="0.2">
      <c r="G353" s="4" t="s">
        <v>0</v>
      </c>
      <c r="H353" s="19">
        <v>266</v>
      </c>
      <c r="I353" s="19">
        <v>263</v>
      </c>
      <c r="J353" s="19">
        <v>260</v>
      </c>
      <c r="K353" s="19">
        <v>257</v>
      </c>
      <c r="L353" s="92">
        <v>258</v>
      </c>
      <c r="M353" s="285">
        <v>257</v>
      </c>
      <c r="N353" s="316">
        <v>262</v>
      </c>
      <c r="O353" s="424">
        <v>262</v>
      </c>
      <c r="P353" s="424">
        <v>265</v>
      </c>
    </row>
    <row r="354" spans="7:16" x14ac:dyDescent="0.2">
      <c r="G354" s="6" t="s">
        <v>12</v>
      </c>
      <c r="H354" s="21">
        <v>260</v>
      </c>
      <c r="I354" s="21">
        <v>257</v>
      </c>
      <c r="J354" s="21">
        <v>252</v>
      </c>
      <c r="K354" s="21">
        <v>249</v>
      </c>
      <c r="L354" s="93">
        <v>251</v>
      </c>
      <c r="M354" s="286">
        <v>248</v>
      </c>
      <c r="N354" s="317">
        <v>252</v>
      </c>
      <c r="O354" s="425">
        <v>253</v>
      </c>
      <c r="P354" s="425">
        <v>257</v>
      </c>
    </row>
    <row r="355" spans="7:16" x14ac:dyDescent="0.2">
      <c r="G355" s="6" t="s">
        <v>13</v>
      </c>
      <c r="H355" s="21">
        <v>260</v>
      </c>
      <c r="I355" s="21">
        <v>249</v>
      </c>
      <c r="J355" s="21">
        <v>248</v>
      </c>
      <c r="K355" s="21">
        <v>249</v>
      </c>
      <c r="L355" s="93">
        <v>248</v>
      </c>
      <c r="M355" s="286">
        <v>244</v>
      </c>
      <c r="N355" s="317">
        <v>249</v>
      </c>
      <c r="O355" s="425">
        <v>240</v>
      </c>
      <c r="P355" s="425">
        <v>244</v>
      </c>
    </row>
    <row r="356" spans="7:16" x14ac:dyDescent="0.2">
      <c r="G356" s="6" t="s">
        <v>14</v>
      </c>
      <c r="H356" s="21">
        <v>272</v>
      </c>
      <c r="I356" s="21">
        <v>270</v>
      </c>
      <c r="J356" s="21">
        <v>269</v>
      </c>
      <c r="K356" s="21">
        <v>266</v>
      </c>
      <c r="L356" s="93">
        <v>265</v>
      </c>
      <c r="M356" s="286">
        <v>266</v>
      </c>
      <c r="N356" s="317">
        <v>272</v>
      </c>
      <c r="O356" s="425">
        <v>273</v>
      </c>
      <c r="P356" s="425">
        <v>276</v>
      </c>
    </row>
    <row r="357" spans="7:16" x14ac:dyDescent="0.2">
      <c r="G357" s="6" t="s">
        <v>15</v>
      </c>
      <c r="H357" s="21">
        <v>256</v>
      </c>
      <c r="I357" s="21">
        <v>256</v>
      </c>
      <c r="J357" s="21">
        <v>251</v>
      </c>
      <c r="K357" s="21">
        <v>248</v>
      </c>
      <c r="L357" s="93">
        <v>247</v>
      </c>
      <c r="M357" s="286">
        <v>244</v>
      </c>
      <c r="N357" s="425"/>
      <c r="O357" s="425">
        <v>250</v>
      </c>
      <c r="P357" s="425">
        <v>248</v>
      </c>
    </row>
    <row r="358" spans="7:16" x14ac:dyDescent="0.2">
      <c r="G358" s="6" t="s">
        <v>16</v>
      </c>
      <c r="H358" s="21">
        <v>270</v>
      </c>
      <c r="I358" s="21">
        <v>269</v>
      </c>
      <c r="J358" s="21">
        <v>265</v>
      </c>
      <c r="K358" s="21">
        <v>262</v>
      </c>
      <c r="L358" s="93">
        <v>262</v>
      </c>
      <c r="M358" s="286">
        <v>261</v>
      </c>
      <c r="N358" s="425"/>
      <c r="O358" s="425">
        <v>269</v>
      </c>
      <c r="P358" s="425">
        <v>267</v>
      </c>
    </row>
    <row r="359" spans="7:16" x14ac:dyDescent="0.2">
      <c r="G359" s="6" t="s">
        <v>17</v>
      </c>
      <c r="H359" s="21">
        <v>281</v>
      </c>
      <c r="I359" s="21"/>
      <c r="J359" s="21"/>
      <c r="K359" s="21"/>
      <c r="L359" s="93"/>
      <c r="M359" s="286"/>
      <c r="N359" s="425"/>
      <c r="O359" s="425"/>
      <c r="P359" s="21">
        <v>309</v>
      </c>
    </row>
    <row r="395" spans="4:24" ht="12.75" customHeight="1" x14ac:dyDescent="0.2">
      <c r="E395" s="840" t="s">
        <v>252</v>
      </c>
      <c r="F395" s="849"/>
      <c r="G395" s="849"/>
      <c r="H395" s="849"/>
      <c r="I395" s="849"/>
      <c r="J395" s="849"/>
      <c r="K395" s="849"/>
      <c r="L395" s="849"/>
      <c r="M395" s="849"/>
      <c r="O395" s="840" t="s">
        <v>253</v>
      </c>
      <c r="P395" s="849"/>
      <c r="Q395" s="849"/>
      <c r="R395" s="849"/>
      <c r="S395" s="849"/>
      <c r="T395" s="849"/>
      <c r="U395" s="849"/>
      <c r="V395" s="849"/>
      <c r="W395" s="849"/>
      <c r="X395" s="849"/>
    </row>
    <row r="396" spans="4:24" x14ac:dyDescent="0.2">
      <c r="D396" t="s">
        <v>256</v>
      </c>
      <c r="E396" s="34" t="s">
        <v>969</v>
      </c>
      <c r="F396" s="34" t="s">
        <v>970</v>
      </c>
      <c r="G396" s="34" t="s">
        <v>971</v>
      </c>
      <c r="H396" s="34" t="s">
        <v>972</v>
      </c>
      <c r="I396" s="34" t="s">
        <v>973</v>
      </c>
      <c r="J396" s="34" t="s">
        <v>974</v>
      </c>
      <c r="K396" s="34" t="s">
        <v>975</v>
      </c>
      <c r="L396" s="34" t="s">
        <v>1075</v>
      </c>
      <c r="M396" s="34" t="s">
        <v>1076</v>
      </c>
      <c r="O396" t="s">
        <v>256</v>
      </c>
      <c r="P396" s="34" t="s">
        <v>969</v>
      </c>
      <c r="Q396" s="34" t="s">
        <v>970</v>
      </c>
      <c r="R396" s="34" t="s">
        <v>971</v>
      </c>
      <c r="S396" s="34" t="s">
        <v>972</v>
      </c>
      <c r="T396" s="34" t="s">
        <v>973</v>
      </c>
      <c r="U396" s="34" t="s">
        <v>974</v>
      </c>
      <c r="V396" s="34" t="s">
        <v>975</v>
      </c>
      <c r="W396" s="34" t="s">
        <v>1075</v>
      </c>
      <c r="X396" s="34" t="s">
        <v>1076</v>
      </c>
    </row>
    <row r="397" spans="4:24" x14ac:dyDescent="0.2">
      <c r="D397" s="486" t="s">
        <v>240</v>
      </c>
      <c r="E397" s="425">
        <v>53</v>
      </c>
      <c r="F397" s="425">
        <v>54</v>
      </c>
      <c r="G397" s="425">
        <v>53</v>
      </c>
      <c r="H397" s="425">
        <v>53</v>
      </c>
      <c r="I397" s="425">
        <v>53</v>
      </c>
      <c r="J397" s="425">
        <v>53</v>
      </c>
      <c r="K397" s="425">
        <v>53</v>
      </c>
      <c r="L397" s="465">
        <v>54</v>
      </c>
      <c r="M397" s="465">
        <v>54</v>
      </c>
      <c r="O397" s="486" t="s">
        <v>240</v>
      </c>
      <c r="P397" s="425">
        <v>55</v>
      </c>
      <c r="Q397" s="425">
        <v>56</v>
      </c>
      <c r="R397" s="425">
        <v>56</v>
      </c>
      <c r="S397" s="425">
        <v>56</v>
      </c>
      <c r="T397" s="425">
        <v>55</v>
      </c>
      <c r="U397" s="425">
        <v>56</v>
      </c>
      <c r="V397" s="425">
        <v>57</v>
      </c>
      <c r="W397" s="488">
        <v>57</v>
      </c>
      <c r="X397" s="465">
        <v>58</v>
      </c>
    </row>
    <row r="398" spans="4:24" x14ac:dyDescent="0.2">
      <c r="D398" s="486" t="s">
        <v>976</v>
      </c>
      <c r="E398" s="425">
        <v>51</v>
      </c>
      <c r="F398" s="425">
        <v>51</v>
      </c>
      <c r="G398" s="425">
        <v>51</v>
      </c>
      <c r="H398" s="425">
        <v>51</v>
      </c>
      <c r="I398" s="425">
        <v>52</v>
      </c>
      <c r="J398" s="425">
        <v>50</v>
      </c>
      <c r="K398" s="425">
        <v>51</v>
      </c>
      <c r="L398" s="465">
        <v>52</v>
      </c>
      <c r="M398" s="465">
        <v>52</v>
      </c>
      <c r="O398" s="486" t="s">
        <v>976</v>
      </c>
      <c r="P398" s="425">
        <v>54</v>
      </c>
      <c r="Q398" s="425">
        <v>53</v>
      </c>
      <c r="R398" s="425">
        <v>54</v>
      </c>
      <c r="S398" s="425">
        <v>55</v>
      </c>
      <c r="T398" s="425">
        <v>55</v>
      </c>
      <c r="U398" s="425">
        <v>54</v>
      </c>
      <c r="V398" s="425">
        <v>55</v>
      </c>
      <c r="W398" s="487">
        <v>55</v>
      </c>
      <c r="X398" s="465">
        <v>56</v>
      </c>
    </row>
    <row r="399" spans="4:24" x14ac:dyDescent="0.2">
      <c r="D399" s="486" t="s">
        <v>977</v>
      </c>
      <c r="E399" s="425">
        <v>51</v>
      </c>
      <c r="F399" s="425">
        <v>50</v>
      </c>
      <c r="G399" s="425">
        <v>48</v>
      </c>
      <c r="H399" s="425">
        <v>47</v>
      </c>
      <c r="I399" s="425">
        <v>49</v>
      </c>
      <c r="J399" s="425">
        <v>47</v>
      </c>
      <c r="K399" s="425">
        <v>48</v>
      </c>
      <c r="L399" s="465">
        <v>49</v>
      </c>
      <c r="M399" s="465">
        <v>49</v>
      </c>
      <c r="O399" s="486" t="s">
        <v>977</v>
      </c>
      <c r="P399" s="425">
        <v>53</v>
      </c>
      <c r="Q399" s="425">
        <v>53</v>
      </c>
      <c r="R399" s="425">
        <v>52</v>
      </c>
      <c r="S399" s="425">
        <v>50</v>
      </c>
      <c r="T399" s="425">
        <v>52</v>
      </c>
      <c r="U399" s="425">
        <v>51</v>
      </c>
      <c r="V399" s="425">
        <v>52</v>
      </c>
      <c r="W399" s="487">
        <v>53</v>
      </c>
      <c r="X399" s="465">
        <v>53</v>
      </c>
    </row>
    <row r="400" spans="4:24" x14ac:dyDescent="0.2">
      <c r="D400" s="486" t="s">
        <v>241</v>
      </c>
      <c r="E400" s="425">
        <v>53</v>
      </c>
      <c r="F400" s="425">
        <v>52</v>
      </c>
      <c r="G400" s="425">
        <v>50</v>
      </c>
      <c r="H400" s="425">
        <v>49</v>
      </c>
      <c r="I400" s="425">
        <v>49</v>
      </c>
      <c r="J400" s="425">
        <v>48</v>
      </c>
      <c r="K400" s="425">
        <v>49</v>
      </c>
      <c r="L400" s="465">
        <v>50</v>
      </c>
      <c r="M400" s="465">
        <v>50</v>
      </c>
      <c r="O400" s="486" t="s">
        <v>241</v>
      </c>
      <c r="P400" s="425">
        <v>55</v>
      </c>
      <c r="Q400" s="425">
        <v>54</v>
      </c>
      <c r="R400" s="425">
        <v>53</v>
      </c>
      <c r="S400" s="425">
        <v>52</v>
      </c>
      <c r="T400" s="425">
        <v>51</v>
      </c>
      <c r="U400" s="425">
        <v>51</v>
      </c>
      <c r="V400" s="425">
        <v>52</v>
      </c>
      <c r="W400" s="487">
        <v>53</v>
      </c>
      <c r="X400" s="465">
        <v>54</v>
      </c>
    </row>
    <row r="401" spans="4:24" x14ac:dyDescent="0.2">
      <c r="D401" s="486" t="s">
        <v>978</v>
      </c>
      <c r="E401" s="425">
        <v>52</v>
      </c>
      <c r="F401" s="425">
        <v>49</v>
      </c>
      <c r="G401" s="425">
        <v>50</v>
      </c>
      <c r="H401" s="425">
        <v>49</v>
      </c>
      <c r="I401" s="425">
        <v>46</v>
      </c>
      <c r="J401" s="425">
        <v>49</v>
      </c>
      <c r="K401" s="425">
        <v>51</v>
      </c>
      <c r="L401" s="465">
        <v>52</v>
      </c>
      <c r="M401" s="465">
        <v>52</v>
      </c>
      <c r="O401" s="486" t="s">
        <v>263</v>
      </c>
      <c r="P401" s="425">
        <v>56</v>
      </c>
      <c r="Q401" s="425">
        <v>53</v>
      </c>
      <c r="R401" s="425">
        <v>55</v>
      </c>
      <c r="S401" s="425">
        <v>54</v>
      </c>
      <c r="T401" s="425">
        <v>50</v>
      </c>
      <c r="U401" s="425">
        <v>55</v>
      </c>
      <c r="V401" s="425">
        <v>56</v>
      </c>
      <c r="W401" s="489">
        <v>56</v>
      </c>
      <c r="X401" s="465">
        <v>57</v>
      </c>
    </row>
  </sheetData>
  <sheetProtection sheet="1" selectLockedCells="1" selectUnlockedCells="1"/>
  <autoFilter ref="A9:AQ172" xr:uid="{DA86A7C8-1D52-49B0-B6C3-C419BB35993D}"/>
  <sortState ref="A38:Q170">
    <sortCondition ref="A38:A170"/>
  </sortState>
  <mergeCells count="65">
    <mergeCell ref="E395:M395"/>
    <mergeCell ref="O395:X395"/>
    <mergeCell ref="H316:P316"/>
    <mergeCell ref="R277:AA277"/>
    <mergeCell ref="D217:E217"/>
    <mergeCell ref="F217:G217"/>
    <mergeCell ref="D218:D219"/>
    <mergeCell ref="E218:E219"/>
    <mergeCell ref="F218:F219"/>
    <mergeCell ref="G218:G219"/>
    <mergeCell ref="P217:S217"/>
    <mergeCell ref="R218:S218"/>
    <mergeCell ref="V231:AE231"/>
    <mergeCell ref="AN217:AQ217"/>
    <mergeCell ref="AN218:AO218"/>
    <mergeCell ref="AP218:AQ218"/>
    <mergeCell ref="AF218:AG218"/>
    <mergeCell ref="AH218:AI218"/>
    <mergeCell ref="AJ217:AM217"/>
    <mergeCell ref="AJ218:AK218"/>
    <mergeCell ref="AL218:AM218"/>
    <mergeCell ref="AF217:AI217"/>
    <mergeCell ref="P8:Q8"/>
    <mergeCell ref="P176:Q176"/>
    <mergeCell ref="X217:AA217"/>
    <mergeCell ref="X218:Y218"/>
    <mergeCell ref="Z218:AA218"/>
    <mergeCell ref="T217:W217"/>
    <mergeCell ref="T218:U218"/>
    <mergeCell ref="V218:W218"/>
    <mergeCell ref="R8:U8"/>
    <mergeCell ref="V8:Y8"/>
    <mergeCell ref="Z8:AC8"/>
    <mergeCell ref="AB217:AE217"/>
    <mergeCell ref="AB218:AC218"/>
    <mergeCell ref="AD218:AE218"/>
    <mergeCell ref="AD8:AG8"/>
    <mergeCell ref="AB176:AK176"/>
    <mergeCell ref="C176:C177"/>
    <mergeCell ref="H217:K217"/>
    <mergeCell ref="L217:O217"/>
    <mergeCell ref="A1:K1"/>
    <mergeCell ref="A3:K3"/>
    <mergeCell ref="H8:I8"/>
    <mergeCell ref="J8:K8"/>
    <mergeCell ref="L8:M8"/>
    <mergeCell ref="N8:O8"/>
    <mergeCell ref="H176:I176"/>
    <mergeCell ref="J176:K176"/>
    <mergeCell ref="L176:M176"/>
    <mergeCell ref="D8:E8"/>
    <mergeCell ref="F8:G8"/>
    <mergeCell ref="F175:Y175"/>
    <mergeCell ref="R176:S176"/>
    <mergeCell ref="V176:W176"/>
    <mergeCell ref="X176:Y176"/>
    <mergeCell ref="H350:P350"/>
    <mergeCell ref="N176:O176"/>
    <mergeCell ref="H218:I218"/>
    <mergeCell ref="J218:K218"/>
    <mergeCell ref="L218:M218"/>
    <mergeCell ref="N218:O218"/>
    <mergeCell ref="P218:Q218"/>
    <mergeCell ref="H231:Q231"/>
    <mergeCell ref="T176:U176"/>
  </mergeCells>
  <phoneticPr fontId="79" type="noConversion"/>
  <pageMargins left="0.75" right="0.75" top="1" bottom="1" header="0.5" footer="0.5"/>
  <pageSetup orientation="portrait" horizontalDpi="300" verticalDpi="300" r:id="rId1"/>
  <headerFooter alignWithMargins="0"/>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sheetPr>
  <dimension ref="A1:AO170"/>
  <sheetViews>
    <sheetView topLeftCell="A12" zoomScale="90" zoomScaleNormal="90" workbookViewId="0">
      <pane xSplit="3" topLeftCell="D1" activePane="topRight" state="frozen"/>
      <selection activeCell="K23" sqref="K23"/>
      <selection pane="topRight" activeCell="I35" sqref="I35:I169 D35:E169"/>
    </sheetView>
  </sheetViews>
  <sheetFormatPr baseColWidth="10" defaultColWidth="9.140625" defaultRowHeight="12.75" x14ac:dyDescent="0.2"/>
  <cols>
    <col min="1" max="1" width="20.5703125" customWidth="1"/>
    <col min="2" max="2" width="42.7109375" customWidth="1"/>
    <col min="3" max="3" width="65.7109375" style="767" customWidth="1"/>
    <col min="4" max="4" width="11.7109375" style="86" bestFit="1" customWidth="1"/>
    <col min="5" max="5" width="11.140625" customWidth="1"/>
    <col min="6" max="6" width="9.28515625" customWidth="1"/>
    <col min="7" max="7" width="10.140625" customWidth="1"/>
    <col min="8" max="32" width="9.140625" customWidth="1"/>
  </cols>
  <sheetData>
    <row r="1" spans="1:41" ht="26.25" x14ac:dyDescent="0.2">
      <c r="A1" s="856" t="s">
        <v>1</v>
      </c>
      <c r="B1" s="846"/>
      <c r="C1" s="846"/>
      <c r="D1" s="846"/>
      <c r="E1" s="846"/>
      <c r="F1" s="846"/>
      <c r="G1" s="846"/>
      <c r="H1" s="846"/>
      <c r="I1" s="846"/>
    </row>
    <row r="3" spans="1:41" ht="20.25" x14ac:dyDescent="0.2">
      <c r="A3" s="857" t="s">
        <v>2</v>
      </c>
      <c r="B3" s="846"/>
      <c r="C3" s="846"/>
      <c r="D3" s="846"/>
      <c r="E3" s="846"/>
      <c r="F3" s="846"/>
      <c r="G3" s="846"/>
      <c r="H3" s="846"/>
      <c r="I3" s="846"/>
    </row>
    <row r="7" spans="1:41" x14ac:dyDescent="0.2">
      <c r="F7" s="854">
        <v>2016</v>
      </c>
      <c r="G7" s="855"/>
      <c r="H7" s="855"/>
      <c r="I7" s="855"/>
      <c r="J7" s="854">
        <v>2017</v>
      </c>
      <c r="K7" s="855"/>
      <c r="L7" s="855"/>
      <c r="M7" s="855"/>
      <c r="N7" s="854">
        <v>2018</v>
      </c>
      <c r="O7" s="855"/>
      <c r="P7" s="855"/>
      <c r="Q7" s="855"/>
      <c r="R7" s="854">
        <v>2019</v>
      </c>
      <c r="S7" s="855"/>
      <c r="T7" s="855"/>
      <c r="U7" s="855"/>
      <c r="V7" s="854">
        <v>2020</v>
      </c>
      <c r="W7" s="855"/>
      <c r="X7" s="855"/>
      <c r="Y7" s="855"/>
      <c r="Z7" s="854">
        <v>2021</v>
      </c>
      <c r="AA7" s="855"/>
      <c r="AB7" s="855"/>
      <c r="AC7" s="855"/>
      <c r="AD7" s="854">
        <v>2022</v>
      </c>
      <c r="AE7" s="855"/>
      <c r="AF7" s="855"/>
      <c r="AG7" s="855"/>
      <c r="AH7" s="854">
        <v>2023</v>
      </c>
      <c r="AI7" s="855"/>
      <c r="AJ7" s="855"/>
      <c r="AK7" s="855"/>
      <c r="AL7" s="854">
        <v>2024</v>
      </c>
      <c r="AM7" s="855"/>
      <c r="AN7" s="855"/>
      <c r="AO7" s="855"/>
    </row>
    <row r="8" spans="1:41" ht="24.95" customHeight="1" x14ac:dyDescent="0.2">
      <c r="A8" s="7" t="s">
        <v>3</v>
      </c>
      <c r="B8" s="7" t="s">
        <v>4</v>
      </c>
      <c r="C8" s="768" t="s">
        <v>5</v>
      </c>
      <c r="D8" s="7" t="s">
        <v>242</v>
      </c>
      <c r="E8" s="7" t="s">
        <v>243</v>
      </c>
      <c r="F8" s="7" t="s">
        <v>6</v>
      </c>
      <c r="G8" s="7" t="s">
        <v>7</v>
      </c>
      <c r="H8" s="7" t="s">
        <v>8</v>
      </c>
      <c r="I8" s="7" t="s">
        <v>9</v>
      </c>
      <c r="J8" s="7" t="s">
        <v>6</v>
      </c>
      <c r="K8" s="7" t="s">
        <v>7</v>
      </c>
      <c r="L8" s="7" t="s">
        <v>8</v>
      </c>
      <c r="M8" s="7" t="s">
        <v>9</v>
      </c>
      <c r="N8" s="7" t="s">
        <v>6</v>
      </c>
      <c r="O8" s="7" t="s">
        <v>7</v>
      </c>
      <c r="P8" s="7" t="s">
        <v>8</v>
      </c>
      <c r="Q8" s="7" t="s">
        <v>9</v>
      </c>
      <c r="R8" s="7" t="s">
        <v>6</v>
      </c>
      <c r="S8" s="7" t="s">
        <v>7</v>
      </c>
      <c r="T8" s="7" t="s">
        <v>8</v>
      </c>
      <c r="U8" s="7" t="s">
        <v>9</v>
      </c>
      <c r="V8" s="16" t="s">
        <v>6</v>
      </c>
      <c r="W8" s="16" t="s">
        <v>7</v>
      </c>
      <c r="X8" s="16" t="s">
        <v>8</v>
      </c>
      <c r="Y8" s="16" t="s">
        <v>9</v>
      </c>
      <c r="Z8" s="16" t="s">
        <v>6</v>
      </c>
      <c r="AA8" s="16" t="s">
        <v>7</v>
      </c>
      <c r="AB8" s="16" t="s">
        <v>8</v>
      </c>
      <c r="AC8" s="16" t="s">
        <v>9</v>
      </c>
      <c r="AD8" s="16" t="s">
        <v>6</v>
      </c>
      <c r="AE8" s="16" t="s">
        <v>7</v>
      </c>
      <c r="AF8" s="16" t="s">
        <v>8</v>
      </c>
      <c r="AG8" s="16" t="s">
        <v>9</v>
      </c>
      <c r="AH8" s="16" t="s">
        <v>6</v>
      </c>
      <c r="AI8" s="16" t="s">
        <v>7</v>
      </c>
      <c r="AJ8" s="16" t="s">
        <v>8</v>
      </c>
      <c r="AK8" s="16" t="s">
        <v>9</v>
      </c>
      <c r="AL8" s="16" t="s">
        <v>6</v>
      </c>
      <c r="AM8" s="16" t="s">
        <v>7</v>
      </c>
      <c r="AN8" s="16" t="s">
        <v>8</v>
      </c>
      <c r="AO8" s="16" t="s">
        <v>9</v>
      </c>
    </row>
    <row r="9" spans="1:41" ht="24.95" customHeight="1" x14ac:dyDescent="0.2">
      <c r="A9" s="3"/>
      <c r="B9" s="3" t="s">
        <v>10</v>
      </c>
      <c r="C9" s="3" t="s">
        <v>10</v>
      </c>
      <c r="D9" s="8"/>
      <c r="E9" s="3"/>
      <c r="F9" s="17">
        <v>488416</v>
      </c>
      <c r="G9" s="17">
        <v>479614</v>
      </c>
      <c r="H9" s="17">
        <v>474527</v>
      </c>
      <c r="I9" s="17">
        <v>469080</v>
      </c>
      <c r="J9" s="18">
        <v>488678</v>
      </c>
      <c r="K9" s="18">
        <v>474456</v>
      </c>
      <c r="L9" s="18">
        <v>469835</v>
      </c>
      <c r="M9" s="18">
        <v>464871</v>
      </c>
      <c r="N9" s="17">
        <v>495382</v>
      </c>
      <c r="O9" s="17">
        <v>471061</v>
      </c>
      <c r="P9" s="17">
        <v>467490</v>
      </c>
      <c r="Q9" s="17">
        <v>463047</v>
      </c>
      <c r="R9" s="17">
        <v>494071</v>
      </c>
      <c r="S9" s="17">
        <v>471174</v>
      </c>
      <c r="T9" s="17">
        <v>467413</v>
      </c>
      <c r="U9" s="17">
        <v>459812</v>
      </c>
      <c r="V9" s="18">
        <v>505243</v>
      </c>
      <c r="W9" s="18">
        <v>467657</v>
      </c>
      <c r="X9" s="18">
        <v>457214</v>
      </c>
      <c r="Y9" s="18">
        <v>457194</v>
      </c>
      <c r="Z9" s="573">
        <v>529919</v>
      </c>
      <c r="AA9" s="573">
        <v>499565</v>
      </c>
      <c r="AB9" s="573">
        <v>486271</v>
      </c>
      <c r="AC9" s="573">
        <v>486268</v>
      </c>
      <c r="AD9" s="574">
        <v>516769</v>
      </c>
      <c r="AE9" s="574">
        <v>497526</v>
      </c>
      <c r="AF9" s="574">
        <v>488193</v>
      </c>
      <c r="AG9" s="574">
        <v>488184</v>
      </c>
      <c r="AH9" s="575">
        <v>531702</v>
      </c>
      <c r="AI9" s="575">
        <v>516836</v>
      </c>
      <c r="AJ9" s="575">
        <v>507409</v>
      </c>
      <c r="AK9" s="575">
        <v>507409</v>
      </c>
      <c r="AL9" s="576">
        <v>528835</v>
      </c>
      <c r="AM9" s="576">
        <v>501558</v>
      </c>
      <c r="AN9" s="576">
        <v>494458</v>
      </c>
      <c r="AO9" s="576">
        <v>494458</v>
      </c>
    </row>
    <row r="10" spans="1:41" ht="24.95" customHeight="1" x14ac:dyDescent="0.2">
      <c r="A10" s="4"/>
      <c r="B10" s="4" t="s">
        <v>0</v>
      </c>
      <c r="C10" s="4" t="s">
        <v>0</v>
      </c>
      <c r="D10" s="9"/>
      <c r="E10" s="4"/>
      <c r="F10" s="19">
        <v>5480</v>
      </c>
      <c r="G10" s="19">
        <v>6428</v>
      </c>
      <c r="H10" s="19">
        <v>6368</v>
      </c>
      <c r="I10" s="19">
        <v>6284</v>
      </c>
      <c r="J10" s="20">
        <v>6499</v>
      </c>
      <c r="K10" s="20">
        <v>6574</v>
      </c>
      <c r="L10" s="20">
        <v>6520</v>
      </c>
      <c r="M10" s="20">
        <v>6437</v>
      </c>
      <c r="N10" s="19">
        <v>6755</v>
      </c>
      <c r="O10" s="19">
        <v>6674</v>
      </c>
      <c r="P10" s="19">
        <v>6634</v>
      </c>
      <c r="Q10" s="19">
        <v>6558</v>
      </c>
      <c r="R10" s="19">
        <v>6767</v>
      </c>
      <c r="S10" s="19">
        <v>6742</v>
      </c>
      <c r="T10" s="19">
        <v>6710</v>
      </c>
      <c r="U10" s="19">
        <v>6573</v>
      </c>
      <c r="V10" s="20">
        <v>6968</v>
      </c>
      <c r="W10" s="20">
        <v>6906</v>
      </c>
      <c r="X10" s="20">
        <v>6828</v>
      </c>
      <c r="Y10" s="20">
        <v>6828</v>
      </c>
      <c r="Z10" s="577">
        <v>7245</v>
      </c>
      <c r="AA10" s="577">
        <v>7177</v>
      </c>
      <c r="AB10" s="577">
        <v>7048</v>
      </c>
      <c r="AC10" s="577">
        <v>7048</v>
      </c>
      <c r="AD10" s="578">
        <v>7362</v>
      </c>
      <c r="AE10" s="578">
        <v>7476</v>
      </c>
      <c r="AF10" s="578">
        <v>7394</v>
      </c>
      <c r="AG10" s="578">
        <v>7394</v>
      </c>
      <c r="AH10" s="524">
        <v>8012</v>
      </c>
      <c r="AI10" s="524">
        <v>7973</v>
      </c>
      <c r="AJ10" s="524">
        <v>7828</v>
      </c>
      <c r="AK10" s="524">
        <v>7828</v>
      </c>
      <c r="AL10" s="579">
        <v>8153</v>
      </c>
      <c r="AM10" s="579">
        <v>8028</v>
      </c>
      <c r="AN10" s="579">
        <v>7875</v>
      </c>
      <c r="AO10" s="579">
        <v>7875</v>
      </c>
    </row>
    <row r="11" spans="1:41" ht="24.95" customHeight="1" x14ac:dyDescent="0.2">
      <c r="A11" s="6"/>
      <c r="B11" s="6" t="s">
        <v>12</v>
      </c>
      <c r="C11" s="6" t="s">
        <v>12</v>
      </c>
      <c r="D11" s="11"/>
      <c r="E11" s="6"/>
      <c r="F11" s="21">
        <v>2554</v>
      </c>
      <c r="G11" s="21">
        <v>3229</v>
      </c>
      <c r="H11" s="21">
        <v>3192</v>
      </c>
      <c r="I11" s="21">
        <v>3144</v>
      </c>
      <c r="J11" s="22">
        <v>3506</v>
      </c>
      <c r="K11" s="22">
        <v>3454</v>
      </c>
      <c r="L11" s="22">
        <v>3421</v>
      </c>
      <c r="M11" s="22">
        <v>3418</v>
      </c>
      <c r="N11" s="21">
        <v>3663</v>
      </c>
      <c r="O11" s="21">
        <v>3596</v>
      </c>
      <c r="P11" s="21">
        <v>3563</v>
      </c>
      <c r="Q11" s="21">
        <v>3563</v>
      </c>
      <c r="R11" s="21">
        <v>3661</v>
      </c>
      <c r="S11" s="21">
        <v>3570</v>
      </c>
      <c r="T11" s="21">
        <v>3550</v>
      </c>
      <c r="U11" s="21">
        <v>3545</v>
      </c>
      <c r="V11" s="22">
        <v>3672</v>
      </c>
      <c r="W11" s="22">
        <v>3434</v>
      </c>
      <c r="X11" s="22">
        <v>3394</v>
      </c>
      <c r="Y11" s="22">
        <v>3394</v>
      </c>
      <c r="Z11" s="580">
        <v>3886</v>
      </c>
      <c r="AA11" s="580">
        <v>3634</v>
      </c>
      <c r="AB11" s="580">
        <v>3541</v>
      </c>
      <c r="AC11" s="580">
        <v>3541</v>
      </c>
      <c r="AD11" s="318">
        <v>3972</v>
      </c>
      <c r="AE11" s="318">
        <v>3747</v>
      </c>
      <c r="AF11" s="318">
        <v>3691</v>
      </c>
      <c r="AG11" s="318">
        <v>3691</v>
      </c>
      <c r="AH11" s="525">
        <v>4330</v>
      </c>
      <c r="AI11" s="525">
        <v>4251</v>
      </c>
      <c r="AJ11" s="525">
        <v>4142</v>
      </c>
      <c r="AK11" s="525">
        <v>4142</v>
      </c>
      <c r="AL11" s="484">
        <v>4447</v>
      </c>
      <c r="AM11" s="484">
        <v>4337</v>
      </c>
      <c r="AN11" s="484">
        <v>4230</v>
      </c>
      <c r="AO11" s="484">
        <v>4230</v>
      </c>
    </row>
    <row r="12" spans="1:41" ht="24.95" customHeight="1" x14ac:dyDescent="0.2">
      <c r="A12" s="6"/>
      <c r="B12" s="6" t="s">
        <v>13</v>
      </c>
      <c r="C12" s="6" t="s">
        <v>13</v>
      </c>
      <c r="D12" s="11"/>
      <c r="E12" s="6"/>
      <c r="F12" s="21">
        <v>0</v>
      </c>
      <c r="G12" s="21">
        <v>43</v>
      </c>
      <c r="H12" s="21">
        <v>43</v>
      </c>
      <c r="I12" s="21">
        <v>41</v>
      </c>
      <c r="J12" s="22">
        <v>44</v>
      </c>
      <c r="K12" s="22">
        <v>43</v>
      </c>
      <c r="L12" s="22">
        <v>42</v>
      </c>
      <c r="M12" s="22">
        <v>42</v>
      </c>
      <c r="N12" s="21">
        <v>36</v>
      </c>
      <c r="O12" s="21">
        <v>36</v>
      </c>
      <c r="P12" s="21">
        <v>36</v>
      </c>
      <c r="Q12" s="21">
        <v>36</v>
      </c>
      <c r="R12" s="21">
        <v>53</v>
      </c>
      <c r="S12" s="21">
        <v>53</v>
      </c>
      <c r="T12" s="21">
        <v>52</v>
      </c>
      <c r="U12" s="21">
        <v>52</v>
      </c>
      <c r="V12" s="22">
        <v>40</v>
      </c>
      <c r="W12" s="22">
        <v>40</v>
      </c>
      <c r="X12" s="22">
        <v>38</v>
      </c>
      <c r="Y12" s="22">
        <v>38</v>
      </c>
      <c r="Z12" s="580">
        <v>46</v>
      </c>
      <c r="AA12" s="580">
        <v>46</v>
      </c>
      <c r="AB12" s="580">
        <v>45</v>
      </c>
      <c r="AC12" s="580">
        <v>45</v>
      </c>
      <c r="AD12" s="318">
        <v>43</v>
      </c>
      <c r="AE12" s="318">
        <v>40</v>
      </c>
      <c r="AF12" s="318">
        <v>40</v>
      </c>
      <c r="AG12" s="318">
        <v>40</v>
      </c>
      <c r="AH12" s="525">
        <v>52</v>
      </c>
      <c r="AI12" s="525">
        <v>52</v>
      </c>
      <c r="AJ12" s="525">
        <v>50</v>
      </c>
      <c r="AK12" s="525">
        <v>50</v>
      </c>
      <c r="AL12" s="484">
        <v>48</v>
      </c>
      <c r="AM12" s="484">
        <v>48</v>
      </c>
      <c r="AN12" s="484">
        <v>47</v>
      </c>
      <c r="AO12" s="484">
        <v>47</v>
      </c>
    </row>
    <row r="13" spans="1:41" ht="24.95" customHeight="1" x14ac:dyDescent="0.2">
      <c r="A13" s="6"/>
      <c r="B13" s="6" t="s">
        <v>14</v>
      </c>
      <c r="C13" s="6" t="s">
        <v>14</v>
      </c>
      <c r="D13" s="11"/>
      <c r="E13" s="6"/>
      <c r="F13" s="21">
        <v>2926</v>
      </c>
      <c r="G13" s="21">
        <v>3156</v>
      </c>
      <c r="H13" s="21">
        <v>3133</v>
      </c>
      <c r="I13" s="21">
        <v>3099</v>
      </c>
      <c r="J13" s="22">
        <v>2949</v>
      </c>
      <c r="K13" s="22">
        <v>3077</v>
      </c>
      <c r="L13" s="22">
        <v>3057</v>
      </c>
      <c r="M13" s="22">
        <v>3056</v>
      </c>
      <c r="N13" s="21">
        <v>3056</v>
      </c>
      <c r="O13" s="21">
        <v>3042</v>
      </c>
      <c r="P13" s="21">
        <v>3035</v>
      </c>
      <c r="Q13" s="21">
        <v>3035</v>
      </c>
      <c r="R13" s="21">
        <v>3053</v>
      </c>
      <c r="S13" s="21">
        <v>3119</v>
      </c>
      <c r="T13" s="21">
        <v>3108</v>
      </c>
      <c r="U13" s="21">
        <v>3105</v>
      </c>
      <c r="V13" s="22">
        <v>3256</v>
      </c>
      <c r="W13" s="22">
        <v>3432</v>
      </c>
      <c r="X13" s="22">
        <v>3396</v>
      </c>
      <c r="Y13" s="22">
        <v>3396</v>
      </c>
      <c r="Z13" s="580">
        <v>3313</v>
      </c>
      <c r="AA13" s="580">
        <v>3497</v>
      </c>
      <c r="AB13" s="580">
        <v>3462</v>
      </c>
      <c r="AC13" s="580">
        <v>3462</v>
      </c>
      <c r="AD13" s="318">
        <v>3347</v>
      </c>
      <c r="AE13" s="318">
        <v>3689</v>
      </c>
      <c r="AF13" s="318">
        <v>3663</v>
      </c>
      <c r="AG13" s="318">
        <v>3663</v>
      </c>
      <c r="AH13" s="525">
        <v>3630</v>
      </c>
      <c r="AI13" s="525">
        <v>3670</v>
      </c>
      <c r="AJ13" s="525">
        <v>3636</v>
      </c>
      <c r="AK13" s="525">
        <v>3636</v>
      </c>
      <c r="AL13" s="484">
        <v>3658</v>
      </c>
      <c r="AM13" s="484">
        <v>3643</v>
      </c>
      <c r="AN13" s="484">
        <v>3598</v>
      </c>
      <c r="AO13" s="484">
        <v>3598</v>
      </c>
    </row>
    <row r="14" spans="1:41" ht="24.95" customHeight="1" x14ac:dyDescent="0.2">
      <c r="A14" s="6"/>
      <c r="B14" s="6" t="s">
        <v>15</v>
      </c>
      <c r="C14" s="6" t="s">
        <v>15</v>
      </c>
      <c r="D14" s="11"/>
      <c r="E14" s="6"/>
      <c r="F14" s="21">
        <v>1592</v>
      </c>
      <c r="G14" s="21">
        <v>2032</v>
      </c>
      <c r="H14" s="21">
        <v>2001</v>
      </c>
      <c r="I14" s="21">
        <v>1963</v>
      </c>
      <c r="J14" s="22">
        <v>2837</v>
      </c>
      <c r="K14" s="22">
        <v>2830</v>
      </c>
      <c r="L14" s="22">
        <v>2793</v>
      </c>
      <c r="M14" s="22">
        <v>2792</v>
      </c>
      <c r="N14" s="21">
        <v>2572</v>
      </c>
      <c r="O14" s="21">
        <v>2534</v>
      </c>
      <c r="P14" s="21">
        <v>2512</v>
      </c>
      <c r="Q14" s="21">
        <v>2512</v>
      </c>
      <c r="R14" s="21">
        <v>2706</v>
      </c>
      <c r="S14" s="21">
        <v>2662</v>
      </c>
      <c r="T14" s="21">
        <v>2647</v>
      </c>
      <c r="U14" s="21">
        <v>2643</v>
      </c>
      <c r="V14" s="22">
        <v>2083</v>
      </c>
      <c r="W14" s="22">
        <v>1965</v>
      </c>
      <c r="X14" s="22">
        <v>1934</v>
      </c>
      <c r="Y14" s="22">
        <v>1934</v>
      </c>
      <c r="Z14" s="580">
        <v>1975</v>
      </c>
      <c r="AA14" s="580">
        <v>1873</v>
      </c>
      <c r="AB14" s="580">
        <v>1810</v>
      </c>
      <c r="AC14" s="580">
        <v>1810</v>
      </c>
      <c r="AD14" s="318">
        <v>2320</v>
      </c>
      <c r="AE14" s="318">
        <v>2300</v>
      </c>
      <c r="AF14" s="318">
        <v>2258</v>
      </c>
      <c r="AG14" s="318">
        <v>2258</v>
      </c>
      <c r="AH14" s="525">
        <v>2824</v>
      </c>
      <c r="AI14" s="525">
        <v>2829</v>
      </c>
      <c r="AJ14" s="525">
        <v>2758</v>
      </c>
      <c r="AK14" s="525">
        <v>2758</v>
      </c>
      <c r="AL14" s="484">
        <v>953</v>
      </c>
      <c r="AM14" s="484">
        <v>931</v>
      </c>
      <c r="AN14" s="484">
        <v>904</v>
      </c>
      <c r="AO14" s="484">
        <v>904</v>
      </c>
    </row>
    <row r="15" spans="1:41" ht="24.95" customHeight="1" x14ac:dyDescent="0.2">
      <c r="A15" s="6"/>
      <c r="B15" s="6" t="s">
        <v>16</v>
      </c>
      <c r="C15" s="6" t="s">
        <v>16</v>
      </c>
      <c r="D15" s="11"/>
      <c r="E15" s="6"/>
      <c r="F15" s="21">
        <v>3876</v>
      </c>
      <c r="G15" s="21">
        <v>4383</v>
      </c>
      <c r="H15" s="21">
        <v>4354</v>
      </c>
      <c r="I15" s="21">
        <v>4309</v>
      </c>
      <c r="J15" s="22">
        <v>3649</v>
      </c>
      <c r="K15" s="22">
        <v>3740</v>
      </c>
      <c r="L15" s="22">
        <v>3723</v>
      </c>
      <c r="M15" s="22">
        <v>3720</v>
      </c>
      <c r="N15" s="21">
        <v>4183</v>
      </c>
      <c r="O15" s="21">
        <v>4138</v>
      </c>
      <c r="P15" s="21">
        <v>4120</v>
      </c>
      <c r="Q15" s="21">
        <v>4120</v>
      </c>
      <c r="R15" s="21">
        <v>4061</v>
      </c>
      <c r="S15" s="21">
        <v>4080</v>
      </c>
      <c r="T15" s="21">
        <v>4063</v>
      </c>
      <c r="U15" s="21">
        <v>4059</v>
      </c>
      <c r="V15" s="22">
        <v>4885</v>
      </c>
      <c r="W15" s="22">
        <v>4941</v>
      </c>
      <c r="X15" s="22">
        <v>4894</v>
      </c>
      <c r="Y15" s="22">
        <v>4894</v>
      </c>
      <c r="Z15" s="580">
        <v>5270</v>
      </c>
      <c r="AA15" s="580">
        <v>5304</v>
      </c>
      <c r="AB15" s="580">
        <v>5238</v>
      </c>
      <c r="AC15" s="580">
        <v>5238</v>
      </c>
      <c r="AD15" s="318">
        <v>5039</v>
      </c>
      <c r="AE15" s="318">
        <v>5173</v>
      </c>
      <c r="AF15" s="318">
        <v>5133</v>
      </c>
      <c r="AG15" s="318">
        <v>5133</v>
      </c>
      <c r="AH15" s="525">
        <v>5188</v>
      </c>
      <c r="AI15" s="525">
        <v>5144</v>
      </c>
      <c r="AJ15" s="525">
        <v>5070</v>
      </c>
      <c r="AK15" s="525">
        <v>5070</v>
      </c>
      <c r="AL15" s="484">
        <v>7163</v>
      </c>
      <c r="AM15" s="484">
        <v>7060</v>
      </c>
      <c r="AN15" s="484">
        <v>6935</v>
      </c>
      <c r="AO15" s="484">
        <v>6935</v>
      </c>
    </row>
    <row r="16" spans="1:41" ht="24.95" customHeight="1" x14ac:dyDescent="0.2">
      <c r="A16" s="6"/>
      <c r="B16" s="6" t="s">
        <v>17</v>
      </c>
      <c r="C16" s="6" t="s">
        <v>17</v>
      </c>
      <c r="D16" s="11"/>
      <c r="E16" s="6"/>
      <c r="F16" s="21">
        <v>12</v>
      </c>
      <c r="G16" s="21">
        <v>12</v>
      </c>
      <c r="H16" s="21">
        <v>12</v>
      </c>
      <c r="I16" s="21">
        <v>12</v>
      </c>
      <c r="J16" s="22"/>
      <c r="K16" s="22"/>
      <c r="L16" s="22"/>
      <c r="M16" s="22"/>
      <c r="N16" s="21"/>
      <c r="O16" s="21"/>
      <c r="P16" s="21"/>
      <c r="Q16" s="21"/>
      <c r="R16" s="21"/>
      <c r="S16" s="21"/>
      <c r="T16" s="21"/>
      <c r="U16" s="21"/>
      <c r="V16" s="21"/>
      <c r="W16" s="21"/>
      <c r="X16" s="21"/>
      <c r="Y16" s="21"/>
      <c r="Z16" s="21"/>
      <c r="AA16" s="21"/>
      <c r="AB16" s="21"/>
      <c r="AC16" s="21"/>
      <c r="AD16" s="318">
        <v>3</v>
      </c>
      <c r="AE16" s="318">
        <v>3</v>
      </c>
      <c r="AF16" s="318">
        <v>3</v>
      </c>
      <c r="AG16" s="318">
        <v>3</v>
      </c>
      <c r="AH16" s="581"/>
      <c r="AI16" s="581"/>
      <c r="AJ16" s="581"/>
      <c r="AK16" s="581"/>
      <c r="AL16" s="484">
        <v>37</v>
      </c>
      <c r="AM16" s="484">
        <v>37</v>
      </c>
      <c r="AN16" s="484">
        <v>36</v>
      </c>
      <c r="AO16" s="484">
        <v>36</v>
      </c>
    </row>
    <row r="17" spans="1:41" ht="24.95" customHeight="1" x14ac:dyDescent="0.2">
      <c r="A17" s="294"/>
      <c r="B17" s="198" t="s">
        <v>244</v>
      </c>
      <c r="C17" s="294"/>
      <c r="D17" s="317"/>
      <c r="E17" s="294"/>
      <c r="F17" s="129">
        <f t="shared" ref="F17:AO17" si="0">SUMIF($E$35:$E$169,"=1",F$35:F$169)</f>
        <v>1208</v>
      </c>
      <c r="G17" s="129">
        <f t="shared" si="0"/>
        <v>1218</v>
      </c>
      <c r="H17" s="129">
        <f t="shared" si="0"/>
        <v>1183</v>
      </c>
      <c r="I17" s="129">
        <f t="shared" si="0"/>
        <v>1183</v>
      </c>
      <c r="J17" s="129">
        <f t="shared" si="0"/>
        <v>1120</v>
      </c>
      <c r="K17" s="129">
        <f t="shared" si="0"/>
        <v>1114</v>
      </c>
      <c r="L17" s="129">
        <f t="shared" si="0"/>
        <v>1108</v>
      </c>
      <c r="M17" s="129">
        <f t="shared" si="0"/>
        <v>1097</v>
      </c>
      <c r="N17" s="129">
        <f t="shared" si="0"/>
        <v>1192</v>
      </c>
      <c r="O17" s="129">
        <f t="shared" si="0"/>
        <v>1181</v>
      </c>
      <c r="P17" s="129">
        <f t="shared" si="0"/>
        <v>1174</v>
      </c>
      <c r="Q17" s="129">
        <f t="shared" si="0"/>
        <v>1164</v>
      </c>
      <c r="R17" s="129">
        <f t="shared" si="0"/>
        <v>1168</v>
      </c>
      <c r="S17" s="129">
        <f t="shared" si="0"/>
        <v>1151</v>
      </c>
      <c r="T17" s="129">
        <f t="shared" si="0"/>
        <v>1146</v>
      </c>
      <c r="U17" s="129">
        <f t="shared" si="0"/>
        <v>1118</v>
      </c>
      <c r="V17" s="129">
        <f t="shared" si="0"/>
        <v>1195</v>
      </c>
      <c r="W17" s="129">
        <f t="shared" si="0"/>
        <v>1159</v>
      </c>
      <c r="X17" s="129">
        <f t="shared" si="0"/>
        <v>1152</v>
      </c>
      <c r="Y17" s="129">
        <f t="shared" si="0"/>
        <v>1152</v>
      </c>
      <c r="Z17" s="129">
        <f t="shared" si="0"/>
        <v>1256</v>
      </c>
      <c r="AA17" s="129">
        <f t="shared" si="0"/>
        <v>1213</v>
      </c>
      <c r="AB17" s="129">
        <f t="shared" si="0"/>
        <v>1196</v>
      </c>
      <c r="AC17" s="129">
        <f t="shared" si="0"/>
        <v>1196</v>
      </c>
      <c r="AD17" s="129">
        <f t="shared" si="0"/>
        <v>1234</v>
      </c>
      <c r="AE17" s="129">
        <f t="shared" si="0"/>
        <v>1253</v>
      </c>
      <c r="AF17" s="129">
        <f t="shared" si="0"/>
        <v>1236</v>
      </c>
      <c r="AG17" s="129">
        <f t="shared" si="0"/>
        <v>1236</v>
      </c>
      <c r="AH17" s="129">
        <f t="shared" si="0"/>
        <v>1350</v>
      </c>
      <c r="AI17" s="129">
        <f t="shared" si="0"/>
        <v>1328</v>
      </c>
      <c r="AJ17" s="129">
        <f t="shared" si="0"/>
        <v>1305</v>
      </c>
      <c r="AK17" s="129">
        <f t="shared" si="0"/>
        <v>1305</v>
      </c>
      <c r="AL17" s="129">
        <f t="shared" si="0"/>
        <v>1397</v>
      </c>
      <c r="AM17" s="129">
        <f t="shared" si="0"/>
        <v>1376</v>
      </c>
      <c r="AN17" s="129">
        <f t="shared" si="0"/>
        <v>1359</v>
      </c>
      <c r="AO17" s="129">
        <f t="shared" si="0"/>
        <v>1359</v>
      </c>
    </row>
    <row r="18" spans="1:41" ht="24.95" customHeight="1" x14ac:dyDescent="0.2">
      <c r="A18" s="294"/>
      <c r="B18" s="198" t="s">
        <v>245</v>
      </c>
      <c r="C18" s="294"/>
      <c r="D18" s="317"/>
      <c r="E18" s="294"/>
      <c r="F18" s="129">
        <f t="shared" ref="F18:AO18" si="1">SUMIF($E$35:$E$169,"=2",F$35:F$169)</f>
        <v>1254</v>
      </c>
      <c r="G18" s="129">
        <f t="shared" si="1"/>
        <v>1288</v>
      </c>
      <c r="H18" s="129">
        <f t="shared" si="1"/>
        <v>1253</v>
      </c>
      <c r="I18" s="129">
        <f t="shared" si="1"/>
        <v>1253</v>
      </c>
      <c r="J18" s="129">
        <f t="shared" si="1"/>
        <v>1273</v>
      </c>
      <c r="K18" s="129">
        <f t="shared" si="1"/>
        <v>1306</v>
      </c>
      <c r="L18" s="129">
        <f t="shared" si="1"/>
        <v>1297</v>
      </c>
      <c r="M18" s="129">
        <f t="shared" si="1"/>
        <v>1281</v>
      </c>
      <c r="N18" s="129">
        <f t="shared" si="1"/>
        <v>1206</v>
      </c>
      <c r="O18" s="129">
        <f t="shared" si="1"/>
        <v>1185</v>
      </c>
      <c r="P18" s="129">
        <f t="shared" si="1"/>
        <v>1178</v>
      </c>
      <c r="Q18" s="129">
        <f t="shared" si="1"/>
        <v>1156</v>
      </c>
      <c r="R18" s="129">
        <f t="shared" si="1"/>
        <v>1208</v>
      </c>
      <c r="S18" s="129">
        <f t="shared" si="1"/>
        <v>1193</v>
      </c>
      <c r="T18" s="129">
        <f t="shared" si="1"/>
        <v>1188</v>
      </c>
      <c r="U18" s="129">
        <f t="shared" si="1"/>
        <v>1164</v>
      </c>
      <c r="V18" s="129">
        <f t="shared" si="1"/>
        <v>1312</v>
      </c>
      <c r="W18" s="129">
        <f t="shared" si="1"/>
        <v>1491</v>
      </c>
      <c r="X18" s="129">
        <f t="shared" si="1"/>
        <v>1461</v>
      </c>
      <c r="Y18" s="129">
        <f t="shared" si="1"/>
        <v>1461</v>
      </c>
      <c r="Z18" s="129">
        <f t="shared" si="1"/>
        <v>1350</v>
      </c>
      <c r="AA18" s="129">
        <f t="shared" si="1"/>
        <v>1329</v>
      </c>
      <c r="AB18" s="129">
        <f t="shared" si="1"/>
        <v>1309</v>
      </c>
      <c r="AC18" s="129">
        <f t="shared" si="1"/>
        <v>1309</v>
      </c>
      <c r="AD18" s="129">
        <f t="shared" si="1"/>
        <v>1324</v>
      </c>
      <c r="AE18" s="129">
        <f t="shared" si="1"/>
        <v>1408</v>
      </c>
      <c r="AF18" s="129">
        <f t="shared" si="1"/>
        <v>1394</v>
      </c>
      <c r="AG18" s="129">
        <f t="shared" si="1"/>
        <v>1394</v>
      </c>
      <c r="AH18" s="129">
        <f t="shared" si="1"/>
        <v>1556</v>
      </c>
      <c r="AI18" s="129">
        <f t="shared" si="1"/>
        <v>1562</v>
      </c>
      <c r="AJ18" s="129">
        <f t="shared" si="1"/>
        <v>1533</v>
      </c>
      <c r="AK18" s="129">
        <f t="shared" si="1"/>
        <v>1533</v>
      </c>
      <c r="AL18" s="129">
        <f t="shared" si="1"/>
        <v>1611</v>
      </c>
      <c r="AM18" s="129">
        <f t="shared" si="1"/>
        <v>1578</v>
      </c>
      <c r="AN18" s="129">
        <f t="shared" si="1"/>
        <v>1555</v>
      </c>
      <c r="AO18" s="129">
        <f t="shared" si="1"/>
        <v>1555</v>
      </c>
    </row>
    <row r="19" spans="1:41" ht="24.95" customHeight="1" x14ac:dyDescent="0.2">
      <c r="A19" s="294"/>
      <c r="B19" s="198" t="s">
        <v>246</v>
      </c>
      <c r="C19" s="294"/>
      <c r="D19" s="317"/>
      <c r="E19" s="294"/>
      <c r="F19" s="129">
        <f t="shared" ref="F19:AO19" si="2">SUMIF($E$35:$E$169,"=3",F$35:F$169)</f>
        <v>1015</v>
      </c>
      <c r="G19" s="129">
        <f t="shared" si="2"/>
        <v>1197</v>
      </c>
      <c r="H19" s="129">
        <f t="shared" si="2"/>
        <v>1179</v>
      </c>
      <c r="I19" s="129">
        <f t="shared" si="2"/>
        <v>1179</v>
      </c>
      <c r="J19" s="129">
        <f t="shared" si="2"/>
        <v>1620</v>
      </c>
      <c r="K19" s="129">
        <f t="shared" si="2"/>
        <v>1633</v>
      </c>
      <c r="L19" s="129">
        <f t="shared" si="2"/>
        <v>1624</v>
      </c>
      <c r="M19" s="129">
        <f t="shared" si="2"/>
        <v>1607</v>
      </c>
      <c r="N19" s="129">
        <f t="shared" si="2"/>
        <v>1844</v>
      </c>
      <c r="O19" s="129">
        <f t="shared" si="2"/>
        <v>1816</v>
      </c>
      <c r="P19" s="129">
        <f t="shared" si="2"/>
        <v>1808</v>
      </c>
      <c r="Q19" s="129">
        <f t="shared" si="2"/>
        <v>1793</v>
      </c>
      <c r="R19" s="129">
        <f t="shared" si="2"/>
        <v>1792</v>
      </c>
      <c r="S19" s="129">
        <f t="shared" si="2"/>
        <v>1761</v>
      </c>
      <c r="T19" s="129">
        <f t="shared" si="2"/>
        <v>1751</v>
      </c>
      <c r="U19" s="129">
        <f t="shared" si="2"/>
        <v>1724</v>
      </c>
      <c r="V19" s="129">
        <f t="shared" si="2"/>
        <v>1675</v>
      </c>
      <c r="W19" s="129">
        <f t="shared" si="2"/>
        <v>1616</v>
      </c>
      <c r="X19" s="129">
        <f t="shared" si="2"/>
        <v>1604</v>
      </c>
      <c r="Y19" s="129">
        <f t="shared" si="2"/>
        <v>1604</v>
      </c>
      <c r="Z19" s="129">
        <f t="shared" si="2"/>
        <v>1736</v>
      </c>
      <c r="AA19" s="129">
        <f t="shared" si="2"/>
        <v>1704</v>
      </c>
      <c r="AB19" s="129">
        <f t="shared" si="2"/>
        <v>1669</v>
      </c>
      <c r="AC19" s="129">
        <f t="shared" si="2"/>
        <v>1669</v>
      </c>
      <c r="AD19" s="129">
        <f t="shared" si="2"/>
        <v>1768</v>
      </c>
      <c r="AE19" s="129">
        <f t="shared" si="2"/>
        <v>1766</v>
      </c>
      <c r="AF19" s="129">
        <f t="shared" si="2"/>
        <v>1746</v>
      </c>
      <c r="AG19" s="129">
        <f t="shared" si="2"/>
        <v>1746</v>
      </c>
      <c r="AH19" s="129">
        <f t="shared" si="2"/>
        <v>1958</v>
      </c>
      <c r="AI19" s="129">
        <f t="shared" si="2"/>
        <v>1917</v>
      </c>
      <c r="AJ19" s="129">
        <f t="shared" si="2"/>
        <v>1884</v>
      </c>
      <c r="AK19" s="129">
        <f t="shared" si="2"/>
        <v>1884</v>
      </c>
      <c r="AL19" s="129">
        <f t="shared" si="2"/>
        <v>1953</v>
      </c>
      <c r="AM19" s="129">
        <f t="shared" si="2"/>
        <v>1942</v>
      </c>
      <c r="AN19" s="129">
        <f t="shared" si="2"/>
        <v>1902</v>
      </c>
      <c r="AO19" s="129">
        <f t="shared" si="2"/>
        <v>1902</v>
      </c>
    </row>
    <row r="20" spans="1:41" ht="24.95" customHeight="1" x14ac:dyDescent="0.2">
      <c r="A20" s="294"/>
      <c r="B20" s="198" t="s">
        <v>247</v>
      </c>
      <c r="C20" s="294"/>
      <c r="D20" s="317"/>
      <c r="E20" s="294"/>
      <c r="F20" s="129">
        <f t="shared" ref="F20:AO20" si="3">SUMIF($E$35:$E$169,"=4",F$35:F$169)</f>
        <v>539</v>
      </c>
      <c r="G20" s="129">
        <f t="shared" si="3"/>
        <v>704</v>
      </c>
      <c r="H20" s="129">
        <f t="shared" si="3"/>
        <v>690</v>
      </c>
      <c r="I20" s="129">
        <f t="shared" si="3"/>
        <v>690</v>
      </c>
      <c r="J20" s="129">
        <f t="shared" si="3"/>
        <v>670</v>
      </c>
      <c r="K20" s="129">
        <f t="shared" si="3"/>
        <v>711</v>
      </c>
      <c r="L20" s="129">
        <f t="shared" si="3"/>
        <v>699</v>
      </c>
      <c r="M20" s="129">
        <f t="shared" si="3"/>
        <v>683</v>
      </c>
      <c r="N20" s="129">
        <f t="shared" si="3"/>
        <v>690</v>
      </c>
      <c r="O20" s="129">
        <f t="shared" si="3"/>
        <v>691</v>
      </c>
      <c r="P20" s="129">
        <f t="shared" si="3"/>
        <v>688</v>
      </c>
      <c r="Q20" s="129">
        <f t="shared" si="3"/>
        <v>685</v>
      </c>
      <c r="R20" s="129">
        <f t="shared" si="3"/>
        <v>699</v>
      </c>
      <c r="S20" s="129">
        <f t="shared" si="3"/>
        <v>749</v>
      </c>
      <c r="T20" s="129">
        <f t="shared" si="3"/>
        <v>741</v>
      </c>
      <c r="U20" s="129">
        <f t="shared" si="3"/>
        <v>733</v>
      </c>
      <c r="V20" s="129">
        <f t="shared" si="3"/>
        <v>700</v>
      </c>
      <c r="W20" s="129">
        <f t="shared" si="3"/>
        <v>653</v>
      </c>
      <c r="X20" s="129">
        <f t="shared" si="3"/>
        <v>644</v>
      </c>
      <c r="Y20" s="129">
        <f t="shared" si="3"/>
        <v>644</v>
      </c>
      <c r="Z20" s="129">
        <f t="shared" si="3"/>
        <v>718</v>
      </c>
      <c r="AA20" s="129">
        <f t="shared" si="3"/>
        <v>685</v>
      </c>
      <c r="AB20" s="129">
        <f t="shared" si="3"/>
        <v>662</v>
      </c>
      <c r="AC20" s="129">
        <f t="shared" si="3"/>
        <v>662</v>
      </c>
      <c r="AD20" s="129">
        <f t="shared" si="3"/>
        <v>649</v>
      </c>
      <c r="AE20" s="129">
        <f t="shared" si="3"/>
        <v>733</v>
      </c>
      <c r="AF20" s="129">
        <f t="shared" si="3"/>
        <v>723</v>
      </c>
      <c r="AG20" s="129">
        <f t="shared" si="3"/>
        <v>723</v>
      </c>
      <c r="AH20" s="129">
        <f t="shared" si="3"/>
        <v>775</v>
      </c>
      <c r="AI20" s="129">
        <f t="shared" si="3"/>
        <v>771</v>
      </c>
      <c r="AJ20" s="129">
        <f t="shared" si="3"/>
        <v>760</v>
      </c>
      <c r="AK20" s="129">
        <f t="shared" si="3"/>
        <v>760</v>
      </c>
      <c r="AL20" s="129">
        <f t="shared" si="3"/>
        <v>782</v>
      </c>
      <c r="AM20" s="129">
        <f t="shared" si="3"/>
        <v>761</v>
      </c>
      <c r="AN20" s="129">
        <f t="shared" si="3"/>
        <v>743</v>
      </c>
      <c r="AO20" s="129">
        <f t="shared" si="3"/>
        <v>743</v>
      </c>
    </row>
    <row r="21" spans="1:41" ht="24.95" customHeight="1" x14ac:dyDescent="0.2">
      <c r="A21" s="294"/>
      <c r="B21" s="198" t="s">
        <v>248</v>
      </c>
      <c r="C21" s="294"/>
      <c r="D21" s="317"/>
      <c r="E21" s="294"/>
      <c r="F21" s="129">
        <f t="shared" ref="F21:AO21" si="4">SUMIF($E$35:$E$169,"=5",F$35:F$169)</f>
        <v>935</v>
      </c>
      <c r="G21" s="129">
        <f t="shared" si="4"/>
        <v>1148</v>
      </c>
      <c r="H21" s="129">
        <f t="shared" si="4"/>
        <v>1134</v>
      </c>
      <c r="I21" s="129">
        <f t="shared" si="4"/>
        <v>1134</v>
      </c>
      <c r="J21" s="129">
        <f t="shared" si="4"/>
        <v>1134</v>
      </c>
      <c r="K21" s="129">
        <f t="shared" si="4"/>
        <v>1126</v>
      </c>
      <c r="L21" s="129">
        <f t="shared" si="4"/>
        <v>1117</v>
      </c>
      <c r="M21" s="129">
        <f t="shared" si="4"/>
        <v>1108</v>
      </c>
      <c r="N21" s="129">
        <f t="shared" si="4"/>
        <v>1173</v>
      </c>
      <c r="O21" s="129">
        <f t="shared" si="4"/>
        <v>1147</v>
      </c>
      <c r="P21" s="129">
        <f t="shared" si="4"/>
        <v>1141</v>
      </c>
      <c r="Q21" s="129">
        <f t="shared" si="4"/>
        <v>1133</v>
      </c>
      <c r="R21" s="129">
        <f t="shared" si="4"/>
        <v>1143</v>
      </c>
      <c r="S21" s="129">
        <f t="shared" si="4"/>
        <v>1119</v>
      </c>
      <c r="T21" s="129">
        <f t="shared" si="4"/>
        <v>1119</v>
      </c>
      <c r="U21" s="129">
        <f t="shared" si="4"/>
        <v>1100</v>
      </c>
      <c r="V21" s="129">
        <f t="shared" si="4"/>
        <v>1146</v>
      </c>
      <c r="W21" s="129">
        <f t="shared" si="4"/>
        <v>1079</v>
      </c>
      <c r="X21" s="129">
        <f t="shared" si="4"/>
        <v>1073</v>
      </c>
      <c r="Y21" s="129">
        <f t="shared" si="4"/>
        <v>1073</v>
      </c>
      <c r="Z21" s="129">
        <f t="shared" si="4"/>
        <v>1150</v>
      </c>
      <c r="AA21" s="129">
        <f t="shared" si="4"/>
        <v>1086</v>
      </c>
      <c r="AB21" s="129">
        <f t="shared" si="4"/>
        <v>1075</v>
      </c>
      <c r="AC21" s="129">
        <f t="shared" si="4"/>
        <v>1075</v>
      </c>
      <c r="AD21" s="129">
        <f t="shared" si="4"/>
        <v>1093</v>
      </c>
      <c r="AE21" s="129">
        <f t="shared" si="4"/>
        <v>1056</v>
      </c>
      <c r="AF21" s="129">
        <f t="shared" si="4"/>
        <v>1050</v>
      </c>
      <c r="AG21" s="129">
        <f t="shared" si="4"/>
        <v>1050</v>
      </c>
      <c r="AH21" s="129">
        <f t="shared" si="4"/>
        <v>1217</v>
      </c>
      <c r="AI21" s="129">
        <f t="shared" si="4"/>
        <v>1191</v>
      </c>
      <c r="AJ21" s="129">
        <f t="shared" si="4"/>
        <v>1171</v>
      </c>
      <c r="AK21" s="129">
        <f t="shared" si="4"/>
        <v>1171</v>
      </c>
      <c r="AL21" s="129">
        <f t="shared" si="4"/>
        <v>1108</v>
      </c>
      <c r="AM21" s="129">
        <f t="shared" si="4"/>
        <v>1093</v>
      </c>
      <c r="AN21" s="129">
        <f t="shared" si="4"/>
        <v>1071</v>
      </c>
      <c r="AO21" s="129">
        <f t="shared" si="4"/>
        <v>1071</v>
      </c>
    </row>
    <row r="22" spans="1:41" ht="24.95" customHeight="1" x14ac:dyDescent="0.2">
      <c r="A22" s="294"/>
      <c r="B22" s="198" t="s">
        <v>249</v>
      </c>
      <c r="C22" s="294"/>
      <c r="D22" s="317"/>
      <c r="E22" s="294"/>
      <c r="F22" s="129">
        <f t="shared" ref="F22:AO22" si="5">SUMIF($E$35:$E$169,"=6",F$35:F$169)</f>
        <v>609</v>
      </c>
      <c r="G22" s="129">
        <f t="shared" si="5"/>
        <v>908</v>
      </c>
      <c r="H22" s="129">
        <f t="shared" si="5"/>
        <v>882</v>
      </c>
      <c r="I22" s="129">
        <f t="shared" si="5"/>
        <v>882</v>
      </c>
      <c r="J22" s="129">
        <f t="shared" si="5"/>
        <v>908</v>
      </c>
      <c r="K22" s="129">
        <f t="shared" si="5"/>
        <v>916</v>
      </c>
      <c r="L22" s="129">
        <f t="shared" si="5"/>
        <v>907</v>
      </c>
      <c r="M22" s="129">
        <f t="shared" si="5"/>
        <v>889</v>
      </c>
      <c r="N22" s="129">
        <f t="shared" si="5"/>
        <v>951</v>
      </c>
      <c r="O22" s="129">
        <f t="shared" si="5"/>
        <v>949</v>
      </c>
      <c r="P22" s="129">
        <f t="shared" si="5"/>
        <v>939</v>
      </c>
      <c r="Q22" s="129">
        <f t="shared" si="5"/>
        <v>920</v>
      </c>
      <c r="R22" s="129">
        <f t="shared" si="5"/>
        <v>1052</v>
      </c>
      <c r="S22" s="129">
        <f t="shared" si="5"/>
        <v>1048</v>
      </c>
      <c r="T22" s="129">
        <f t="shared" si="5"/>
        <v>1044</v>
      </c>
      <c r="U22" s="129">
        <f t="shared" si="5"/>
        <v>1009</v>
      </c>
      <c r="V22" s="129">
        <f t="shared" si="5"/>
        <v>1060</v>
      </c>
      <c r="W22" s="129">
        <f t="shared" si="5"/>
        <v>1021</v>
      </c>
      <c r="X22" s="129">
        <f t="shared" si="5"/>
        <v>1008</v>
      </c>
      <c r="Y22" s="129">
        <f t="shared" si="5"/>
        <v>1008</v>
      </c>
      <c r="Z22" s="129">
        <f t="shared" si="5"/>
        <v>989</v>
      </c>
      <c r="AA22" s="129">
        <f t="shared" si="5"/>
        <v>1096</v>
      </c>
      <c r="AB22" s="129">
        <f t="shared" si="5"/>
        <v>1077</v>
      </c>
      <c r="AC22" s="129">
        <f t="shared" si="5"/>
        <v>1077</v>
      </c>
      <c r="AD22" s="129">
        <f t="shared" si="5"/>
        <v>1251</v>
      </c>
      <c r="AE22" s="129">
        <f t="shared" si="5"/>
        <v>1220</v>
      </c>
      <c r="AF22" s="129">
        <f t="shared" si="5"/>
        <v>1205</v>
      </c>
      <c r="AG22" s="129">
        <f t="shared" si="5"/>
        <v>1205</v>
      </c>
      <c r="AH22" s="129">
        <f t="shared" si="5"/>
        <v>1096</v>
      </c>
      <c r="AI22" s="129">
        <f t="shared" si="5"/>
        <v>1130</v>
      </c>
      <c r="AJ22" s="129">
        <f t="shared" si="5"/>
        <v>1104</v>
      </c>
      <c r="AK22" s="129">
        <f t="shared" si="5"/>
        <v>1104</v>
      </c>
      <c r="AL22" s="129">
        <f t="shared" si="5"/>
        <v>1230</v>
      </c>
      <c r="AM22" s="129">
        <f t="shared" si="5"/>
        <v>1206</v>
      </c>
      <c r="AN22" s="129">
        <f t="shared" si="5"/>
        <v>1174</v>
      </c>
      <c r="AO22" s="129">
        <f t="shared" si="5"/>
        <v>1174</v>
      </c>
    </row>
    <row r="23" spans="1:41" ht="24.95" customHeight="1" x14ac:dyDescent="0.2">
      <c r="A23" s="294"/>
      <c r="B23" s="6" t="s">
        <v>895</v>
      </c>
      <c r="C23" s="294"/>
      <c r="D23" s="317"/>
      <c r="E23" s="294"/>
      <c r="F23" s="302">
        <f t="shared" ref="F23:AO23" si="6">SUMIFS(F$35:F$169,$E$35:$E$169,"=1", $D$35:$D$169,"OFICIAL")</f>
        <v>667</v>
      </c>
      <c r="G23" s="302">
        <f t="shared" si="6"/>
        <v>660</v>
      </c>
      <c r="H23" s="302">
        <f t="shared" si="6"/>
        <v>638</v>
      </c>
      <c r="I23" s="302">
        <f t="shared" si="6"/>
        <v>638</v>
      </c>
      <c r="J23" s="302">
        <f t="shared" si="6"/>
        <v>617</v>
      </c>
      <c r="K23" s="302">
        <f t="shared" si="6"/>
        <v>614</v>
      </c>
      <c r="L23" s="302">
        <f t="shared" si="6"/>
        <v>610</v>
      </c>
      <c r="M23" s="302">
        <f t="shared" si="6"/>
        <v>601</v>
      </c>
      <c r="N23" s="302">
        <f t="shared" si="6"/>
        <v>716</v>
      </c>
      <c r="O23" s="302">
        <f t="shared" si="6"/>
        <v>713</v>
      </c>
      <c r="P23" s="302">
        <f t="shared" si="6"/>
        <v>710</v>
      </c>
      <c r="Q23" s="302">
        <f t="shared" si="6"/>
        <v>704</v>
      </c>
      <c r="R23" s="302">
        <f t="shared" si="6"/>
        <v>680</v>
      </c>
      <c r="S23" s="302">
        <f t="shared" si="6"/>
        <v>665</v>
      </c>
      <c r="T23" s="302">
        <f t="shared" si="6"/>
        <v>662</v>
      </c>
      <c r="U23" s="302">
        <f t="shared" si="6"/>
        <v>639</v>
      </c>
      <c r="V23" s="302">
        <f t="shared" si="6"/>
        <v>705</v>
      </c>
      <c r="W23" s="302">
        <f t="shared" si="6"/>
        <v>677</v>
      </c>
      <c r="X23" s="302">
        <f t="shared" si="6"/>
        <v>671</v>
      </c>
      <c r="Y23" s="302">
        <f t="shared" si="6"/>
        <v>671</v>
      </c>
      <c r="Z23" s="302">
        <f t="shared" si="6"/>
        <v>717</v>
      </c>
      <c r="AA23" s="302">
        <f t="shared" si="6"/>
        <v>669</v>
      </c>
      <c r="AB23" s="302">
        <f t="shared" si="6"/>
        <v>656</v>
      </c>
      <c r="AC23" s="302">
        <f t="shared" si="6"/>
        <v>656</v>
      </c>
      <c r="AD23" s="302">
        <f t="shared" si="6"/>
        <v>739</v>
      </c>
      <c r="AE23" s="302">
        <f t="shared" si="6"/>
        <v>692</v>
      </c>
      <c r="AF23" s="302">
        <f t="shared" si="6"/>
        <v>677</v>
      </c>
      <c r="AG23" s="302">
        <f t="shared" si="6"/>
        <v>677</v>
      </c>
      <c r="AH23" s="302">
        <f t="shared" si="6"/>
        <v>827</v>
      </c>
      <c r="AI23" s="302">
        <f t="shared" si="6"/>
        <v>808</v>
      </c>
      <c r="AJ23" s="302">
        <f t="shared" si="6"/>
        <v>791</v>
      </c>
      <c r="AK23" s="302">
        <f t="shared" si="6"/>
        <v>791</v>
      </c>
      <c r="AL23" s="302">
        <f t="shared" si="6"/>
        <v>862</v>
      </c>
      <c r="AM23" s="302">
        <f t="shared" si="6"/>
        <v>841</v>
      </c>
      <c r="AN23" s="302">
        <f t="shared" si="6"/>
        <v>827</v>
      </c>
      <c r="AO23" s="302">
        <f t="shared" si="6"/>
        <v>827</v>
      </c>
    </row>
    <row r="24" spans="1:41" ht="24.95" customHeight="1" x14ac:dyDescent="0.2">
      <c r="A24" s="294"/>
      <c r="B24" s="6" t="s">
        <v>896</v>
      </c>
      <c r="C24" s="294"/>
      <c r="D24" s="317"/>
      <c r="E24" s="294"/>
      <c r="F24" s="302">
        <f t="shared" ref="F24:AO24" si="7">SUMIFS(F$35:F$169,$E$35:$E$169,"=2", $D$35:$D$169,"OFICIAL")</f>
        <v>587</v>
      </c>
      <c r="G24" s="302">
        <f t="shared" si="7"/>
        <v>588</v>
      </c>
      <c r="H24" s="302">
        <f t="shared" si="7"/>
        <v>567</v>
      </c>
      <c r="I24" s="302">
        <f t="shared" si="7"/>
        <v>567</v>
      </c>
      <c r="J24" s="302">
        <f t="shared" si="7"/>
        <v>585</v>
      </c>
      <c r="K24" s="302">
        <f t="shared" si="7"/>
        <v>575</v>
      </c>
      <c r="L24" s="302">
        <f t="shared" si="7"/>
        <v>572</v>
      </c>
      <c r="M24" s="302">
        <f t="shared" si="7"/>
        <v>561</v>
      </c>
      <c r="N24" s="302">
        <f t="shared" si="7"/>
        <v>525</v>
      </c>
      <c r="O24" s="302">
        <f t="shared" si="7"/>
        <v>510</v>
      </c>
      <c r="P24" s="302">
        <f t="shared" si="7"/>
        <v>504</v>
      </c>
      <c r="Q24" s="302">
        <f t="shared" si="7"/>
        <v>486</v>
      </c>
      <c r="R24" s="302">
        <f t="shared" si="7"/>
        <v>566</v>
      </c>
      <c r="S24" s="302">
        <f t="shared" si="7"/>
        <v>558</v>
      </c>
      <c r="T24" s="302">
        <f t="shared" si="7"/>
        <v>555</v>
      </c>
      <c r="U24" s="302">
        <f t="shared" si="7"/>
        <v>545</v>
      </c>
      <c r="V24" s="302">
        <f t="shared" si="7"/>
        <v>635</v>
      </c>
      <c r="W24" s="302">
        <f t="shared" si="7"/>
        <v>597</v>
      </c>
      <c r="X24" s="302">
        <f t="shared" si="7"/>
        <v>591</v>
      </c>
      <c r="Y24" s="302">
        <f t="shared" si="7"/>
        <v>591</v>
      </c>
      <c r="Z24" s="302">
        <f t="shared" si="7"/>
        <v>626</v>
      </c>
      <c r="AA24" s="302">
        <f t="shared" si="7"/>
        <v>585</v>
      </c>
      <c r="AB24" s="302">
        <f t="shared" si="7"/>
        <v>574</v>
      </c>
      <c r="AC24" s="302">
        <f t="shared" si="7"/>
        <v>574</v>
      </c>
      <c r="AD24" s="302">
        <f t="shared" si="7"/>
        <v>742</v>
      </c>
      <c r="AE24" s="302">
        <f t="shared" si="7"/>
        <v>692</v>
      </c>
      <c r="AF24" s="302">
        <f t="shared" si="7"/>
        <v>682</v>
      </c>
      <c r="AG24" s="302">
        <f t="shared" si="7"/>
        <v>682</v>
      </c>
      <c r="AH24" s="302">
        <f t="shared" si="7"/>
        <v>851</v>
      </c>
      <c r="AI24" s="302">
        <f t="shared" si="7"/>
        <v>837</v>
      </c>
      <c r="AJ24" s="302">
        <f t="shared" si="7"/>
        <v>817</v>
      </c>
      <c r="AK24" s="302">
        <f t="shared" si="7"/>
        <v>817</v>
      </c>
      <c r="AL24" s="302">
        <f t="shared" si="7"/>
        <v>929</v>
      </c>
      <c r="AM24" s="302">
        <f t="shared" si="7"/>
        <v>903</v>
      </c>
      <c r="AN24" s="302">
        <f t="shared" si="7"/>
        <v>887</v>
      </c>
      <c r="AO24" s="302">
        <f t="shared" si="7"/>
        <v>887</v>
      </c>
    </row>
    <row r="25" spans="1:41" ht="24.95" customHeight="1" x14ac:dyDescent="0.2">
      <c r="A25" s="294"/>
      <c r="B25" s="6" t="s">
        <v>897</v>
      </c>
      <c r="C25" s="294"/>
      <c r="D25" s="317"/>
      <c r="E25" s="294"/>
      <c r="F25" s="302">
        <f t="shared" ref="F25:AO25" si="8">SUMIFS(F$35:F$169,$E$35:$E$169,"=3", $D$35:$D$169,"OFICIAL")</f>
        <v>529</v>
      </c>
      <c r="G25" s="302">
        <f t="shared" si="8"/>
        <v>665</v>
      </c>
      <c r="H25" s="302">
        <f t="shared" si="8"/>
        <v>653</v>
      </c>
      <c r="I25" s="302">
        <f t="shared" si="8"/>
        <v>653</v>
      </c>
      <c r="J25" s="302">
        <f t="shared" si="8"/>
        <v>1031</v>
      </c>
      <c r="K25" s="302">
        <f t="shared" si="8"/>
        <v>1021</v>
      </c>
      <c r="L25" s="302">
        <f t="shared" si="8"/>
        <v>1012</v>
      </c>
      <c r="M25" s="302">
        <f t="shared" si="8"/>
        <v>996</v>
      </c>
      <c r="N25" s="302">
        <f t="shared" si="8"/>
        <v>1146</v>
      </c>
      <c r="O25" s="302">
        <f t="shared" si="8"/>
        <v>1124</v>
      </c>
      <c r="P25" s="302">
        <f t="shared" si="8"/>
        <v>1117</v>
      </c>
      <c r="Q25" s="302">
        <f t="shared" si="8"/>
        <v>1109</v>
      </c>
      <c r="R25" s="302">
        <f t="shared" si="8"/>
        <v>1121</v>
      </c>
      <c r="S25" s="302">
        <f t="shared" si="8"/>
        <v>1064</v>
      </c>
      <c r="T25" s="302">
        <f t="shared" si="8"/>
        <v>1059</v>
      </c>
      <c r="U25" s="302">
        <f t="shared" si="8"/>
        <v>1044</v>
      </c>
      <c r="V25" s="302">
        <f t="shared" si="8"/>
        <v>923</v>
      </c>
      <c r="W25" s="302">
        <f t="shared" si="8"/>
        <v>872</v>
      </c>
      <c r="X25" s="302">
        <f t="shared" si="8"/>
        <v>867</v>
      </c>
      <c r="Y25" s="302">
        <f t="shared" si="8"/>
        <v>867</v>
      </c>
      <c r="Z25" s="302">
        <f t="shared" si="8"/>
        <v>944</v>
      </c>
      <c r="AA25" s="302">
        <f t="shared" si="8"/>
        <v>915</v>
      </c>
      <c r="AB25" s="302">
        <f t="shared" si="8"/>
        <v>887</v>
      </c>
      <c r="AC25" s="302">
        <f t="shared" si="8"/>
        <v>887</v>
      </c>
      <c r="AD25" s="302">
        <f t="shared" si="8"/>
        <v>952</v>
      </c>
      <c r="AE25" s="302">
        <f t="shared" si="8"/>
        <v>920</v>
      </c>
      <c r="AF25" s="302">
        <f t="shared" si="8"/>
        <v>907</v>
      </c>
      <c r="AG25" s="302">
        <f t="shared" si="8"/>
        <v>907</v>
      </c>
      <c r="AH25" s="302">
        <f t="shared" si="8"/>
        <v>1125</v>
      </c>
      <c r="AI25" s="302">
        <f t="shared" si="8"/>
        <v>1085</v>
      </c>
      <c r="AJ25" s="302">
        <f t="shared" si="8"/>
        <v>1061</v>
      </c>
      <c r="AK25" s="302">
        <f t="shared" si="8"/>
        <v>1061</v>
      </c>
      <c r="AL25" s="302">
        <f t="shared" si="8"/>
        <v>1102</v>
      </c>
      <c r="AM25" s="302">
        <f t="shared" si="8"/>
        <v>1091</v>
      </c>
      <c r="AN25" s="302">
        <f t="shared" si="8"/>
        <v>1062</v>
      </c>
      <c r="AO25" s="302">
        <f t="shared" si="8"/>
        <v>1062</v>
      </c>
    </row>
    <row r="26" spans="1:41" ht="24.95" customHeight="1" x14ac:dyDescent="0.2">
      <c r="A26" s="294"/>
      <c r="B26" s="6" t="s">
        <v>898</v>
      </c>
      <c r="C26" s="294"/>
      <c r="D26" s="317"/>
      <c r="E26" s="294"/>
      <c r="F26" s="302">
        <f t="shared" ref="F26:AO26" si="9">SUMIFS(F$35:F$169,$E$35:$E$169,"=4", $D$35:$D$169,"OFICIAL")</f>
        <v>381</v>
      </c>
      <c r="G26" s="302">
        <f t="shared" si="9"/>
        <v>495</v>
      </c>
      <c r="H26" s="302">
        <f t="shared" si="9"/>
        <v>486</v>
      </c>
      <c r="I26" s="302">
        <f t="shared" si="9"/>
        <v>486</v>
      </c>
      <c r="J26" s="302">
        <f t="shared" si="9"/>
        <v>484</v>
      </c>
      <c r="K26" s="302">
        <f t="shared" si="9"/>
        <v>481</v>
      </c>
      <c r="L26" s="302">
        <f t="shared" si="9"/>
        <v>475</v>
      </c>
      <c r="M26" s="302">
        <f t="shared" si="9"/>
        <v>461</v>
      </c>
      <c r="N26" s="302">
        <f t="shared" si="9"/>
        <v>517</v>
      </c>
      <c r="O26" s="302">
        <f t="shared" si="9"/>
        <v>513</v>
      </c>
      <c r="P26" s="302">
        <f t="shared" si="9"/>
        <v>511</v>
      </c>
      <c r="Q26" s="302">
        <f t="shared" si="9"/>
        <v>510</v>
      </c>
      <c r="R26" s="302">
        <f t="shared" si="9"/>
        <v>522</v>
      </c>
      <c r="S26" s="302">
        <f t="shared" si="9"/>
        <v>517</v>
      </c>
      <c r="T26" s="302">
        <f t="shared" si="9"/>
        <v>511</v>
      </c>
      <c r="U26" s="302">
        <f t="shared" si="9"/>
        <v>505</v>
      </c>
      <c r="V26" s="302">
        <f t="shared" si="9"/>
        <v>520</v>
      </c>
      <c r="W26" s="302">
        <f t="shared" si="9"/>
        <v>482</v>
      </c>
      <c r="X26" s="302">
        <f t="shared" si="9"/>
        <v>475</v>
      </c>
      <c r="Y26" s="302">
        <f t="shared" si="9"/>
        <v>475</v>
      </c>
      <c r="Z26" s="302">
        <f t="shared" si="9"/>
        <v>522</v>
      </c>
      <c r="AA26" s="302">
        <f t="shared" si="9"/>
        <v>482</v>
      </c>
      <c r="AB26" s="302">
        <f t="shared" si="9"/>
        <v>462</v>
      </c>
      <c r="AC26" s="302">
        <f t="shared" si="9"/>
        <v>462</v>
      </c>
      <c r="AD26" s="302">
        <f t="shared" si="9"/>
        <v>539</v>
      </c>
      <c r="AE26" s="302">
        <f t="shared" si="9"/>
        <v>505</v>
      </c>
      <c r="AF26" s="302">
        <f t="shared" si="9"/>
        <v>498</v>
      </c>
      <c r="AG26" s="302">
        <f t="shared" si="9"/>
        <v>498</v>
      </c>
      <c r="AH26" s="302">
        <f t="shared" si="9"/>
        <v>528</v>
      </c>
      <c r="AI26" s="302">
        <f t="shared" si="9"/>
        <v>512</v>
      </c>
      <c r="AJ26" s="302">
        <f t="shared" si="9"/>
        <v>504</v>
      </c>
      <c r="AK26" s="302">
        <f t="shared" si="9"/>
        <v>504</v>
      </c>
      <c r="AL26" s="302">
        <f t="shared" si="9"/>
        <v>507</v>
      </c>
      <c r="AM26" s="302">
        <f t="shared" si="9"/>
        <v>488</v>
      </c>
      <c r="AN26" s="302">
        <f t="shared" si="9"/>
        <v>474</v>
      </c>
      <c r="AO26" s="302">
        <f t="shared" si="9"/>
        <v>474</v>
      </c>
    </row>
    <row r="27" spans="1:41" ht="24.95" customHeight="1" x14ac:dyDescent="0.2">
      <c r="A27" s="294"/>
      <c r="B27" s="6" t="s">
        <v>899</v>
      </c>
      <c r="C27" s="294"/>
      <c r="D27" s="317"/>
      <c r="E27" s="294"/>
      <c r="F27" s="302">
        <f t="shared" ref="F27:AO27" si="10">SUMIFS(F$35:F$169,$E$35:$E$169,"=5", $D$35:$D$169,"OFICIAL")</f>
        <v>460</v>
      </c>
      <c r="G27" s="302">
        <f t="shared" si="10"/>
        <v>626</v>
      </c>
      <c r="H27" s="302">
        <f t="shared" si="10"/>
        <v>618</v>
      </c>
      <c r="I27" s="302">
        <f t="shared" si="10"/>
        <v>618</v>
      </c>
      <c r="J27" s="302">
        <f t="shared" si="10"/>
        <v>665</v>
      </c>
      <c r="K27" s="302">
        <f t="shared" si="10"/>
        <v>642</v>
      </c>
      <c r="L27" s="302">
        <f t="shared" si="10"/>
        <v>634</v>
      </c>
      <c r="M27" s="302">
        <f t="shared" si="10"/>
        <v>626</v>
      </c>
      <c r="N27" s="302">
        <f t="shared" si="10"/>
        <v>648</v>
      </c>
      <c r="O27" s="302">
        <f t="shared" si="10"/>
        <v>624</v>
      </c>
      <c r="P27" s="302">
        <f t="shared" si="10"/>
        <v>619</v>
      </c>
      <c r="Q27" s="302">
        <f t="shared" si="10"/>
        <v>612</v>
      </c>
      <c r="R27" s="302">
        <f t="shared" si="10"/>
        <v>612</v>
      </c>
      <c r="S27" s="302">
        <f t="shared" si="10"/>
        <v>595</v>
      </c>
      <c r="T27" s="302">
        <f t="shared" si="10"/>
        <v>595</v>
      </c>
      <c r="U27" s="302">
        <f t="shared" si="10"/>
        <v>580</v>
      </c>
      <c r="V27" s="302">
        <f t="shared" si="10"/>
        <v>578</v>
      </c>
      <c r="W27" s="302">
        <f t="shared" si="10"/>
        <v>519</v>
      </c>
      <c r="X27" s="302">
        <f t="shared" si="10"/>
        <v>513</v>
      </c>
      <c r="Y27" s="302">
        <f t="shared" si="10"/>
        <v>513</v>
      </c>
      <c r="Z27" s="302">
        <f t="shared" si="10"/>
        <v>573</v>
      </c>
      <c r="AA27" s="302">
        <f t="shared" si="10"/>
        <v>513</v>
      </c>
      <c r="AB27" s="302">
        <f t="shared" si="10"/>
        <v>505</v>
      </c>
      <c r="AC27" s="302">
        <f t="shared" si="10"/>
        <v>505</v>
      </c>
      <c r="AD27" s="302">
        <f t="shared" si="10"/>
        <v>488</v>
      </c>
      <c r="AE27" s="302">
        <f t="shared" si="10"/>
        <v>465</v>
      </c>
      <c r="AF27" s="302">
        <f t="shared" si="10"/>
        <v>460</v>
      </c>
      <c r="AG27" s="302">
        <f t="shared" si="10"/>
        <v>460</v>
      </c>
      <c r="AH27" s="302">
        <f t="shared" si="10"/>
        <v>591</v>
      </c>
      <c r="AI27" s="302">
        <f t="shared" si="10"/>
        <v>574</v>
      </c>
      <c r="AJ27" s="302">
        <f t="shared" si="10"/>
        <v>556</v>
      </c>
      <c r="AK27" s="302">
        <f t="shared" si="10"/>
        <v>556</v>
      </c>
      <c r="AL27" s="302">
        <f t="shared" si="10"/>
        <v>504</v>
      </c>
      <c r="AM27" s="302">
        <f t="shared" si="10"/>
        <v>491</v>
      </c>
      <c r="AN27" s="302">
        <f t="shared" si="10"/>
        <v>480</v>
      </c>
      <c r="AO27" s="302">
        <f t="shared" si="10"/>
        <v>480</v>
      </c>
    </row>
    <row r="28" spans="1:41" ht="24.95" customHeight="1" x14ac:dyDescent="0.2">
      <c r="A28" s="294"/>
      <c r="B28" s="6" t="s">
        <v>900</v>
      </c>
      <c r="C28" s="294"/>
      <c r="D28" s="317"/>
      <c r="E28" s="294"/>
      <c r="F28" s="302">
        <f t="shared" ref="F28:AO28" si="11">SUMIFS(F$35:F$169,$E$35:$E$169,"=6", $D$35:$D$169,"OFICIAL")</f>
        <v>233</v>
      </c>
      <c r="G28" s="302">
        <f t="shared" si="11"/>
        <v>498</v>
      </c>
      <c r="H28" s="302">
        <f t="shared" si="11"/>
        <v>481</v>
      </c>
      <c r="I28" s="302">
        <f t="shared" si="11"/>
        <v>481</v>
      </c>
      <c r="J28" s="302">
        <f t="shared" si="11"/>
        <v>489</v>
      </c>
      <c r="K28" s="302">
        <f t="shared" si="11"/>
        <v>485</v>
      </c>
      <c r="L28" s="302">
        <f t="shared" si="11"/>
        <v>477</v>
      </c>
      <c r="M28" s="302">
        <f t="shared" si="11"/>
        <v>469</v>
      </c>
      <c r="N28" s="302">
        <f t="shared" si="11"/>
        <v>551</v>
      </c>
      <c r="O28" s="302">
        <f t="shared" si="11"/>
        <v>548</v>
      </c>
      <c r="P28" s="302">
        <f t="shared" si="11"/>
        <v>538</v>
      </c>
      <c r="Q28" s="302">
        <f t="shared" si="11"/>
        <v>533</v>
      </c>
      <c r="R28" s="302">
        <f t="shared" si="11"/>
        <v>563</v>
      </c>
      <c r="S28" s="302">
        <f t="shared" si="11"/>
        <v>559</v>
      </c>
      <c r="T28" s="302">
        <f t="shared" si="11"/>
        <v>556</v>
      </c>
      <c r="U28" s="302">
        <f t="shared" si="11"/>
        <v>544</v>
      </c>
      <c r="V28" s="302">
        <f t="shared" si="11"/>
        <v>542</v>
      </c>
      <c r="W28" s="302">
        <f t="shared" si="11"/>
        <v>509</v>
      </c>
      <c r="X28" s="302">
        <f t="shared" si="11"/>
        <v>497</v>
      </c>
      <c r="Y28" s="302">
        <f t="shared" si="11"/>
        <v>497</v>
      </c>
      <c r="Z28" s="302">
        <f t="shared" si="11"/>
        <v>582</v>
      </c>
      <c r="AA28" s="302">
        <f t="shared" si="11"/>
        <v>550</v>
      </c>
      <c r="AB28" s="302">
        <f t="shared" si="11"/>
        <v>538</v>
      </c>
      <c r="AC28" s="302">
        <f t="shared" si="11"/>
        <v>538</v>
      </c>
      <c r="AD28" s="302">
        <f t="shared" si="11"/>
        <v>586</v>
      </c>
      <c r="AE28" s="302">
        <f t="shared" si="11"/>
        <v>546</v>
      </c>
      <c r="AF28" s="302">
        <f t="shared" si="11"/>
        <v>539</v>
      </c>
      <c r="AG28" s="302">
        <f t="shared" si="11"/>
        <v>539</v>
      </c>
      <c r="AH28" s="302">
        <f t="shared" si="11"/>
        <v>499</v>
      </c>
      <c r="AI28" s="302">
        <f t="shared" si="11"/>
        <v>525</v>
      </c>
      <c r="AJ28" s="302">
        <f t="shared" si="11"/>
        <v>507</v>
      </c>
      <c r="AK28" s="302">
        <f t="shared" si="11"/>
        <v>507</v>
      </c>
      <c r="AL28" s="302">
        <f t="shared" si="11"/>
        <v>643</v>
      </c>
      <c r="AM28" s="302">
        <f t="shared" si="11"/>
        <v>622</v>
      </c>
      <c r="AN28" s="302">
        <f t="shared" si="11"/>
        <v>601</v>
      </c>
      <c r="AO28" s="302">
        <f t="shared" si="11"/>
        <v>601</v>
      </c>
    </row>
    <row r="29" spans="1:41" ht="24.95" customHeight="1" x14ac:dyDescent="0.2">
      <c r="A29" s="294"/>
      <c r="B29" s="6" t="s">
        <v>901</v>
      </c>
      <c r="C29" s="294"/>
      <c r="D29" s="317"/>
      <c r="E29" s="294"/>
      <c r="F29" s="302">
        <f t="shared" ref="F29:AO29" si="12">SUMIFS(F$35:F$169,$E$35:$E$169,"=1", $D$35:$D$169,"NO OFICIAL")</f>
        <v>541</v>
      </c>
      <c r="G29" s="302">
        <f t="shared" si="12"/>
        <v>558</v>
      </c>
      <c r="H29" s="302">
        <f t="shared" si="12"/>
        <v>545</v>
      </c>
      <c r="I29" s="302">
        <f t="shared" si="12"/>
        <v>545</v>
      </c>
      <c r="J29" s="302">
        <f t="shared" si="12"/>
        <v>503</v>
      </c>
      <c r="K29" s="302">
        <f t="shared" si="12"/>
        <v>500</v>
      </c>
      <c r="L29" s="302">
        <f t="shared" si="12"/>
        <v>498</v>
      </c>
      <c r="M29" s="302">
        <f t="shared" si="12"/>
        <v>496</v>
      </c>
      <c r="N29" s="302">
        <f t="shared" si="12"/>
        <v>476</v>
      </c>
      <c r="O29" s="302">
        <f t="shared" si="12"/>
        <v>468</v>
      </c>
      <c r="P29" s="302">
        <f t="shared" si="12"/>
        <v>464</v>
      </c>
      <c r="Q29" s="302">
        <f t="shared" si="12"/>
        <v>460</v>
      </c>
      <c r="R29" s="302">
        <f t="shared" si="12"/>
        <v>488</v>
      </c>
      <c r="S29" s="302">
        <f t="shared" si="12"/>
        <v>486</v>
      </c>
      <c r="T29" s="302">
        <f t="shared" si="12"/>
        <v>484</v>
      </c>
      <c r="U29" s="302">
        <f t="shared" si="12"/>
        <v>479</v>
      </c>
      <c r="V29" s="302">
        <f t="shared" si="12"/>
        <v>490</v>
      </c>
      <c r="W29" s="302">
        <f t="shared" si="12"/>
        <v>482</v>
      </c>
      <c r="X29" s="302">
        <f t="shared" si="12"/>
        <v>481</v>
      </c>
      <c r="Y29" s="302">
        <f t="shared" si="12"/>
        <v>481</v>
      </c>
      <c r="Z29" s="302">
        <f t="shared" si="12"/>
        <v>539</v>
      </c>
      <c r="AA29" s="302">
        <f t="shared" si="12"/>
        <v>544</v>
      </c>
      <c r="AB29" s="302">
        <f t="shared" si="12"/>
        <v>540</v>
      </c>
      <c r="AC29" s="302">
        <f t="shared" si="12"/>
        <v>540</v>
      </c>
      <c r="AD29" s="302">
        <f t="shared" si="12"/>
        <v>495</v>
      </c>
      <c r="AE29" s="302">
        <f t="shared" si="12"/>
        <v>561</v>
      </c>
      <c r="AF29" s="302">
        <f t="shared" si="12"/>
        <v>559</v>
      </c>
      <c r="AG29" s="302">
        <f t="shared" si="12"/>
        <v>559</v>
      </c>
      <c r="AH29" s="302">
        <f t="shared" si="12"/>
        <v>523</v>
      </c>
      <c r="AI29" s="302">
        <f t="shared" si="12"/>
        <v>520</v>
      </c>
      <c r="AJ29" s="302">
        <f t="shared" si="12"/>
        <v>514</v>
      </c>
      <c r="AK29" s="302">
        <f t="shared" si="12"/>
        <v>514</v>
      </c>
      <c r="AL29" s="302">
        <f t="shared" si="12"/>
        <v>535</v>
      </c>
      <c r="AM29" s="302">
        <f t="shared" si="12"/>
        <v>535</v>
      </c>
      <c r="AN29" s="302">
        <f t="shared" si="12"/>
        <v>532</v>
      </c>
      <c r="AO29" s="302">
        <f t="shared" si="12"/>
        <v>532</v>
      </c>
    </row>
    <row r="30" spans="1:41" ht="24.95" customHeight="1" x14ac:dyDescent="0.2">
      <c r="A30" s="294"/>
      <c r="B30" s="6" t="s">
        <v>902</v>
      </c>
      <c r="C30" s="294"/>
      <c r="D30" s="317"/>
      <c r="E30" s="294"/>
      <c r="F30" s="302">
        <f t="shared" ref="F30:AO30" si="13">SUMIFS(F$35:F$169,$E$35:$E$169,"=2", $D$35:$D$169,"NO OFICIAL")</f>
        <v>667</v>
      </c>
      <c r="G30" s="302">
        <f t="shared" si="13"/>
        <v>700</v>
      </c>
      <c r="H30" s="302">
        <f t="shared" si="13"/>
        <v>686</v>
      </c>
      <c r="I30" s="302">
        <f t="shared" si="13"/>
        <v>686</v>
      </c>
      <c r="J30" s="302">
        <f t="shared" si="13"/>
        <v>688</v>
      </c>
      <c r="K30" s="302">
        <f t="shared" si="13"/>
        <v>731</v>
      </c>
      <c r="L30" s="302">
        <f t="shared" si="13"/>
        <v>725</v>
      </c>
      <c r="M30" s="302">
        <f t="shared" si="13"/>
        <v>720</v>
      </c>
      <c r="N30" s="302">
        <f t="shared" si="13"/>
        <v>681</v>
      </c>
      <c r="O30" s="302">
        <f t="shared" si="13"/>
        <v>675</v>
      </c>
      <c r="P30" s="302">
        <f t="shared" si="13"/>
        <v>674</v>
      </c>
      <c r="Q30" s="302">
        <f t="shared" si="13"/>
        <v>670</v>
      </c>
      <c r="R30" s="302">
        <f t="shared" si="13"/>
        <v>642</v>
      </c>
      <c r="S30" s="302">
        <f t="shared" si="13"/>
        <v>635</v>
      </c>
      <c r="T30" s="302">
        <f t="shared" si="13"/>
        <v>633</v>
      </c>
      <c r="U30" s="302">
        <f t="shared" si="13"/>
        <v>619</v>
      </c>
      <c r="V30" s="302">
        <f t="shared" si="13"/>
        <v>677</v>
      </c>
      <c r="W30" s="302">
        <f t="shared" si="13"/>
        <v>894</v>
      </c>
      <c r="X30" s="302">
        <f t="shared" si="13"/>
        <v>870</v>
      </c>
      <c r="Y30" s="302">
        <f t="shared" si="13"/>
        <v>870</v>
      </c>
      <c r="Z30" s="302">
        <f t="shared" si="13"/>
        <v>724</v>
      </c>
      <c r="AA30" s="302">
        <f t="shared" si="13"/>
        <v>744</v>
      </c>
      <c r="AB30" s="302">
        <f t="shared" si="13"/>
        <v>735</v>
      </c>
      <c r="AC30" s="302">
        <f t="shared" si="13"/>
        <v>735</v>
      </c>
      <c r="AD30" s="302">
        <f t="shared" si="13"/>
        <v>582</v>
      </c>
      <c r="AE30" s="302">
        <f t="shared" si="13"/>
        <v>716</v>
      </c>
      <c r="AF30" s="302">
        <f t="shared" si="13"/>
        <v>712</v>
      </c>
      <c r="AG30" s="302">
        <f t="shared" si="13"/>
        <v>712</v>
      </c>
      <c r="AH30" s="302">
        <f t="shared" si="13"/>
        <v>705</v>
      </c>
      <c r="AI30" s="302">
        <f t="shared" si="13"/>
        <v>725</v>
      </c>
      <c r="AJ30" s="302">
        <f t="shared" si="13"/>
        <v>716</v>
      </c>
      <c r="AK30" s="302">
        <f t="shared" si="13"/>
        <v>716</v>
      </c>
      <c r="AL30" s="302">
        <f t="shared" si="13"/>
        <v>682</v>
      </c>
      <c r="AM30" s="302">
        <f t="shared" si="13"/>
        <v>675</v>
      </c>
      <c r="AN30" s="302">
        <f t="shared" si="13"/>
        <v>668</v>
      </c>
      <c r="AO30" s="302">
        <f t="shared" si="13"/>
        <v>668</v>
      </c>
    </row>
    <row r="31" spans="1:41" ht="24.95" customHeight="1" x14ac:dyDescent="0.2">
      <c r="A31" s="294"/>
      <c r="B31" s="6" t="s">
        <v>903</v>
      </c>
      <c r="C31" s="294"/>
      <c r="D31" s="317"/>
      <c r="E31" s="294"/>
      <c r="F31" s="302">
        <f t="shared" ref="F31:AO31" si="14">SUMIFS(F$35:F$169,$E$35:$E$169,"=3", $D$35:$D$169,"NO OFICIAL")</f>
        <v>486</v>
      </c>
      <c r="G31" s="302">
        <f t="shared" si="14"/>
        <v>532</v>
      </c>
      <c r="H31" s="302">
        <f t="shared" si="14"/>
        <v>526</v>
      </c>
      <c r="I31" s="302">
        <f t="shared" si="14"/>
        <v>526</v>
      </c>
      <c r="J31" s="302">
        <f t="shared" si="14"/>
        <v>589</v>
      </c>
      <c r="K31" s="302">
        <f t="shared" si="14"/>
        <v>612</v>
      </c>
      <c r="L31" s="302">
        <f t="shared" si="14"/>
        <v>612</v>
      </c>
      <c r="M31" s="302">
        <f t="shared" si="14"/>
        <v>611</v>
      </c>
      <c r="N31" s="302">
        <f t="shared" si="14"/>
        <v>698</v>
      </c>
      <c r="O31" s="302">
        <f t="shared" si="14"/>
        <v>692</v>
      </c>
      <c r="P31" s="302">
        <f t="shared" si="14"/>
        <v>691</v>
      </c>
      <c r="Q31" s="302">
        <f t="shared" si="14"/>
        <v>684</v>
      </c>
      <c r="R31" s="302">
        <f t="shared" si="14"/>
        <v>671</v>
      </c>
      <c r="S31" s="302">
        <f t="shared" si="14"/>
        <v>697</v>
      </c>
      <c r="T31" s="302">
        <f t="shared" si="14"/>
        <v>692</v>
      </c>
      <c r="U31" s="302">
        <f t="shared" si="14"/>
        <v>680</v>
      </c>
      <c r="V31" s="302">
        <f t="shared" si="14"/>
        <v>752</v>
      </c>
      <c r="W31" s="302">
        <f t="shared" si="14"/>
        <v>744</v>
      </c>
      <c r="X31" s="302">
        <f t="shared" si="14"/>
        <v>737</v>
      </c>
      <c r="Y31" s="302">
        <f t="shared" si="14"/>
        <v>737</v>
      </c>
      <c r="Z31" s="302">
        <f t="shared" si="14"/>
        <v>792</v>
      </c>
      <c r="AA31" s="302">
        <f t="shared" si="14"/>
        <v>789</v>
      </c>
      <c r="AB31" s="302">
        <f t="shared" si="14"/>
        <v>782</v>
      </c>
      <c r="AC31" s="302">
        <f t="shared" si="14"/>
        <v>782</v>
      </c>
      <c r="AD31" s="302">
        <f t="shared" si="14"/>
        <v>816</v>
      </c>
      <c r="AE31" s="302">
        <f t="shared" si="14"/>
        <v>846</v>
      </c>
      <c r="AF31" s="302">
        <f t="shared" si="14"/>
        <v>839</v>
      </c>
      <c r="AG31" s="302">
        <f t="shared" si="14"/>
        <v>839</v>
      </c>
      <c r="AH31" s="302">
        <f t="shared" si="14"/>
        <v>833</v>
      </c>
      <c r="AI31" s="302">
        <f t="shared" si="14"/>
        <v>832</v>
      </c>
      <c r="AJ31" s="302">
        <f t="shared" si="14"/>
        <v>823</v>
      </c>
      <c r="AK31" s="302">
        <f t="shared" si="14"/>
        <v>823</v>
      </c>
      <c r="AL31" s="302">
        <f t="shared" si="14"/>
        <v>851</v>
      </c>
      <c r="AM31" s="302">
        <f t="shared" si="14"/>
        <v>851</v>
      </c>
      <c r="AN31" s="302">
        <f t="shared" si="14"/>
        <v>840</v>
      </c>
      <c r="AO31" s="302">
        <f t="shared" si="14"/>
        <v>840</v>
      </c>
    </row>
    <row r="32" spans="1:41" ht="24.95" customHeight="1" x14ac:dyDescent="0.2">
      <c r="A32" s="294"/>
      <c r="B32" s="6" t="s">
        <v>904</v>
      </c>
      <c r="C32" s="294"/>
      <c r="D32" s="317"/>
      <c r="E32" s="294"/>
      <c r="F32" s="302">
        <f t="shared" ref="F32:AO32" si="15">SUMIFS(F$35:F$169,$E$35:$E$169,"=4", $D$35:$D$169,"NO OFICIAL")</f>
        <v>158</v>
      </c>
      <c r="G32" s="302">
        <f t="shared" si="15"/>
        <v>209</v>
      </c>
      <c r="H32" s="302">
        <f t="shared" si="15"/>
        <v>204</v>
      </c>
      <c r="I32" s="302">
        <f t="shared" si="15"/>
        <v>204</v>
      </c>
      <c r="J32" s="302">
        <f t="shared" si="15"/>
        <v>186</v>
      </c>
      <c r="K32" s="302">
        <f t="shared" si="15"/>
        <v>230</v>
      </c>
      <c r="L32" s="302">
        <f t="shared" si="15"/>
        <v>224</v>
      </c>
      <c r="M32" s="302">
        <f t="shared" si="15"/>
        <v>222</v>
      </c>
      <c r="N32" s="302">
        <f t="shared" si="15"/>
        <v>173</v>
      </c>
      <c r="O32" s="302">
        <f t="shared" si="15"/>
        <v>178</v>
      </c>
      <c r="P32" s="302">
        <f t="shared" si="15"/>
        <v>177</v>
      </c>
      <c r="Q32" s="302">
        <f t="shared" si="15"/>
        <v>175</v>
      </c>
      <c r="R32" s="302">
        <f t="shared" si="15"/>
        <v>177</v>
      </c>
      <c r="S32" s="302">
        <f t="shared" si="15"/>
        <v>232</v>
      </c>
      <c r="T32" s="302">
        <f t="shared" si="15"/>
        <v>230</v>
      </c>
      <c r="U32" s="302">
        <f t="shared" si="15"/>
        <v>228</v>
      </c>
      <c r="V32" s="302">
        <f t="shared" si="15"/>
        <v>180</v>
      </c>
      <c r="W32" s="302">
        <f t="shared" si="15"/>
        <v>171</v>
      </c>
      <c r="X32" s="302">
        <f t="shared" si="15"/>
        <v>169</v>
      </c>
      <c r="Y32" s="302">
        <f t="shared" si="15"/>
        <v>169</v>
      </c>
      <c r="Z32" s="302">
        <f t="shared" si="15"/>
        <v>196</v>
      </c>
      <c r="AA32" s="302">
        <f t="shared" si="15"/>
        <v>203</v>
      </c>
      <c r="AB32" s="302">
        <f t="shared" si="15"/>
        <v>200</v>
      </c>
      <c r="AC32" s="302">
        <f t="shared" si="15"/>
        <v>200</v>
      </c>
      <c r="AD32" s="302">
        <f t="shared" si="15"/>
        <v>110</v>
      </c>
      <c r="AE32" s="302">
        <f t="shared" si="15"/>
        <v>228</v>
      </c>
      <c r="AF32" s="302">
        <f t="shared" si="15"/>
        <v>225</v>
      </c>
      <c r="AG32" s="302">
        <f t="shared" si="15"/>
        <v>225</v>
      </c>
      <c r="AH32" s="302">
        <f t="shared" si="15"/>
        <v>247</v>
      </c>
      <c r="AI32" s="302">
        <f t="shared" si="15"/>
        <v>259</v>
      </c>
      <c r="AJ32" s="302">
        <f t="shared" si="15"/>
        <v>256</v>
      </c>
      <c r="AK32" s="302">
        <f t="shared" si="15"/>
        <v>256</v>
      </c>
      <c r="AL32" s="302">
        <f t="shared" si="15"/>
        <v>275</v>
      </c>
      <c r="AM32" s="302">
        <f t="shared" si="15"/>
        <v>273</v>
      </c>
      <c r="AN32" s="302">
        <f t="shared" si="15"/>
        <v>269</v>
      </c>
      <c r="AO32" s="302">
        <f t="shared" si="15"/>
        <v>269</v>
      </c>
    </row>
    <row r="33" spans="1:41" ht="24.95" customHeight="1" x14ac:dyDescent="0.2">
      <c r="A33" s="294"/>
      <c r="B33" s="6" t="s">
        <v>905</v>
      </c>
      <c r="C33" s="294"/>
      <c r="D33" s="317"/>
      <c r="E33" s="294"/>
      <c r="F33" s="302">
        <f t="shared" ref="F33:AO33" si="16">SUMIFS(F$35:F$169,$E$35:$E$169,"=5", $D$35:$D$169,"NO OFICIAL")</f>
        <v>475</v>
      </c>
      <c r="G33" s="302">
        <f t="shared" si="16"/>
        <v>522</v>
      </c>
      <c r="H33" s="302">
        <f t="shared" si="16"/>
        <v>516</v>
      </c>
      <c r="I33" s="302">
        <f t="shared" si="16"/>
        <v>516</v>
      </c>
      <c r="J33" s="302">
        <f t="shared" si="16"/>
        <v>469</v>
      </c>
      <c r="K33" s="302">
        <f t="shared" si="16"/>
        <v>484</v>
      </c>
      <c r="L33" s="302">
        <f t="shared" si="16"/>
        <v>483</v>
      </c>
      <c r="M33" s="302">
        <f t="shared" si="16"/>
        <v>482</v>
      </c>
      <c r="N33" s="302">
        <f t="shared" si="16"/>
        <v>525</v>
      </c>
      <c r="O33" s="302">
        <f t="shared" si="16"/>
        <v>523</v>
      </c>
      <c r="P33" s="302">
        <f t="shared" si="16"/>
        <v>522</v>
      </c>
      <c r="Q33" s="302">
        <f t="shared" si="16"/>
        <v>521</v>
      </c>
      <c r="R33" s="302">
        <f t="shared" si="16"/>
        <v>531</v>
      </c>
      <c r="S33" s="302">
        <f t="shared" si="16"/>
        <v>524</v>
      </c>
      <c r="T33" s="302">
        <f t="shared" si="16"/>
        <v>524</v>
      </c>
      <c r="U33" s="302">
        <f t="shared" si="16"/>
        <v>520</v>
      </c>
      <c r="V33" s="302">
        <f t="shared" si="16"/>
        <v>568</v>
      </c>
      <c r="W33" s="302">
        <f t="shared" si="16"/>
        <v>560</v>
      </c>
      <c r="X33" s="302">
        <f t="shared" si="16"/>
        <v>560</v>
      </c>
      <c r="Y33" s="302">
        <f t="shared" si="16"/>
        <v>560</v>
      </c>
      <c r="Z33" s="302">
        <f t="shared" si="16"/>
        <v>577</v>
      </c>
      <c r="AA33" s="302">
        <f t="shared" si="16"/>
        <v>573</v>
      </c>
      <c r="AB33" s="302">
        <f t="shared" si="16"/>
        <v>570</v>
      </c>
      <c r="AC33" s="302">
        <f t="shared" si="16"/>
        <v>570</v>
      </c>
      <c r="AD33" s="302">
        <f t="shared" si="16"/>
        <v>605</v>
      </c>
      <c r="AE33" s="302">
        <f t="shared" si="16"/>
        <v>591</v>
      </c>
      <c r="AF33" s="302">
        <f t="shared" si="16"/>
        <v>590</v>
      </c>
      <c r="AG33" s="302">
        <f t="shared" si="16"/>
        <v>590</v>
      </c>
      <c r="AH33" s="302">
        <f t="shared" si="16"/>
        <v>626</v>
      </c>
      <c r="AI33" s="302">
        <f t="shared" si="16"/>
        <v>617</v>
      </c>
      <c r="AJ33" s="302">
        <f t="shared" si="16"/>
        <v>615</v>
      </c>
      <c r="AK33" s="302">
        <f t="shared" si="16"/>
        <v>615</v>
      </c>
      <c r="AL33" s="302">
        <f t="shared" si="16"/>
        <v>604</v>
      </c>
      <c r="AM33" s="302">
        <f t="shared" si="16"/>
        <v>602</v>
      </c>
      <c r="AN33" s="302">
        <f t="shared" si="16"/>
        <v>591</v>
      </c>
      <c r="AO33" s="302">
        <f t="shared" si="16"/>
        <v>591</v>
      </c>
    </row>
    <row r="34" spans="1:41" ht="24.95" customHeight="1" x14ac:dyDescent="0.2">
      <c r="A34" s="294"/>
      <c r="B34" s="6" t="s">
        <v>906</v>
      </c>
      <c r="C34" s="294"/>
      <c r="D34" s="317"/>
      <c r="E34" s="294"/>
      <c r="F34" s="302">
        <f t="shared" ref="F34:AO34" si="17">SUMIFS(F$35:F$169,$E$35:$E$169,"=6", $D$35:$D$169,"NO OFICIAL")</f>
        <v>376</v>
      </c>
      <c r="G34" s="302">
        <f t="shared" si="17"/>
        <v>410</v>
      </c>
      <c r="H34" s="302">
        <f t="shared" si="17"/>
        <v>401</v>
      </c>
      <c r="I34" s="302">
        <f t="shared" si="17"/>
        <v>401</v>
      </c>
      <c r="J34" s="302">
        <f t="shared" si="17"/>
        <v>419</v>
      </c>
      <c r="K34" s="302">
        <f t="shared" si="17"/>
        <v>431</v>
      </c>
      <c r="L34" s="302">
        <f t="shared" si="17"/>
        <v>430</v>
      </c>
      <c r="M34" s="302">
        <f t="shared" si="17"/>
        <v>420</v>
      </c>
      <c r="N34" s="302">
        <f t="shared" si="17"/>
        <v>400</v>
      </c>
      <c r="O34" s="302">
        <f t="shared" si="17"/>
        <v>401</v>
      </c>
      <c r="P34" s="302">
        <f t="shared" si="17"/>
        <v>401</v>
      </c>
      <c r="Q34" s="302">
        <f t="shared" si="17"/>
        <v>387</v>
      </c>
      <c r="R34" s="302">
        <f t="shared" si="17"/>
        <v>489</v>
      </c>
      <c r="S34" s="302">
        <f t="shared" si="17"/>
        <v>489</v>
      </c>
      <c r="T34" s="302">
        <f t="shared" si="17"/>
        <v>488</v>
      </c>
      <c r="U34" s="302">
        <f t="shared" si="17"/>
        <v>465</v>
      </c>
      <c r="V34" s="302">
        <f t="shared" si="17"/>
        <v>518</v>
      </c>
      <c r="W34" s="302">
        <f t="shared" si="17"/>
        <v>512</v>
      </c>
      <c r="X34" s="302">
        <f t="shared" si="17"/>
        <v>511</v>
      </c>
      <c r="Y34" s="302">
        <f t="shared" si="17"/>
        <v>511</v>
      </c>
      <c r="Z34" s="302">
        <f t="shared" si="17"/>
        <v>407</v>
      </c>
      <c r="AA34" s="302">
        <f t="shared" si="17"/>
        <v>546</v>
      </c>
      <c r="AB34" s="302">
        <f t="shared" si="17"/>
        <v>539</v>
      </c>
      <c r="AC34" s="302">
        <f t="shared" si="17"/>
        <v>539</v>
      </c>
      <c r="AD34" s="302">
        <f t="shared" si="17"/>
        <v>665</v>
      </c>
      <c r="AE34" s="302">
        <f t="shared" si="17"/>
        <v>674</v>
      </c>
      <c r="AF34" s="302">
        <f t="shared" si="17"/>
        <v>666</v>
      </c>
      <c r="AG34" s="302">
        <f t="shared" si="17"/>
        <v>666</v>
      </c>
      <c r="AH34" s="302">
        <f t="shared" si="17"/>
        <v>597</v>
      </c>
      <c r="AI34" s="302">
        <f t="shared" si="17"/>
        <v>605</v>
      </c>
      <c r="AJ34" s="302">
        <f t="shared" si="17"/>
        <v>597</v>
      </c>
      <c r="AK34" s="302">
        <f t="shared" si="17"/>
        <v>597</v>
      </c>
      <c r="AL34" s="302">
        <f t="shared" si="17"/>
        <v>587</v>
      </c>
      <c r="AM34" s="302">
        <f t="shared" si="17"/>
        <v>584</v>
      </c>
      <c r="AN34" s="302">
        <f t="shared" si="17"/>
        <v>573</v>
      </c>
      <c r="AO34" s="302">
        <f t="shared" si="17"/>
        <v>573</v>
      </c>
    </row>
    <row r="35" spans="1:41" ht="24.95" customHeight="1" x14ac:dyDescent="0.2">
      <c r="A35" s="1" t="s">
        <v>28</v>
      </c>
      <c r="B35" s="1" t="s">
        <v>0</v>
      </c>
      <c r="C35" s="126" t="s">
        <v>29</v>
      </c>
      <c r="D35" s="2" t="s">
        <v>221</v>
      </c>
      <c r="E35" s="2">
        <v>2</v>
      </c>
      <c r="F35" s="12">
        <v>69</v>
      </c>
      <c r="G35" s="12">
        <v>73</v>
      </c>
      <c r="H35" s="12">
        <v>72</v>
      </c>
      <c r="I35" s="12">
        <v>72</v>
      </c>
      <c r="J35" s="25">
        <v>87</v>
      </c>
      <c r="K35" s="25">
        <v>87</v>
      </c>
      <c r="L35" s="25">
        <v>87</v>
      </c>
      <c r="M35" s="25">
        <v>87</v>
      </c>
      <c r="N35" s="12">
        <v>62</v>
      </c>
      <c r="O35" s="12">
        <v>65</v>
      </c>
      <c r="P35" s="12">
        <v>65</v>
      </c>
      <c r="Q35" s="12">
        <v>65</v>
      </c>
      <c r="R35" s="12">
        <v>77</v>
      </c>
      <c r="S35" s="12">
        <v>71</v>
      </c>
      <c r="T35" s="12">
        <v>71</v>
      </c>
      <c r="U35" s="12">
        <v>71</v>
      </c>
      <c r="V35" s="25">
        <v>62</v>
      </c>
      <c r="W35" s="25">
        <v>60</v>
      </c>
      <c r="X35" s="25">
        <v>59</v>
      </c>
      <c r="Y35" s="25">
        <v>59</v>
      </c>
      <c r="Z35" s="582">
        <v>72</v>
      </c>
      <c r="AA35" s="582">
        <v>75</v>
      </c>
      <c r="AB35" s="582">
        <v>72</v>
      </c>
      <c r="AC35" s="582">
        <v>72</v>
      </c>
      <c r="AD35" s="499"/>
      <c r="AE35" s="499"/>
      <c r="AF35" s="499"/>
      <c r="AG35" s="499"/>
      <c r="AH35" s="499"/>
      <c r="AI35" s="499"/>
      <c r="AJ35" s="499"/>
      <c r="AK35" s="499"/>
      <c r="AL35" s="499"/>
      <c r="AM35" s="499"/>
      <c r="AN35" s="499"/>
      <c r="AO35" s="499"/>
    </row>
    <row r="36" spans="1:41" ht="24.95" customHeight="1" x14ac:dyDescent="0.2">
      <c r="A36" s="14">
        <v>325754800026</v>
      </c>
      <c r="B36" s="1" t="s">
        <v>0</v>
      </c>
      <c r="C36" s="750" t="s">
        <v>1095</v>
      </c>
      <c r="D36" s="2" t="s">
        <v>221</v>
      </c>
      <c r="E36" s="745"/>
      <c r="F36" s="746"/>
      <c r="G36" s="746"/>
      <c r="H36" s="47"/>
      <c r="I36" s="47"/>
      <c r="J36" s="747"/>
      <c r="K36" s="747"/>
      <c r="L36" s="747"/>
      <c r="M36" s="747"/>
      <c r="N36" s="746"/>
      <c r="O36" s="746"/>
      <c r="P36" s="746"/>
      <c r="Q36" s="746"/>
      <c r="R36" s="746"/>
      <c r="S36" s="746"/>
      <c r="T36" s="746"/>
      <c r="U36" s="746"/>
      <c r="V36" s="747"/>
      <c r="W36" s="747"/>
      <c r="X36" s="747"/>
      <c r="Y36" s="747"/>
      <c r="Z36" s="748"/>
      <c r="AA36" s="748"/>
      <c r="AB36" s="748"/>
      <c r="AC36" s="748"/>
      <c r="AD36" s="499"/>
      <c r="AE36" s="499"/>
      <c r="AF36" s="499"/>
      <c r="AG36" s="499"/>
      <c r="AH36" s="499"/>
      <c r="AI36" s="499"/>
      <c r="AJ36" s="499"/>
      <c r="AK36" s="499"/>
      <c r="AL36" s="499"/>
      <c r="AM36" s="499"/>
      <c r="AN36" s="499"/>
      <c r="AO36" s="499"/>
    </row>
    <row r="37" spans="1:41" ht="24.95" customHeight="1" x14ac:dyDescent="0.2">
      <c r="A37" s="14" t="s">
        <v>272</v>
      </c>
      <c r="B37" s="1" t="s">
        <v>0</v>
      </c>
      <c r="C37" s="36" t="s">
        <v>270</v>
      </c>
      <c r="D37" s="35" t="s">
        <v>221</v>
      </c>
      <c r="E37" s="2">
        <v>2</v>
      </c>
      <c r="F37" s="12"/>
      <c r="G37" s="12"/>
      <c r="H37" s="499"/>
      <c r="I37" s="499"/>
      <c r="J37" s="25"/>
      <c r="K37" s="25"/>
      <c r="L37" s="25"/>
      <c r="M37" s="25"/>
      <c r="N37" s="12"/>
      <c r="O37" s="12"/>
      <c r="P37" s="12"/>
      <c r="Q37" s="12"/>
      <c r="R37" s="12"/>
      <c r="S37" s="12"/>
      <c r="T37" s="12"/>
      <c r="U37" s="12"/>
      <c r="V37" s="25">
        <v>0</v>
      </c>
      <c r="W37" s="25">
        <v>2</v>
      </c>
      <c r="X37" s="25">
        <v>2</v>
      </c>
      <c r="Y37" s="25">
        <v>2</v>
      </c>
      <c r="Z37" s="582">
        <v>0</v>
      </c>
      <c r="AA37" s="582">
        <v>2</v>
      </c>
      <c r="AB37" s="582">
        <v>1</v>
      </c>
      <c r="AC37" s="582">
        <v>1</v>
      </c>
      <c r="AD37" s="330">
        <v>0</v>
      </c>
      <c r="AE37" s="330">
        <v>3</v>
      </c>
      <c r="AF37" s="330">
        <v>3</v>
      </c>
      <c r="AG37" s="330">
        <v>3</v>
      </c>
      <c r="AH37" s="530">
        <v>0</v>
      </c>
      <c r="AI37" s="530">
        <v>1</v>
      </c>
      <c r="AJ37" s="530">
        <v>1</v>
      </c>
      <c r="AK37" s="530">
        <v>1</v>
      </c>
      <c r="AL37" s="528">
        <v>0</v>
      </c>
      <c r="AM37" s="528">
        <v>4</v>
      </c>
      <c r="AN37" s="528">
        <v>2</v>
      </c>
      <c r="AO37" s="528">
        <v>2</v>
      </c>
    </row>
    <row r="38" spans="1:41" ht="24.95" customHeight="1" x14ac:dyDescent="0.2">
      <c r="A38" s="312" t="s">
        <v>915</v>
      </c>
      <c r="B38" s="312" t="s">
        <v>0</v>
      </c>
      <c r="C38" s="769" t="s">
        <v>916</v>
      </c>
      <c r="D38" s="35" t="s">
        <v>221</v>
      </c>
      <c r="E38" s="311">
        <v>2</v>
      </c>
      <c r="F38" s="330"/>
      <c r="G38" s="330"/>
      <c r="H38" s="499"/>
      <c r="I38" s="499"/>
      <c r="J38" s="331"/>
      <c r="K38" s="331"/>
      <c r="L38" s="331"/>
      <c r="M38" s="331"/>
      <c r="N38" s="330"/>
      <c r="O38" s="330"/>
      <c r="P38" s="330"/>
      <c r="Q38" s="330"/>
      <c r="R38" s="330"/>
      <c r="S38" s="330"/>
      <c r="T38" s="330"/>
      <c r="U38" s="330"/>
      <c r="V38" s="331"/>
      <c r="W38" s="331"/>
      <c r="X38" s="331"/>
      <c r="Y38" s="331"/>
      <c r="Z38" s="583"/>
      <c r="AA38" s="583"/>
      <c r="AB38" s="583"/>
      <c r="AC38" s="583"/>
      <c r="AD38" s="330">
        <v>0</v>
      </c>
      <c r="AE38" s="330">
        <v>9</v>
      </c>
      <c r="AF38" s="330">
        <v>8</v>
      </c>
      <c r="AG38" s="330">
        <v>8</v>
      </c>
      <c r="AH38" s="530">
        <v>0</v>
      </c>
      <c r="AI38" s="530">
        <v>5</v>
      </c>
      <c r="AJ38" s="530">
        <v>4</v>
      </c>
      <c r="AK38" s="530">
        <v>4</v>
      </c>
      <c r="AL38" s="530"/>
      <c r="AM38" s="530"/>
      <c r="AN38" s="530"/>
      <c r="AO38" s="530"/>
    </row>
    <row r="39" spans="1:41" ht="24.95" customHeight="1" x14ac:dyDescent="0.2">
      <c r="A39" s="13">
        <v>325754001042</v>
      </c>
      <c r="B39" s="1" t="s">
        <v>0</v>
      </c>
      <c r="C39" s="126" t="s">
        <v>34</v>
      </c>
      <c r="D39" s="2" t="s">
        <v>221</v>
      </c>
      <c r="E39" s="2">
        <v>3</v>
      </c>
      <c r="F39" s="12">
        <v>51</v>
      </c>
      <c r="G39" s="12">
        <v>59</v>
      </c>
      <c r="H39" s="12">
        <v>58</v>
      </c>
      <c r="I39" s="12">
        <v>58</v>
      </c>
      <c r="J39" s="25">
        <v>57</v>
      </c>
      <c r="K39" s="25">
        <v>60</v>
      </c>
      <c r="L39" s="25">
        <v>60</v>
      </c>
      <c r="M39" s="25">
        <v>60</v>
      </c>
      <c r="N39" s="12">
        <v>47</v>
      </c>
      <c r="O39" s="12">
        <v>47</v>
      </c>
      <c r="P39" s="12">
        <v>47</v>
      </c>
      <c r="Q39" s="12">
        <v>46</v>
      </c>
      <c r="R39" s="12">
        <v>51</v>
      </c>
      <c r="S39" s="12">
        <v>48</v>
      </c>
      <c r="T39" s="12">
        <v>48</v>
      </c>
      <c r="U39" s="12">
        <v>48</v>
      </c>
      <c r="V39" s="25">
        <v>42</v>
      </c>
      <c r="W39" s="25">
        <v>42</v>
      </c>
      <c r="X39" s="25">
        <v>42</v>
      </c>
      <c r="Y39" s="25">
        <v>42</v>
      </c>
      <c r="Z39" s="582">
        <v>40</v>
      </c>
      <c r="AA39" s="582">
        <v>40</v>
      </c>
      <c r="AB39" s="582">
        <v>40</v>
      </c>
      <c r="AC39" s="582">
        <v>40</v>
      </c>
      <c r="AD39" s="330">
        <v>33</v>
      </c>
      <c r="AE39" s="330">
        <v>34</v>
      </c>
      <c r="AF39" s="330">
        <v>34</v>
      </c>
      <c r="AG39" s="330">
        <v>34</v>
      </c>
      <c r="AH39" s="530">
        <v>25</v>
      </c>
      <c r="AI39" s="530">
        <v>25</v>
      </c>
      <c r="AJ39" s="530">
        <v>25</v>
      </c>
      <c r="AK39" s="530">
        <v>25</v>
      </c>
      <c r="AL39" s="528">
        <v>32</v>
      </c>
      <c r="AM39" s="528">
        <v>32</v>
      </c>
      <c r="AN39" s="528">
        <v>31</v>
      </c>
      <c r="AO39" s="528">
        <v>31</v>
      </c>
    </row>
    <row r="40" spans="1:41" ht="24.95" customHeight="1" x14ac:dyDescent="0.2">
      <c r="A40" s="1" t="s">
        <v>55</v>
      </c>
      <c r="B40" s="1" t="s">
        <v>0</v>
      </c>
      <c r="C40" s="36" t="s">
        <v>271</v>
      </c>
      <c r="D40" s="2" t="s">
        <v>221</v>
      </c>
      <c r="E40" s="2">
        <v>4</v>
      </c>
      <c r="F40" s="12">
        <v>45</v>
      </c>
      <c r="G40" s="12">
        <v>46</v>
      </c>
      <c r="H40" s="12">
        <v>46</v>
      </c>
      <c r="I40" s="12">
        <v>46</v>
      </c>
      <c r="J40" s="25">
        <v>46</v>
      </c>
      <c r="K40" s="25">
        <v>45</v>
      </c>
      <c r="L40" s="25">
        <v>45</v>
      </c>
      <c r="M40" s="25">
        <v>44</v>
      </c>
      <c r="N40" s="12">
        <v>39</v>
      </c>
      <c r="O40" s="12">
        <v>39</v>
      </c>
      <c r="P40" s="12">
        <v>39</v>
      </c>
      <c r="Q40" s="12">
        <v>37</v>
      </c>
      <c r="R40" s="12">
        <v>42</v>
      </c>
      <c r="S40" s="12">
        <v>42</v>
      </c>
      <c r="T40" s="12">
        <v>42</v>
      </c>
      <c r="U40" s="12">
        <v>42</v>
      </c>
      <c r="V40" s="25">
        <v>42</v>
      </c>
      <c r="W40" s="25">
        <v>41</v>
      </c>
      <c r="X40" s="25">
        <v>40</v>
      </c>
      <c r="Y40" s="25">
        <v>40</v>
      </c>
      <c r="Z40" s="582">
        <v>42</v>
      </c>
      <c r="AA40" s="582">
        <v>42</v>
      </c>
      <c r="AB40" s="582">
        <v>41</v>
      </c>
      <c r="AC40" s="582">
        <v>41</v>
      </c>
      <c r="AD40" s="330">
        <v>46</v>
      </c>
      <c r="AE40" s="330">
        <v>46</v>
      </c>
      <c r="AF40" s="330">
        <v>46</v>
      </c>
      <c r="AG40" s="330">
        <v>46</v>
      </c>
      <c r="AH40" s="530">
        <v>41</v>
      </c>
      <c r="AI40" s="530">
        <v>39</v>
      </c>
      <c r="AJ40" s="530">
        <v>39</v>
      </c>
      <c r="AK40" s="530">
        <v>39</v>
      </c>
      <c r="AL40" s="528">
        <v>28</v>
      </c>
      <c r="AM40" s="528">
        <v>27</v>
      </c>
      <c r="AN40" s="528">
        <v>27</v>
      </c>
      <c r="AO40" s="528">
        <v>27</v>
      </c>
    </row>
    <row r="41" spans="1:41" ht="24.95" customHeight="1" x14ac:dyDescent="0.2">
      <c r="A41" s="13">
        <v>325754002057</v>
      </c>
      <c r="B41" s="1" t="s">
        <v>0</v>
      </c>
      <c r="C41" s="126" t="s">
        <v>291</v>
      </c>
      <c r="D41" s="2" t="s">
        <v>221</v>
      </c>
      <c r="E41" s="2">
        <v>5</v>
      </c>
      <c r="F41" s="12"/>
      <c r="G41" s="12"/>
      <c r="H41" s="499"/>
      <c r="I41" s="499"/>
      <c r="J41" s="25"/>
      <c r="K41" s="25"/>
      <c r="L41" s="25"/>
      <c r="M41" s="25"/>
      <c r="N41" s="12">
        <v>18</v>
      </c>
      <c r="O41" s="12">
        <v>19</v>
      </c>
      <c r="P41" s="12">
        <v>18</v>
      </c>
      <c r="Q41" s="12">
        <v>18</v>
      </c>
      <c r="R41" s="12">
        <v>16</v>
      </c>
      <c r="S41" s="12">
        <v>16</v>
      </c>
      <c r="T41" s="12">
        <v>16</v>
      </c>
      <c r="U41" s="12">
        <v>15</v>
      </c>
      <c r="V41" s="25">
        <v>24</v>
      </c>
      <c r="W41" s="25">
        <v>23</v>
      </c>
      <c r="X41" s="25">
        <v>23</v>
      </c>
      <c r="Y41" s="25">
        <v>23</v>
      </c>
      <c r="Z41" s="582">
        <v>25</v>
      </c>
      <c r="AA41" s="582">
        <v>27</v>
      </c>
      <c r="AB41" s="582">
        <v>27</v>
      </c>
      <c r="AC41" s="582">
        <v>27</v>
      </c>
      <c r="AD41" s="330">
        <v>15</v>
      </c>
      <c r="AE41" s="330">
        <v>13</v>
      </c>
      <c r="AF41" s="330">
        <v>13</v>
      </c>
      <c r="AG41" s="330">
        <v>13</v>
      </c>
      <c r="AH41" s="530">
        <v>24</v>
      </c>
      <c r="AI41" s="530">
        <v>22</v>
      </c>
      <c r="AJ41" s="530">
        <v>22</v>
      </c>
      <c r="AK41" s="530">
        <v>22</v>
      </c>
      <c r="AL41" s="528">
        <v>25</v>
      </c>
      <c r="AM41" s="528">
        <v>25</v>
      </c>
      <c r="AN41" s="528">
        <v>25</v>
      </c>
      <c r="AO41" s="528">
        <v>25</v>
      </c>
    </row>
    <row r="42" spans="1:41" ht="24.95" customHeight="1" x14ac:dyDescent="0.2">
      <c r="A42" s="14" t="s">
        <v>273</v>
      </c>
      <c r="B42" s="1" t="s">
        <v>0</v>
      </c>
      <c r="C42" s="36" t="s">
        <v>267</v>
      </c>
      <c r="D42" s="35" t="s">
        <v>221</v>
      </c>
      <c r="E42" s="2">
        <v>6</v>
      </c>
      <c r="F42" s="12"/>
      <c r="G42" s="12"/>
      <c r="H42" s="499"/>
      <c r="I42" s="499"/>
      <c r="J42" s="25"/>
      <c r="K42" s="25"/>
      <c r="L42" s="25"/>
      <c r="M42" s="25"/>
      <c r="N42" s="12"/>
      <c r="O42" s="12"/>
      <c r="P42" s="12"/>
      <c r="Q42" s="12"/>
      <c r="R42" s="12"/>
      <c r="S42" s="12"/>
      <c r="T42" s="12"/>
      <c r="U42" s="12"/>
      <c r="V42" s="25">
        <v>2</v>
      </c>
      <c r="W42" s="25">
        <v>2</v>
      </c>
      <c r="X42" s="25">
        <v>2</v>
      </c>
      <c r="Y42" s="25">
        <v>2</v>
      </c>
      <c r="Z42" s="582">
        <v>1</v>
      </c>
      <c r="AA42" s="582">
        <v>1</v>
      </c>
      <c r="AB42" s="582">
        <v>1</v>
      </c>
      <c r="AC42" s="582">
        <v>1</v>
      </c>
      <c r="AD42" s="330">
        <v>4</v>
      </c>
      <c r="AE42" s="330">
        <v>4</v>
      </c>
      <c r="AF42" s="330">
        <v>4</v>
      </c>
      <c r="AG42" s="330">
        <v>4</v>
      </c>
      <c r="AH42" s="530">
        <v>13</v>
      </c>
      <c r="AI42" s="530">
        <v>13</v>
      </c>
      <c r="AJ42" s="530">
        <v>13</v>
      </c>
      <c r="AK42" s="530">
        <v>13</v>
      </c>
      <c r="AL42" s="528">
        <v>9</v>
      </c>
      <c r="AM42" s="528">
        <v>9</v>
      </c>
      <c r="AN42" s="528">
        <v>8</v>
      </c>
      <c r="AO42" s="528">
        <v>8</v>
      </c>
    </row>
    <row r="43" spans="1:41" ht="24.95" customHeight="1" x14ac:dyDescent="0.2">
      <c r="A43" s="611">
        <v>325754004980</v>
      </c>
      <c r="B43" s="312" t="s">
        <v>0</v>
      </c>
      <c r="C43" s="560" t="s">
        <v>189</v>
      </c>
      <c r="D43" s="35" t="s">
        <v>221</v>
      </c>
      <c r="E43" s="2">
        <v>2</v>
      </c>
      <c r="F43" s="330">
        <v>0</v>
      </c>
      <c r="G43" s="330">
        <v>1</v>
      </c>
      <c r="H43" s="47">
        <v>1</v>
      </c>
      <c r="I43" s="47">
        <v>1</v>
      </c>
      <c r="J43" s="331"/>
      <c r="K43" s="331"/>
      <c r="L43" s="331"/>
      <c r="M43" s="331"/>
      <c r="N43" s="330"/>
      <c r="O43" s="330"/>
      <c r="P43" s="330"/>
      <c r="Q43" s="330"/>
      <c r="R43" s="330"/>
      <c r="S43" s="330"/>
      <c r="T43" s="330"/>
      <c r="U43" s="330"/>
      <c r="V43" s="331">
        <v>0</v>
      </c>
      <c r="W43" s="331">
        <v>1</v>
      </c>
      <c r="X43" s="331">
        <v>1</v>
      </c>
      <c r="Y43" s="331">
        <v>1</v>
      </c>
      <c r="Z43" s="499"/>
      <c r="AA43" s="499"/>
      <c r="AB43" s="499"/>
      <c r="AC43" s="499"/>
      <c r="AD43" s="617"/>
      <c r="AE43" s="617"/>
      <c r="AF43" s="617"/>
      <c r="AG43" s="617"/>
      <c r="AH43" s="530"/>
      <c r="AI43" s="530"/>
      <c r="AJ43" s="530"/>
      <c r="AK43" s="530"/>
      <c r="AL43" s="530"/>
      <c r="AM43" s="530"/>
      <c r="AN43" s="530"/>
      <c r="AO43" s="530"/>
    </row>
    <row r="44" spans="1:41" ht="24.95" customHeight="1" x14ac:dyDescent="0.2">
      <c r="A44" s="1">
        <v>325754005561</v>
      </c>
      <c r="B44" s="1" t="s">
        <v>0</v>
      </c>
      <c r="C44" s="770" t="s">
        <v>918</v>
      </c>
      <c r="D44" s="2" t="s">
        <v>221</v>
      </c>
      <c r="E44" s="311">
        <v>2</v>
      </c>
      <c r="F44" s="12"/>
      <c r="G44" s="12"/>
      <c r="H44" s="613"/>
      <c r="I44" s="613"/>
      <c r="J44" s="25"/>
      <c r="K44" s="25"/>
      <c r="L44" s="25"/>
      <c r="M44" s="25"/>
      <c r="N44" s="12"/>
      <c r="O44" s="12"/>
      <c r="P44" s="12"/>
      <c r="Q44" s="12"/>
      <c r="R44" s="12"/>
      <c r="S44" s="12"/>
      <c r="T44" s="12"/>
      <c r="U44" s="12"/>
      <c r="V44" s="25"/>
      <c r="W44" s="25"/>
      <c r="X44" s="25"/>
      <c r="Y44" s="25"/>
      <c r="Z44" s="584"/>
      <c r="AA44" s="584"/>
      <c r="AB44" s="584"/>
      <c r="AC44" s="584"/>
      <c r="AD44" s="47">
        <v>3</v>
      </c>
      <c r="AE44" s="47">
        <v>3</v>
      </c>
      <c r="AF44" s="47">
        <v>3</v>
      </c>
      <c r="AG44" s="47">
        <v>3</v>
      </c>
      <c r="AH44" s="530">
        <v>8</v>
      </c>
      <c r="AI44" s="530">
        <v>7</v>
      </c>
      <c r="AJ44" s="530">
        <v>7</v>
      </c>
      <c r="AK44" s="530">
        <v>7</v>
      </c>
      <c r="AL44" s="530"/>
      <c r="AM44" s="530"/>
      <c r="AN44" s="530"/>
      <c r="AO44" s="530"/>
    </row>
    <row r="45" spans="1:41" ht="24.95" customHeight="1" x14ac:dyDescent="0.2">
      <c r="A45" s="13" t="s">
        <v>62</v>
      </c>
      <c r="B45" s="1" t="s">
        <v>0</v>
      </c>
      <c r="C45" s="126" t="s">
        <v>63</v>
      </c>
      <c r="D45" s="2" t="s">
        <v>221</v>
      </c>
      <c r="E45" s="2">
        <v>4</v>
      </c>
      <c r="F45" s="12">
        <v>10</v>
      </c>
      <c r="G45" s="12">
        <v>10</v>
      </c>
      <c r="H45" s="12">
        <v>10</v>
      </c>
      <c r="I45" s="12">
        <v>10</v>
      </c>
      <c r="J45" s="25">
        <v>5</v>
      </c>
      <c r="K45" s="25">
        <v>5</v>
      </c>
      <c r="L45" s="25">
        <v>5</v>
      </c>
      <c r="M45" s="25">
        <v>5</v>
      </c>
      <c r="N45" s="12">
        <v>10</v>
      </c>
      <c r="O45" s="12">
        <v>11</v>
      </c>
      <c r="P45" s="12">
        <v>11</v>
      </c>
      <c r="Q45" s="12">
        <v>11</v>
      </c>
      <c r="R45" s="12">
        <v>10</v>
      </c>
      <c r="S45" s="12">
        <v>10</v>
      </c>
      <c r="T45" s="12">
        <v>10</v>
      </c>
      <c r="U45" s="12">
        <v>10</v>
      </c>
      <c r="V45" s="25">
        <v>13</v>
      </c>
      <c r="W45" s="25">
        <v>13</v>
      </c>
      <c r="X45" s="25">
        <v>13</v>
      </c>
      <c r="Y45" s="25">
        <v>13</v>
      </c>
      <c r="Z45" s="582">
        <v>23</v>
      </c>
      <c r="AA45" s="582">
        <v>22</v>
      </c>
      <c r="AB45" s="582">
        <v>21</v>
      </c>
      <c r="AC45" s="582">
        <v>21</v>
      </c>
      <c r="AD45" s="330">
        <v>2</v>
      </c>
      <c r="AE45" s="330">
        <v>26</v>
      </c>
      <c r="AF45" s="330">
        <v>25</v>
      </c>
      <c r="AG45" s="330">
        <v>25</v>
      </c>
      <c r="AH45" s="530">
        <v>19</v>
      </c>
      <c r="AI45" s="530">
        <v>19</v>
      </c>
      <c r="AJ45" s="530">
        <v>19</v>
      </c>
      <c r="AK45" s="530">
        <v>19</v>
      </c>
      <c r="AL45" s="528">
        <v>34</v>
      </c>
      <c r="AM45" s="528">
        <v>34</v>
      </c>
      <c r="AN45" s="528">
        <v>31</v>
      </c>
      <c r="AO45" s="528">
        <v>31</v>
      </c>
    </row>
    <row r="46" spans="1:41" ht="24.95" customHeight="1" x14ac:dyDescent="0.2">
      <c r="A46" s="1" t="s">
        <v>43</v>
      </c>
      <c r="B46" s="1" t="s">
        <v>0</v>
      </c>
      <c r="C46" s="126" t="s">
        <v>44</v>
      </c>
      <c r="D46" s="2" t="s">
        <v>221</v>
      </c>
      <c r="E46" s="2">
        <v>1</v>
      </c>
      <c r="F46" s="12">
        <v>12</v>
      </c>
      <c r="G46" s="12">
        <v>16</v>
      </c>
      <c r="H46" s="12">
        <v>15</v>
      </c>
      <c r="I46" s="12">
        <v>15</v>
      </c>
      <c r="J46" s="25"/>
      <c r="K46" s="25"/>
      <c r="L46" s="25"/>
      <c r="M46" s="25"/>
      <c r="N46" s="12"/>
      <c r="O46" s="12"/>
      <c r="P46" s="12"/>
      <c r="Q46" s="12"/>
      <c r="R46" s="12"/>
      <c r="S46" s="12"/>
      <c r="T46" s="12"/>
      <c r="U46" s="12"/>
      <c r="V46" s="25"/>
      <c r="W46" s="25"/>
      <c r="X46" s="25"/>
      <c r="Y46" s="25"/>
      <c r="Z46" s="499"/>
      <c r="AA46" s="499"/>
      <c r="AB46" s="499"/>
      <c r="AC46" s="499"/>
      <c r="AD46" s="499"/>
      <c r="AE46" s="499"/>
      <c r="AF46" s="499"/>
      <c r="AG46" s="499"/>
      <c r="AH46" s="499"/>
      <c r="AI46" s="499"/>
      <c r="AJ46" s="499"/>
      <c r="AK46" s="499"/>
      <c r="AL46" s="499"/>
      <c r="AM46" s="499"/>
      <c r="AN46" s="499"/>
      <c r="AO46" s="499"/>
    </row>
    <row r="47" spans="1:41" ht="24.95" customHeight="1" x14ac:dyDescent="0.2">
      <c r="A47" s="1" t="s">
        <v>68</v>
      </c>
      <c r="B47" s="1" t="s">
        <v>0</v>
      </c>
      <c r="C47" s="126" t="s">
        <v>69</v>
      </c>
      <c r="D47" s="2" t="s">
        <v>221</v>
      </c>
      <c r="E47" s="2">
        <v>2</v>
      </c>
      <c r="F47" s="12">
        <v>12</v>
      </c>
      <c r="G47" s="12">
        <v>12</v>
      </c>
      <c r="H47" s="12">
        <v>12</v>
      </c>
      <c r="I47" s="12">
        <v>12</v>
      </c>
      <c r="J47" s="25"/>
      <c r="K47" s="25"/>
      <c r="L47" s="25"/>
      <c r="M47" s="25"/>
      <c r="N47" s="12">
        <v>9</v>
      </c>
      <c r="O47" s="12">
        <v>8</v>
      </c>
      <c r="P47" s="12">
        <v>8</v>
      </c>
      <c r="Q47" s="12">
        <v>7</v>
      </c>
      <c r="R47" s="12">
        <v>15</v>
      </c>
      <c r="S47" s="12">
        <v>14</v>
      </c>
      <c r="T47" s="12">
        <v>14</v>
      </c>
      <c r="U47" s="12">
        <v>13</v>
      </c>
      <c r="V47" s="25">
        <v>8</v>
      </c>
      <c r="W47" s="25">
        <v>6</v>
      </c>
      <c r="X47" s="25">
        <v>6</v>
      </c>
      <c r="Y47" s="25">
        <v>6</v>
      </c>
      <c r="Z47" s="582">
        <v>10</v>
      </c>
      <c r="AA47" s="582">
        <v>12</v>
      </c>
      <c r="AB47" s="582">
        <v>12</v>
      </c>
      <c r="AC47" s="582">
        <v>12</v>
      </c>
      <c r="AD47" s="499"/>
      <c r="AE47" s="499"/>
      <c r="AF47" s="499"/>
      <c r="AG47" s="499"/>
      <c r="AH47" s="530">
        <v>6</v>
      </c>
      <c r="AI47" s="530">
        <v>7</v>
      </c>
      <c r="AJ47" s="530">
        <v>7</v>
      </c>
      <c r="AK47" s="530">
        <v>7</v>
      </c>
      <c r="AL47" s="528">
        <v>13</v>
      </c>
      <c r="AM47" s="528">
        <v>13</v>
      </c>
      <c r="AN47" s="528">
        <v>13</v>
      </c>
      <c r="AO47" s="528">
        <v>13</v>
      </c>
    </row>
    <row r="48" spans="1:41" ht="24.95" customHeight="1" x14ac:dyDescent="0.2">
      <c r="A48" s="14" t="s">
        <v>274</v>
      </c>
      <c r="B48" s="1" t="s">
        <v>0</v>
      </c>
      <c r="C48" s="36" t="s">
        <v>268</v>
      </c>
      <c r="D48" s="2" t="s">
        <v>221</v>
      </c>
      <c r="E48" s="2">
        <v>6</v>
      </c>
      <c r="F48" s="12"/>
      <c r="G48" s="12"/>
      <c r="H48" s="499"/>
      <c r="I48" s="499"/>
      <c r="J48" s="25"/>
      <c r="K48" s="25"/>
      <c r="L48" s="25"/>
      <c r="M48" s="25"/>
      <c r="N48" s="12"/>
      <c r="O48" s="12"/>
      <c r="P48" s="12"/>
      <c r="Q48" s="12"/>
      <c r="R48" s="12"/>
      <c r="S48" s="12"/>
      <c r="T48" s="12"/>
      <c r="U48" s="12"/>
      <c r="V48" s="25">
        <v>27</v>
      </c>
      <c r="W48" s="25">
        <v>26</v>
      </c>
      <c r="X48" s="25">
        <v>26</v>
      </c>
      <c r="Y48" s="25">
        <v>26</v>
      </c>
      <c r="Z48" s="582">
        <v>19</v>
      </c>
      <c r="AA48" s="582">
        <v>26</v>
      </c>
      <c r="AB48" s="582">
        <v>26</v>
      </c>
      <c r="AC48" s="582">
        <v>26</v>
      </c>
      <c r="AD48" s="330">
        <v>33</v>
      </c>
      <c r="AE48" s="330">
        <v>32</v>
      </c>
      <c r="AF48" s="330">
        <v>32</v>
      </c>
      <c r="AG48" s="330">
        <v>32</v>
      </c>
      <c r="AH48" s="530">
        <v>31</v>
      </c>
      <c r="AI48" s="530">
        <v>28</v>
      </c>
      <c r="AJ48" s="530">
        <v>28</v>
      </c>
      <c r="AK48" s="530">
        <v>28</v>
      </c>
      <c r="AL48" s="528">
        <v>43</v>
      </c>
      <c r="AM48" s="528">
        <v>42</v>
      </c>
      <c r="AN48" s="528">
        <v>42</v>
      </c>
      <c r="AO48" s="528">
        <v>42</v>
      </c>
    </row>
    <row r="49" spans="1:41" ht="24.95" customHeight="1" x14ac:dyDescent="0.2">
      <c r="A49" s="13">
        <v>125754005189</v>
      </c>
      <c r="B49" s="1" t="s">
        <v>0</v>
      </c>
      <c r="C49" s="126" t="s">
        <v>223</v>
      </c>
      <c r="D49" s="2" t="s">
        <v>221</v>
      </c>
      <c r="E49" s="2">
        <v>3</v>
      </c>
      <c r="F49" s="12"/>
      <c r="G49" s="12"/>
      <c r="H49" s="499"/>
      <c r="I49" s="499"/>
      <c r="J49" s="25">
        <v>127</v>
      </c>
      <c r="K49" s="25">
        <v>127</v>
      </c>
      <c r="L49" s="25">
        <v>127</v>
      </c>
      <c r="M49" s="25">
        <v>127</v>
      </c>
      <c r="N49" s="12">
        <v>125</v>
      </c>
      <c r="O49" s="12">
        <v>124</v>
      </c>
      <c r="P49" s="12">
        <v>123</v>
      </c>
      <c r="Q49" s="12">
        <v>119</v>
      </c>
      <c r="R49" s="12">
        <v>162</v>
      </c>
      <c r="S49" s="12">
        <v>163</v>
      </c>
      <c r="T49" s="12">
        <v>162</v>
      </c>
      <c r="U49" s="12">
        <v>157</v>
      </c>
      <c r="V49" s="25">
        <v>146</v>
      </c>
      <c r="W49" s="25">
        <v>146</v>
      </c>
      <c r="X49" s="25">
        <v>145</v>
      </c>
      <c r="Y49" s="25">
        <v>145</v>
      </c>
      <c r="Z49" s="582">
        <v>149</v>
      </c>
      <c r="AA49" s="582">
        <v>145</v>
      </c>
      <c r="AB49" s="582">
        <v>141</v>
      </c>
      <c r="AC49" s="582">
        <v>141</v>
      </c>
      <c r="AD49" s="330">
        <v>139</v>
      </c>
      <c r="AE49" s="330">
        <v>138</v>
      </c>
      <c r="AF49" s="330">
        <v>136</v>
      </c>
      <c r="AG49" s="330">
        <v>136</v>
      </c>
      <c r="AH49" s="530">
        <v>142</v>
      </c>
      <c r="AI49" s="530">
        <v>141</v>
      </c>
      <c r="AJ49" s="530">
        <v>134</v>
      </c>
      <c r="AK49" s="530">
        <v>134</v>
      </c>
      <c r="AL49" s="528">
        <v>142</v>
      </c>
      <c r="AM49" s="528">
        <v>142</v>
      </c>
      <c r="AN49" s="528">
        <v>138</v>
      </c>
      <c r="AO49" s="528">
        <v>138</v>
      </c>
    </row>
    <row r="50" spans="1:41" ht="24.95" customHeight="1" x14ac:dyDescent="0.2">
      <c r="A50" s="1" t="s">
        <v>125</v>
      </c>
      <c r="B50" s="1" t="s">
        <v>0</v>
      </c>
      <c r="C50" s="126" t="s">
        <v>126</v>
      </c>
      <c r="D50" s="2" t="s">
        <v>221</v>
      </c>
      <c r="E50" s="2">
        <v>2</v>
      </c>
      <c r="F50" s="12">
        <v>167</v>
      </c>
      <c r="G50" s="12">
        <v>167</v>
      </c>
      <c r="H50" s="12">
        <v>167</v>
      </c>
      <c r="I50" s="12">
        <v>167</v>
      </c>
      <c r="J50" s="25">
        <v>146</v>
      </c>
      <c r="K50" s="25">
        <v>144</v>
      </c>
      <c r="L50" s="25">
        <v>144</v>
      </c>
      <c r="M50" s="25">
        <v>144</v>
      </c>
      <c r="N50" s="12">
        <v>138</v>
      </c>
      <c r="O50" s="12">
        <v>137</v>
      </c>
      <c r="P50" s="12">
        <v>136</v>
      </c>
      <c r="Q50" s="12">
        <v>136</v>
      </c>
      <c r="R50" s="12">
        <v>107</v>
      </c>
      <c r="S50" s="12">
        <v>106</v>
      </c>
      <c r="T50" s="12">
        <v>106</v>
      </c>
      <c r="U50" s="12">
        <v>104</v>
      </c>
      <c r="V50" s="25">
        <v>90</v>
      </c>
      <c r="W50" s="25">
        <v>89</v>
      </c>
      <c r="X50" s="25">
        <v>89</v>
      </c>
      <c r="Y50" s="25">
        <v>89</v>
      </c>
      <c r="Z50" s="582">
        <v>132</v>
      </c>
      <c r="AA50" s="582">
        <v>133</v>
      </c>
      <c r="AB50" s="582">
        <v>132</v>
      </c>
      <c r="AC50" s="582">
        <v>132</v>
      </c>
      <c r="AD50" s="330">
        <v>109</v>
      </c>
      <c r="AE50" s="330">
        <v>109</v>
      </c>
      <c r="AF50" s="330">
        <v>109</v>
      </c>
      <c r="AG50" s="330">
        <v>109</v>
      </c>
      <c r="AH50" s="530">
        <v>112</v>
      </c>
      <c r="AI50" s="530">
        <v>112</v>
      </c>
      <c r="AJ50" s="530">
        <v>112</v>
      </c>
      <c r="AK50" s="530">
        <v>112</v>
      </c>
      <c r="AL50" s="528">
        <v>125</v>
      </c>
      <c r="AM50" s="528">
        <v>125</v>
      </c>
      <c r="AN50" s="528">
        <v>124</v>
      </c>
      <c r="AO50" s="528">
        <v>124</v>
      </c>
    </row>
    <row r="51" spans="1:41" ht="24.95" customHeight="1" x14ac:dyDescent="0.2">
      <c r="A51" s="14" t="s">
        <v>275</v>
      </c>
      <c r="B51" s="1" t="s">
        <v>0</v>
      </c>
      <c r="C51" s="36" t="s">
        <v>269</v>
      </c>
      <c r="D51" s="2" t="s">
        <v>221</v>
      </c>
      <c r="E51" s="2">
        <v>2</v>
      </c>
      <c r="F51" s="12"/>
      <c r="G51" s="12"/>
      <c r="H51" s="499"/>
      <c r="I51" s="499"/>
      <c r="J51" s="25"/>
      <c r="K51" s="25"/>
      <c r="L51" s="25"/>
      <c r="M51" s="25"/>
      <c r="N51" s="12"/>
      <c r="O51" s="12"/>
      <c r="P51" s="12"/>
      <c r="Q51" s="12"/>
      <c r="R51" s="12"/>
      <c r="S51" s="12"/>
      <c r="T51" s="12"/>
      <c r="U51" s="12"/>
      <c r="V51" s="25">
        <v>0</v>
      </c>
      <c r="W51" s="25">
        <v>1</v>
      </c>
      <c r="X51" s="25">
        <v>1</v>
      </c>
      <c r="Y51" s="25">
        <v>1</v>
      </c>
      <c r="Z51" s="499"/>
      <c r="AA51" s="499"/>
      <c r="AB51" s="499"/>
      <c r="AC51" s="499"/>
      <c r="AD51" s="499"/>
      <c r="AE51" s="499"/>
      <c r="AF51" s="499"/>
      <c r="AG51" s="499"/>
      <c r="AH51" s="499"/>
      <c r="AI51" s="499"/>
      <c r="AJ51" s="499"/>
      <c r="AK51" s="499"/>
      <c r="AL51" s="499"/>
      <c r="AM51" s="499"/>
      <c r="AN51" s="499"/>
      <c r="AO51" s="499"/>
    </row>
    <row r="52" spans="1:41" ht="24.95" customHeight="1" x14ac:dyDescent="0.2">
      <c r="A52" s="1" t="s">
        <v>133</v>
      </c>
      <c r="B52" s="1" t="s">
        <v>0</v>
      </c>
      <c r="C52" s="126" t="s">
        <v>134</v>
      </c>
      <c r="D52" s="2" t="s">
        <v>221</v>
      </c>
      <c r="E52" s="2">
        <v>5</v>
      </c>
      <c r="F52" s="12">
        <v>23</v>
      </c>
      <c r="G52" s="12">
        <v>24</v>
      </c>
      <c r="H52" s="12">
        <v>24</v>
      </c>
      <c r="I52" s="12">
        <v>24</v>
      </c>
      <c r="J52" s="25">
        <v>18</v>
      </c>
      <c r="K52" s="25">
        <v>18</v>
      </c>
      <c r="L52" s="25">
        <v>18</v>
      </c>
      <c r="M52" s="25">
        <v>18</v>
      </c>
      <c r="N52" s="12">
        <v>18</v>
      </c>
      <c r="O52" s="12">
        <v>18</v>
      </c>
      <c r="P52" s="12">
        <v>18</v>
      </c>
      <c r="Q52" s="12">
        <v>18</v>
      </c>
      <c r="R52" s="12">
        <v>19</v>
      </c>
      <c r="S52" s="12">
        <v>19</v>
      </c>
      <c r="T52" s="12">
        <v>19</v>
      </c>
      <c r="U52" s="12">
        <v>19</v>
      </c>
      <c r="V52" s="25">
        <v>21</v>
      </c>
      <c r="W52" s="25">
        <v>21</v>
      </c>
      <c r="X52" s="25">
        <v>21</v>
      </c>
      <c r="Y52" s="25">
        <v>21</v>
      </c>
      <c r="Z52" s="582">
        <v>21</v>
      </c>
      <c r="AA52" s="582">
        <v>21</v>
      </c>
      <c r="AB52" s="582">
        <v>21</v>
      </c>
      <c r="AC52" s="582">
        <v>21</v>
      </c>
      <c r="AD52" s="330">
        <v>18</v>
      </c>
      <c r="AE52" s="330">
        <v>18</v>
      </c>
      <c r="AF52" s="330">
        <v>18</v>
      </c>
      <c r="AG52" s="330">
        <v>18</v>
      </c>
      <c r="AH52" s="530">
        <v>21</v>
      </c>
      <c r="AI52" s="530">
        <v>21</v>
      </c>
      <c r="AJ52" s="530">
        <v>21</v>
      </c>
      <c r="AK52" s="530">
        <v>21</v>
      </c>
      <c r="AL52" s="528">
        <v>22</v>
      </c>
      <c r="AM52" s="528">
        <v>22</v>
      </c>
      <c r="AN52" s="528">
        <v>21</v>
      </c>
      <c r="AO52" s="528">
        <v>21</v>
      </c>
    </row>
    <row r="53" spans="1:41" ht="24.95" customHeight="1" x14ac:dyDescent="0.2">
      <c r="A53" s="312" t="s">
        <v>919</v>
      </c>
      <c r="B53" s="312" t="s">
        <v>0</v>
      </c>
      <c r="C53" s="126" t="s">
        <v>920</v>
      </c>
      <c r="D53" s="35" t="s">
        <v>221</v>
      </c>
      <c r="E53" s="311">
        <v>6</v>
      </c>
      <c r="F53" s="330"/>
      <c r="G53" s="330"/>
      <c r="H53" s="330"/>
      <c r="I53" s="330"/>
      <c r="J53" s="331"/>
      <c r="K53" s="331"/>
      <c r="L53" s="331"/>
      <c r="M53" s="331"/>
      <c r="N53" s="330"/>
      <c r="O53" s="330"/>
      <c r="P53" s="330"/>
      <c r="Q53" s="330"/>
      <c r="R53" s="330"/>
      <c r="S53" s="330"/>
      <c r="T53" s="330"/>
      <c r="U53" s="330"/>
      <c r="V53" s="331"/>
      <c r="W53" s="331"/>
      <c r="X53" s="331"/>
      <c r="Y53" s="331"/>
      <c r="Z53" s="583"/>
      <c r="AA53" s="583"/>
      <c r="AB53" s="583"/>
      <c r="AC53" s="583"/>
      <c r="AD53" s="330">
        <v>16</v>
      </c>
      <c r="AE53" s="330">
        <v>16</v>
      </c>
      <c r="AF53" s="330">
        <v>16</v>
      </c>
      <c r="AG53" s="330">
        <v>16</v>
      </c>
      <c r="AH53" s="530">
        <v>29</v>
      </c>
      <c r="AI53" s="530">
        <v>29</v>
      </c>
      <c r="AJ53" s="530">
        <v>28</v>
      </c>
      <c r="AK53" s="530">
        <v>28</v>
      </c>
      <c r="AL53" s="528">
        <v>22</v>
      </c>
      <c r="AM53" s="528">
        <v>22</v>
      </c>
      <c r="AN53" s="528">
        <v>22</v>
      </c>
      <c r="AO53" s="528">
        <v>22</v>
      </c>
    </row>
    <row r="54" spans="1:41" ht="24.95" customHeight="1" x14ac:dyDescent="0.2">
      <c r="A54" s="1" t="s">
        <v>100</v>
      </c>
      <c r="B54" s="1" t="s">
        <v>0</v>
      </c>
      <c r="C54" s="126" t="s">
        <v>101</v>
      </c>
      <c r="D54" s="2" t="s">
        <v>221</v>
      </c>
      <c r="E54" s="2">
        <v>1</v>
      </c>
      <c r="F54" s="12">
        <v>59</v>
      </c>
      <c r="G54" s="12">
        <v>62</v>
      </c>
      <c r="H54" s="12">
        <v>60</v>
      </c>
      <c r="I54" s="12">
        <v>60</v>
      </c>
      <c r="J54" s="25">
        <v>52</v>
      </c>
      <c r="K54" s="25">
        <v>49</v>
      </c>
      <c r="L54" s="25">
        <v>49</v>
      </c>
      <c r="M54" s="25">
        <v>48</v>
      </c>
      <c r="N54" s="12">
        <v>59</v>
      </c>
      <c r="O54" s="12">
        <v>57</v>
      </c>
      <c r="P54" s="12">
        <v>57</v>
      </c>
      <c r="Q54" s="12">
        <v>57</v>
      </c>
      <c r="R54" s="12">
        <v>59</v>
      </c>
      <c r="S54" s="12">
        <v>57</v>
      </c>
      <c r="T54" s="12">
        <v>57</v>
      </c>
      <c r="U54" s="12">
        <v>57</v>
      </c>
      <c r="V54" s="25">
        <v>56</v>
      </c>
      <c r="W54" s="25">
        <v>55</v>
      </c>
      <c r="X54" s="25">
        <v>55</v>
      </c>
      <c r="Y54" s="25">
        <v>55</v>
      </c>
      <c r="Z54" s="582">
        <v>59</v>
      </c>
      <c r="AA54" s="582">
        <v>60</v>
      </c>
      <c r="AB54" s="582">
        <v>60</v>
      </c>
      <c r="AC54" s="582">
        <v>60</v>
      </c>
      <c r="AD54" s="330">
        <v>52</v>
      </c>
      <c r="AE54" s="330">
        <v>49</v>
      </c>
      <c r="AF54" s="330">
        <v>47</v>
      </c>
      <c r="AG54" s="330">
        <v>47</v>
      </c>
      <c r="AH54" s="530">
        <v>61</v>
      </c>
      <c r="AI54" s="530">
        <v>60</v>
      </c>
      <c r="AJ54" s="530">
        <v>57</v>
      </c>
      <c r="AK54" s="530">
        <v>57</v>
      </c>
      <c r="AL54" s="528">
        <v>63</v>
      </c>
      <c r="AM54" s="528">
        <v>63</v>
      </c>
      <c r="AN54" s="528">
        <v>63</v>
      </c>
      <c r="AO54" s="528">
        <v>63</v>
      </c>
    </row>
    <row r="55" spans="1:41" ht="24.95" customHeight="1" x14ac:dyDescent="0.2">
      <c r="A55" s="13">
        <v>325754005226</v>
      </c>
      <c r="B55" s="1" t="s">
        <v>0</v>
      </c>
      <c r="C55" s="126" t="s">
        <v>229</v>
      </c>
      <c r="D55" s="2" t="s">
        <v>221</v>
      </c>
      <c r="E55" s="2">
        <v>1</v>
      </c>
      <c r="F55" s="12"/>
      <c r="G55" s="12"/>
      <c r="H55" s="499"/>
      <c r="I55" s="499"/>
      <c r="J55" s="25"/>
      <c r="K55" s="25"/>
      <c r="L55" s="25"/>
      <c r="M55" s="25"/>
      <c r="N55" s="12">
        <v>6</v>
      </c>
      <c r="O55" s="12">
        <v>6</v>
      </c>
      <c r="P55" s="12">
        <v>6</v>
      </c>
      <c r="Q55" s="12">
        <v>6</v>
      </c>
      <c r="R55" s="12">
        <v>11</v>
      </c>
      <c r="S55" s="12">
        <v>11</v>
      </c>
      <c r="T55" s="12">
        <v>11</v>
      </c>
      <c r="U55" s="12">
        <v>10</v>
      </c>
      <c r="V55" s="25">
        <v>10</v>
      </c>
      <c r="W55" s="25">
        <v>10</v>
      </c>
      <c r="X55" s="25">
        <v>10</v>
      </c>
      <c r="Y55" s="25">
        <v>10</v>
      </c>
      <c r="Z55" s="582">
        <v>3</v>
      </c>
      <c r="AA55" s="582">
        <v>3</v>
      </c>
      <c r="AB55" s="582">
        <v>3</v>
      </c>
      <c r="AC55" s="582">
        <v>3</v>
      </c>
      <c r="AD55" s="330">
        <v>10</v>
      </c>
      <c r="AE55" s="330">
        <v>10</v>
      </c>
      <c r="AF55" s="330">
        <v>10</v>
      </c>
      <c r="AG55" s="330">
        <v>10</v>
      </c>
      <c r="AH55" s="530">
        <v>20</v>
      </c>
      <c r="AI55" s="530">
        <v>20</v>
      </c>
      <c r="AJ55" s="530">
        <v>20</v>
      </c>
      <c r="AK55" s="530">
        <v>20</v>
      </c>
      <c r="AL55" s="528">
        <v>8</v>
      </c>
      <c r="AM55" s="528">
        <v>8</v>
      </c>
      <c r="AN55" s="528">
        <v>8</v>
      </c>
      <c r="AO55" s="528">
        <v>8</v>
      </c>
    </row>
    <row r="56" spans="1:41" ht="24.95" customHeight="1" x14ac:dyDescent="0.2">
      <c r="A56" s="1" t="s">
        <v>115</v>
      </c>
      <c r="B56" s="1" t="s">
        <v>0</v>
      </c>
      <c r="C56" s="126" t="s">
        <v>116</v>
      </c>
      <c r="D56" s="2" t="s">
        <v>221</v>
      </c>
      <c r="E56" s="2">
        <v>2</v>
      </c>
      <c r="F56" s="12">
        <v>69</v>
      </c>
      <c r="G56" s="12">
        <v>70</v>
      </c>
      <c r="H56" s="12">
        <v>69</v>
      </c>
      <c r="I56" s="12">
        <v>69</v>
      </c>
      <c r="J56" s="25">
        <v>54</v>
      </c>
      <c r="K56" s="25">
        <v>54</v>
      </c>
      <c r="L56" s="25">
        <v>54</v>
      </c>
      <c r="M56" s="25">
        <v>54</v>
      </c>
      <c r="N56" s="12">
        <v>74</v>
      </c>
      <c r="O56" s="12">
        <v>73</v>
      </c>
      <c r="P56" s="12">
        <v>73</v>
      </c>
      <c r="Q56" s="12">
        <v>73</v>
      </c>
      <c r="R56" s="12">
        <v>64</v>
      </c>
      <c r="S56" s="12">
        <v>64</v>
      </c>
      <c r="T56" s="12">
        <v>64</v>
      </c>
      <c r="U56" s="12">
        <v>64</v>
      </c>
      <c r="V56" s="25">
        <v>77</v>
      </c>
      <c r="W56" s="25">
        <v>76</v>
      </c>
      <c r="X56" s="25">
        <v>76</v>
      </c>
      <c r="Y56" s="25">
        <v>76</v>
      </c>
      <c r="Z56" s="582">
        <v>61</v>
      </c>
      <c r="AA56" s="582">
        <v>60</v>
      </c>
      <c r="AB56" s="582">
        <v>60</v>
      </c>
      <c r="AC56" s="582">
        <v>60</v>
      </c>
      <c r="AD56" s="330">
        <v>65</v>
      </c>
      <c r="AE56" s="330">
        <v>79</v>
      </c>
      <c r="AF56" s="330">
        <v>79</v>
      </c>
      <c r="AG56" s="330">
        <v>79</v>
      </c>
      <c r="AH56" s="530">
        <v>81</v>
      </c>
      <c r="AI56" s="530">
        <v>80</v>
      </c>
      <c r="AJ56" s="530">
        <v>80</v>
      </c>
      <c r="AK56" s="530">
        <v>80</v>
      </c>
      <c r="AL56" s="528">
        <v>81</v>
      </c>
      <c r="AM56" s="528">
        <v>82</v>
      </c>
      <c r="AN56" s="528">
        <v>82</v>
      </c>
      <c r="AO56" s="528">
        <v>82</v>
      </c>
    </row>
    <row r="57" spans="1:41" ht="24.95" customHeight="1" x14ac:dyDescent="0.2">
      <c r="A57" s="1" t="s">
        <v>150</v>
      </c>
      <c r="B57" s="1" t="s">
        <v>0</v>
      </c>
      <c r="C57" s="126" t="s">
        <v>151</v>
      </c>
      <c r="D57" s="2" t="s">
        <v>221</v>
      </c>
      <c r="E57" s="2">
        <v>3</v>
      </c>
      <c r="F57" s="12">
        <v>26</v>
      </c>
      <c r="G57" s="12">
        <v>27</v>
      </c>
      <c r="H57" s="12">
        <v>27</v>
      </c>
      <c r="I57" s="12">
        <v>27</v>
      </c>
      <c r="J57" s="25">
        <v>14</v>
      </c>
      <c r="K57" s="25">
        <v>14</v>
      </c>
      <c r="L57" s="25">
        <v>14</v>
      </c>
      <c r="M57" s="25">
        <v>14</v>
      </c>
      <c r="N57" s="12">
        <v>23</v>
      </c>
      <c r="O57" s="12">
        <v>23</v>
      </c>
      <c r="P57" s="12">
        <v>23</v>
      </c>
      <c r="Q57" s="12">
        <v>23</v>
      </c>
      <c r="R57" s="12">
        <v>22</v>
      </c>
      <c r="S57" s="12">
        <v>22</v>
      </c>
      <c r="T57" s="12">
        <v>22</v>
      </c>
      <c r="U57" s="12">
        <v>22</v>
      </c>
      <c r="V57" s="25">
        <v>31</v>
      </c>
      <c r="W57" s="25">
        <v>30</v>
      </c>
      <c r="X57" s="25">
        <v>29</v>
      </c>
      <c r="Y57" s="25">
        <v>29</v>
      </c>
      <c r="Z57" s="582">
        <v>45</v>
      </c>
      <c r="AA57" s="582">
        <v>46</v>
      </c>
      <c r="AB57" s="582">
        <v>46</v>
      </c>
      <c r="AC57" s="582">
        <v>46</v>
      </c>
      <c r="AD57" s="330">
        <v>3</v>
      </c>
      <c r="AE57" s="330">
        <v>41</v>
      </c>
      <c r="AF57" s="330">
        <v>39</v>
      </c>
      <c r="AG57" s="330">
        <v>39</v>
      </c>
      <c r="AH57" s="530">
        <v>38</v>
      </c>
      <c r="AI57" s="530">
        <v>39</v>
      </c>
      <c r="AJ57" s="530">
        <v>38</v>
      </c>
      <c r="AK57" s="530">
        <v>38</v>
      </c>
      <c r="AL57" s="528">
        <v>34</v>
      </c>
      <c r="AM57" s="528">
        <v>36</v>
      </c>
      <c r="AN57" s="528">
        <v>35</v>
      </c>
      <c r="AO57" s="528">
        <v>35</v>
      </c>
    </row>
    <row r="58" spans="1:41" ht="24.95" customHeight="1" x14ac:dyDescent="0.2">
      <c r="A58" s="312"/>
      <c r="B58" s="312"/>
      <c r="C58" s="126" t="s">
        <v>843</v>
      </c>
      <c r="D58" s="2" t="s">
        <v>221</v>
      </c>
      <c r="E58" s="2">
        <v>4</v>
      </c>
      <c r="F58" s="330"/>
      <c r="G58" s="330"/>
      <c r="H58" s="330"/>
      <c r="I58" s="330"/>
      <c r="J58" s="331"/>
      <c r="K58" s="331"/>
      <c r="L58" s="331"/>
      <c r="M58" s="331"/>
      <c r="N58" s="330"/>
      <c r="O58" s="330"/>
      <c r="P58" s="330"/>
      <c r="Q58" s="330"/>
      <c r="R58" s="330"/>
      <c r="S58" s="330"/>
      <c r="T58" s="330"/>
      <c r="U58" s="330"/>
      <c r="V58" s="331"/>
      <c r="W58" s="331"/>
      <c r="X58" s="331"/>
      <c r="Y58" s="331"/>
      <c r="Z58" s="583"/>
      <c r="AA58" s="583"/>
      <c r="AB58" s="583"/>
      <c r="AC58" s="583"/>
      <c r="AD58" s="330"/>
      <c r="AE58" s="330"/>
      <c r="AF58" s="330"/>
      <c r="AG58" s="330"/>
      <c r="AH58" s="499"/>
      <c r="AI58" s="499"/>
      <c r="AJ58" s="499"/>
      <c r="AK58" s="499"/>
      <c r="AL58" s="499"/>
      <c r="AM58" s="499"/>
      <c r="AN58" s="499"/>
      <c r="AO58" s="499"/>
    </row>
    <row r="59" spans="1:41" ht="24.95" customHeight="1" x14ac:dyDescent="0.2">
      <c r="A59" s="1" t="s">
        <v>198</v>
      </c>
      <c r="B59" s="1" t="s">
        <v>0</v>
      </c>
      <c r="C59" s="126" t="s">
        <v>199</v>
      </c>
      <c r="D59" s="2" t="s">
        <v>221</v>
      </c>
      <c r="E59" s="2">
        <v>3</v>
      </c>
      <c r="F59" s="12">
        <v>105</v>
      </c>
      <c r="G59" s="12">
        <v>106</v>
      </c>
      <c r="H59" s="12">
        <v>105</v>
      </c>
      <c r="I59" s="12">
        <v>105</v>
      </c>
      <c r="J59" s="25">
        <v>122</v>
      </c>
      <c r="K59" s="25">
        <v>122</v>
      </c>
      <c r="L59" s="25">
        <v>122</v>
      </c>
      <c r="M59" s="25">
        <v>122</v>
      </c>
      <c r="N59" s="12">
        <v>187</v>
      </c>
      <c r="O59" s="12">
        <v>185</v>
      </c>
      <c r="P59" s="12">
        <v>185</v>
      </c>
      <c r="Q59" s="12">
        <v>185</v>
      </c>
      <c r="R59" s="12">
        <v>134</v>
      </c>
      <c r="S59" s="12">
        <v>134</v>
      </c>
      <c r="T59" s="12">
        <v>134</v>
      </c>
      <c r="U59" s="12">
        <v>134</v>
      </c>
      <c r="V59" s="25">
        <v>153</v>
      </c>
      <c r="W59" s="25">
        <v>153</v>
      </c>
      <c r="X59" s="25">
        <v>152</v>
      </c>
      <c r="Y59" s="25">
        <v>152</v>
      </c>
      <c r="Z59" s="582">
        <v>168</v>
      </c>
      <c r="AA59" s="582">
        <v>169</v>
      </c>
      <c r="AB59" s="582">
        <v>168</v>
      </c>
      <c r="AC59" s="582">
        <v>168</v>
      </c>
      <c r="AD59" s="330">
        <v>203</v>
      </c>
      <c r="AE59" s="330">
        <v>200</v>
      </c>
      <c r="AF59" s="330">
        <v>200</v>
      </c>
      <c r="AG59" s="330">
        <v>200</v>
      </c>
      <c r="AH59" s="530">
        <v>174</v>
      </c>
      <c r="AI59" s="530">
        <v>174</v>
      </c>
      <c r="AJ59" s="530">
        <v>174</v>
      </c>
      <c r="AK59" s="530">
        <v>174</v>
      </c>
      <c r="AL59" s="528">
        <v>181</v>
      </c>
      <c r="AM59" s="528">
        <v>180</v>
      </c>
      <c r="AN59" s="528">
        <v>180</v>
      </c>
      <c r="AO59" s="528">
        <v>180</v>
      </c>
    </row>
    <row r="60" spans="1:41" ht="24.95" customHeight="1" x14ac:dyDescent="0.2">
      <c r="A60" s="1" t="s">
        <v>173</v>
      </c>
      <c r="B60" s="1" t="s">
        <v>0</v>
      </c>
      <c r="C60" s="126" t="s">
        <v>174</v>
      </c>
      <c r="D60" s="2" t="s">
        <v>221</v>
      </c>
      <c r="E60" s="2">
        <v>2</v>
      </c>
      <c r="F60" s="12">
        <v>39</v>
      </c>
      <c r="G60" s="12">
        <v>39</v>
      </c>
      <c r="H60" s="12">
        <v>39</v>
      </c>
      <c r="I60" s="12">
        <v>39</v>
      </c>
      <c r="J60" s="25">
        <v>32</v>
      </c>
      <c r="K60" s="25">
        <v>32</v>
      </c>
      <c r="L60" s="25">
        <v>31</v>
      </c>
      <c r="M60" s="25">
        <v>30</v>
      </c>
      <c r="N60" s="12">
        <v>37</v>
      </c>
      <c r="O60" s="12">
        <v>36</v>
      </c>
      <c r="P60" s="12">
        <v>36</v>
      </c>
      <c r="Q60" s="12">
        <v>36</v>
      </c>
      <c r="R60" s="12">
        <v>26</v>
      </c>
      <c r="S60" s="12">
        <v>26</v>
      </c>
      <c r="T60" s="12">
        <v>26</v>
      </c>
      <c r="U60" s="12">
        <v>26</v>
      </c>
      <c r="V60" s="25">
        <v>37</v>
      </c>
      <c r="W60" s="25">
        <v>36</v>
      </c>
      <c r="X60" s="25">
        <v>36</v>
      </c>
      <c r="Y60" s="25">
        <v>36</v>
      </c>
      <c r="Z60" s="582">
        <v>32</v>
      </c>
      <c r="AA60" s="582">
        <v>32</v>
      </c>
      <c r="AB60" s="582">
        <v>32</v>
      </c>
      <c r="AC60" s="582">
        <v>32</v>
      </c>
      <c r="AD60" s="330">
        <v>39</v>
      </c>
      <c r="AE60" s="330">
        <v>38</v>
      </c>
      <c r="AF60" s="330">
        <v>38</v>
      </c>
      <c r="AG60" s="330">
        <v>38</v>
      </c>
      <c r="AH60" s="530">
        <v>33</v>
      </c>
      <c r="AI60" s="530">
        <v>33</v>
      </c>
      <c r="AJ60" s="530">
        <v>33</v>
      </c>
      <c r="AK60" s="530">
        <v>33</v>
      </c>
      <c r="AL60" s="528">
        <v>35</v>
      </c>
      <c r="AM60" s="528">
        <v>35</v>
      </c>
      <c r="AN60" s="528">
        <v>35</v>
      </c>
      <c r="AO60" s="528">
        <v>35</v>
      </c>
    </row>
    <row r="61" spans="1:41" ht="24.95" customHeight="1" x14ac:dyDescent="0.2">
      <c r="A61" s="1" t="s">
        <v>83</v>
      </c>
      <c r="B61" s="1" t="s">
        <v>0</v>
      </c>
      <c r="C61" s="126" t="s">
        <v>84</v>
      </c>
      <c r="D61" s="2" t="s">
        <v>221</v>
      </c>
      <c r="E61" s="2">
        <v>2</v>
      </c>
      <c r="F61" s="12">
        <v>23</v>
      </c>
      <c r="G61" s="12">
        <v>23</v>
      </c>
      <c r="H61" s="12">
        <v>23</v>
      </c>
      <c r="I61" s="12">
        <v>23</v>
      </c>
      <c r="J61" s="25">
        <v>19</v>
      </c>
      <c r="K61" s="25">
        <v>19</v>
      </c>
      <c r="L61" s="25">
        <v>19</v>
      </c>
      <c r="M61" s="25">
        <v>19</v>
      </c>
      <c r="N61" s="12">
        <v>17</v>
      </c>
      <c r="O61" s="12">
        <v>16</v>
      </c>
      <c r="P61" s="12">
        <v>16</v>
      </c>
      <c r="Q61" s="12">
        <v>16</v>
      </c>
      <c r="R61" s="12">
        <v>24</v>
      </c>
      <c r="S61" s="12">
        <v>24</v>
      </c>
      <c r="T61" s="12">
        <v>23</v>
      </c>
      <c r="U61" s="12">
        <v>22</v>
      </c>
      <c r="V61" s="25">
        <v>27</v>
      </c>
      <c r="W61" s="25">
        <v>27</v>
      </c>
      <c r="X61" s="25">
        <v>27</v>
      </c>
      <c r="Y61" s="25">
        <v>27</v>
      </c>
      <c r="Z61" s="582">
        <v>21</v>
      </c>
      <c r="AA61" s="582">
        <v>21</v>
      </c>
      <c r="AB61" s="582">
        <v>21</v>
      </c>
      <c r="AC61" s="582">
        <v>21</v>
      </c>
      <c r="AD61" s="330">
        <v>20</v>
      </c>
      <c r="AE61" s="330">
        <v>20</v>
      </c>
      <c r="AF61" s="330">
        <v>20</v>
      </c>
      <c r="AG61" s="330">
        <v>20</v>
      </c>
      <c r="AH61" s="530">
        <v>17</v>
      </c>
      <c r="AI61" s="530">
        <v>17</v>
      </c>
      <c r="AJ61" s="530">
        <v>17</v>
      </c>
      <c r="AK61" s="530">
        <v>17</v>
      </c>
      <c r="AL61" s="528">
        <v>12</v>
      </c>
      <c r="AM61" s="528">
        <v>12</v>
      </c>
      <c r="AN61" s="528">
        <v>12</v>
      </c>
      <c r="AO61" s="528">
        <v>12</v>
      </c>
    </row>
    <row r="62" spans="1:41" ht="24.95" customHeight="1" x14ac:dyDescent="0.2">
      <c r="A62" s="1" t="s">
        <v>184</v>
      </c>
      <c r="B62" s="1" t="s">
        <v>0</v>
      </c>
      <c r="C62" s="126" t="s">
        <v>185</v>
      </c>
      <c r="D62" s="2" t="s">
        <v>221</v>
      </c>
      <c r="E62" s="2">
        <v>1</v>
      </c>
      <c r="F62" s="12">
        <v>0</v>
      </c>
      <c r="G62" s="12">
        <v>13</v>
      </c>
      <c r="H62" s="12">
        <v>13</v>
      </c>
      <c r="I62" s="12">
        <v>13</v>
      </c>
      <c r="J62" s="25">
        <v>11</v>
      </c>
      <c r="K62" s="25">
        <v>11</v>
      </c>
      <c r="L62" s="25">
        <v>10</v>
      </c>
      <c r="M62" s="25">
        <v>10</v>
      </c>
      <c r="N62" s="12">
        <v>21</v>
      </c>
      <c r="O62" s="12">
        <v>21</v>
      </c>
      <c r="P62" s="12">
        <v>19</v>
      </c>
      <c r="Q62" s="12">
        <v>19</v>
      </c>
      <c r="R62" s="12">
        <v>18</v>
      </c>
      <c r="S62" s="12">
        <v>18</v>
      </c>
      <c r="T62" s="12">
        <v>18</v>
      </c>
      <c r="U62" s="12">
        <v>17</v>
      </c>
      <c r="V62" s="25">
        <v>17</v>
      </c>
      <c r="W62" s="25">
        <v>17</v>
      </c>
      <c r="X62" s="25">
        <v>17</v>
      </c>
      <c r="Y62" s="25">
        <v>17</v>
      </c>
      <c r="Z62" s="582">
        <v>16</v>
      </c>
      <c r="AA62" s="582">
        <v>16</v>
      </c>
      <c r="AB62" s="582">
        <v>16</v>
      </c>
      <c r="AC62" s="582">
        <v>16</v>
      </c>
      <c r="AD62" s="330">
        <v>16</v>
      </c>
      <c r="AE62" s="330">
        <v>16</v>
      </c>
      <c r="AF62" s="330">
        <v>16</v>
      </c>
      <c r="AG62" s="330">
        <v>16</v>
      </c>
      <c r="AH62" s="530">
        <v>9</v>
      </c>
      <c r="AI62" s="530">
        <v>9</v>
      </c>
      <c r="AJ62" s="530">
        <v>9</v>
      </c>
      <c r="AK62" s="530">
        <v>9</v>
      </c>
      <c r="AL62" s="528">
        <v>25</v>
      </c>
      <c r="AM62" s="528">
        <v>25</v>
      </c>
      <c r="AN62" s="528">
        <v>25</v>
      </c>
      <c r="AO62" s="528">
        <v>25</v>
      </c>
    </row>
    <row r="63" spans="1:41" ht="24.95" customHeight="1" x14ac:dyDescent="0.2">
      <c r="A63" s="1" t="s">
        <v>160</v>
      </c>
      <c r="B63" s="1" t="s">
        <v>0</v>
      </c>
      <c r="C63" s="126" t="s">
        <v>161</v>
      </c>
      <c r="D63" s="2" t="s">
        <v>221</v>
      </c>
      <c r="E63" s="2">
        <v>4</v>
      </c>
      <c r="F63" s="12">
        <v>40</v>
      </c>
      <c r="G63" s="12">
        <v>41</v>
      </c>
      <c r="H63" s="12">
        <v>41</v>
      </c>
      <c r="I63" s="12">
        <v>41</v>
      </c>
      <c r="J63" s="25">
        <v>40</v>
      </c>
      <c r="K63" s="25">
        <v>39</v>
      </c>
      <c r="L63" s="25">
        <v>39</v>
      </c>
      <c r="M63" s="25">
        <v>39</v>
      </c>
      <c r="N63" s="12">
        <v>43</v>
      </c>
      <c r="O63" s="12">
        <v>43</v>
      </c>
      <c r="P63" s="12">
        <v>43</v>
      </c>
      <c r="Q63" s="12">
        <v>43</v>
      </c>
      <c r="R63" s="12">
        <v>37</v>
      </c>
      <c r="S63" s="12">
        <v>37</v>
      </c>
      <c r="T63" s="12">
        <v>37</v>
      </c>
      <c r="U63" s="12">
        <v>37</v>
      </c>
      <c r="V63" s="25">
        <v>41</v>
      </c>
      <c r="W63" s="25">
        <v>41</v>
      </c>
      <c r="X63" s="25">
        <v>41</v>
      </c>
      <c r="Y63" s="25">
        <v>41</v>
      </c>
      <c r="Z63" s="582">
        <v>42</v>
      </c>
      <c r="AA63" s="582">
        <v>42</v>
      </c>
      <c r="AB63" s="582">
        <v>42</v>
      </c>
      <c r="AC63" s="582">
        <v>42</v>
      </c>
      <c r="AD63" s="330">
        <v>29</v>
      </c>
      <c r="AE63" s="330">
        <v>38</v>
      </c>
      <c r="AF63" s="330">
        <v>38</v>
      </c>
      <c r="AG63" s="330">
        <v>38</v>
      </c>
      <c r="AH63" s="530">
        <v>43</v>
      </c>
      <c r="AI63" s="530">
        <v>43</v>
      </c>
      <c r="AJ63" s="530">
        <v>43</v>
      </c>
      <c r="AK63" s="530">
        <v>43</v>
      </c>
      <c r="AL63" s="528">
        <v>56</v>
      </c>
      <c r="AM63" s="528">
        <v>56</v>
      </c>
      <c r="AN63" s="528">
        <v>56</v>
      </c>
      <c r="AO63" s="528">
        <v>56</v>
      </c>
    </row>
    <row r="64" spans="1:41" ht="24.95" customHeight="1" x14ac:dyDescent="0.2">
      <c r="A64" s="1" t="s">
        <v>113</v>
      </c>
      <c r="B64" s="1" t="s">
        <v>0</v>
      </c>
      <c r="C64" s="126" t="s">
        <v>114</v>
      </c>
      <c r="D64" s="2" t="s">
        <v>221</v>
      </c>
      <c r="E64" s="2">
        <v>3</v>
      </c>
      <c r="F64" s="12">
        <v>46</v>
      </c>
      <c r="G64" s="12">
        <v>47</v>
      </c>
      <c r="H64" s="12">
        <v>47</v>
      </c>
      <c r="I64" s="12">
        <v>47</v>
      </c>
      <c r="J64" s="25">
        <v>29</v>
      </c>
      <c r="K64" s="25">
        <v>36</v>
      </c>
      <c r="L64" s="25">
        <v>36</v>
      </c>
      <c r="M64" s="25">
        <v>36</v>
      </c>
      <c r="N64" s="12">
        <v>50</v>
      </c>
      <c r="O64" s="12">
        <v>51</v>
      </c>
      <c r="P64" s="12">
        <v>51</v>
      </c>
      <c r="Q64" s="12">
        <v>50</v>
      </c>
      <c r="R64" s="12">
        <v>35</v>
      </c>
      <c r="S64" s="12">
        <v>36</v>
      </c>
      <c r="T64" s="12">
        <v>35</v>
      </c>
      <c r="U64" s="12">
        <v>35</v>
      </c>
      <c r="V64" s="25">
        <v>41</v>
      </c>
      <c r="W64" s="25">
        <v>40</v>
      </c>
      <c r="X64" s="25">
        <v>40</v>
      </c>
      <c r="Y64" s="25">
        <v>40</v>
      </c>
      <c r="Z64" s="582">
        <v>60</v>
      </c>
      <c r="AA64" s="582">
        <v>60</v>
      </c>
      <c r="AB64" s="582">
        <v>60</v>
      </c>
      <c r="AC64" s="582">
        <v>60</v>
      </c>
      <c r="AD64" s="330">
        <v>55</v>
      </c>
      <c r="AE64" s="330">
        <v>55</v>
      </c>
      <c r="AF64" s="330">
        <v>54</v>
      </c>
      <c r="AG64" s="330">
        <v>54</v>
      </c>
      <c r="AH64" s="530">
        <v>63</v>
      </c>
      <c r="AI64" s="530">
        <v>62</v>
      </c>
      <c r="AJ64" s="530">
        <v>61</v>
      </c>
      <c r="AK64" s="530">
        <v>61</v>
      </c>
      <c r="AL64" s="528">
        <v>48</v>
      </c>
      <c r="AM64" s="528">
        <v>48</v>
      </c>
      <c r="AN64" s="528">
        <v>48</v>
      </c>
      <c r="AO64" s="528">
        <v>48</v>
      </c>
    </row>
    <row r="65" spans="1:41" ht="24.95" customHeight="1" x14ac:dyDescent="0.2">
      <c r="A65" s="1" t="s">
        <v>127</v>
      </c>
      <c r="B65" s="1" t="s">
        <v>0</v>
      </c>
      <c r="C65" s="126" t="s">
        <v>128</v>
      </c>
      <c r="D65" s="2" t="s">
        <v>221</v>
      </c>
      <c r="E65" s="2">
        <v>5</v>
      </c>
      <c r="F65" s="12">
        <v>29</v>
      </c>
      <c r="G65" s="12">
        <v>30</v>
      </c>
      <c r="H65" s="12">
        <v>30</v>
      </c>
      <c r="I65" s="12">
        <v>30</v>
      </c>
      <c r="J65" s="25">
        <v>18</v>
      </c>
      <c r="K65" s="25">
        <v>18</v>
      </c>
      <c r="L65" s="25">
        <v>18</v>
      </c>
      <c r="M65" s="25">
        <v>18</v>
      </c>
      <c r="N65" s="12">
        <v>30</v>
      </c>
      <c r="O65" s="12">
        <v>29</v>
      </c>
      <c r="P65" s="12">
        <v>29</v>
      </c>
      <c r="Q65" s="12">
        <v>29</v>
      </c>
      <c r="R65" s="12">
        <v>20</v>
      </c>
      <c r="S65" s="12">
        <v>19</v>
      </c>
      <c r="T65" s="12">
        <v>19</v>
      </c>
      <c r="U65" s="12">
        <v>18</v>
      </c>
      <c r="V65" s="25">
        <v>22</v>
      </c>
      <c r="W65" s="25">
        <v>21</v>
      </c>
      <c r="X65" s="25">
        <v>21</v>
      </c>
      <c r="Y65" s="25">
        <v>21</v>
      </c>
      <c r="Z65" s="582">
        <v>21</v>
      </c>
      <c r="AA65" s="582">
        <v>21</v>
      </c>
      <c r="AB65" s="582">
        <v>21</v>
      </c>
      <c r="AC65" s="582">
        <v>21</v>
      </c>
      <c r="AD65" s="330">
        <v>28</v>
      </c>
      <c r="AE65" s="330">
        <v>28</v>
      </c>
      <c r="AF65" s="330">
        <v>28</v>
      </c>
      <c r="AG65" s="330">
        <v>28</v>
      </c>
      <c r="AH65" s="530">
        <v>28</v>
      </c>
      <c r="AI65" s="530">
        <v>28</v>
      </c>
      <c r="AJ65" s="530">
        <v>28</v>
      </c>
      <c r="AK65" s="530">
        <v>28</v>
      </c>
      <c r="AL65" s="528">
        <v>15</v>
      </c>
      <c r="AM65" s="528">
        <v>15</v>
      </c>
      <c r="AN65" s="528">
        <v>15</v>
      </c>
      <c r="AO65" s="528">
        <v>15</v>
      </c>
    </row>
    <row r="66" spans="1:41" ht="24.95" customHeight="1" x14ac:dyDescent="0.2">
      <c r="A66" s="1" t="s">
        <v>158</v>
      </c>
      <c r="B66" s="1" t="s">
        <v>0</v>
      </c>
      <c r="C66" s="126" t="s">
        <v>159</v>
      </c>
      <c r="D66" s="2" t="s">
        <v>221</v>
      </c>
      <c r="E66" s="2">
        <v>3</v>
      </c>
      <c r="F66" s="12">
        <v>35</v>
      </c>
      <c r="G66" s="12">
        <v>39</v>
      </c>
      <c r="H66" s="12">
        <v>38</v>
      </c>
      <c r="I66" s="12">
        <v>38</v>
      </c>
      <c r="J66" s="25">
        <v>23</v>
      </c>
      <c r="K66" s="25">
        <v>23</v>
      </c>
      <c r="L66" s="25">
        <v>23</v>
      </c>
      <c r="M66" s="25">
        <v>23</v>
      </c>
      <c r="N66" s="12">
        <v>17</v>
      </c>
      <c r="O66" s="12">
        <v>18</v>
      </c>
      <c r="P66" s="12">
        <v>18</v>
      </c>
      <c r="Q66" s="12">
        <v>18</v>
      </c>
      <c r="R66" s="12">
        <v>27</v>
      </c>
      <c r="S66" s="12">
        <v>27</v>
      </c>
      <c r="T66" s="12">
        <v>27</v>
      </c>
      <c r="U66" s="12">
        <v>26</v>
      </c>
      <c r="V66" s="25">
        <v>19</v>
      </c>
      <c r="W66" s="25">
        <v>19</v>
      </c>
      <c r="X66" s="25">
        <v>19</v>
      </c>
      <c r="Y66" s="25">
        <v>19</v>
      </c>
      <c r="Z66" s="582">
        <v>36</v>
      </c>
      <c r="AA66" s="582">
        <v>35</v>
      </c>
      <c r="AB66" s="582">
        <v>35</v>
      </c>
      <c r="AC66" s="582">
        <v>35</v>
      </c>
      <c r="AD66" s="330">
        <v>39</v>
      </c>
      <c r="AE66" s="330">
        <v>39</v>
      </c>
      <c r="AF66" s="330">
        <v>39</v>
      </c>
      <c r="AG66" s="330">
        <v>39</v>
      </c>
      <c r="AH66" s="530">
        <v>42</v>
      </c>
      <c r="AI66" s="530">
        <v>42</v>
      </c>
      <c r="AJ66" s="530">
        <v>42</v>
      </c>
      <c r="AK66" s="530">
        <v>42</v>
      </c>
      <c r="AL66" s="528">
        <v>33</v>
      </c>
      <c r="AM66" s="528">
        <v>33</v>
      </c>
      <c r="AN66" s="528">
        <v>33</v>
      </c>
      <c r="AO66" s="528">
        <v>33</v>
      </c>
    </row>
    <row r="67" spans="1:41" ht="24.95" customHeight="1" x14ac:dyDescent="0.2">
      <c r="A67" s="1" t="s">
        <v>58</v>
      </c>
      <c r="B67" s="1" t="s">
        <v>0</v>
      </c>
      <c r="C67" s="126" t="s">
        <v>59</v>
      </c>
      <c r="D67" s="2" t="s">
        <v>221</v>
      </c>
      <c r="E67" s="2">
        <v>1</v>
      </c>
      <c r="F67" s="12">
        <v>19</v>
      </c>
      <c r="G67" s="12">
        <v>19</v>
      </c>
      <c r="H67" s="12">
        <v>18</v>
      </c>
      <c r="I67" s="12">
        <v>18</v>
      </c>
      <c r="J67" s="25">
        <v>33</v>
      </c>
      <c r="K67" s="25">
        <v>31</v>
      </c>
      <c r="L67" s="25">
        <v>30</v>
      </c>
      <c r="M67" s="25">
        <v>30</v>
      </c>
      <c r="N67" s="12">
        <v>25</v>
      </c>
      <c r="O67" s="12">
        <v>24</v>
      </c>
      <c r="P67" s="12">
        <v>24</v>
      </c>
      <c r="Q67" s="12">
        <v>22</v>
      </c>
      <c r="R67" s="12">
        <v>27</v>
      </c>
      <c r="S67" s="12">
        <v>27</v>
      </c>
      <c r="T67" s="12">
        <v>26</v>
      </c>
      <c r="U67" s="12">
        <v>26</v>
      </c>
      <c r="V67" s="25">
        <v>27</v>
      </c>
      <c r="W67" s="25">
        <v>26</v>
      </c>
      <c r="X67" s="25">
        <v>26</v>
      </c>
      <c r="Y67" s="25">
        <v>26</v>
      </c>
      <c r="Z67" s="582">
        <v>28</v>
      </c>
      <c r="AA67" s="582">
        <v>28</v>
      </c>
      <c r="AB67" s="582">
        <v>28</v>
      </c>
      <c r="AC67" s="582">
        <v>28</v>
      </c>
      <c r="AD67" s="330">
        <v>28</v>
      </c>
      <c r="AE67" s="330">
        <v>28</v>
      </c>
      <c r="AF67" s="330">
        <v>28</v>
      </c>
      <c r="AG67" s="330">
        <v>28</v>
      </c>
      <c r="AH67" s="530">
        <v>22</v>
      </c>
      <c r="AI67" s="530">
        <v>22</v>
      </c>
      <c r="AJ67" s="530">
        <v>22</v>
      </c>
      <c r="AK67" s="530">
        <v>22</v>
      </c>
      <c r="AL67" s="528">
        <v>17</v>
      </c>
      <c r="AM67" s="528">
        <v>17</v>
      </c>
      <c r="AN67" s="528">
        <v>17</v>
      </c>
      <c r="AO67" s="528">
        <v>17</v>
      </c>
    </row>
    <row r="68" spans="1:41" ht="24.95" customHeight="1" x14ac:dyDescent="0.2">
      <c r="A68" s="1" t="s">
        <v>131</v>
      </c>
      <c r="B68" s="1" t="s">
        <v>0</v>
      </c>
      <c r="C68" s="126" t="s">
        <v>132</v>
      </c>
      <c r="D68" s="2" t="s">
        <v>221</v>
      </c>
      <c r="E68" s="2">
        <v>3</v>
      </c>
      <c r="F68" s="12">
        <v>34</v>
      </c>
      <c r="G68" s="12">
        <v>34</v>
      </c>
      <c r="H68" s="12">
        <v>34</v>
      </c>
      <c r="I68" s="12">
        <v>34</v>
      </c>
      <c r="J68" s="25">
        <v>57</v>
      </c>
      <c r="K68" s="25">
        <v>57</v>
      </c>
      <c r="L68" s="25">
        <v>57</v>
      </c>
      <c r="M68" s="25">
        <v>57</v>
      </c>
      <c r="N68" s="12">
        <v>62</v>
      </c>
      <c r="O68" s="12">
        <v>62</v>
      </c>
      <c r="P68" s="12">
        <v>62</v>
      </c>
      <c r="Q68" s="12">
        <v>62</v>
      </c>
      <c r="R68" s="12">
        <v>54</v>
      </c>
      <c r="S68" s="12">
        <v>53</v>
      </c>
      <c r="T68" s="12">
        <v>53</v>
      </c>
      <c r="U68" s="12">
        <v>51</v>
      </c>
      <c r="V68" s="25">
        <v>52</v>
      </c>
      <c r="W68" s="25">
        <v>51</v>
      </c>
      <c r="X68" s="25">
        <v>51</v>
      </c>
      <c r="Y68" s="25">
        <v>51</v>
      </c>
      <c r="Z68" s="582">
        <v>35</v>
      </c>
      <c r="AA68" s="582">
        <v>35</v>
      </c>
      <c r="AB68" s="582">
        <v>35</v>
      </c>
      <c r="AC68" s="582">
        <v>35</v>
      </c>
      <c r="AD68" s="330">
        <v>35</v>
      </c>
      <c r="AE68" s="330">
        <v>35</v>
      </c>
      <c r="AF68" s="330">
        <v>35</v>
      </c>
      <c r="AG68" s="330">
        <v>35</v>
      </c>
      <c r="AH68" s="530">
        <v>58</v>
      </c>
      <c r="AI68" s="530">
        <v>58</v>
      </c>
      <c r="AJ68" s="530">
        <v>58</v>
      </c>
      <c r="AK68" s="530">
        <v>58</v>
      </c>
      <c r="AL68" s="528">
        <v>53</v>
      </c>
      <c r="AM68" s="528">
        <v>53</v>
      </c>
      <c r="AN68" s="528">
        <v>52</v>
      </c>
      <c r="AO68" s="528">
        <v>52</v>
      </c>
    </row>
    <row r="69" spans="1:41" ht="24.95" customHeight="1" x14ac:dyDescent="0.2">
      <c r="A69" s="1" t="s">
        <v>177</v>
      </c>
      <c r="B69" s="1" t="s">
        <v>0</v>
      </c>
      <c r="C69" s="126" t="s">
        <v>178</v>
      </c>
      <c r="D69" s="2" t="s">
        <v>221</v>
      </c>
      <c r="E69" s="2">
        <v>5</v>
      </c>
      <c r="F69" s="12">
        <v>129</v>
      </c>
      <c r="G69" s="12">
        <v>128</v>
      </c>
      <c r="H69" s="12">
        <v>127</v>
      </c>
      <c r="I69" s="12">
        <v>127</v>
      </c>
      <c r="J69" s="25">
        <v>102</v>
      </c>
      <c r="K69" s="25">
        <v>104</v>
      </c>
      <c r="L69" s="25">
        <v>104</v>
      </c>
      <c r="M69" s="25">
        <v>103</v>
      </c>
      <c r="N69" s="12">
        <v>109</v>
      </c>
      <c r="O69" s="12">
        <v>108</v>
      </c>
      <c r="P69" s="12">
        <v>108</v>
      </c>
      <c r="Q69" s="12">
        <v>107</v>
      </c>
      <c r="R69" s="12">
        <v>93</v>
      </c>
      <c r="S69" s="12">
        <v>93</v>
      </c>
      <c r="T69" s="12">
        <v>93</v>
      </c>
      <c r="U69" s="12">
        <v>93</v>
      </c>
      <c r="V69" s="25">
        <v>95</v>
      </c>
      <c r="W69" s="25">
        <v>92</v>
      </c>
      <c r="X69" s="25">
        <v>92</v>
      </c>
      <c r="Y69" s="25">
        <v>92</v>
      </c>
      <c r="Z69" s="582">
        <v>115</v>
      </c>
      <c r="AA69" s="582">
        <v>115</v>
      </c>
      <c r="AB69" s="582">
        <v>114</v>
      </c>
      <c r="AC69" s="582">
        <v>114</v>
      </c>
      <c r="AD69" s="330">
        <v>132</v>
      </c>
      <c r="AE69" s="330">
        <v>127</v>
      </c>
      <c r="AF69" s="330">
        <v>127</v>
      </c>
      <c r="AG69" s="330">
        <v>127</v>
      </c>
      <c r="AH69" s="530">
        <v>92</v>
      </c>
      <c r="AI69" s="530">
        <v>91</v>
      </c>
      <c r="AJ69" s="530">
        <v>91</v>
      </c>
      <c r="AK69" s="530">
        <v>91</v>
      </c>
      <c r="AL69" s="528">
        <v>76</v>
      </c>
      <c r="AM69" s="528">
        <v>76</v>
      </c>
      <c r="AN69" s="528">
        <v>75</v>
      </c>
      <c r="AO69" s="528">
        <v>75</v>
      </c>
    </row>
    <row r="70" spans="1:41" ht="24.95" customHeight="1" x14ac:dyDescent="0.2">
      <c r="A70" s="1" t="s">
        <v>74</v>
      </c>
      <c r="B70" s="1" t="s">
        <v>0</v>
      </c>
      <c r="C70" s="126" t="s">
        <v>75</v>
      </c>
      <c r="D70" s="2" t="s">
        <v>221</v>
      </c>
      <c r="E70" s="2">
        <v>1</v>
      </c>
      <c r="F70" s="12">
        <v>35</v>
      </c>
      <c r="G70" s="12">
        <v>35</v>
      </c>
      <c r="H70" s="12">
        <v>35</v>
      </c>
      <c r="I70" s="12">
        <v>35</v>
      </c>
      <c r="J70" s="25">
        <v>35</v>
      </c>
      <c r="K70" s="25">
        <v>36</v>
      </c>
      <c r="L70" s="25">
        <v>36</v>
      </c>
      <c r="M70" s="25">
        <v>36</v>
      </c>
      <c r="N70" s="12">
        <v>27</v>
      </c>
      <c r="O70" s="12">
        <v>28</v>
      </c>
      <c r="P70" s="12">
        <v>28</v>
      </c>
      <c r="Q70" s="12">
        <v>28</v>
      </c>
      <c r="R70" s="12">
        <v>35</v>
      </c>
      <c r="S70" s="12">
        <v>36</v>
      </c>
      <c r="T70" s="12">
        <v>36</v>
      </c>
      <c r="U70" s="12">
        <v>36</v>
      </c>
      <c r="V70" s="25">
        <v>36</v>
      </c>
      <c r="W70" s="25">
        <v>36</v>
      </c>
      <c r="X70" s="25">
        <v>36</v>
      </c>
      <c r="Y70" s="25">
        <v>36</v>
      </c>
      <c r="Z70" s="582">
        <v>32</v>
      </c>
      <c r="AA70" s="582">
        <v>32</v>
      </c>
      <c r="AB70" s="582">
        <v>32</v>
      </c>
      <c r="AC70" s="582">
        <v>32</v>
      </c>
      <c r="AD70" s="330">
        <v>35</v>
      </c>
      <c r="AE70" s="330">
        <v>33</v>
      </c>
      <c r="AF70" s="330">
        <v>33</v>
      </c>
      <c r="AG70" s="330">
        <v>33</v>
      </c>
      <c r="AH70" s="530">
        <v>29</v>
      </c>
      <c r="AI70" s="530">
        <v>29</v>
      </c>
      <c r="AJ70" s="530">
        <v>29</v>
      </c>
      <c r="AK70" s="530">
        <v>29</v>
      </c>
      <c r="AL70" s="528">
        <v>44</v>
      </c>
      <c r="AM70" s="528">
        <v>44</v>
      </c>
      <c r="AN70" s="528">
        <v>44</v>
      </c>
      <c r="AO70" s="528">
        <v>44</v>
      </c>
    </row>
    <row r="71" spans="1:41" ht="24.95" customHeight="1" x14ac:dyDescent="0.2">
      <c r="A71" s="1" t="s">
        <v>24</v>
      </c>
      <c r="B71" s="1" t="s">
        <v>0</v>
      </c>
      <c r="C71" s="126" t="s">
        <v>25</v>
      </c>
      <c r="D71" s="2" t="s">
        <v>221</v>
      </c>
      <c r="E71" s="2">
        <v>3</v>
      </c>
      <c r="F71" s="12">
        <v>49</v>
      </c>
      <c r="G71" s="12">
        <v>49</v>
      </c>
      <c r="H71" s="12">
        <v>48</v>
      </c>
      <c r="I71" s="12">
        <v>48</v>
      </c>
      <c r="J71" s="25">
        <v>24</v>
      </c>
      <c r="K71" s="25">
        <v>25</v>
      </c>
      <c r="L71" s="25">
        <v>25</v>
      </c>
      <c r="M71" s="25">
        <v>24</v>
      </c>
      <c r="N71" s="12">
        <v>32</v>
      </c>
      <c r="O71" s="12">
        <v>31</v>
      </c>
      <c r="P71" s="12">
        <v>31</v>
      </c>
      <c r="Q71" s="12">
        <v>30</v>
      </c>
      <c r="R71" s="12">
        <v>33</v>
      </c>
      <c r="S71" s="12">
        <v>34</v>
      </c>
      <c r="T71" s="12">
        <v>34</v>
      </c>
      <c r="U71" s="12">
        <v>34</v>
      </c>
      <c r="V71" s="25">
        <v>59</v>
      </c>
      <c r="W71" s="25">
        <v>59</v>
      </c>
      <c r="X71" s="25">
        <v>59</v>
      </c>
      <c r="Y71" s="25">
        <v>59</v>
      </c>
      <c r="Z71" s="582">
        <v>37</v>
      </c>
      <c r="AA71" s="582">
        <v>37</v>
      </c>
      <c r="AB71" s="582">
        <v>36</v>
      </c>
      <c r="AC71" s="582">
        <v>36</v>
      </c>
      <c r="AD71" s="330">
        <v>60</v>
      </c>
      <c r="AE71" s="330">
        <v>57</v>
      </c>
      <c r="AF71" s="330">
        <v>57</v>
      </c>
      <c r="AG71" s="330">
        <v>57</v>
      </c>
      <c r="AH71" s="530">
        <v>49</v>
      </c>
      <c r="AI71" s="530">
        <v>48</v>
      </c>
      <c r="AJ71" s="530">
        <v>48</v>
      </c>
      <c r="AK71" s="530">
        <v>48</v>
      </c>
      <c r="AL71" s="528">
        <v>69</v>
      </c>
      <c r="AM71" s="528">
        <v>69</v>
      </c>
      <c r="AN71" s="528">
        <v>69</v>
      </c>
      <c r="AO71" s="528">
        <v>69</v>
      </c>
    </row>
    <row r="72" spans="1:41" ht="24.95" customHeight="1" x14ac:dyDescent="0.2">
      <c r="A72" s="474" t="s">
        <v>93</v>
      </c>
      <c r="B72" s="474" t="s">
        <v>0</v>
      </c>
      <c r="C72" s="651" t="s">
        <v>94</v>
      </c>
      <c r="D72" s="2" t="s">
        <v>221</v>
      </c>
      <c r="E72" s="250">
        <v>6</v>
      </c>
      <c r="F72" s="255">
        <v>0</v>
      </c>
      <c r="G72" s="255">
        <v>4</v>
      </c>
      <c r="H72" s="255">
        <v>4</v>
      </c>
      <c r="I72" s="255">
        <v>4</v>
      </c>
      <c r="J72" s="257">
        <v>4</v>
      </c>
      <c r="K72" s="257">
        <v>4</v>
      </c>
      <c r="L72" s="257">
        <v>4</v>
      </c>
      <c r="M72" s="257">
        <v>4</v>
      </c>
      <c r="N72" s="255"/>
      <c r="O72" s="255"/>
      <c r="P72" s="255"/>
      <c r="Q72" s="255"/>
      <c r="R72" s="255">
        <v>2</v>
      </c>
      <c r="S72" s="255">
        <v>2</v>
      </c>
      <c r="T72" s="255">
        <v>2</v>
      </c>
      <c r="U72" s="255">
        <v>2</v>
      </c>
      <c r="V72" s="257">
        <v>8</v>
      </c>
      <c r="W72" s="257">
        <v>8</v>
      </c>
      <c r="X72" s="257">
        <v>8</v>
      </c>
      <c r="Y72" s="257">
        <v>8</v>
      </c>
      <c r="Z72" s="615"/>
      <c r="AA72" s="615"/>
      <c r="AB72" s="615"/>
      <c r="AC72" s="615"/>
      <c r="AD72" s="617"/>
      <c r="AE72" s="617"/>
      <c r="AF72" s="617"/>
      <c r="AG72" s="617"/>
      <c r="AH72" s="530">
        <v>3</v>
      </c>
      <c r="AI72" s="530">
        <v>5</v>
      </c>
      <c r="AJ72" s="530">
        <v>5</v>
      </c>
      <c r="AK72" s="530">
        <v>5</v>
      </c>
      <c r="AL72" s="528">
        <v>5</v>
      </c>
      <c r="AM72" s="528">
        <v>5</v>
      </c>
      <c r="AN72" s="528">
        <v>5</v>
      </c>
      <c r="AO72" s="528">
        <v>5</v>
      </c>
    </row>
    <row r="73" spans="1:41" ht="24.95" customHeight="1" x14ac:dyDescent="0.2">
      <c r="A73" s="612" t="s">
        <v>877</v>
      </c>
      <c r="B73" s="612" t="s">
        <v>0</v>
      </c>
      <c r="C73" s="650" t="s">
        <v>878</v>
      </c>
      <c r="D73" s="2" t="s">
        <v>221</v>
      </c>
      <c r="E73" s="2">
        <v>6</v>
      </c>
      <c r="F73" s="12"/>
      <c r="G73" s="12"/>
      <c r="H73" s="12"/>
      <c r="I73" s="12"/>
      <c r="J73" s="25"/>
      <c r="K73" s="25"/>
      <c r="L73" s="25"/>
      <c r="M73" s="25"/>
      <c r="N73" s="12"/>
      <c r="O73" s="12"/>
      <c r="P73" s="12"/>
      <c r="Q73" s="12"/>
      <c r="R73" s="12"/>
      <c r="S73" s="12"/>
      <c r="T73" s="12"/>
      <c r="U73" s="12"/>
      <c r="V73" s="25"/>
      <c r="W73" s="25"/>
      <c r="X73" s="25"/>
      <c r="Y73" s="25"/>
      <c r="Z73" s="584">
        <v>18</v>
      </c>
      <c r="AA73" s="584">
        <v>19</v>
      </c>
      <c r="AB73" s="584">
        <v>18</v>
      </c>
      <c r="AC73" s="584">
        <v>18</v>
      </c>
      <c r="AD73" s="47">
        <v>34</v>
      </c>
      <c r="AE73" s="47">
        <v>32</v>
      </c>
      <c r="AF73" s="47">
        <v>32</v>
      </c>
      <c r="AG73" s="47">
        <v>32</v>
      </c>
      <c r="AH73" s="530">
        <v>29</v>
      </c>
      <c r="AI73" s="530">
        <v>29</v>
      </c>
      <c r="AJ73" s="530">
        <v>29</v>
      </c>
      <c r="AK73" s="530">
        <v>29</v>
      </c>
      <c r="AL73" s="528">
        <v>27</v>
      </c>
      <c r="AM73" s="528">
        <v>27</v>
      </c>
      <c r="AN73" s="528">
        <v>27</v>
      </c>
      <c r="AO73" s="528">
        <v>27</v>
      </c>
    </row>
    <row r="74" spans="1:41" ht="24.95" customHeight="1" x14ac:dyDescent="0.2">
      <c r="A74" s="1" t="s">
        <v>165</v>
      </c>
      <c r="B74" s="1" t="s">
        <v>0</v>
      </c>
      <c r="C74" s="126" t="s">
        <v>166</v>
      </c>
      <c r="D74" s="2" t="s">
        <v>221</v>
      </c>
      <c r="E74" s="2">
        <v>3</v>
      </c>
      <c r="F74" s="12">
        <v>10</v>
      </c>
      <c r="G74" s="12">
        <v>10</v>
      </c>
      <c r="H74" s="12">
        <v>9</v>
      </c>
      <c r="I74" s="12">
        <v>9</v>
      </c>
      <c r="J74" s="25">
        <v>25</v>
      </c>
      <c r="K74" s="25">
        <v>25</v>
      </c>
      <c r="L74" s="25">
        <v>25</v>
      </c>
      <c r="M74" s="25">
        <v>25</v>
      </c>
      <c r="N74" s="12">
        <v>24</v>
      </c>
      <c r="O74" s="12">
        <v>23</v>
      </c>
      <c r="P74" s="12">
        <v>23</v>
      </c>
      <c r="Q74" s="12">
        <v>23</v>
      </c>
      <c r="R74" s="12">
        <v>19</v>
      </c>
      <c r="S74" s="12">
        <v>19</v>
      </c>
      <c r="T74" s="12">
        <v>18</v>
      </c>
      <c r="U74" s="12">
        <v>18</v>
      </c>
      <c r="V74" s="25">
        <v>28</v>
      </c>
      <c r="W74" s="25">
        <v>28</v>
      </c>
      <c r="X74" s="25">
        <v>27</v>
      </c>
      <c r="Y74" s="25">
        <v>27</v>
      </c>
      <c r="Z74" s="582">
        <v>17</v>
      </c>
      <c r="AA74" s="582">
        <v>17</v>
      </c>
      <c r="AB74" s="582">
        <v>17</v>
      </c>
      <c r="AC74" s="582">
        <v>17</v>
      </c>
      <c r="AD74" s="330">
        <v>24</v>
      </c>
      <c r="AE74" s="330">
        <v>24</v>
      </c>
      <c r="AF74" s="330">
        <v>24</v>
      </c>
      <c r="AG74" s="330">
        <v>24</v>
      </c>
      <c r="AH74" s="530">
        <v>25</v>
      </c>
      <c r="AI74" s="530">
        <v>25</v>
      </c>
      <c r="AJ74" s="530">
        <v>25</v>
      </c>
      <c r="AK74" s="530">
        <v>25</v>
      </c>
      <c r="AL74" s="528">
        <v>23</v>
      </c>
      <c r="AM74" s="528">
        <v>23</v>
      </c>
      <c r="AN74" s="528">
        <v>22</v>
      </c>
      <c r="AO74" s="528">
        <v>22</v>
      </c>
    </row>
    <row r="75" spans="1:41" ht="24.95" customHeight="1" x14ac:dyDescent="0.2">
      <c r="A75" s="1" t="s">
        <v>202</v>
      </c>
      <c r="B75" s="1" t="s">
        <v>0</v>
      </c>
      <c r="C75" s="126" t="s">
        <v>203</v>
      </c>
      <c r="D75" s="2" t="s">
        <v>221</v>
      </c>
      <c r="E75" s="2">
        <v>1</v>
      </c>
      <c r="F75" s="12">
        <v>20</v>
      </c>
      <c r="G75" s="12">
        <v>20</v>
      </c>
      <c r="H75" s="12">
        <v>17</v>
      </c>
      <c r="I75" s="12">
        <v>17</v>
      </c>
      <c r="J75" s="25">
        <v>9</v>
      </c>
      <c r="K75" s="25">
        <v>9</v>
      </c>
      <c r="L75" s="25">
        <v>9</v>
      </c>
      <c r="M75" s="25">
        <v>9</v>
      </c>
      <c r="N75" s="12">
        <v>9</v>
      </c>
      <c r="O75" s="12">
        <v>8</v>
      </c>
      <c r="P75" s="12">
        <v>8</v>
      </c>
      <c r="Q75" s="12">
        <v>8</v>
      </c>
      <c r="R75" s="12">
        <v>9</v>
      </c>
      <c r="S75" s="12">
        <v>9</v>
      </c>
      <c r="T75" s="12">
        <v>9</v>
      </c>
      <c r="U75" s="12">
        <v>9</v>
      </c>
      <c r="V75" s="25">
        <v>10</v>
      </c>
      <c r="W75" s="25">
        <v>10</v>
      </c>
      <c r="X75" s="25">
        <v>10</v>
      </c>
      <c r="Y75" s="25">
        <v>10</v>
      </c>
      <c r="Z75" s="582">
        <v>11</v>
      </c>
      <c r="AA75" s="582">
        <v>11</v>
      </c>
      <c r="AB75" s="582">
        <v>11</v>
      </c>
      <c r="AC75" s="582">
        <v>11</v>
      </c>
      <c r="AD75" s="330">
        <v>2</v>
      </c>
      <c r="AE75" s="330">
        <v>25</v>
      </c>
      <c r="AF75" s="330">
        <v>25</v>
      </c>
      <c r="AG75" s="330">
        <v>25</v>
      </c>
      <c r="AH75" s="530">
        <v>22</v>
      </c>
      <c r="AI75" s="530">
        <v>22</v>
      </c>
      <c r="AJ75" s="530">
        <v>22</v>
      </c>
      <c r="AK75" s="530">
        <v>22</v>
      </c>
      <c r="AL75" s="528">
        <v>21</v>
      </c>
      <c r="AM75" s="528">
        <v>21</v>
      </c>
      <c r="AN75" s="528">
        <v>20</v>
      </c>
      <c r="AO75" s="528">
        <v>20</v>
      </c>
    </row>
    <row r="76" spans="1:41" ht="24.95" customHeight="1" x14ac:dyDescent="0.2">
      <c r="A76" s="312" t="s">
        <v>921</v>
      </c>
      <c r="B76" s="312" t="s">
        <v>0</v>
      </c>
      <c r="C76" s="126" t="s">
        <v>922</v>
      </c>
      <c r="D76" s="35" t="s">
        <v>221</v>
      </c>
      <c r="E76" s="311">
        <v>2</v>
      </c>
      <c r="F76" s="330"/>
      <c r="G76" s="330"/>
      <c r="H76" s="330"/>
      <c r="I76" s="330"/>
      <c r="J76" s="331"/>
      <c r="K76" s="331"/>
      <c r="L76" s="331"/>
      <c r="M76" s="331"/>
      <c r="N76" s="330"/>
      <c r="O76" s="330"/>
      <c r="P76" s="330"/>
      <c r="Q76" s="330"/>
      <c r="R76" s="330"/>
      <c r="S76" s="330"/>
      <c r="T76" s="330"/>
      <c r="U76" s="330"/>
      <c r="V76" s="331"/>
      <c r="W76" s="331"/>
      <c r="X76" s="331"/>
      <c r="Y76" s="331"/>
      <c r="Z76" s="583"/>
      <c r="AA76" s="583"/>
      <c r="AB76" s="583"/>
      <c r="AC76" s="583"/>
      <c r="AD76" s="330">
        <v>15</v>
      </c>
      <c r="AE76" s="330">
        <v>15</v>
      </c>
      <c r="AF76" s="330">
        <v>15</v>
      </c>
      <c r="AG76" s="330">
        <v>15</v>
      </c>
      <c r="AH76" s="530">
        <v>21</v>
      </c>
      <c r="AI76" s="530">
        <v>21</v>
      </c>
      <c r="AJ76" s="530">
        <v>21</v>
      </c>
      <c r="AK76" s="530">
        <v>21</v>
      </c>
      <c r="AL76" s="528">
        <v>28</v>
      </c>
      <c r="AM76" s="528">
        <v>28</v>
      </c>
      <c r="AN76" s="528">
        <v>28</v>
      </c>
      <c r="AO76" s="528">
        <v>28</v>
      </c>
    </row>
    <row r="77" spans="1:41" ht="24.95" customHeight="1" x14ac:dyDescent="0.2">
      <c r="A77" s="1" t="s">
        <v>80</v>
      </c>
      <c r="B77" s="1" t="s">
        <v>0</v>
      </c>
      <c r="C77" s="126" t="s">
        <v>81</v>
      </c>
      <c r="D77" s="2" t="s">
        <v>221</v>
      </c>
      <c r="E77" s="2">
        <v>4</v>
      </c>
      <c r="F77" s="12">
        <v>9</v>
      </c>
      <c r="G77" s="12">
        <v>54</v>
      </c>
      <c r="H77" s="12">
        <v>51</v>
      </c>
      <c r="I77" s="12">
        <v>51</v>
      </c>
      <c r="J77" s="25">
        <v>8</v>
      </c>
      <c r="K77" s="25">
        <v>54</v>
      </c>
      <c r="L77" s="25">
        <v>51</v>
      </c>
      <c r="M77" s="25">
        <v>51</v>
      </c>
      <c r="N77" s="12">
        <v>6</v>
      </c>
      <c r="O77" s="12">
        <v>13</v>
      </c>
      <c r="P77" s="12">
        <v>12</v>
      </c>
      <c r="Q77" s="12">
        <v>12</v>
      </c>
      <c r="R77" s="12">
        <v>0</v>
      </c>
      <c r="S77" s="12">
        <v>57</v>
      </c>
      <c r="T77" s="12">
        <v>55</v>
      </c>
      <c r="U77" s="12">
        <v>54</v>
      </c>
      <c r="V77" s="25"/>
      <c r="W77" s="25"/>
      <c r="X77" s="25"/>
      <c r="Y77" s="25"/>
      <c r="Z77" s="582">
        <v>0</v>
      </c>
      <c r="AA77" s="582">
        <v>1</v>
      </c>
      <c r="AB77" s="582">
        <v>1</v>
      </c>
      <c r="AC77" s="582">
        <v>1</v>
      </c>
      <c r="AD77" s="499"/>
      <c r="AE77" s="499"/>
      <c r="AF77" s="499"/>
      <c r="AG77" s="499"/>
      <c r="AH77" s="499"/>
      <c r="AI77" s="499"/>
      <c r="AJ77" s="499"/>
      <c r="AK77" s="499"/>
      <c r="AL77" s="499"/>
      <c r="AM77" s="499"/>
      <c r="AN77" s="499"/>
      <c r="AO77" s="499"/>
    </row>
    <row r="78" spans="1:41" ht="24.95" customHeight="1" x14ac:dyDescent="0.2">
      <c r="A78" s="1" t="s">
        <v>167</v>
      </c>
      <c r="B78" s="1" t="s">
        <v>0</v>
      </c>
      <c r="C78" s="126" t="s">
        <v>168</v>
      </c>
      <c r="D78" s="2" t="s">
        <v>221</v>
      </c>
      <c r="E78" s="2">
        <v>6</v>
      </c>
      <c r="F78" s="12">
        <v>14</v>
      </c>
      <c r="G78" s="12">
        <v>16</v>
      </c>
      <c r="H78" s="12">
        <v>15</v>
      </c>
      <c r="I78" s="12">
        <v>15</v>
      </c>
      <c r="J78" s="25">
        <v>7</v>
      </c>
      <c r="K78" s="25">
        <v>7</v>
      </c>
      <c r="L78" s="25">
        <v>7</v>
      </c>
      <c r="M78" s="25">
        <v>7</v>
      </c>
      <c r="N78" s="12">
        <v>11</v>
      </c>
      <c r="O78" s="12">
        <v>10</v>
      </c>
      <c r="P78" s="12">
        <v>10</v>
      </c>
      <c r="Q78" s="12">
        <v>8</v>
      </c>
      <c r="R78" s="12">
        <v>13</v>
      </c>
      <c r="S78" s="12">
        <v>13</v>
      </c>
      <c r="T78" s="12">
        <v>13</v>
      </c>
      <c r="U78" s="12">
        <v>11</v>
      </c>
      <c r="V78" s="25">
        <v>19</v>
      </c>
      <c r="W78" s="25">
        <v>15</v>
      </c>
      <c r="X78" s="25">
        <v>15</v>
      </c>
      <c r="Y78" s="25">
        <v>15</v>
      </c>
      <c r="Z78" s="582">
        <v>14</v>
      </c>
      <c r="AA78" s="582">
        <v>17</v>
      </c>
      <c r="AB78" s="582">
        <v>17</v>
      </c>
      <c r="AC78" s="582">
        <v>17</v>
      </c>
      <c r="AD78" s="330">
        <v>37</v>
      </c>
      <c r="AE78" s="330">
        <v>24</v>
      </c>
      <c r="AF78" s="330">
        <v>23</v>
      </c>
      <c r="AG78" s="330">
        <v>23</v>
      </c>
      <c r="AH78" s="530">
        <v>22</v>
      </c>
      <c r="AI78" s="530">
        <v>22</v>
      </c>
      <c r="AJ78" s="530">
        <v>21</v>
      </c>
      <c r="AK78" s="530">
        <v>21</v>
      </c>
      <c r="AL78" s="528">
        <v>36</v>
      </c>
      <c r="AM78" s="528">
        <v>32</v>
      </c>
      <c r="AN78" s="528">
        <v>29</v>
      </c>
      <c r="AO78" s="528">
        <v>29</v>
      </c>
    </row>
    <row r="79" spans="1:41" ht="24.95" customHeight="1" x14ac:dyDescent="0.2">
      <c r="A79" s="13">
        <v>325754003169</v>
      </c>
      <c r="B79" s="1" t="s">
        <v>0</v>
      </c>
      <c r="C79" s="126" t="s">
        <v>230</v>
      </c>
      <c r="D79" s="2" t="s">
        <v>221</v>
      </c>
      <c r="E79" s="2">
        <v>2</v>
      </c>
      <c r="F79" s="12"/>
      <c r="G79" s="12"/>
      <c r="H79" s="499"/>
      <c r="I79" s="499"/>
      <c r="J79" s="25">
        <v>23</v>
      </c>
      <c r="K79" s="25">
        <v>24</v>
      </c>
      <c r="L79" s="25">
        <v>24</v>
      </c>
      <c r="M79" s="25">
        <v>24</v>
      </c>
      <c r="N79" s="12">
        <v>15</v>
      </c>
      <c r="O79" s="12">
        <v>14</v>
      </c>
      <c r="P79" s="12">
        <v>14</v>
      </c>
      <c r="Q79" s="12">
        <v>14</v>
      </c>
      <c r="R79" s="12">
        <v>17</v>
      </c>
      <c r="S79" s="12">
        <v>17</v>
      </c>
      <c r="T79" s="12">
        <v>17</v>
      </c>
      <c r="U79" s="12">
        <v>16</v>
      </c>
      <c r="V79" s="25">
        <v>19</v>
      </c>
      <c r="W79" s="25">
        <v>19</v>
      </c>
      <c r="X79" s="25">
        <v>19</v>
      </c>
      <c r="Y79" s="25">
        <v>19</v>
      </c>
      <c r="Z79" s="582">
        <v>20</v>
      </c>
      <c r="AA79" s="582">
        <v>20</v>
      </c>
      <c r="AB79" s="582">
        <v>20</v>
      </c>
      <c r="AC79" s="582">
        <v>20</v>
      </c>
      <c r="AD79" s="330">
        <v>28</v>
      </c>
      <c r="AE79" s="330">
        <v>28</v>
      </c>
      <c r="AF79" s="330">
        <v>28</v>
      </c>
      <c r="AG79" s="330">
        <v>28</v>
      </c>
      <c r="AH79" s="530">
        <v>32</v>
      </c>
      <c r="AI79" s="530">
        <v>32</v>
      </c>
      <c r="AJ79" s="530">
        <v>32</v>
      </c>
      <c r="AK79" s="530">
        <v>32</v>
      </c>
      <c r="AL79" s="528">
        <v>21</v>
      </c>
      <c r="AM79" s="528">
        <v>21</v>
      </c>
      <c r="AN79" s="528">
        <v>21</v>
      </c>
      <c r="AO79" s="528">
        <v>21</v>
      </c>
    </row>
    <row r="80" spans="1:41" ht="24.95" customHeight="1" x14ac:dyDescent="0.2">
      <c r="A80" s="1" t="s">
        <v>41</v>
      </c>
      <c r="B80" s="1" t="s">
        <v>0</v>
      </c>
      <c r="C80" s="126" t="s">
        <v>42</v>
      </c>
      <c r="D80" s="2" t="s">
        <v>221</v>
      </c>
      <c r="E80" s="2">
        <v>6</v>
      </c>
      <c r="F80" s="12">
        <v>34</v>
      </c>
      <c r="G80" s="12">
        <v>33</v>
      </c>
      <c r="H80" s="12">
        <v>33</v>
      </c>
      <c r="I80" s="12">
        <v>33</v>
      </c>
      <c r="J80" s="25">
        <v>24</v>
      </c>
      <c r="K80" s="25">
        <v>24</v>
      </c>
      <c r="L80" s="25">
        <v>24</v>
      </c>
      <c r="M80" s="25">
        <v>24</v>
      </c>
      <c r="N80" s="12">
        <v>38</v>
      </c>
      <c r="O80" s="12">
        <v>37</v>
      </c>
      <c r="P80" s="12">
        <v>37</v>
      </c>
      <c r="Q80" s="12">
        <v>36</v>
      </c>
      <c r="R80" s="12">
        <v>30</v>
      </c>
      <c r="S80" s="12">
        <v>31</v>
      </c>
      <c r="T80" s="12">
        <v>30</v>
      </c>
      <c r="U80" s="12">
        <v>29</v>
      </c>
      <c r="V80" s="25">
        <v>26</v>
      </c>
      <c r="W80" s="25">
        <v>26</v>
      </c>
      <c r="X80" s="25">
        <v>26</v>
      </c>
      <c r="Y80" s="25">
        <v>26</v>
      </c>
      <c r="Z80" s="582">
        <v>35</v>
      </c>
      <c r="AA80" s="582">
        <v>44</v>
      </c>
      <c r="AB80" s="582">
        <v>44</v>
      </c>
      <c r="AC80" s="582">
        <v>44</v>
      </c>
      <c r="AD80" s="330">
        <v>29</v>
      </c>
      <c r="AE80" s="330">
        <v>29</v>
      </c>
      <c r="AF80" s="330">
        <v>29</v>
      </c>
      <c r="AG80" s="330">
        <v>29</v>
      </c>
      <c r="AH80" s="530">
        <v>37</v>
      </c>
      <c r="AI80" s="530">
        <v>37</v>
      </c>
      <c r="AJ80" s="530">
        <v>36</v>
      </c>
      <c r="AK80" s="530">
        <v>36</v>
      </c>
      <c r="AL80" s="528">
        <v>35</v>
      </c>
      <c r="AM80" s="528">
        <v>35</v>
      </c>
      <c r="AN80" s="528">
        <v>34</v>
      </c>
      <c r="AO80" s="528">
        <v>34</v>
      </c>
    </row>
    <row r="81" spans="1:41" ht="24.95" customHeight="1" x14ac:dyDescent="0.2">
      <c r="A81" s="312">
        <v>325754004335</v>
      </c>
      <c r="B81" s="312" t="s">
        <v>0</v>
      </c>
      <c r="C81" s="769" t="s">
        <v>924</v>
      </c>
      <c r="D81" s="35" t="s">
        <v>221</v>
      </c>
      <c r="E81" s="311">
        <v>3</v>
      </c>
      <c r="F81" s="330"/>
      <c r="G81" s="330"/>
      <c r="H81" s="330"/>
      <c r="I81" s="330"/>
      <c r="J81" s="331"/>
      <c r="K81" s="331"/>
      <c r="L81" s="331"/>
      <c r="M81" s="331"/>
      <c r="N81" s="330"/>
      <c r="O81" s="330"/>
      <c r="P81" s="330"/>
      <c r="Q81" s="330"/>
      <c r="R81" s="330"/>
      <c r="S81" s="330"/>
      <c r="T81" s="330"/>
      <c r="U81" s="330"/>
      <c r="V81" s="331"/>
      <c r="W81" s="331"/>
      <c r="X81" s="331"/>
      <c r="Y81" s="331"/>
      <c r="Z81" s="583"/>
      <c r="AA81" s="583"/>
      <c r="AB81" s="583"/>
      <c r="AC81" s="583"/>
      <c r="AD81" s="330">
        <v>16</v>
      </c>
      <c r="AE81" s="330">
        <v>16</v>
      </c>
      <c r="AF81" s="330">
        <v>16</v>
      </c>
      <c r="AG81" s="330">
        <v>16</v>
      </c>
      <c r="AH81" s="530">
        <v>20</v>
      </c>
      <c r="AI81" s="530">
        <v>20</v>
      </c>
      <c r="AJ81" s="530">
        <v>20</v>
      </c>
      <c r="AK81" s="530">
        <v>20</v>
      </c>
      <c r="AL81" s="528">
        <v>20</v>
      </c>
      <c r="AM81" s="528">
        <v>20</v>
      </c>
      <c r="AN81" s="528">
        <v>20</v>
      </c>
      <c r="AO81" s="528">
        <v>20</v>
      </c>
    </row>
    <row r="82" spans="1:41" ht="24.95" customHeight="1" x14ac:dyDescent="0.2">
      <c r="A82" s="825">
        <v>325754004927</v>
      </c>
      <c r="B82" s="312" t="s">
        <v>0</v>
      </c>
      <c r="C82" s="826" t="s">
        <v>1099</v>
      </c>
      <c r="D82" s="35" t="s">
        <v>221</v>
      </c>
      <c r="E82" s="824"/>
      <c r="F82" s="824"/>
      <c r="G82" s="824"/>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row>
    <row r="83" spans="1:41" ht="24.95" customHeight="1" x14ac:dyDescent="0.2">
      <c r="A83" s="1" t="s">
        <v>107</v>
      </c>
      <c r="B83" s="1" t="s">
        <v>0</v>
      </c>
      <c r="C83" s="126" t="s">
        <v>108</v>
      </c>
      <c r="D83" s="2" t="s">
        <v>221</v>
      </c>
      <c r="E83" s="2">
        <v>6</v>
      </c>
      <c r="F83" s="12">
        <v>15</v>
      </c>
      <c r="G83" s="12">
        <v>15</v>
      </c>
      <c r="H83" s="12">
        <v>15</v>
      </c>
      <c r="I83" s="12">
        <v>15</v>
      </c>
      <c r="J83" s="25">
        <v>18</v>
      </c>
      <c r="K83" s="25">
        <v>18</v>
      </c>
      <c r="L83" s="25">
        <v>17</v>
      </c>
      <c r="M83" s="25">
        <v>17</v>
      </c>
      <c r="N83" s="12">
        <v>11</v>
      </c>
      <c r="O83" s="12">
        <v>11</v>
      </c>
      <c r="P83" s="12">
        <v>11</v>
      </c>
      <c r="Q83" s="12">
        <v>11</v>
      </c>
      <c r="R83" s="12">
        <v>16</v>
      </c>
      <c r="S83" s="12">
        <v>16</v>
      </c>
      <c r="T83" s="12">
        <v>16</v>
      </c>
      <c r="U83" s="12">
        <v>16</v>
      </c>
      <c r="V83" s="25">
        <v>19</v>
      </c>
      <c r="W83" s="25">
        <v>19</v>
      </c>
      <c r="X83" s="25">
        <v>19</v>
      </c>
      <c r="Y83" s="25">
        <v>19</v>
      </c>
      <c r="Z83" s="582">
        <v>13</v>
      </c>
      <c r="AA83" s="582">
        <v>13</v>
      </c>
      <c r="AB83" s="582">
        <v>13</v>
      </c>
      <c r="AC83" s="582">
        <v>13</v>
      </c>
      <c r="AD83" s="330">
        <v>12</v>
      </c>
      <c r="AE83" s="330">
        <v>10</v>
      </c>
      <c r="AF83" s="330">
        <v>10</v>
      </c>
      <c r="AG83" s="330">
        <v>10</v>
      </c>
      <c r="AH83" s="530">
        <v>10</v>
      </c>
      <c r="AI83" s="530">
        <v>10</v>
      </c>
      <c r="AJ83" s="530">
        <v>10</v>
      </c>
      <c r="AK83" s="530">
        <v>10</v>
      </c>
      <c r="AL83" s="530"/>
      <c r="AM83" s="530"/>
      <c r="AN83" s="530"/>
      <c r="AO83" s="530"/>
    </row>
    <row r="84" spans="1:41" ht="24.95" customHeight="1" x14ac:dyDescent="0.2">
      <c r="A84" s="1" t="s">
        <v>1083</v>
      </c>
      <c r="B84" s="1" t="s">
        <v>0</v>
      </c>
      <c r="C84" s="126" t="s">
        <v>1081</v>
      </c>
      <c r="D84" s="2" t="s">
        <v>221</v>
      </c>
      <c r="E84" s="12"/>
      <c r="F84" s="12"/>
      <c r="G84" s="12"/>
      <c r="H84" s="12"/>
      <c r="I84" s="12"/>
      <c r="J84" s="12"/>
      <c r="K84" s="12"/>
      <c r="L84" s="12"/>
      <c r="M84" s="12"/>
      <c r="N84" s="12"/>
      <c r="O84" s="12"/>
      <c r="P84" s="12"/>
      <c r="Q84" s="12"/>
      <c r="R84" s="12"/>
      <c r="S84" s="12"/>
      <c r="T84" s="12"/>
      <c r="U84" s="12"/>
      <c r="V84" s="12"/>
      <c r="W84" s="12"/>
      <c r="X84" s="12"/>
      <c r="Y84" s="12"/>
      <c r="Z84" s="255"/>
      <c r="AA84" s="255"/>
      <c r="AB84" s="255"/>
      <c r="AC84" s="255"/>
      <c r="AD84" s="330"/>
      <c r="AE84" s="330"/>
      <c r="AF84" s="330"/>
      <c r="AG84" s="330"/>
      <c r="AH84" s="618"/>
      <c r="AI84" s="618"/>
      <c r="AJ84" s="618"/>
      <c r="AK84" s="618"/>
      <c r="AL84" s="528">
        <v>3</v>
      </c>
      <c r="AM84" s="528">
        <v>3</v>
      </c>
      <c r="AN84" s="528">
        <v>3</v>
      </c>
      <c r="AO84" s="528">
        <v>3</v>
      </c>
    </row>
    <row r="85" spans="1:41" ht="24.95" customHeight="1" x14ac:dyDescent="0.2">
      <c r="A85" s="1" t="s">
        <v>37</v>
      </c>
      <c r="B85" s="1" t="s">
        <v>0</v>
      </c>
      <c r="C85" s="126" t="s">
        <v>38</v>
      </c>
      <c r="D85" s="2" t="s">
        <v>221</v>
      </c>
      <c r="E85" s="2">
        <v>6</v>
      </c>
      <c r="F85" s="12">
        <v>39</v>
      </c>
      <c r="G85" s="12">
        <v>37</v>
      </c>
      <c r="H85" s="12">
        <v>37</v>
      </c>
      <c r="I85" s="12">
        <v>37</v>
      </c>
      <c r="J85" s="25">
        <v>32</v>
      </c>
      <c r="K85" s="25">
        <v>32</v>
      </c>
      <c r="L85" s="25">
        <v>32</v>
      </c>
      <c r="M85" s="25">
        <v>31</v>
      </c>
      <c r="N85" s="12">
        <v>49</v>
      </c>
      <c r="O85" s="12">
        <v>49</v>
      </c>
      <c r="P85" s="12">
        <v>49</v>
      </c>
      <c r="Q85" s="12">
        <v>47</v>
      </c>
      <c r="R85" s="12">
        <v>57</v>
      </c>
      <c r="S85" s="12">
        <v>57</v>
      </c>
      <c r="T85" s="12">
        <v>57</v>
      </c>
      <c r="U85" s="12">
        <v>56</v>
      </c>
      <c r="V85" s="25">
        <v>76</v>
      </c>
      <c r="W85" s="25">
        <v>75</v>
      </c>
      <c r="X85" s="25">
        <v>75</v>
      </c>
      <c r="Y85" s="25">
        <v>75</v>
      </c>
      <c r="Z85" s="582">
        <v>77</v>
      </c>
      <c r="AA85" s="582">
        <v>74</v>
      </c>
      <c r="AB85" s="582">
        <v>74</v>
      </c>
      <c r="AC85" s="582">
        <v>74</v>
      </c>
      <c r="AD85" s="330">
        <v>72</v>
      </c>
      <c r="AE85" s="330">
        <v>72</v>
      </c>
      <c r="AF85" s="330">
        <v>70</v>
      </c>
      <c r="AG85" s="330">
        <v>70</v>
      </c>
      <c r="AH85" s="530">
        <v>86</v>
      </c>
      <c r="AI85" s="530">
        <v>86</v>
      </c>
      <c r="AJ85" s="530">
        <v>85</v>
      </c>
      <c r="AK85" s="530">
        <v>85</v>
      </c>
      <c r="AL85" s="528">
        <v>56</v>
      </c>
      <c r="AM85" s="528">
        <v>56</v>
      </c>
      <c r="AN85" s="528">
        <v>56</v>
      </c>
      <c r="AO85" s="528">
        <v>56</v>
      </c>
    </row>
    <row r="86" spans="1:41" ht="24.95" customHeight="1" x14ac:dyDescent="0.2">
      <c r="A86" s="1" t="s">
        <v>182</v>
      </c>
      <c r="B86" s="1" t="s">
        <v>0</v>
      </c>
      <c r="C86" s="126" t="s">
        <v>183</v>
      </c>
      <c r="D86" s="2" t="s">
        <v>221</v>
      </c>
      <c r="E86" s="2">
        <v>3</v>
      </c>
      <c r="F86" s="12">
        <v>24</v>
      </c>
      <c r="G86" s="12">
        <v>24</v>
      </c>
      <c r="H86" s="12">
        <v>23</v>
      </c>
      <c r="I86" s="12">
        <v>23</v>
      </c>
      <c r="J86" s="25">
        <v>24</v>
      </c>
      <c r="K86" s="25">
        <v>24</v>
      </c>
      <c r="L86" s="25">
        <v>24</v>
      </c>
      <c r="M86" s="25">
        <v>24</v>
      </c>
      <c r="N86" s="12">
        <v>18</v>
      </c>
      <c r="O86" s="12">
        <v>18</v>
      </c>
      <c r="P86" s="12">
        <v>18</v>
      </c>
      <c r="Q86" s="12">
        <v>18</v>
      </c>
      <c r="R86" s="12">
        <v>24</v>
      </c>
      <c r="S86" s="12">
        <v>23</v>
      </c>
      <c r="T86" s="12">
        <v>22</v>
      </c>
      <c r="U86" s="12">
        <v>18</v>
      </c>
      <c r="V86" s="25">
        <v>25</v>
      </c>
      <c r="W86" s="25">
        <v>21</v>
      </c>
      <c r="X86" s="25">
        <v>21</v>
      </c>
      <c r="Y86" s="25">
        <v>21</v>
      </c>
      <c r="Z86" s="582">
        <v>32</v>
      </c>
      <c r="AA86" s="582">
        <v>32</v>
      </c>
      <c r="AB86" s="582">
        <v>32</v>
      </c>
      <c r="AC86" s="582">
        <v>32</v>
      </c>
      <c r="AD86" s="330">
        <v>19</v>
      </c>
      <c r="AE86" s="330">
        <v>16</v>
      </c>
      <c r="AF86" s="330">
        <v>16</v>
      </c>
      <c r="AG86" s="330">
        <v>16</v>
      </c>
      <c r="AH86" s="530">
        <v>12</v>
      </c>
      <c r="AI86" s="530">
        <v>14</v>
      </c>
      <c r="AJ86" s="530">
        <v>14</v>
      </c>
      <c r="AK86" s="530">
        <v>14</v>
      </c>
      <c r="AL86" s="528">
        <v>24</v>
      </c>
      <c r="AM86" s="528">
        <v>23</v>
      </c>
      <c r="AN86" s="528">
        <v>23</v>
      </c>
      <c r="AO86" s="528">
        <v>23</v>
      </c>
    </row>
    <row r="87" spans="1:41" ht="24.95" customHeight="1" x14ac:dyDescent="0.2">
      <c r="A87" s="312" t="s">
        <v>109</v>
      </c>
      <c r="B87" s="312" t="s">
        <v>0</v>
      </c>
      <c r="C87" s="560" t="s">
        <v>110</v>
      </c>
      <c r="D87" s="2" t="s">
        <v>221</v>
      </c>
      <c r="E87" s="311">
        <v>2</v>
      </c>
      <c r="F87" s="330">
        <v>69</v>
      </c>
      <c r="G87" s="330">
        <v>70</v>
      </c>
      <c r="H87" s="47">
        <v>69</v>
      </c>
      <c r="I87" s="47">
        <v>69</v>
      </c>
      <c r="J87" s="331">
        <v>77</v>
      </c>
      <c r="K87" s="331">
        <v>77</v>
      </c>
      <c r="L87" s="331">
        <v>77</v>
      </c>
      <c r="M87" s="331">
        <v>77</v>
      </c>
      <c r="N87" s="330">
        <v>50</v>
      </c>
      <c r="O87" s="330">
        <v>49</v>
      </c>
      <c r="P87" s="330">
        <v>49</v>
      </c>
      <c r="Q87" s="330">
        <v>49</v>
      </c>
      <c r="R87" s="330">
        <v>40</v>
      </c>
      <c r="S87" s="330">
        <v>40</v>
      </c>
      <c r="T87" s="330">
        <v>40</v>
      </c>
      <c r="U87" s="330">
        <v>40</v>
      </c>
      <c r="V87" s="331">
        <v>46</v>
      </c>
      <c r="W87" s="331">
        <v>42</v>
      </c>
      <c r="X87" s="331">
        <v>42</v>
      </c>
      <c r="Y87" s="331">
        <v>42</v>
      </c>
      <c r="Z87" s="583">
        <v>38</v>
      </c>
      <c r="AA87" s="583">
        <v>38</v>
      </c>
      <c r="AB87" s="583">
        <v>38</v>
      </c>
      <c r="AC87" s="583">
        <v>38</v>
      </c>
      <c r="AD87" s="330">
        <v>24</v>
      </c>
      <c r="AE87" s="330">
        <v>24</v>
      </c>
      <c r="AF87" s="330">
        <v>24</v>
      </c>
      <c r="AG87" s="330">
        <v>24</v>
      </c>
      <c r="AH87" s="530">
        <v>18</v>
      </c>
      <c r="AI87" s="530">
        <v>18</v>
      </c>
      <c r="AJ87" s="530">
        <v>18</v>
      </c>
      <c r="AK87" s="530">
        <v>18</v>
      </c>
      <c r="AL87" s="618">
        <v>28</v>
      </c>
      <c r="AM87" s="618">
        <v>28</v>
      </c>
      <c r="AN87" s="618">
        <v>28</v>
      </c>
      <c r="AO87" s="618">
        <v>28</v>
      </c>
    </row>
    <row r="88" spans="1:41" ht="24.95" customHeight="1" x14ac:dyDescent="0.2">
      <c r="A88" s="1" t="s">
        <v>925</v>
      </c>
      <c r="B88" s="1" t="s">
        <v>0</v>
      </c>
      <c r="C88" s="770" t="s">
        <v>926</v>
      </c>
      <c r="D88" s="35" t="s">
        <v>221</v>
      </c>
      <c r="E88" s="2">
        <v>6</v>
      </c>
      <c r="F88" s="12"/>
      <c r="G88" s="12"/>
      <c r="H88" s="47"/>
      <c r="I88" s="47"/>
      <c r="J88" s="25"/>
      <c r="K88" s="25"/>
      <c r="L88" s="25"/>
      <c r="M88" s="25"/>
      <c r="N88" s="12"/>
      <c r="O88" s="12"/>
      <c r="P88" s="12"/>
      <c r="Q88" s="12"/>
      <c r="R88" s="12"/>
      <c r="S88" s="12"/>
      <c r="T88" s="12"/>
      <c r="U88" s="12"/>
      <c r="V88" s="25"/>
      <c r="W88" s="25"/>
      <c r="X88" s="25"/>
      <c r="Y88" s="25"/>
      <c r="Z88" s="582"/>
      <c r="AA88" s="582"/>
      <c r="AB88" s="582"/>
      <c r="AC88" s="582"/>
      <c r="AD88" s="330">
        <v>0</v>
      </c>
      <c r="AE88" s="330">
        <v>18</v>
      </c>
      <c r="AF88" s="330">
        <v>17</v>
      </c>
      <c r="AG88" s="330">
        <v>17</v>
      </c>
      <c r="AH88" s="530">
        <v>0</v>
      </c>
      <c r="AI88" s="530">
        <v>1</v>
      </c>
      <c r="AJ88" s="530">
        <v>1</v>
      </c>
      <c r="AK88" s="530">
        <v>1</v>
      </c>
      <c r="AL88" s="619"/>
      <c r="AM88" s="619"/>
      <c r="AN88" s="619"/>
      <c r="AO88" s="619"/>
    </row>
    <row r="89" spans="1:41" ht="24.95" customHeight="1" x14ac:dyDescent="0.2">
      <c r="A89" s="14" t="s">
        <v>276</v>
      </c>
      <c r="B89" s="1" t="s">
        <v>0</v>
      </c>
      <c r="C89" s="36" t="s">
        <v>266</v>
      </c>
      <c r="D89" s="2" t="s">
        <v>221</v>
      </c>
      <c r="E89" s="2">
        <v>3</v>
      </c>
      <c r="F89" s="12"/>
      <c r="G89" s="12"/>
      <c r="H89" s="499"/>
      <c r="I89" s="499"/>
      <c r="J89" s="25"/>
      <c r="K89" s="25"/>
      <c r="L89" s="25"/>
      <c r="M89" s="25"/>
      <c r="N89" s="12"/>
      <c r="O89" s="12"/>
      <c r="P89" s="12"/>
      <c r="Q89" s="12"/>
      <c r="R89" s="12"/>
      <c r="S89" s="12"/>
      <c r="T89" s="12"/>
      <c r="U89" s="12"/>
      <c r="V89" s="25">
        <v>9</v>
      </c>
      <c r="W89" s="25">
        <v>9</v>
      </c>
      <c r="X89" s="25">
        <v>8</v>
      </c>
      <c r="Y89" s="25">
        <v>8</v>
      </c>
      <c r="Z89" s="584">
        <v>9</v>
      </c>
      <c r="AA89" s="584">
        <v>9</v>
      </c>
      <c r="AB89" s="584">
        <v>9</v>
      </c>
      <c r="AC89" s="584">
        <v>9</v>
      </c>
      <c r="AD89" s="47">
        <v>18</v>
      </c>
      <c r="AE89" s="47">
        <v>18</v>
      </c>
      <c r="AF89" s="47">
        <v>18</v>
      </c>
      <c r="AG89" s="47">
        <v>18</v>
      </c>
      <c r="AH89" s="621">
        <v>11</v>
      </c>
      <c r="AI89" s="621">
        <v>10</v>
      </c>
      <c r="AJ89" s="621">
        <v>10</v>
      </c>
      <c r="AK89" s="621">
        <v>10</v>
      </c>
      <c r="AL89" s="47">
        <v>18</v>
      </c>
      <c r="AM89" s="47">
        <v>18</v>
      </c>
      <c r="AN89" s="47">
        <v>18</v>
      </c>
      <c r="AO89" s="47">
        <v>18</v>
      </c>
    </row>
    <row r="90" spans="1:41" ht="24.95" customHeight="1" x14ac:dyDescent="0.2">
      <c r="A90" s="14">
        <v>325754001972</v>
      </c>
      <c r="B90" s="1" t="s">
        <v>0</v>
      </c>
      <c r="C90" s="126" t="s">
        <v>232</v>
      </c>
      <c r="D90" s="2" t="s">
        <v>221</v>
      </c>
      <c r="E90" s="2">
        <v>5</v>
      </c>
      <c r="F90" s="12"/>
      <c r="G90" s="12"/>
      <c r="H90" s="613"/>
      <c r="I90" s="613"/>
      <c r="J90" s="25"/>
      <c r="K90" s="25"/>
      <c r="L90" s="25"/>
      <c r="M90" s="25"/>
      <c r="N90" s="12"/>
      <c r="O90" s="12"/>
      <c r="P90" s="12"/>
      <c r="Q90" s="12"/>
      <c r="R90" s="12">
        <v>14</v>
      </c>
      <c r="S90" s="12">
        <v>12</v>
      </c>
      <c r="T90" s="12">
        <v>12</v>
      </c>
      <c r="U90" s="12">
        <v>12</v>
      </c>
      <c r="V90" s="25"/>
      <c r="W90" s="25"/>
      <c r="X90" s="25"/>
      <c r="Y90" s="25"/>
      <c r="Z90" s="615"/>
      <c r="AA90" s="615"/>
      <c r="AB90" s="615"/>
      <c r="AC90" s="615"/>
      <c r="AD90" s="617"/>
      <c r="AE90" s="617"/>
      <c r="AF90" s="617"/>
      <c r="AG90" s="617"/>
      <c r="AH90" s="620"/>
      <c r="AI90" s="620"/>
      <c r="AJ90" s="620"/>
      <c r="AK90" s="620"/>
      <c r="AL90" s="622"/>
      <c r="AM90" s="622"/>
      <c r="AN90" s="622"/>
      <c r="AO90" s="622"/>
    </row>
    <row r="91" spans="1:41" ht="24.95" customHeight="1" x14ac:dyDescent="0.2">
      <c r="A91" s="1" t="s">
        <v>152</v>
      </c>
      <c r="B91" s="1" t="s">
        <v>0</v>
      </c>
      <c r="C91" s="126" t="s">
        <v>153</v>
      </c>
      <c r="D91" s="2" t="s">
        <v>221</v>
      </c>
      <c r="E91" s="2">
        <v>2</v>
      </c>
      <c r="F91" s="12">
        <v>28</v>
      </c>
      <c r="G91" s="12">
        <v>30</v>
      </c>
      <c r="H91" s="12">
        <v>29</v>
      </c>
      <c r="I91" s="12">
        <v>29</v>
      </c>
      <c r="J91" s="25">
        <v>26</v>
      </c>
      <c r="K91" s="25">
        <v>32</v>
      </c>
      <c r="L91" s="25">
        <v>32</v>
      </c>
      <c r="M91" s="25">
        <v>30</v>
      </c>
      <c r="N91" s="12">
        <v>34</v>
      </c>
      <c r="O91" s="12">
        <v>34</v>
      </c>
      <c r="P91" s="12">
        <v>34</v>
      </c>
      <c r="Q91" s="12">
        <v>34</v>
      </c>
      <c r="R91" s="12">
        <v>26</v>
      </c>
      <c r="S91" s="12">
        <v>28</v>
      </c>
      <c r="T91" s="12">
        <v>28</v>
      </c>
      <c r="U91" s="12">
        <v>27</v>
      </c>
      <c r="V91" s="25">
        <v>36</v>
      </c>
      <c r="W91" s="25">
        <v>36</v>
      </c>
      <c r="X91" s="25">
        <v>35</v>
      </c>
      <c r="Y91" s="25">
        <v>35</v>
      </c>
      <c r="Z91" s="582">
        <v>60</v>
      </c>
      <c r="AA91" s="582">
        <v>61</v>
      </c>
      <c r="AB91" s="582">
        <v>61</v>
      </c>
      <c r="AC91" s="582">
        <v>61</v>
      </c>
      <c r="AD91" s="330">
        <v>50</v>
      </c>
      <c r="AE91" s="330">
        <v>52</v>
      </c>
      <c r="AF91" s="330">
        <v>52</v>
      </c>
      <c r="AG91" s="330">
        <v>52</v>
      </c>
      <c r="AH91" s="530">
        <v>33</v>
      </c>
      <c r="AI91" s="530">
        <v>34</v>
      </c>
      <c r="AJ91" s="530">
        <v>34</v>
      </c>
      <c r="AK91" s="530">
        <v>34</v>
      </c>
      <c r="AL91" s="528">
        <v>39</v>
      </c>
      <c r="AM91" s="528">
        <v>30</v>
      </c>
      <c r="AN91" s="528">
        <v>30</v>
      </c>
      <c r="AO91" s="528">
        <v>30</v>
      </c>
    </row>
    <row r="92" spans="1:41" ht="24.95" customHeight="1" x14ac:dyDescent="0.2">
      <c r="A92" s="1" t="s">
        <v>135</v>
      </c>
      <c r="B92" s="1" t="s">
        <v>0</v>
      </c>
      <c r="C92" s="126" t="s">
        <v>136</v>
      </c>
      <c r="D92" s="2" t="s">
        <v>221</v>
      </c>
      <c r="E92" s="2">
        <v>4</v>
      </c>
      <c r="F92" s="12">
        <v>25</v>
      </c>
      <c r="G92" s="12">
        <v>26</v>
      </c>
      <c r="H92" s="12">
        <v>26</v>
      </c>
      <c r="I92" s="12">
        <v>26</v>
      </c>
      <c r="J92" s="25">
        <v>37</v>
      </c>
      <c r="K92" s="25">
        <v>37</v>
      </c>
      <c r="L92" s="25">
        <v>37</v>
      </c>
      <c r="M92" s="25">
        <v>36</v>
      </c>
      <c r="N92" s="12">
        <v>37</v>
      </c>
      <c r="O92" s="12">
        <v>36</v>
      </c>
      <c r="P92" s="12">
        <v>36</v>
      </c>
      <c r="Q92" s="12">
        <v>36</v>
      </c>
      <c r="R92" s="12">
        <v>52</v>
      </c>
      <c r="S92" s="12">
        <v>51</v>
      </c>
      <c r="T92" s="12">
        <v>51</v>
      </c>
      <c r="U92" s="12">
        <v>50</v>
      </c>
      <c r="V92" s="25">
        <v>42</v>
      </c>
      <c r="W92" s="25">
        <v>41</v>
      </c>
      <c r="X92" s="25">
        <v>41</v>
      </c>
      <c r="Y92" s="25">
        <v>41</v>
      </c>
      <c r="Z92" s="582">
        <v>45</v>
      </c>
      <c r="AA92" s="582">
        <v>45</v>
      </c>
      <c r="AB92" s="582">
        <v>45</v>
      </c>
      <c r="AC92" s="582">
        <v>45</v>
      </c>
      <c r="AD92" s="330">
        <v>3</v>
      </c>
      <c r="AE92" s="330">
        <v>53</v>
      </c>
      <c r="AF92" s="330">
        <v>53</v>
      </c>
      <c r="AG92" s="330">
        <v>53</v>
      </c>
      <c r="AH92" s="530">
        <v>79</v>
      </c>
      <c r="AI92" s="530">
        <v>79</v>
      </c>
      <c r="AJ92" s="530">
        <v>79</v>
      </c>
      <c r="AK92" s="530">
        <v>79</v>
      </c>
      <c r="AL92" s="528">
        <v>80</v>
      </c>
      <c r="AM92" s="528">
        <v>80</v>
      </c>
      <c r="AN92" s="528">
        <v>80</v>
      </c>
      <c r="AO92" s="528">
        <v>80</v>
      </c>
    </row>
    <row r="93" spans="1:41" ht="24.95" customHeight="1" x14ac:dyDescent="0.2">
      <c r="A93" s="1" t="s">
        <v>96</v>
      </c>
      <c r="B93" s="1" t="s">
        <v>0</v>
      </c>
      <c r="C93" s="126" t="s">
        <v>97</v>
      </c>
      <c r="D93" s="2" t="s">
        <v>221</v>
      </c>
      <c r="E93" s="2">
        <v>2</v>
      </c>
      <c r="F93" s="12">
        <v>5</v>
      </c>
      <c r="G93" s="12">
        <v>7</v>
      </c>
      <c r="H93" s="12">
        <v>7</v>
      </c>
      <c r="I93" s="12">
        <v>7</v>
      </c>
      <c r="J93" s="25">
        <v>9</v>
      </c>
      <c r="K93" s="25">
        <v>9</v>
      </c>
      <c r="L93" s="25">
        <v>9</v>
      </c>
      <c r="M93" s="25">
        <v>9</v>
      </c>
      <c r="N93" s="12">
        <v>7</v>
      </c>
      <c r="O93" s="12">
        <v>6</v>
      </c>
      <c r="P93" s="12">
        <v>6</v>
      </c>
      <c r="Q93" s="12">
        <v>6</v>
      </c>
      <c r="R93" s="12">
        <v>9</v>
      </c>
      <c r="S93" s="12">
        <v>9</v>
      </c>
      <c r="T93" s="12">
        <v>9</v>
      </c>
      <c r="U93" s="12">
        <v>9</v>
      </c>
      <c r="V93" s="25">
        <v>11</v>
      </c>
      <c r="W93" s="25">
        <v>11</v>
      </c>
      <c r="X93" s="25">
        <v>11</v>
      </c>
      <c r="Y93" s="25">
        <v>11</v>
      </c>
      <c r="Z93" s="582">
        <v>6</v>
      </c>
      <c r="AA93" s="582">
        <v>6</v>
      </c>
      <c r="AB93" s="582">
        <v>6</v>
      </c>
      <c r="AC93" s="582">
        <v>6</v>
      </c>
      <c r="AD93" s="330">
        <v>3</v>
      </c>
      <c r="AE93" s="330">
        <v>3</v>
      </c>
      <c r="AF93" s="330">
        <v>3</v>
      </c>
      <c r="AG93" s="330">
        <v>3</v>
      </c>
      <c r="AH93" s="530">
        <v>8</v>
      </c>
      <c r="AI93" s="530">
        <v>8</v>
      </c>
      <c r="AJ93" s="530">
        <v>8</v>
      </c>
      <c r="AK93" s="530">
        <v>8</v>
      </c>
      <c r="AL93" s="528">
        <v>7</v>
      </c>
      <c r="AM93" s="528">
        <v>7</v>
      </c>
      <c r="AN93" s="528">
        <v>6</v>
      </c>
      <c r="AO93" s="528">
        <v>6</v>
      </c>
    </row>
    <row r="94" spans="1:41" ht="24.95" customHeight="1" x14ac:dyDescent="0.2">
      <c r="A94" s="1" t="s">
        <v>179</v>
      </c>
      <c r="B94" s="1" t="s">
        <v>0</v>
      </c>
      <c r="C94" s="126" t="s">
        <v>180</v>
      </c>
      <c r="D94" s="2" t="s">
        <v>221</v>
      </c>
      <c r="E94" s="2">
        <v>3</v>
      </c>
      <c r="F94" s="12">
        <v>30</v>
      </c>
      <c r="G94" s="12">
        <v>30</v>
      </c>
      <c r="H94" s="12">
        <v>30</v>
      </c>
      <c r="I94" s="12">
        <v>30</v>
      </c>
      <c r="J94" s="25">
        <v>32</v>
      </c>
      <c r="K94" s="25">
        <v>32</v>
      </c>
      <c r="L94" s="25">
        <v>32</v>
      </c>
      <c r="M94" s="25">
        <v>32</v>
      </c>
      <c r="N94" s="12">
        <v>32</v>
      </c>
      <c r="O94" s="12">
        <v>32</v>
      </c>
      <c r="P94" s="12">
        <v>32</v>
      </c>
      <c r="Q94" s="12">
        <v>32</v>
      </c>
      <c r="R94" s="12">
        <v>52</v>
      </c>
      <c r="S94" s="12">
        <v>52</v>
      </c>
      <c r="T94" s="12">
        <v>52</v>
      </c>
      <c r="U94" s="12">
        <v>52</v>
      </c>
      <c r="V94" s="25">
        <v>63</v>
      </c>
      <c r="W94" s="25">
        <v>63</v>
      </c>
      <c r="X94" s="25">
        <v>63</v>
      </c>
      <c r="Y94" s="25">
        <v>63</v>
      </c>
      <c r="Z94" s="582">
        <v>74</v>
      </c>
      <c r="AA94" s="582">
        <v>74</v>
      </c>
      <c r="AB94" s="582">
        <v>73</v>
      </c>
      <c r="AC94" s="582">
        <v>73</v>
      </c>
      <c r="AD94" s="330">
        <v>75</v>
      </c>
      <c r="AE94" s="330">
        <v>75</v>
      </c>
      <c r="AF94" s="330">
        <v>75</v>
      </c>
      <c r="AG94" s="330">
        <v>75</v>
      </c>
      <c r="AH94" s="530">
        <v>84</v>
      </c>
      <c r="AI94" s="530">
        <v>84</v>
      </c>
      <c r="AJ94" s="530">
        <v>84</v>
      </c>
      <c r="AK94" s="530">
        <v>84</v>
      </c>
      <c r="AL94" s="528">
        <v>94</v>
      </c>
      <c r="AM94" s="528">
        <v>94</v>
      </c>
      <c r="AN94" s="528">
        <v>93</v>
      </c>
      <c r="AO94" s="528">
        <v>93</v>
      </c>
    </row>
    <row r="95" spans="1:41" ht="24.95" customHeight="1" x14ac:dyDescent="0.2">
      <c r="A95" s="1" t="s">
        <v>169</v>
      </c>
      <c r="B95" s="1" t="s">
        <v>0</v>
      </c>
      <c r="C95" s="126" t="s">
        <v>170</v>
      </c>
      <c r="D95" s="2" t="s">
        <v>221</v>
      </c>
      <c r="E95" s="2">
        <v>2</v>
      </c>
      <c r="F95" s="12">
        <v>41</v>
      </c>
      <c r="G95" s="12">
        <v>41</v>
      </c>
      <c r="H95" s="12">
        <v>41</v>
      </c>
      <c r="I95" s="12">
        <v>41</v>
      </c>
      <c r="J95" s="25">
        <v>37</v>
      </c>
      <c r="K95" s="25">
        <v>37</v>
      </c>
      <c r="L95" s="25">
        <v>36</v>
      </c>
      <c r="M95" s="25">
        <v>36</v>
      </c>
      <c r="N95" s="12">
        <v>33</v>
      </c>
      <c r="O95" s="12">
        <v>33</v>
      </c>
      <c r="P95" s="12">
        <v>33</v>
      </c>
      <c r="Q95" s="12">
        <v>33</v>
      </c>
      <c r="R95" s="12">
        <v>37</v>
      </c>
      <c r="S95" s="12">
        <v>37</v>
      </c>
      <c r="T95" s="12">
        <v>37</v>
      </c>
      <c r="U95" s="12">
        <v>37</v>
      </c>
      <c r="V95" s="25">
        <v>62</v>
      </c>
      <c r="W95" s="25">
        <v>59</v>
      </c>
      <c r="X95" s="25">
        <v>59</v>
      </c>
      <c r="Y95" s="25">
        <v>59</v>
      </c>
      <c r="Z95" s="582">
        <v>54</v>
      </c>
      <c r="AA95" s="582">
        <v>53</v>
      </c>
      <c r="AB95" s="582">
        <v>53</v>
      </c>
      <c r="AC95" s="582">
        <v>53</v>
      </c>
      <c r="AD95" s="330">
        <v>32</v>
      </c>
      <c r="AE95" s="330">
        <v>37</v>
      </c>
      <c r="AF95" s="330">
        <v>37</v>
      </c>
      <c r="AG95" s="330">
        <v>37</v>
      </c>
      <c r="AH95" s="530">
        <v>35</v>
      </c>
      <c r="AI95" s="530">
        <v>35</v>
      </c>
      <c r="AJ95" s="530">
        <v>34</v>
      </c>
      <c r="AK95" s="530">
        <v>34</v>
      </c>
      <c r="AL95" s="528">
        <v>37</v>
      </c>
      <c r="AM95" s="528">
        <v>37</v>
      </c>
      <c r="AN95" s="528">
        <v>36</v>
      </c>
      <c r="AO95" s="528">
        <v>36</v>
      </c>
    </row>
    <row r="96" spans="1:41" ht="24.95" customHeight="1" x14ac:dyDescent="0.2">
      <c r="A96" s="1" t="s">
        <v>76</v>
      </c>
      <c r="B96" s="1" t="s">
        <v>0</v>
      </c>
      <c r="C96" s="126" t="s">
        <v>77</v>
      </c>
      <c r="D96" s="2" t="s">
        <v>221</v>
      </c>
      <c r="E96" s="2">
        <v>2</v>
      </c>
      <c r="F96" s="12">
        <v>21</v>
      </c>
      <c r="G96" s="12">
        <v>21</v>
      </c>
      <c r="H96" s="12">
        <v>17</v>
      </c>
      <c r="I96" s="12">
        <v>17</v>
      </c>
      <c r="J96" s="25">
        <v>18</v>
      </c>
      <c r="K96" s="25">
        <v>18</v>
      </c>
      <c r="L96" s="25">
        <v>18</v>
      </c>
      <c r="M96" s="25">
        <v>17</v>
      </c>
      <c r="N96" s="12">
        <v>16</v>
      </c>
      <c r="O96" s="12">
        <v>16</v>
      </c>
      <c r="P96" s="12">
        <v>16</v>
      </c>
      <c r="Q96" s="12">
        <v>15</v>
      </c>
      <c r="R96" s="12">
        <v>11</v>
      </c>
      <c r="S96" s="12">
        <v>11</v>
      </c>
      <c r="T96" s="12">
        <v>11</v>
      </c>
      <c r="U96" s="12">
        <v>11</v>
      </c>
      <c r="V96" s="25">
        <v>16</v>
      </c>
      <c r="W96" s="25">
        <v>15</v>
      </c>
      <c r="X96" s="25">
        <v>14</v>
      </c>
      <c r="Y96" s="25">
        <v>14</v>
      </c>
      <c r="Z96" s="582">
        <v>8</v>
      </c>
      <c r="AA96" s="582">
        <v>9</v>
      </c>
      <c r="AB96" s="582">
        <v>9</v>
      </c>
      <c r="AC96" s="582">
        <v>9</v>
      </c>
      <c r="AD96" s="330">
        <v>10</v>
      </c>
      <c r="AE96" s="330">
        <v>10</v>
      </c>
      <c r="AF96" s="330">
        <v>10</v>
      </c>
      <c r="AG96" s="330">
        <v>10</v>
      </c>
      <c r="AH96" s="530">
        <v>8</v>
      </c>
      <c r="AI96" s="530">
        <v>8</v>
      </c>
      <c r="AJ96" s="530">
        <v>7</v>
      </c>
      <c r="AK96" s="530">
        <v>7</v>
      </c>
      <c r="AL96" s="528">
        <v>7</v>
      </c>
      <c r="AM96" s="528">
        <v>7</v>
      </c>
      <c r="AN96" s="528">
        <v>7</v>
      </c>
      <c r="AO96" s="528">
        <v>7</v>
      </c>
    </row>
    <row r="97" spans="1:41" ht="24.95" customHeight="1" x14ac:dyDescent="0.2">
      <c r="A97" s="1" t="s">
        <v>35</v>
      </c>
      <c r="B97" s="1" t="s">
        <v>0</v>
      </c>
      <c r="C97" s="126" t="s">
        <v>36</v>
      </c>
      <c r="D97" s="2" t="s">
        <v>219</v>
      </c>
      <c r="E97" s="2" t="s">
        <v>220</v>
      </c>
      <c r="F97" s="12">
        <v>0</v>
      </c>
      <c r="G97" s="12">
        <v>43</v>
      </c>
      <c r="H97" s="47">
        <v>41</v>
      </c>
      <c r="I97" s="47">
        <v>41</v>
      </c>
      <c r="J97" s="25">
        <v>44</v>
      </c>
      <c r="K97" s="25">
        <v>43</v>
      </c>
      <c r="L97" s="25">
        <v>42</v>
      </c>
      <c r="M97" s="25">
        <v>42</v>
      </c>
      <c r="N97" s="12">
        <v>36</v>
      </c>
      <c r="O97" s="12">
        <v>36</v>
      </c>
      <c r="P97" s="12">
        <v>36</v>
      </c>
      <c r="Q97" s="12">
        <v>34</v>
      </c>
      <c r="R97" s="12">
        <v>53</v>
      </c>
      <c r="S97" s="12">
        <v>53</v>
      </c>
      <c r="T97" s="12">
        <v>52</v>
      </c>
      <c r="U97" s="12">
        <v>51</v>
      </c>
      <c r="V97" s="25">
        <v>40</v>
      </c>
      <c r="W97" s="25">
        <v>40</v>
      </c>
      <c r="X97" s="25">
        <v>38</v>
      </c>
      <c r="Y97" s="25">
        <v>38</v>
      </c>
      <c r="Z97" s="584">
        <v>46</v>
      </c>
      <c r="AA97" s="584">
        <v>46</v>
      </c>
      <c r="AB97" s="584">
        <v>45</v>
      </c>
      <c r="AC97" s="584">
        <v>45</v>
      </c>
      <c r="AD97" s="47">
        <v>43</v>
      </c>
      <c r="AE97" s="47">
        <v>40</v>
      </c>
      <c r="AF97" s="47">
        <v>40</v>
      </c>
      <c r="AG97" s="47">
        <v>40</v>
      </c>
      <c r="AH97" s="621">
        <v>52</v>
      </c>
      <c r="AI97" s="621">
        <v>52</v>
      </c>
      <c r="AJ97" s="621">
        <v>50</v>
      </c>
      <c r="AK97" s="621">
        <v>50</v>
      </c>
      <c r="AL97" s="47">
        <v>48</v>
      </c>
      <c r="AM97" s="47">
        <v>48</v>
      </c>
      <c r="AN97" s="47">
        <v>47</v>
      </c>
      <c r="AO97" s="47">
        <v>47</v>
      </c>
    </row>
    <row r="98" spans="1:41" ht="24.95" customHeight="1" x14ac:dyDescent="0.2">
      <c r="A98" s="14" t="s">
        <v>235</v>
      </c>
      <c r="B98" s="1" t="s">
        <v>0</v>
      </c>
      <c r="C98" s="126" t="s">
        <v>225</v>
      </c>
      <c r="D98" s="2" t="s">
        <v>221</v>
      </c>
      <c r="E98" s="2">
        <v>4</v>
      </c>
      <c r="F98" s="12"/>
      <c r="G98" s="12"/>
      <c r="H98" s="613"/>
      <c r="I98" s="613"/>
      <c r="J98" s="25">
        <v>0</v>
      </c>
      <c r="K98" s="25">
        <v>1</v>
      </c>
      <c r="L98" s="25">
        <v>1</v>
      </c>
      <c r="M98" s="25">
        <v>1</v>
      </c>
      <c r="N98" s="12"/>
      <c r="O98" s="12"/>
      <c r="P98" s="12"/>
      <c r="Q98" s="12"/>
      <c r="R98" s="12"/>
      <c r="S98" s="12"/>
      <c r="T98" s="12"/>
      <c r="U98" s="12"/>
      <c r="V98" s="25"/>
      <c r="W98" s="25"/>
      <c r="X98" s="25"/>
      <c r="Y98" s="25"/>
      <c r="Z98" s="615"/>
      <c r="AA98" s="615"/>
      <c r="AB98" s="615"/>
      <c r="AC98" s="615"/>
      <c r="AD98" s="617"/>
      <c r="AE98" s="617"/>
      <c r="AF98" s="617"/>
      <c r="AG98" s="617"/>
      <c r="AH98" s="620"/>
      <c r="AI98" s="620"/>
      <c r="AJ98" s="620"/>
      <c r="AK98" s="620"/>
      <c r="AL98" s="622"/>
      <c r="AM98" s="622"/>
      <c r="AN98" s="622"/>
      <c r="AO98" s="622"/>
    </row>
    <row r="99" spans="1:41" ht="24.95" customHeight="1" x14ac:dyDescent="0.2">
      <c r="A99" s="1" t="s">
        <v>91</v>
      </c>
      <c r="B99" s="1" t="s">
        <v>0</v>
      </c>
      <c r="C99" s="126" t="s">
        <v>92</v>
      </c>
      <c r="D99" s="2" t="s">
        <v>219</v>
      </c>
      <c r="E99" s="2">
        <v>1</v>
      </c>
      <c r="F99" s="12">
        <v>172</v>
      </c>
      <c r="G99" s="12">
        <v>171</v>
      </c>
      <c r="H99" s="12">
        <v>167</v>
      </c>
      <c r="I99" s="12">
        <v>167</v>
      </c>
      <c r="J99" s="25">
        <v>156</v>
      </c>
      <c r="K99" s="25">
        <v>155</v>
      </c>
      <c r="L99" s="25">
        <v>154</v>
      </c>
      <c r="M99" s="25">
        <v>154</v>
      </c>
      <c r="N99" s="12">
        <v>189</v>
      </c>
      <c r="O99" s="12">
        <v>190</v>
      </c>
      <c r="P99" s="12">
        <v>190</v>
      </c>
      <c r="Q99" s="12">
        <v>186</v>
      </c>
      <c r="R99" s="12">
        <v>184</v>
      </c>
      <c r="S99" s="12">
        <v>179</v>
      </c>
      <c r="T99" s="12">
        <v>179</v>
      </c>
      <c r="U99" s="12">
        <v>174</v>
      </c>
      <c r="V99" s="25">
        <v>205</v>
      </c>
      <c r="W99" s="25">
        <v>203</v>
      </c>
      <c r="X99" s="25">
        <v>203</v>
      </c>
      <c r="Y99" s="25">
        <v>203</v>
      </c>
      <c r="Z99" s="582">
        <v>217</v>
      </c>
      <c r="AA99" s="582">
        <v>198</v>
      </c>
      <c r="AB99" s="582">
        <v>196</v>
      </c>
      <c r="AC99" s="582">
        <v>196</v>
      </c>
      <c r="AD99" s="330">
        <v>227</v>
      </c>
      <c r="AE99" s="330">
        <v>199</v>
      </c>
      <c r="AF99" s="330">
        <v>198</v>
      </c>
      <c r="AG99" s="330">
        <v>198</v>
      </c>
      <c r="AH99" s="530">
        <v>230</v>
      </c>
      <c r="AI99" s="530">
        <v>226</v>
      </c>
      <c r="AJ99" s="530">
        <v>219</v>
      </c>
      <c r="AK99" s="530">
        <v>219</v>
      </c>
      <c r="AL99" s="528">
        <v>213</v>
      </c>
      <c r="AM99" s="528">
        <v>209</v>
      </c>
      <c r="AN99" s="528">
        <v>207</v>
      </c>
      <c r="AO99" s="528">
        <v>207</v>
      </c>
    </row>
    <row r="100" spans="1:41" ht="24.95" customHeight="1" x14ac:dyDescent="0.2">
      <c r="A100" s="1" t="s">
        <v>26</v>
      </c>
      <c r="B100" s="1" t="s">
        <v>0</v>
      </c>
      <c r="C100" s="126" t="s">
        <v>27</v>
      </c>
      <c r="D100" s="2" t="s">
        <v>219</v>
      </c>
      <c r="E100" s="2">
        <v>6</v>
      </c>
      <c r="F100" s="12">
        <v>129</v>
      </c>
      <c r="G100" s="12">
        <v>125</v>
      </c>
      <c r="H100" s="12">
        <v>122</v>
      </c>
      <c r="I100" s="12">
        <v>122</v>
      </c>
      <c r="J100" s="25">
        <v>123</v>
      </c>
      <c r="K100" s="25">
        <v>116</v>
      </c>
      <c r="L100" s="25">
        <v>115</v>
      </c>
      <c r="M100" s="25">
        <v>115</v>
      </c>
      <c r="N100" s="12">
        <v>136</v>
      </c>
      <c r="O100" s="12">
        <v>128</v>
      </c>
      <c r="P100" s="12">
        <v>127</v>
      </c>
      <c r="Q100" s="12">
        <v>127</v>
      </c>
      <c r="R100" s="12">
        <v>133</v>
      </c>
      <c r="S100" s="12">
        <v>131</v>
      </c>
      <c r="T100" s="12">
        <v>130</v>
      </c>
      <c r="U100" s="12">
        <v>127</v>
      </c>
      <c r="V100" s="25">
        <v>124</v>
      </c>
      <c r="W100" s="25">
        <v>111</v>
      </c>
      <c r="X100" s="25">
        <v>106</v>
      </c>
      <c r="Y100" s="25">
        <v>106</v>
      </c>
      <c r="Z100" s="582">
        <v>136</v>
      </c>
      <c r="AA100" s="582">
        <v>119</v>
      </c>
      <c r="AB100" s="582">
        <v>116</v>
      </c>
      <c r="AC100" s="582">
        <v>116</v>
      </c>
      <c r="AD100" s="330">
        <v>119</v>
      </c>
      <c r="AE100" s="330">
        <v>107</v>
      </c>
      <c r="AF100" s="330">
        <v>107</v>
      </c>
      <c r="AG100" s="330">
        <v>107</v>
      </c>
      <c r="AH100" s="530">
        <v>140</v>
      </c>
      <c r="AI100" s="530">
        <v>142</v>
      </c>
      <c r="AJ100" s="530">
        <v>137</v>
      </c>
      <c r="AK100" s="530">
        <v>137</v>
      </c>
      <c r="AL100" s="528">
        <v>179</v>
      </c>
      <c r="AM100" s="528">
        <v>164</v>
      </c>
      <c r="AN100" s="528">
        <v>155</v>
      </c>
      <c r="AO100" s="528">
        <v>155</v>
      </c>
    </row>
    <row r="101" spans="1:41" ht="24.95" customHeight="1" x14ac:dyDescent="0.2">
      <c r="A101" s="1" t="s">
        <v>146</v>
      </c>
      <c r="B101" s="1" t="s">
        <v>0</v>
      </c>
      <c r="C101" s="126" t="s">
        <v>147</v>
      </c>
      <c r="D101" s="2" t="s">
        <v>219</v>
      </c>
      <c r="E101" s="2">
        <v>5</v>
      </c>
      <c r="F101" s="12">
        <v>341</v>
      </c>
      <c r="G101" s="12">
        <v>322</v>
      </c>
      <c r="H101" s="12">
        <v>316</v>
      </c>
      <c r="I101" s="12">
        <v>316</v>
      </c>
      <c r="J101" s="25">
        <v>326</v>
      </c>
      <c r="K101" s="25">
        <v>309</v>
      </c>
      <c r="L101" s="25">
        <v>304</v>
      </c>
      <c r="M101" s="25">
        <v>297</v>
      </c>
      <c r="N101" s="12">
        <v>316</v>
      </c>
      <c r="O101" s="12">
        <v>296</v>
      </c>
      <c r="P101" s="12">
        <v>292</v>
      </c>
      <c r="Q101" s="12">
        <v>288</v>
      </c>
      <c r="R101" s="12">
        <v>284</v>
      </c>
      <c r="S101" s="12">
        <v>268</v>
      </c>
      <c r="T101" s="12">
        <v>268</v>
      </c>
      <c r="U101" s="12">
        <v>257</v>
      </c>
      <c r="V101" s="25">
        <v>269</v>
      </c>
      <c r="W101" s="25">
        <v>251</v>
      </c>
      <c r="X101" s="25">
        <v>248</v>
      </c>
      <c r="Y101" s="25">
        <v>248</v>
      </c>
      <c r="Z101" s="582">
        <v>262</v>
      </c>
      <c r="AA101" s="582">
        <v>238</v>
      </c>
      <c r="AB101" s="582">
        <v>233</v>
      </c>
      <c r="AC101" s="582">
        <v>233</v>
      </c>
      <c r="AD101" s="330">
        <v>200</v>
      </c>
      <c r="AE101" s="330">
        <v>182</v>
      </c>
      <c r="AF101" s="330">
        <v>180</v>
      </c>
      <c r="AG101" s="330">
        <v>180</v>
      </c>
      <c r="AH101" s="530">
        <v>248</v>
      </c>
      <c r="AI101" s="530">
        <v>236</v>
      </c>
      <c r="AJ101" s="530">
        <v>228</v>
      </c>
      <c r="AK101" s="530">
        <v>228</v>
      </c>
      <c r="AL101" s="528">
        <v>183</v>
      </c>
      <c r="AM101" s="528">
        <v>182</v>
      </c>
      <c r="AN101" s="528">
        <v>180</v>
      </c>
      <c r="AO101" s="528">
        <v>180</v>
      </c>
    </row>
    <row r="102" spans="1:41" ht="24.95" customHeight="1" x14ac:dyDescent="0.2">
      <c r="A102" s="1" t="s">
        <v>111</v>
      </c>
      <c r="B102" s="1" t="s">
        <v>0</v>
      </c>
      <c r="C102" s="126" t="s">
        <v>112</v>
      </c>
      <c r="D102" s="2" t="s">
        <v>219</v>
      </c>
      <c r="E102" s="2">
        <v>4</v>
      </c>
      <c r="F102" s="12">
        <v>0</v>
      </c>
      <c r="G102" s="12">
        <v>107</v>
      </c>
      <c r="H102" s="12">
        <v>105</v>
      </c>
      <c r="I102" s="12">
        <v>105</v>
      </c>
      <c r="J102" s="25">
        <v>97</v>
      </c>
      <c r="K102" s="25">
        <v>97</v>
      </c>
      <c r="L102" s="25">
        <v>97</v>
      </c>
      <c r="M102" s="25">
        <v>96</v>
      </c>
      <c r="N102" s="12">
        <v>117</v>
      </c>
      <c r="O102" s="12">
        <v>119</v>
      </c>
      <c r="P102" s="12">
        <v>119</v>
      </c>
      <c r="Q102" s="12">
        <v>119</v>
      </c>
      <c r="R102" s="12">
        <v>97</v>
      </c>
      <c r="S102" s="12">
        <v>99</v>
      </c>
      <c r="T102" s="12">
        <v>97</v>
      </c>
      <c r="U102" s="12">
        <v>97</v>
      </c>
      <c r="V102" s="25">
        <v>125</v>
      </c>
      <c r="W102" s="25">
        <v>121</v>
      </c>
      <c r="X102" s="25">
        <v>121</v>
      </c>
      <c r="Y102" s="25">
        <v>121</v>
      </c>
      <c r="Z102" s="582">
        <v>114</v>
      </c>
      <c r="AA102" s="582">
        <v>107</v>
      </c>
      <c r="AB102" s="582">
        <v>102</v>
      </c>
      <c r="AC102" s="582">
        <v>102</v>
      </c>
      <c r="AD102" s="330">
        <v>113</v>
      </c>
      <c r="AE102" s="330">
        <v>112</v>
      </c>
      <c r="AF102" s="330">
        <v>111</v>
      </c>
      <c r="AG102" s="330">
        <v>111</v>
      </c>
      <c r="AH102" s="530">
        <v>99</v>
      </c>
      <c r="AI102" s="530">
        <v>98</v>
      </c>
      <c r="AJ102" s="530">
        <v>97</v>
      </c>
      <c r="AK102" s="530">
        <v>97</v>
      </c>
      <c r="AL102" s="528">
        <v>108</v>
      </c>
      <c r="AM102" s="528">
        <v>104</v>
      </c>
      <c r="AN102" s="528">
        <v>101</v>
      </c>
      <c r="AO102" s="528">
        <v>101</v>
      </c>
    </row>
    <row r="103" spans="1:41" ht="24.95" customHeight="1" x14ac:dyDescent="0.2">
      <c r="A103" s="1" t="s">
        <v>47</v>
      </c>
      <c r="B103" s="1" t="s">
        <v>0</v>
      </c>
      <c r="C103" s="126" t="s">
        <v>48</v>
      </c>
      <c r="D103" s="2" t="s">
        <v>219</v>
      </c>
      <c r="E103" s="2">
        <v>4</v>
      </c>
      <c r="F103" s="12">
        <v>24</v>
      </c>
      <c r="G103" s="12">
        <v>26</v>
      </c>
      <c r="H103" s="12">
        <v>26</v>
      </c>
      <c r="I103" s="12">
        <v>26</v>
      </c>
      <c r="J103" s="25">
        <v>31</v>
      </c>
      <c r="K103" s="25">
        <v>30</v>
      </c>
      <c r="L103" s="25">
        <v>30</v>
      </c>
      <c r="M103" s="25">
        <v>29</v>
      </c>
      <c r="N103" s="12">
        <v>32</v>
      </c>
      <c r="O103" s="12">
        <v>30</v>
      </c>
      <c r="P103" s="12">
        <v>29</v>
      </c>
      <c r="Q103" s="12">
        <v>29</v>
      </c>
      <c r="R103" s="12">
        <v>33</v>
      </c>
      <c r="S103" s="12">
        <v>31</v>
      </c>
      <c r="T103" s="12">
        <v>31</v>
      </c>
      <c r="U103" s="12">
        <v>31</v>
      </c>
      <c r="V103" s="25">
        <v>35</v>
      </c>
      <c r="W103" s="25">
        <v>34</v>
      </c>
      <c r="X103" s="25">
        <v>33</v>
      </c>
      <c r="Y103" s="25">
        <v>33</v>
      </c>
      <c r="Z103" s="582">
        <v>43</v>
      </c>
      <c r="AA103" s="582">
        <v>36</v>
      </c>
      <c r="AB103" s="582">
        <v>36</v>
      </c>
      <c r="AC103" s="582">
        <v>36</v>
      </c>
      <c r="AD103" s="330">
        <v>39</v>
      </c>
      <c r="AE103" s="330">
        <v>36</v>
      </c>
      <c r="AF103" s="330">
        <v>35</v>
      </c>
      <c r="AG103" s="330">
        <v>35</v>
      </c>
      <c r="AH103" s="530">
        <v>33</v>
      </c>
      <c r="AI103" s="530">
        <v>29</v>
      </c>
      <c r="AJ103" s="530">
        <v>28</v>
      </c>
      <c r="AK103" s="530">
        <v>28</v>
      </c>
      <c r="AL103" s="528">
        <v>39</v>
      </c>
      <c r="AM103" s="528">
        <v>36</v>
      </c>
      <c r="AN103" s="528">
        <v>35</v>
      </c>
      <c r="AO103" s="528">
        <v>35</v>
      </c>
    </row>
    <row r="104" spans="1:41" ht="24.95" customHeight="1" x14ac:dyDescent="0.2">
      <c r="A104" s="13">
        <v>125754005600</v>
      </c>
      <c r="B104" s="1" t="s">
        <v>0</v>
      </c>
      <c r="C104" s="126" t="s">
        <v>890</v>
      </c>
      <c r="D104" s="2" t="s">
        <v>219</v>
      </c>
      <c r="E104" s="2">
        <v>3</v>
      </c>
      <c r="F104" s="12"/>
      <c r="G104" s="12"/>
      <c r="H104" s="12"/>
      <c r="I104" s="12"/>
      <c r="J104" s="25">
        <v>79</v>
      </c>
      <c r="K104" s="25">
        <v>76</v>
      </c>
      <c r="L104" s="25">
        <v>75</v>
      </c>
      <c r="M104" s="25">
        <v>73</v>
      </c>
      <c r="N104" s="12">
        <v>123</v>
      </c>
      <c r="O104" s="12">
        <v>118</v>
      </c>
      <c r="P104" s="12">
        <v>118</v>
      </c>
      <c r="Q104" s="12">
        <v>117</v>
      </c>
      <c r="R104" s="12">
        <v>161</v>
      </c>
      <c r="S104" s="12">
        <v>148</v>
      </c>
      <c r="T104" s="12">
        <v>147</v>
      </c>
      <c r="U104" s="12">
        <v>147</v>
      </c>
      <c r="V104" s="25">
        <v>160</v>
      </c>
      <c r="W104" s="25">
        <v>153</v>
      </c>
      <c r="X104" s="25">
        <v>152</v>
      </c>
      <c r="Y104" s="25">
        <v>152</v>
      </c>
      <c r="Z104" s="582">
        <v>239</v>
      </c>
      <c r="AA104" s="582">
        <v>226</v>
      </c>
      <c r="AB104" s="582">
        <v>223</v>
      </c>
      <c r="AC104" s="582">
        <v>223</v>
      </c>
      <c r="AD104" s="330">
        <v>176</v>
      </c>
      <c r="AE104" s="330">
        <v>169</v>
      </c>
      <c r="AF104" s="330">
        <v>167</v>
      </c>
      <c r="AG104" s="330">
        <v>167</v>
      </c>
      <c r="AH104" s="530">
        <v>229</v>
      </c>
      <c r="AI104" s="530">
        <v>222</v>
      </c>
      <c r="AJ104" s="530">
        <v>217</v>
      </c>
      <c r="AK104" s="530">
        <v>217</v>
      </c>
      <c r="AL104" s="528">
        <v>254</v>
      </c>
      <c r="AM104" s="528">
        <v>252</v>
      </c>
      <c r="AN104" s="528">
        <v>241</v>
      </c>
      <c r="AO104" s="528">
        <v>241</v>
      </c>
    </row>
    <row r="105" spans="1:41" ht="24.95" customHeight="1" x14ac:dyDescent="0.2">
      <c r="A105" s="1" t="s">
        <v>137</v>
      </c>
      <c r="B105" s="1" t="s">
        <v>0</v>
      </c>
      <c r="C105" s="126" t="s">
        <v>138</v>
      </c>
      <c r="D105" s="2" t="s">
        <v>219</v>
      </c>
      <c r="E105" s="2">
        <v>1</v>
      </c>
      <c r="F105" s="12">
        <v>112</v>
      </c>
      <c r="G105" s="12">
        <v>109</v>
      </c>
      <c r="H105" s="585">
        <v>109</v>
      </c>
      <c r="I105" s="585">
        <v>109</v>
      </c>
      <c r="J105" s="25">
        <v>107</v>
      </c>
      <c r="K105" s="25">
        <v>109</v>
      </c>
      <c r="L105" s="25">
        <v>109</v>
      </c>
      <c r="M105" s="25">
        <v>104</v>
      </c>
      <c r="N105" s="12">
        <v>118</v>
      </c>
      <c r="O105" s="12">
        <v>114</v>
      </c>
      <c r="P105" s="12">
        <v>112</v>
      </c>
      <c r="Q105" s="12">
        <v>112</v>
      </c>
      <c r="R105" s="12">
        <v>116</v>
      </c>
      <c r="S105" s="12">
        <v>117</v>
      </c>
      <c r="T105" s="12">
        <v>116</v>
      </c>
      <c r="U105" s="12">
        <v>107</v>
      </c>
      <c r="V105" s="25">
        <v>113</v>
      </c>
      <c r="W105" s="25">
        <v>110</v>
      </c>
      <c r="X105" s="25">
        <v>110</v>
      </c>
      <c r="Y105" s="25">
        <v>110</v>
      </c>
      <c r="Z105" s="582">
        <v>125</v>
      </c>
      <c r="AA105" s="582">
        <v>123</v>
      </c>
      <c r="AB105" s="582">
        <v>120</v>
      </c>
      <c r="AC105" s="582">
        <v>120</v>
      </c>
      <c r="AD105" s="330">
        <v>119</v>
      </c>
      <c r="AE105" s="330">
        <v>112</v>
      </c>
      <c r="AF105" s="330">
        <v>109</v>
      </c>
      <c r="AG105" s="330">
        <v>109</v>
      </c>
      <c r="AH105" s="530">
        <v>116</v>
      </c>
      <c r="AI105" s="530">
        <v>116</v>
      </c>
      <c r="AJ105" s="530">
        <v>112</v>
      </c>
      <c r="AK105" s="530">
        <v>112</v>
      </c>
      <c r="AL105" s="528">
        <v>119</v>
      </c>
      <c r="AM105" s="528">
        <v>113</v>
      </c>
      <c r="AN105" s="528">
        <v>109</v>
      </c>
      <c r="AO105" s="528">
        <v>109</v>
      </c>
    </row>
    <row r="106" spans="1:41" ht="24.95" customHeight="1" x14ac:dyDescent="0.2">
      <c r="A106" s="14" t="s">
        <v>277</v>
      </c>
      <c r="B106" s="1" t="s">
        <v>0</v>
      </c>
      <c r="C106" s="126" t="s">
        <v>287</v>
      </c>
      <c r="D106" s="35" t="s">
        <v>219</v>
      </c>
      <c r="E106" s="2">
        <v>3</v>
      </c>
      <c r="F106" s="12">
        <v>80</v>
      </c>
      <c r="G106" s="12">
        <v>79</v>
      </c>
      <c r="H106" s="12">
        <v>78</v>
      </c>
      <c r="I106" s="12">
        <v>78</v>
      </c>
      <c r="J106" s="25">
        <v>200</v>
      </c>
      <c r="K106" s="25">
        <v>200</v>
      </c>
      <c r="L106" s="25">
        <v>199</v>
      </c>
      <c r="M106" s="25">
        <v>197</v>
      </c>
      <c r="N106" s="12">
        <v>214</v>
      </c>
      <c r="O106" s="12">
        <v>213</v>
      </c>
      <c r="P106" s="12">
        <v>212</v>
      </c>
      <c r="Q106" s="12">
        <v>210</v>
      </c>
      <c r="R106" s="12">
        <v>187</v>
      </c>
      <c r="S106" s="12">
        <v>184</v>
      </c>
      <c r="T106" s="12">
        <v>184</v>
      </c>
      <c r="U106" s="12">
        <v>179</v>
      </c>
      <c r="V106" s="25">
        <v>206</v>
      </c>
      <c r="W106" s="25">
        <v>204</v>
      </c>
      <c r="X106" s="25">
        <v>203</v>
      </c>
      <c r="Y106" s="25">
        <v>203</v>
      </c>
      <c r="Z106" s="582">
        <v>248</v>
      </c>
      <c r="AA106" s="582">
        <v>245</v>
      </c>
      <c r="AB106" s="582">
        <v>243</v>
      </c>
      <c r="AC106" s="582">
        <v>243</v>
      </c>
      <c r="AD106" s="330">
        <v>250</v>
      </c>
      <c r="AE106" s="330">
        <v>247</v>
      </c>
      <c r="AF106" s="330">
        <v>244</v>
      </c>
      <c r="AG106" s="330">
        <v>244</v>
      </c>
      <c r="AH106" s="530">
        <v>249</v>
      </c>
      <c r="AI106" s="530">
        <v>236</v>
      </c>
      <c r="AJ106" s="530">
        <v>233</v>
      </c>
      <c r="AK106" s="530">
        <v>233</v>
      </c>
      <c r="AL106" s="528">
        <v>225</v>
      </c>
      <c r="AM106" s="528">
        <v>223</v>
      </c>
      <c r="AN106" s="528">
        <v>219</v>
      </c>
      <c r="AO106" s="528">
        <v>219</v>
      </c>
    </row>
    <row r="107" spans="1:41" ht="24.95" customHeight="1" x14ac:dyDescent="0.2">
      <c r="A107" s="1" t="s">
        <v>102</v>
      </c>
      <c r="B107" s="1" t="s">
        <v>0</v>
      </c>
      <c r="C107" s="126" t="s">
        <v>103</v>
      </c>
      <c r="D107" s="2" t="s">
        <v>219</v>
      </c>
      <c r="E107" s="2">
        <v>4</v>
      </c>
      <c r="F107" s="12">
        <v>119</v>
      </c>
      <c r="G107" s="12">
        <v>127</v>
      </c>
      <c r="H107" s="12">
        <v>125</v>
      </c>
      <c r="I107" s="12">
        <v>125</v>
      </c>
      <c r="J107" s="25">
        <v>126</v>
      </c>
      <c r="K107" s="25">
        <v>122</v>
      </c>
      <c r="L107" s="25">
        <v>120</v>
      </c>
      <c r="M107" s="25">
        <v>117</v>
      </c>
      <c r="N107" s="12">
        <v>116</v>
      </c>
      <c r="O107" s="12">
        <v>116</v>
      </c>
      <c r="P107" s="12">
        <v>116</v>
      </c>
      <c r="Q107" s="12">
        <v>116</v>
      </c>
      <c r="R107" s="12">
        <v>108</v>
      </c>
      <c r="S107" s="12">
        <v>108</v>
      </c>
      <c r="T107" s="12">
        <v>106</v>
      </c>
      <c r="U107" s="12">
        <v>104</v>
      </c>
      <c r="V107" s="25">
        <v>123</v>
      </c>
      <c r="W107" s="25">
        <v>109</v>
      </c>
      <c r="X107" s="25">
        <v>107</v>
      </c>
      <c r="Y107" s="25">
        <v>107</v>
      </c>
      <c r="Z107" s="582">
        <v>132</v>
      </c>
      <c r="AA107" s="582">
        <v>116</v>
      </c>
      <c r="AB107" s="582">
        <v>110</v>
      </c>
      <c r="AC107" s="582">
        <v>110</v>
      </c>
      <c r="AD107" s="330">
        <v>136</v>
      </c>
      <c r="AE107" s="330">
        <v>115</v>
      </c>
      <c r="AF107" s="330">
        <v>115</v>
      </c>
      <c r="AG107" s="330">
        <v>115</v>
      </c>
      <c r="AH107" s="530">
        <v>131</v>
      </c>
      <c r="AI107" s="530">
        <v>124</v>
      </c>
      <c r="AJ107" s="530">
        <v>121</v>
      </c>
      <c r="AK107" s="530">
        <v>121</v>
      </c>
      <c r="AL107" s="528">
        <v>124</v>
      </c>
      <c r="AM107" s="528">
        <v>121</v>
      </c>
      <c r="AN107" s="528">
        <v>118</v>
      </c>
      <c r="AO107" s="528">
        <v>118</v>
      </c>
    </row>
    <row r="108" spans="1:41" ht="24.95" customHeight="1" x14ac:dyDescent="0.2">
      <c r="A108" s="1" t="s">
        <v>85</v>
      </c>
      <c r="B108" s="1" t="s">
        <v>0</v>
      </c>
      <c r="C108" s="126" t="s">
        <v>86</v>
      </c>
      <c r="D108" s="2" t="s">
        <v>219</v>
      </c>
      <c r="E108" s="2">
        <v>1</v>
      </c>
      <c r="F108" s="12">
        <v>299</v>
      </c>
      <c r="G108" s="12">
        <v>296</v>
      </c>
      <c r="H108" s="12">
        <v>279</v>
      </c>
      <c r="I108" s="12">
        <v>279</v>
      </c>
      <c r="J108" s="25">
        <v>253</v>
      </c>
      <c r="K108" s="25">
        <v>249</v>
      </c>
      <c r="L108" s="25">
        <v>246</v>
      </c>
      <c r="M108" s="25">
        <v>242</v>
      </c>
      <c r="N108" s="12">
        <v>298</v>
      </c>
      <c r="O108" s="12">
        <v>300</v>
      </c>
      <c r="P108" s="12">
        <v>300</v>
      </c>
      <c r="Q108" s="12">
        <v>299</v>
      </c>
      <c r="R108" s="12">
        <v>250</v>
      </c>
      <c r="S108" s="12">
        <v>237</v>
      </c>
      <c r="T108" s="12">
        <v>236</v>
      </c>
      <c r="U108" s="12">
        <v>228</v>
      </c>
      <c r="V108" s="25">
        <v>278</v>
      </c>
      <c r="W108" s="25">
        <v>263</v>
      </c>
      <c r="X108" s="25">
        <v>257</v>
      </c>
      <c r="Y108" s="25">
        <v>257</v>
      </c>
      <c r="Z108" s="582">
        <v>249</v>
      </c>
      <c r="AA108" s="582">
        <v>224</v>
      </c>
      <c r="AB108" s="582">
        <v>217</v>
      </c>
      <c r="AC108" s="582">
        <v>217</v>
      </c>
      <c r="AD108" s="47">
        <v>245</v>
      </c>
      <c r="AE108" s="47">
        <v>235</v>
      </c>
      <c r="AF108" s="47">
        <v>228</v>
      </c>
      <c r="AG108" s="47">
        <v>228</v>
      </c>
      <c r="AH108" s="621">
        <v>278</v>
      </c>
      <c r="AI108" s="621">
        <v>266</v>
      </c>
      <c r="AJ108" s="621">
        <v>262</v>
      </c>
      <c r="AK108" s="621">
        <v>262</v>
      </c>
      <c r="AL108" s="47">
        <v>299</v>
      </c>
      <c r="AM108" s="47">
        <v>290</v>
      </c>
      <c r="AN108" s="47">
        <v>285</v>
      </c>
      <c r="AO108" s="47">
        <v>285</v>
      </c>
    </row>
    <row r="109" spans="1:41" ht="24.95" customHeight="1" x14ac:dyDescent="0.2">
      <c r="A109" s="1" t="s">
        <v>45</v>
      </c>
      <c r="B109" s="1" t="s">
        <v>0</v>
      </c>
      <c r="C109" s="126" t="s">
        <v>46</v>
      </c>
      <c r="D109" s="2" t="s">
        <v>221</v>
      </c>
      <c r="E109" s="2">
        <v>5</v>
      </c>
      <c r="F109" s="12">
        <v>15</v>
      </c>
      <c r="G109" s="12">
        <v>36</v>
      </c>
      <c r="H109" s="12">
        <v>36</v>
      </c>
      <c r="I109" s="12">
        <v>36</v>
      </c>
      <c r="J109" s="25">
        <v>41</v>
      </c>
      <c r="K109" s="25">
        <v>41</v>
      </c>
      <c r="L109" s="25">
        <v>41</v>
      </c>
      <c r="M109" s="25">
        <v>41</v>
      </c>
      <c r="N109" s="12">
        <v>21</v>
      </c>
      <c r="O109" s="12">
        <v>21</v>
      </c>
      <c r="P109" s="12">
        <v>21</v>
      </c>
      <c r="Q109" s="12">
        <v>21</v>
      </c>
      <c r="R109" s="12">
        <v>35</v>
      </c>
      <c r="S109" s="12">
        <v>35</v>
      </c>
      <c r="T109" s="12">
        <v>35</v>
      </c>
      <c r="U109" s="12">
        <v>35</v>
      </c>
      <c r="V109" s="25">
        <v>28</v>
      </c>
      <c r="W109" s="25">
        <v>27</v>
      </c>
      <c r="X109" s="25">
        <v>27</v>
      </c>
      <c r="Y109" s="25">
        <v>27</v>
      </c>
      <c r="Z109" s="582">
        <v>18</v>
      </c>
      <c r="AA109" s="582">
        <v>18</v>
      </c>
      <c r="AB109" s="582">
        <v>18</v>
      </c>
      <c r="AC109" s="582">
        <v>18</v>
      </c>
      <c r="AD109" s="617"/>
      <c r="AE109" s="617"/>
      <c r="AF109" s="617"/>
      <c r="AG109" s="617"/>
      <c r="AH109" s="620"/>
      <c r="AI109" s="620"/>
      <c r="AJ109" s="620"/>
      <c r="AK109" s="620"/>
      <c r="AL109" s="622"/>
      <c r="AM109" s="622"/>
      <c r="AN109" s="622"/>
      <c r="AO109" s="622"/>
    </row>
    <row r="110" spans="1:41" ht="24.95" customHeight="1" x14ac:dyDescent="0.2">
      <c r="A110" s="1" t="s">
        <v>60</v>
      </c>
      <c r="B110" s="1" t="s">
        <v>0</v>
      </c>
      <c r="C110" s="126" t="s">
        <v>61</v>
      </c>
      <c r="D110" s="2" t="s">
        <v>219</v>
      </c>
      <c r="E110" s="2">
        <v>6</v>
      </c>
      <c r="F110" s="12">
        <v>0</v>
      </c>
      <c r="G110" s="12">
        <v>100</v>
      </c>
      <c r="H110" s="12">
        <v>93</v>
      </c>
      <c r="I110" s="12">
        <v>93</v>
      </c>
      <c r="J110" s="25">
        <v>114</v>
      </c>
      <c r="K110" s="25">
        <v>123</v>
      </c>
      <c r="L110" s="25">
        <v>118</v>
      </c>
      <c r="M110" s="25">
        <v>116</v>
      </c>
      <c r="N110" s="12">
        <v>134</v>
      </c>
      <c r="O110" s="12">
        <v>143</v>
      </c>
      <c r="P110" s="12">
        <v>138</v>
      </c>
      <c r="Q110" s="12">
        <v>137</v>
      </c>
      <c r="R110" s="12">
        <v>133</v>
      </c>
      <c r="S110" s="12">
        <v>131</v>
      </c>
      <c r="T110" s="12">
        <v>129</v>
      </c>
      <c r="U110" s="12">
        <v>125</v>
      </c>
      <c r="V110" s="25">
        <v>110</v>
      </c>
      <c r="W110" s="25">
        <v>102</v>
      </c>
      <c r="X110" s="25">
        <v>102</v>
      </c>
      <c r="Y110" s="25">
        <v>102</v>
      </c>
      <c r="Z110" s="582">
        <v>119</v>
      </c>
      <c r="AA110" s="582">
        <v>110</v>
      </c>
      <c r="AB110" s="582">
        <v>108</v>
      </c>
      <c r="AC110" s="582">
        <v>108</v>
      </c>
      <c r="AD110" s="330">
        <v>124</v>
      </c>
      <c r="AE110" s="330">
        <v>108</v>
      </c>
      <c r="AF110" s="330">
        <v>106</v>
      </c>
      <c r="AG110" s="330">
        <v>106</v>
      </c>
      <c r="AH110" s="530">
        <v>123</v>
      </c>
      <c r="AI110" s="530">
        <v>119</v>
      </c>
      <c r="AJ110" s="530">
        <v>117</v>
      </c>
      <c r="AK110" s="530">
        <v>117</v>
      </c>
      <c r="AL110" s="528">
        <v>149</v>
      </c>
      <c r="AM110" s="528">
        <v>147</v>
      </c>
      <c r="AN110" s="528">
        <v>139</v>
      </c>
      <c r="AO110" s="528">
        <v>139</v>
      </c>
    </row>
    <row r="111" spans="1:41" ht="24.95" customHeight="1" x14ac:dyDescent="0.2">
      <c r="A111" s="1" t="s">
        <v>20</v>
      </c>
      <c r="B111" s="1" t="s">
        <v>0</v>
      </c>
      <c r="C111" s="126" t="s">
        <v>21</v>
      </c>
      <c r="D111" s="2" t="s">
        <v>219</v>
      </c>
      <c r="E111" s="2">
        <v>5</v>
      </c>
      <c r="F111" s="12">
        <v>0</v>
      </c>
      <c r="G111" s="12">
        <v>185</v>
      </c>
      <c r="H111" s="12">
        <v>184</v>
      </c>
      <c r="I111" s="12">
        <v>184</v>
      </c>
      <c r="J111" s="25">
        <v>229</v>
      </c>
      <c r="K111" s="25">
        <v>223</v>
      </c>
      <c r="L111" s="25">
        <v>221</v>
      </c>
      <c r="M111" s="25">
        <v>220</v>
      </c>
      <c r="N111" s="12">
        <v>215</v>
      </c>
      <c r="O111" s="12">
        <v>210</v>
      </c>
      <c r="P111" s="12">
        <v>209</v>
      </c>
      <c r="Q111" s="12">
        <v>206</v>
      </c>
      <c r="R111" s="12">
        <v>222</v>
      </c>
      <c r="S111" s="12">
        <v>221</v>
      </c>
      <c r="T111" s="12">
        <v>221</v>
      </c>
      <c r="U111" s="12">
        <v>218</v>
      </c>
      <c r="V111" s="25">
        <v>209</v>
      </c>
      <c r="W111" s="25">
        <v>169</v>
      </c>
      <c r="X111" s="25">
        <v>166</v>
      </c>
      <c r="Y111" s="25">
        <v>166</v>
      </c>
      <c r="Z111" s="582">
        <v>201</v>
      </c>
      <c r="AA111" s="582">
        <v>167</v>
      </c>
      <c r="AB111" s="582">
        <v>164</v>
      </c>
      <c r="AC111" s="582">
        <v>164</v>
      </c>
      <c r="AD111" s="330">
        <v>185</v>
      </c>
      <c r="AE111" s="330">
        <v>181</v>
      </c>
      <c r="AF111" s="330">
        <v>179</v>
      </c>
      <c r="AG111" s="330">
        <v>179</v>
      </c>
      <c r="AH111" s="530">
        <v>221</v>
      </c>
      <c r="AI111" s="530">
        <v>216</v>
      </c>
      <c r="AJ111" s="530">
        <v>209</v>
      </c>
      <c r="AK111" s="530">
        <v>209</v>
      </c>
      <c r="AL111" s="528">
        <v>195</v>
      </c>
      <c r="AM111" s="528">
        <v>183</v>
      </c>
      <c r="AN111" s="528">
        <v>175</v>
      </c>
      <c r="AO111" s="528">
        <v>175</v>
      </c>
    </row>
    <row r="112" spans="1:41" ht="24.95" customHeight="1" x14ac:dyDescent="0.2">
      <c r="A112" s="1" t="s">
        <v>123</v>
      </c>
      <c r="B112" s="1" t="s">
        <v>0</v>
      </c>
      <c r="C112" s="126" t="s">
        <v>124</v>
      </c>
      <c r="D112" s="2" t="s">
        <v>219</v>
      </c>
      <c r="E112" s="2">
        <v>4</v>
      </c>
      <c r="F112" s="12">
        <v>53</v>
      </c>
      <c r="G112" s="12">
        <v>51</v>
      </c>
      <c r="H112" s="12">
        <v>49</v>
      </c>
      <c r="I112" s="12">
        <v>49</v>
      </c>
      <c r="J112" s="25">
        <v>46</v>
      </c>
      <c r="K112" s="25">
        <v>49</v>
      </c>
      <c r="L112" s="25">
        <v>48</v>
      </c>
      <c r="M112" s="25">
        <v>48</v>
      </c>
      <c r="N112" s="12">
        <v>49</v>
      </c>
      <c r="O112" s="12">
        <v>47</v>
      </c>
      <c r="P112" s="12">
        <v>47</v>
      </c>
      <c r="Q112" s="12">
        <v>47</v>
      </c>
      <c r="R112" s="12">
        <v>62</v>
      </c>
      <c r="S112" s="12">
        <v>61</v>
      </c>
      <c r="T112" s="12">
        <v>60</v>
      </c>
      <c r="U112" s="12">
        <v>59</v>
      </c>
      <c r="V112" s="25">
        <v>54</v>
      </c>
      <c r="W112" s="25">
        <v>47</v>
      </c>
      <c r="X112" s="25">
        <v>45</v>
      </c>
      <c r="Y112" s="25">
        <v>45</v>
      </c>
      <c r="Z112" s="582">
        <v>50</v>
      </c>
      <c r="AA112" s="582">
        <v>46</v>
      </c>
      <c r="AB112" s="582">
        <v>45</v>
      </c>
      <c r="AC112" s="582">
        <v>45</v>
      </c>
      <c r="AD112" s="330">
        <v>57</v>
      </c>
      <c r="AE112" s="330">
        <v>56</v>
      </c>
      <c r="AF112" s="330">
        <v>54</v>
      </c>
      <c r="AG112" s="330">
        <v>54</v>
      </c>
      <c r="AH112" s="530">
        <v>66</v>
      </c>
      <c r="AI112" s="530">
        <v>64</v>
      </c>
      <c r="AJ112" s="530">
        <v>63</v>
      </c>
      <c r="AK112" s="530">
        <v>63</v>
      </c>
      <c r="AL112" s="528">
        <v>64</v>
      </c>
      <c r="AM112" s="528">
        <v>59</v>
      </c>
      <c r="AN112" s="528">
        <v>57</v>
      </c>
      <c r="AO112" s="528">
        <v>57</v>
      </c>
    </row>
    <row r="113" spans="1:41" ht="24.95" customHeight="1" x14ac:dyDescent="0.2">
      <c r="A113" s="1" t="s">
        <v>22</v>
      </c>
      <c r="B113" s="1" t="s">
        <v>0</v>
      </c>
      <c r="C113" s="126" t="s">
        <v>23</v>
      </c>
      <c r="D113" s="2" t="s">
        <v>219</v>
      </c>
      <c r="E113" s="2">
        <v>2</v>
      </c>
      <c r="F113" s="12">
        <v>310</v>
      </c>
      <c r="G113" s="12">
        <v>310</v>
      </c>
      <c r="H113" s="12">
        <v>302</v>
      </c>
      <c r="I113" s="12">
        <v>302</v>
      </c>
      <c r="J113" s="25">
        <v>267</v>
      </c>
      <c r="K113" s="25">
        <v>260</v>
      </c>
      <c r="L113" s="25">
        <v>260</v>
      </c>
      <c r="M113" s="25">
        <v>255</v>
      </c>
      <c r="N113" s="12">
        <v>251</v>
      </c>
      <c r="O113" s="12">
        <v>244</v>
      </c>
      <c r="P113" s="12">
        <v>241</v>
      </c>
      <c r="Q113" s="12">
        <v>240</v>
      </c>
      <c r="R113" s="12">
        <v>281</v>
      </c>
      <c r="S113" s="12">
        <v>274</v>
      </c>
      <c r="T113" s="12">
        <v>272</v>
      </c>
      <c r="U113" s="12">
        <v>267</v>
      </c>
      <c r="V113" s="25">
        <v>311</v>
      </c>
      <c r="W113" s="25">
        <v>287</v>
      </c>
      <c r="X113" s="25">
        <v>285</v>
      </c>
      <c r="Y113" s="25">
        <v>285</v>
      </c>
      <c r="Z113" s="582">
        <v>364</v>
      </c>
      <c r="AA113" s="582">
        <v>340</v>
      </c>
      <c r="AB113" s="582">
        <v>335</v>
      </c>
      <c r="AC113" s="582">
        <v>335</v>
      </c>
      <c r="AD113" s="330">
        <v>285</v>
      </c>
      <c r="AE113" s="330">
        <v>268</v>
      </c>
      <c r="AF113" s="330">
        <v>267</v>
      </c>
      <c r="AG113" s="330">
        <v>267</v>
      </c>
      <c r="AH113" s="530">
        <v>311</v>
      </c>
      <c r="AI113" s="530">
        <v>304</v>
      </c>
      <c r="AJ113" s="530">
        <v>302</v>
      </c>
      <c r="AK113" s="530">
        <v>302</v>
      </c>
      <c r="AL113" s="528">
        <v>294</v>
      </c>
      <c r="AM113" s="528">
        <v>289</v>
      </c>
      <c r="AN113" s="528">
        <v>284</v>
      </c>
      <c r="AO113" s="528">
        <v>284</v>
      </c>
    </row>
    <row r="114" spans="1:41" ht="24.95" customHeight="1" x14ac:dyDescent="0.2">
      <c r="A114" s="1" t="s">
        <v>193</v>
      </c>
      <c r="B114" s="1" t="s">
        <v>0</v>
      </c>
      <c r="C114" s="126" t="s">
        <v>222</v>
      </c>
      <c r="D114" s="2" t="s">
        <v>221</v>
      </c>
      <c r="E114" s="2">
        <v>1</v>
      </c>
      <c r="F114" s="12">
        <v>49</v>
      </c>
      <c r="G114" s="12">
        <v>46</v>
      </c>
      <c r="H114" s="12">
        <v>46</v>
      </c>
      <c r="I114" s="12">
        <v>46</v>
      </c>
      <c r="J114" s="25">
        <v>40</v>
      </c>
      <c r="K114" s="25">
        <v>39</v>
      </c>
      <c r="L114" s="25">
        <v>39</v>
      </c>
      <c r="M114" s="25">
        <v>39</v>
      </c>
      <c r="N114" s="12">
        <v>38</v>
      </c>
      <c r="O114" s="12">
        <v>38</v>
      </c>
      <c r="P114" s="12">
        <v>38</v>
      </c>
      <c r="Q114" s="12">
        <v>38</v>
      </c>
      <c r="R114" s="12">
        <v>38</v>
      </c>
      <c r="S114" s="12">
        <v>37</v>
      </c>
      <c r="T114" s="12">
        <v>37</v>
      </c>
      <c r="U114" s="12">
        <v>37</v>
      </c>
      <c r="V114" s="25">
        <v>46</v>
      </c>
      <c r="W114" s="25">
        <v>46</v>
      </c>
      <c r="X114" s="25">
        <v>45</v>
      </c>
      <c r="Y114" s="25">
        <v>45</v>
      </c>
      <c r="Z114" s="582">
        <v>61</v>
      </c>
      <c r="AA114" s="582">
        <v>59</v>
      </c>
      <c r="AB114" s="582">
        <v>59</v>
      </c>
      <c r="AC114" s="582">
        <v>59</v>
      </c>
      <c r="AD114" s="330">
        <v>15</v>
      </c>
      <c r="AE114" s="330">
        <v>68</v>
      </c>
      <c r="AF114" s="330">
        <v>68</v>
      </c>
      <c r="AG114" s="330">
        <v>68</v>
      </c>
      <c r="AH114" s="530">
        <v>54</v>
      </c>
      <c r="AI114" s="530">
        <v>54</v>
      </c>
      <c r="AJ114" s="530">
        <v>54</v>
      </c>
      <c r="AK114" s="530">
        <v>54</v>
      </c>
      <c r="AL114" s="528">
        <v>53</v>
      </c>
      <c r="AM114" s="528">
        <v>53</v>
      </c>
      <c r="AN114" s="528">
        <v>53</v>
      </c>
      <c r="AO114" s="528">
        <v>53</v>
      </c>
    </row>
    <row r="115" spans="1:41" ht="24.95" customHeight="1" x14ac:dyDescent="0.2">
      <c r="A115" s="1" t="s">
        <v>87</v>
      </c>
      <c r="B115" s="1" t="s">
        <v>0</v>
      </c>
      <c r="C115" s="126" t="s">
        <v>88</v>
      </c>
      <c r="D115" s="2" t="s">
        <v>219</v>
      </c>
      <c r="E115" s="2">
        <v>2</v>
      </c>
      <c r="F115" s="12">
        <v>277</v>
      </c>
      <c r="G115" s="12">
        <v>278</v>
      </c>
      <c r="H115" s="12">
        <v>265</v>
      </c>
      <c r="I115" s="12">
        <v>265</v>
      </c>
      <c r="J115" s="25">
        <v>318</v>
      </c>
      <c r="K115" s="25">
        <v>315</v>
      </c>
      <c r="L115" s="25">
        <v>312</v>
      </c>
      <c r="M115" s="25">
        <v>306</v>
      </c>
      <c r="N115" s="12">
        <v>274</v>
      </c>
      <c r="O115" s="12">
        <v>266</v>
      </c>
      <c r="P115" s="12">
        <v>263</v>
      </c>
      <c r="Q115" s="12">
        <v>246</v>
      </c>
      <c r="R115" s="12">
        <v>285</v>
      </c>
      <c r="S115" s="12">
        <v>284</v>
      </c>
      <c r="T115" s="12">
        <v>283</v>
      </c>
      <c r="U115" s="12">
        <v>278</v>
      </c>
      <c r="V115" s="25">
        <v>324</v>
      </c>
      <c r="W115" s="25">
        <v>310</v>
      </c>
      <c r="X115" s="25">
        <v>306</v>
      </c>
      <c r="Y115" s="25">
        <v>306</v>
      </c>
      <c r="Z115" s="582">
        <v>262</v>
      </c>
      <c r="AA115" s="582">
        <v>245</v>
      </c>
      <c r="AB115" s="582">
        <v>239</v>
      </c>
      <c r="AC115" s="582">
        <v>239</v>
      </c>
      <c r="AD115" s="330">
        <v>378</v>
      </c>
      <c r="AE115" s="330">
        <v>343</v>
      </c>
      <c r="AF115" s="330">
        <v>334</v>
      </c>
      <c r="AG115" s="330">
        <v>334</v>
      </c>
      <c r="AH115" s="530">
        <v>332</v>
      </c>
      <c r="AI115" s="530">
        <v>325</v>
      </c>
      <c r="AJ115" s="530">
        <v>315</v>
      </c>
      <c r="AK115" s="530">
        <v>315</v>
      </c>
      <c r="AL115" s="528">
        <v>358</v>
      </c>
      <c r="AM115" s="528">
        <v>344</v>
      </c>
      <c r="AN115" s="528">
        <v>337</v>
      </c>
      <c r="AO115" s="528">
        <v>337</v>
      </c>
    </row>
    <row r="116" spans="1:41" ht="24.95" customHeight="1" x14ac:dyDescent="0.2">
      <c r="A116" s="1" t="s">
        <v>104</v>
      </c>
      <c r="B116" s="1" t="s">
        <v>0</v>
      </c>
      <c r="C116" s="126" t="s">
        <v>1096</v>
      </c>
      <c r="D116" s="2" t="s">
        <v>219</v>
      </c>
      <c r="E116" s="2">
        <v>4</v>
      </c>
      <c r="F116" s="12">
        <v>149</v>
      </c>
      <c r="G116" s="12">
        <v>149</v>
      </c>
      <c r="H116" s="12">
        <v>146</v>
      </c>
      <c r="I116" s="12">
        <v>146</v>
      </c>
      <c r="J116" s="25">
        <v>143</v>
      </c>
      <c r="K116" s="25">
        <v>143</v>
      </c>
      <c r="L116" s="25">
        <v>141</v>
      </c>
      <c r="M116" s="25">
        <v>132</v>
      </c>
      <c r="N116" s="12">
        <v>167</v>
      </c>
      <c r="O116" s="12">
        <v>167</v>
      </c>
      <c r="P116" s="12">
        <v>167</v>
      </c>
      <c r="Q116" s="12">
        <v>166</v>
      </c>
      <c r="R116" s="12">
        <v>180</v>
      </c>
      <c r="S116" s="12">
        <v>177</v>
      </c>
      <c r="T116" s="12">
        <v>176</v>
      </c>
      <c r="U116" s="12">
        <v>173</v>
      </c>
      <c r="V116" s="25">
        <v>147</v>
      </c>
      <c r="W116" s="25">
        <v>139</v>
      </c>
      <c r="X116" s="25">
        <v>137</v>
      </c>
      <c r="Y116" s="25">
        <v>137</v>
      </c>
      <c r="Z116" s="582">
        <v>149</v>
      </c>
      <c r="AA116" s="582">
        <v>144</v>
      </c>
      <c r="AB116" s="582">
        <v>139</v>
      </c>
      <c r="AC116" s="582">
        <v>139</v>
      </c>
      <c r="AD116" s="330">
        <v>159</v>
      </c>
      <c r="AE116" s="330">
        <v>150</v>
      </c>
      <c r="AF116" s="330">
        <v>147</v>
      </c>
      <c r="AG116" s="330">
        <v>147</v>
      </c>
      <c r="AH116" s="530">
        <v>167</v>
      </c>
      <c r="AI116" s="530">
        <v>165</v>
      </c>
      <c r="AJ116" s="530">
        <v>163</v>
      </c>
      <c r="AK116" s="530">
        <v>163</v>
      </c>
      <c r="AL116" s="528">
        <v>142</v>
      </c>
      <c r="AM116" s="528">
        <v>138</v>
      </c>
      <c r="AN116" s="528">
        <v>133</v>
      </c>
      <c r="AO116" s="528">
        <v>133</v>
      </c>
    </row>
    <row r="117" spans="1:41" ht="24.95" customHeight="1" x14ac:dyDescent="0.2">
      <c r="A117" s="1" t="s">
        <v>188</v>
      </c>
      <c r="B117" s="1" t="s">
        <v>0</v>
      </c>
      <c r="C117" s="126" t="s">
        <v>1097</v>
      </c>
      <c r="D117" s="2" t="s">
        <v>221</v>
      </c>
      <c r="E117" s="2">
        <v>1</v>
      </c>
      <c r="F117" s="12">
        <v>41</v>
      </c>
      <c r="G117" s="12">
        <v>42</v>
      </c>
      <c r="H117" s="12">
        <v>42</v>
      </c>
      <c r="I117" s="12">
        <v>42</v>
      </c>
      <c r="J117" s="25">
        <v>19</v>
      </c>
      <c r="K117" s="25">
        <v>17</v>
      </c>
      <c r="L117" s="25">
        <v>17</v>
      </c>
      <c r="M117" s="25">
        <v>17</v>
      </c>
      <c r="N117" s="12">
        <v>17</v>
      </c>
      <c r="O117" s="12">
        <v>15</v>
      </c>
      <c r="P117" s="12">
        <v>15</v>
      </c>
      <c r="Q117" s="12">
        <v>14</v>
      </c>
      <c r="R117" s="12">
        <v>24</v>
      </c>
      <c r="S117" s="12">
        <v>24</v>
      </c>
      <c r="T117" s="12">
        <v>24</v>
      </c>
      <c r="U117" s="12">
        <v>23</v>
      </c>
      <c r="V117" s="25">
        <v>28</v>
      </c>
      <c r="W117" s="25">
        <v>26</v>
      </c>
      <c r="X117" s="25">
        <v>26</v>
      </c>
      <c r="Y117" s="25">
        <v>26</v>
      </c>
      <c r="Z117" s="582">
        <v>21</v>
      </c>
      <c r="AA117" s="582">
        <v>21</v>
      </c>
      <c r="AB117" s="582">
        <v>21</v>
      </c>
      <c r="AC117" s="582">
        <v>21</v>
      </c>
      <c r="AD117" s="330">
        <v>22</v>
      </c>
      <c r="AE117" s="330">
        <v>21</v>
      </c>
      <c r="AF117" s="330">
        <v>21</v>
      </c>
      <c r="AG117" s="330">
        <v>21</v>
      </c>
      <c r="AH117" s="530">
        <v>25</v>
      </c>
      <c r="AI117" s="530">
        <v>25</v>
      </c>
      <c r="AJ117" s="530">
        <v>25</v>
      </c>
      <c r="AK117" s="530">
        <v>25</v>
      </c>
      <c r="AL117" s="528">
        <v>19</v>
      </c>
      <c r="AM117" s="528">
        <v>19</v>
      </c>
      <c r="AN117" s="528">
        <v>19</v>
      </c>
      <c r="AO117" s="528">
        <v>19</v>
      </c>
    </row>
    <row r="118" spans="1:41" ht="24.95" customHeight="1" x14ac:dyDescent="0.2">
      <c r="A118" s="1" t="s">
        <v>171</v>
      </c>
      <c r="B118" s="1" t="s">
        <v>0</v>
      </c>
      <c r="C118" s="126" t="s">
        <v>172</v>
      </c>
      <c r="D118" s="2" t="s">
        <v>219</v>
      </c>
      <c r="E118" s="2">
        <v>3</v>
      </c>
      <c r="F118" s="12">
        <v>124</v>
      </c>
      <c r="G118" s="12">
        <v>259</v>
      </c>
      <c r="H118" s="12">
        <v>255</v>
      </c>
      <c r="I118" s="12">
        <v>255</v>
      </c>
      <c r="J118" s="25">
        <v>327</v>
      </c>
      <c r="K118" s="25">
        <v>330</v>
      </c>
      <c r="L118" s="25">
        <v>326</v>
      </c>
      <c r="M118" s="25">
        <v>321</v>
      </c>
      <c r="N118" s="12">
        <v>367</v>
      </c>
      <c r="O118" s="12">
        <v>366</v>
      </c>
      <c r="P118" s="12">
        <v>362</v>
      </c>
      <c r="Q118" s="12">
        <v>358</v>
      </c>
      <c r="R118" s="12">
        <v>304</v>
      </c>
      <c r="S118" s="12">
        <v>296</v>
      </c>
      <c r="T118" s="12">
        <v>296</v>
      </c>
      <c r="U118" s="12">
        <v>288</v>
      </c>
      <c r="V118" s="25">
        <v>114</v>
      </c>
      <c r="W118" s="25">
        <v>106</v>
      </c>
      <c r="X118" s="25">
        <v>106</v>
      </c>
      <c r="Y118" s="25">
        <v>106</v>
      </c>
      <c r="Z118" s="582">
        <v>140</v>
      </c>
      <c r="AA118" s="582">
        <v>132</v>
      </c>
      <c r="AB118" s="582">
        <v>120</v>
      </c>
      <c r="AC118" s="582">
        <v>120</v>
      </c>
      <c r="AD118" s="330">
        <v>133</v>
      </c>
      <c r="AE118" s="330">
        <v>127</v>
      </c>
      <c r="AF118" s="330">
        <v>126</v>
      </c>
      <c r="AG118" s="330">
        <v>126</v>
      </c>
      <c r="AH118" s="530">
        <v>118</v>
      </c>
      <c r="AI118" s="530">
        <v>110</v>
      </c>
      <c r="AJ118" s="530">
        <v>106</v>
      </c>
      <c r="AK118" s="530">
        <v>106</v>
      </c>
      <c r="AL118" s="528">
        <v>93</v>
      </c>
      <c r="AM118" s="528">
        <v>90</v>
      </c>
      <c r="AN118" s="528">
        <v>88</v>
      </c>
      <c r="AO118" s="528">
        <v>88</v>
      </c>
    </row>
    <row r="119" spans="1:41" ht="24.95" customHeight="1" x14ac:dyDescent="0.2">
      <c r="A119" s="1" t="s">
        <v>32</v>
      </c>
      <c r="B119" s="1" t="s">
        <v>0</v>
      </c>
      <c r="C119" s="126" t="s">
        <v>33</v>
      </c>
      <c r="D119" s="2" t="s">
        <v>219</v>
      </c>
      <c r="E119" s="2">
        <v>6</v>
      </c>
      <c r="F119" s="12">
        <v>0</v>
      </c>
      <c r="G119" s="12">
        <v>168</v>
      </c>
      <c r="H119" s="12">
        <v>163</v>
      </c>
      <c r="I119" s="12">
        <v>163</v>
      </c>
      <c r="J119" s="25">
        <v>149</v>
      </c>
      <c r="K119" s="25">
        <v>141</v>
      </c>
      <c r="L119" s="25">
        <v>141</v>
      </c>
      <c r="M119" s="25">
        <v>135</v>
      </c>
      <c r="N119" s="12">
        <v>170</v>
      </c>
      <c r="O119" s="12">
        <v>166</v>
      </c>
      <c r="P119" s="12">
        <v>162</v>
      </c>
      <c r="Q119" s="12">
        <v>160</v>
      </c>
      <c r="R119" s="12">
        <v>186</v>
      </c>
      <c r="S119" s="12">
        <v>184</v>
      </c>
      <c r="T119" s="12">
        <v>184</v>
      </c>
      <c r="U119" s="12">
        <v>179</v>
      </c>
      <c r="V119" s="25">
        <v>191</v>
      </c>
      <c r="W119" s="25">
        <v>180</v>
      </c>
      <c r="X119" s="25">
        <v>175</v>
      </c>
      <c r="Y119" s="25">
        <v>175</v>
      </c>
      <c r="Z119" s="582">
        <v>210</v>
      </c>
      <c r="AA119" s="582">
        <v>204</v>
      </c>
      <c r="AB119" s="582">
        <v>200</v>
      </c>
      <c r="AC119" s="582">
        <v>200</v>
      </c>
      <c r="AD119" s="330">
        <v>233</v>
      </c>
      <c r="AE119" s="330">
        <v>222</v>
      </c>
      <c r="AF119" s="330">
        <v>219</v>
      </c>
      <c r="AG119" s="330">
        <v>219</v>
      </c>
      <c r="AH119" s="530">
        <v>125</v>
      </c>
      <c r="AI119" s="530">
        <v>155</v>
      </c>
      <c r="AJ119" s="530">
        <v>144</v>
      </c>
      <c r="AK119" s="530">
        <v>144</v>
      </c>
      <c r="AL119" s="528">
        <v>199</v>
      </c>
      <c r="AM119" s="528">
        <v>196</v>
      </c>
      <c r="AN119" s="528">
        <v>193</v>
      </c>
      <c r="AO119" s="528">
        <v>193</v>
      </c>
    </row>
    <row r="120" spans="1:41" ht="24.95" customHeight="1" x14ac:dyDescent="0.2">
      <c r="A120" s="1" t="s">
        <v>64</v>
      </c>
      <c r="B120" s="1" t="s">
        <v>0</v>
      </c>
      <c r="C120" s="126" t="s">
        <v>65</v>
      </c>
      <c r="D120" s="2" t="s">
        <v>219</v>
      </c>
      <c r="E120" s="2">
        <v>3</v>
      </c>
      <c r="F120" s="12">
        <v>191</v>
      </c>
      <c r="G120" s="12">
        <v>192</v>
      </c>
      <c r="H120" s="12">
        <v>188</v>
      </c>
      <c r="I120" s="12">
        <v>188</v>
      </c>
      <c r="J120" s="25">
        <v>286</v>
      </c>
      <c r="K120" s="25">
        <v>278</v>
      </c>
      <c r="L120" s="25">
        <v>276</v>
      </c>
      <c r="M120" s="25">
        <v>270</v>
      </c>
      <c r="N120" s="12">
        <v>325</v>
      </c>
      <c r="O120" s="12">
        <v>311</v>
      </c>
      <c r="P120" s="12">
        <v>310</v>
      </c>
      <c r="Q120" s="12">
        <v>309</v>
      </c>
      <c r="R120" s="12">
        <v>344</v>
      </c>
      <c r="S120" s="12">
        <v>313</v>
      </c>
      <c r="T120" s="12">
        <v>309</v>
      </c>
      <c r="U120" s="12">
        <v>309</v>
      </c>
      <c r="V120" s="25">
        <v>359</v>
      </c>
      <c r="W120" s="25">
        <v>331</v>
      </c>
      <c r="X120" s="25">
        <v>330</v>
      </c>
      <c r="Y120" s="25">
        <v>330</v>
      </c>
      <c r="Z120" s="582">
        <v>199</v>
      </c>
      <c r="AA120" s="582">
        <v>196</v>
      </c>
      <c r="AB120" s="582">
        <v>189</v>
      </c>
      <c r="AC120" s="582">
        <v>189</v>
      </c>
      <c r="AD120" s="330">
        <v>209</v>
      </c>
      <c r="AE120" s="330">
        <v>194</v>
      </c>
      <c r="AF120" s="330">
        <v>191</v>
      </c>
      <c r="AG120" s="330">
        <v>191</v>
      </c>
      <c r="AH120" s="530">
        <v>264</v>
      </c>
      <c r="AI120" s="530">
        <v>254</v>
      </c>
      <c r="AJ120" s="530">
        <v>247</v>
      </c>
      <c r="AK120" s="530">
        <v>247</v>
      </c>
      <c r="AL120" s="528">
        <v>236</v>
      </c>
      <c r="AM120" s="528">
        <v>233</v>
      </c>
      <c r="AN120" s="528">
        <v>225</v>
      </c>
      <c r="AO120" s="528">
        <v>225</v>
      </c>
    </row>
    <row r="121" spans="1:41" ht="24.95" customHeight="1" x14ac:dyDescent="0.2">
      <c r="A121" s="1" t="s">
        <v>105</v>
      </c>
      <c r="B121" s="1" t="s">
        <v>0</v>
      </c>
      <c r="C121" s="126" t="s">
        <v>106</v>
      </c>
      <c r="D121" s="2" t="s">
        <v>221</v>
      </c>
      <c r="E121" s="2">
        <v>1</v>
      </c>
      <c r="F121" s="12">
        <v>31</v>
      </c>
      <c r="G121" s="12">
        <v>31</v>
      </c>
      <c r="H121" s="12">
        <v>31</v>
      </c>
      <c r="I121" s="12">
        <v>31</v>
      </c>
      <c r="J121" s="25">
        <v>38</v>
      </c>
      <c r="K121" s="25">
        <v>38</v>
      </c>
      <c r="L121" s="25">
        <v>38</v>
      </c>
      <c r="M121" s="25">
        <v>38</v>
      </c>
      <c r="N121" s="12">
        <v>47</v>
      </c>
      <c r="O121" s="12">
        <v>46</v>
      </c>
      <c r="P121" s="12">
        <v>46</v>
      </c>
      <c r="Q121" s="12">
        <v>46</v>
      </c>
      <c r="R121" s="12">
        <v>37</v>
      </c>
      <c r="S121" s="12">
        <v>37</v>
      </c>
      <c r="T121" s="12">
        <v>37</v>
      </c>
      <c r="U121" s="12">
        <v>37</v>
      </c>
      <c r="V121" s="25">
        <v>22</v>
      </c>
      <c r="W121" s="25">
        <v>22</v>
      </c>
      <c r="X121" s="25">
        <v>22</v>
      </c>
      <c r="Y121" s="25">
        <v>22</v>
      </c>
      <c r="Z121" s="582">
        <v>37</v>
      </c>
      <c r="AA121" s="582">
        <v>37</v>
      </c>
      <c r="AB121" s="582">
        <v>37</v>
      </c>
      <c r="AC121" s="582">
        <v>37</v>
      </c>
      <c r="AD121" s="330">
        <v>34</v>
      </c>
      <c r="AE121" s="330">
        <v>34</v>
      </c>
      <c r="AF121" s="330">
        <v>34</v>
      </c>
      <c r="AG121" s="330">
        <v>34</v>
      </c>
      <c r="AH121" s="530">
        <v>60</v>
      </c>
      <c r="AI121" s="530">
        <v>60</v>
      </c>
      <c r="AJ121" s="530">
        <v>60</v>
      </c>
      <c r="AK121" s="530">
        <v>60</v>
      </c>
      <c r="AL121" s="528">
        <v>48</v>
      </c>
      <c r="AM121" s="528">
        <v>48</v>
      </c>
      <c r="AN121" s="528">
        <v>48</v>
      </c>
      <c r="AO121" s="528">
        <v>48</v>
      </c>
    </row>
    <row r="122" spans="1:41" ht="24.95" customHeight="1" x14ac:dyDescent="0.2">
      <c r="A122" s="312" t="s">
        <v>186</v>
      </c>
      <c r="B122" s="312" t="s">
        <v>0</v>
      </c>
      <c r="C122" s="560" t="s">
        <v>187</v>
      </c>
      <c r="D122" s="2" t="s">
        <v>219</v>
      </c>
      <c r="E122" s="311">
        <v>4</v>
      </c>
      <c r="F122" s="330">
        <v>36</v>
      </c>
      <c r="G122" s="330">
        <v>35</v>
      </c>
      <c r="H122" s="330">
        <v>35</v>
      </c>
      <c r="I122" s="330">
        <v>35</v>
      </c>
      <c r="J122" s="331">
        <v>41</v>
      </c>
      <c r="K122" s="331">
        <v>40</v>
      </c>
      <c r="L122" s="331">
        <v>39</v>
      </c>
      <c r="M122" s="331">
        <v>39</v>
      </c>
      <c r="N122" s="330">
        <v>36</v>
      </c>
      <c r="O122" s="330">
        <v>34</v>
      </c>
      <c r="P122" s="330">
        <v>33</v>
      </c>
      <c r="Q122" s="330">
        <v>33</v>
      </c>
      <c r="R122" s="330">
        <v>42</v>
      </c>
      <c r="S122" s="330">
        <v>41</v>
      </c>
      <c r="T122" s="330">
        <v>41</v>
      </c>
      <c r="U122" s="330">
        <v>41</v>
      </c>
      <c r="V122" s="331">
        <v>36</v>
      </c>
      <c r="W122" s="331">
        <v>32</v>
      </c>
      <c r="X122" s="331">
        <v>32</v>
      </c>
      <c r="Y122" s="331">
        <v>32</v>
      </c>
      <c r="Z122" s="583">
        <v>34</v>
      </c>
      <c r="AA122" s="583">
        <v>33</v>
      </c>
      <c r="AB122" s="583">
        <v>30</v>
      </c>
      <c r="AC122" s="583">
        <v>30</v>
      </c>
      <c r="AD122" s="330">
        <v>35</v>
      </c>
      <c r="AE122" s="330">
        <v>36</v>
      </c>
      <c r="AF122" s="330">
        <v>36</v>
      </c>
      <c r="AG122" s="330">
        <v>36</v>
      </c>
      <c r="AH122" s="530">
        <v>32</v>
      </c>
      <c r="AI122" s="530">
        <v>32</v>
      </c>
      <c r="AJ122" s="530">
        <v>32</v>
      </c>
      <c r="AK122" s="530">
        <v>32</v>
      </c>
      <c r="AL122" s="528">
        <v>30</v>
      </c>
      <c r="AM122" s="528">
        <v>30</v>
      </c>
      <c r="AN122" s="528">
        <v>30</v>
      </c>
      <c r="AO122" s="528">
        <v>30</v>
      </c>
    </row>
    <row r="123" spans="1:41" ht="24.95" customHeight="1" x14ac:dyDescent="0.2">
      <c r="A123" s="1" t="s">
        <v>927</v>
      </c>
      <c r="B123" s="1" t="s">
        <v>0</v>
      </c>
      <c r="C123" s="770" t="s">
        <v>928</v>
      </c>
      <c r="D123" s="2" t="s">
        <v>219</v>
      </c>
      <c r="E123" s="2">
        <v>2</v>
      </c>
      <c r="F123" s="12"/>
      <c r="G123" s="12"/>
      <c r="H123" s="12"/>
      <c r="I123" s="12"/>
      <c r="J123" s="25"/>
      <c r="K123" s="25"/>
      <c r="L123" s="25"/>
      <c r="M123" s="25"/>
      <c r="N123" s="12"/>
      <c r="O123" s="12"/>
      <c r="P123" s="12"/>
      <c r="Q123" s="12"/>
      <c r="R123" s="12"/>
      <c r="S123" s="12"/>
      <c r="T123" s="12"/>
      <c r="U123" s="12"/>
      <c r="V123" s="25"/>
      <c r="W123" s="25"/>
      <c r="X123" s="25"/>
      <c r="Y123" s="25"/>
      <c r="Z123" s="582"/>
      <c r="AA123" s="582"/>
      <c r="AB123" s="582"/>
      <c r="AC123" s="582"/>
      <c r="AD123" s="330">
        <v>39</v>
      </c>
      <c r="AE123" s="330">
        <v>39</v>
      </c>
      <c r="AF123" s="330">
        <v>39</v>
      </c>
      <c r="AG123" s="330">
        <v>39</v>
      </c>
      <c r="AH123" s="530">
        <v>78</v>
      </c>
      <c r="AI123" s="530">
        <v>78</v>
      </c>
      <c r="AJ123" s="530">
        <v>78</v>
      </c>
      <c r="AK123" s="530">
        <v>78</v>
      </c>
      <c r="AL123" s="528">
        <v>109</v>
      </c>
      <c r="AM123" s="528">
        <v>107</v>
      </c>
      <c r="AN123" s="528">
        <v>105</v>
      </c>
      <c r="AO123" s="528">
        <v>105</v>
      </c>
    </row>
    <row r="124" spans="1:41" ht="24.95" customHeight="1" x14ac:dyDescent="0.2">
      <c r="A124" s="312" t="s">
        <v>129</v>
      </c>
      <c r="B124" s="312" t="s">
        <v>0</v>
      </c>
      <c r="C124" s="560" t="s">
        <v>130</v>
      </c>
      <c r="D124" s="2" t="s">
        <v>219</v>
      </c>
      <c r="E124" s="311">
        <v>3</v>
      </c>
      <c r="F124" s="330">
        <v>134</v>
      </c>
      <c r="G124" s="330">
        <v>135</v>
      </c>
      <c r="H124" s="330">
        <v>132</v>
      </c>
      <c r="I124" s="330">
        <v>132</v>
      </c>
      <c r="J124" s="331">
        <v>139</v>
      </c>
      <c r="K124" s="331">
        <v>137</v>
      </c>
      <c r="L124" s="331">
        <v>136</v>
      </c>
      <c r="M124" s="331">
        <v>135</v>
      </c>
      <c r="N124" s="330">
        <v>117</v>
      </c>
      <c r="O124" s="330">
        <v>116</v>
      </c>
      <c r="P124" s="330">
        <v>115</v>
      </c>
      <c r="Q124" s="330">
        <v>115</v>
      </c>
      <c r="R124" s="330">
        <v>125</v>
      </c>
      <c r="S124" s="330">
        <v>123</v>
      </c>
      <c r="T124" s="330">
        <v>123</v>
      </c>
      <c r="U124" s="330">
        <v>121</v>
      </c>
      <c r="V124" s="331">
        <v>84</v>
      </c>
      <c r="W124" s="331">
        <v>78</v>
      </c>
      <c r="X124" s="331">
        <v>76</v>
      </c>
      <c r="Y124" s="331">
        <v>76</v>
      </c>
      <c r="Z124" s="583">
        <v>118</v>
      </c>
      <c r="AA124" s="583">
        <v>116</v>
      </c>
      <c r="AB124" s="583">
        <v>112</v>
      </c>
      <c r="AC124" s="583">
        <v>112</v>
      </c>
      <c r="AD124" s="330">
        <v>98</v>
      </c>
      <c r="AE124" s="330">
        <v>97</v>
      </c>
      <c r="AF124" s="330">
        <v>94</v>
      </c>
      <c r="AG124" s="330">
        <v>94</v>
      </c>
      <c r="AH124" s="530">
        <v>119</v>
      </c>
      <c r="AI124" s="530">
        <v>118</v>
      </c>
      <c r="AJ124" s="530">
        <v>113</v>
      </c>
      <c r="AK124" s="530">
        <v>113</v>
      </c>
      <c r="AL124" s="528">
        <v>100</v>
      </c>
      <c r="AM124" s="528">
        <v>100</v>
      </c>
      <c r="AN124" s="528">
        <v>98</v>
      </c>
      <c r="AO124" s="528">
        <v>98</v>
      </c>
    </row>
    <row r="125" spans="1:41" ht="24.95" customHeight="1" x14ac:dyDescent="0.2">
      <c r="A125" s="1" t="s">
        <v>929</v>
      </c>
      <c r="B125" s="1" t="s">
        <v>0</v>
      </c>
      <c r="C125" s="770" t="s">
        <v>930</v>
      </c>
      <c r="D125" s="2" t="s">
        <v>219</v>
      </c>
      <c r="E125" s="2">
        <v>1</v>
      </c>
      <c r="F125" s="12"/>
      <c r="G125" s="12"/>
      <c r="H125" s="12"/>
      <c r="I125" s="12"/>
      <c r="J125" s="25"/>
      <c r="K125" s="25"/>
      <c r="L125" s="25"/>
      <c r="M125" s="25"/>
      <c r="N125" s="12"/>
      <c r="O125" s="12"/>
      <c r="P125" s="12"/>
      <c r="Q125" s="12"/>
      <c r="R125" s="12"/>
      <c r="S125" s="12"/>
      <c r="T125" s="12"/>
      <c r="U125" s="12"/>
      <c r="V125" s="25"/>
      <c r="W125" s="25"/>
      <c r="X125" s="25"/>
      <c r="Y125" s="25"/>
      <c r="Z125" s="582"/>
      <c r="AA125" s="582"/>
      <c r="AB125" s="582"/>
      <c r="AC125" s="582"/>
      <c r="AD125" s="330">
        <v>39</v>
      </c>
      <c r="AE125" s="330">
        <v>38</v>
      </c>
      <c r="AF125" s="330">
        <v>38</v>
      </c>
      <c r="AG125" s="330">
        <v>38</v>
      </c>
      <c r="AH125" s="530">
        <v>75</v>
      </c>
      <c r="AI125" s="530">
        <v>73</v>
      </c>
      <c r="AJ125" s="530">
        <v>72</v>
      </c>
      <c r="AK125" s="530">
        <v>72</v>
      </c>
      <c r="AL125" s="528">
        <v>108</v>
      </c>
      <c r="AM125" s="528">
        <v>108</v>
      </c>
      <c r="AN125" s="528">
        <v>106</v>
      </c>
      <c r="AO125" s="528">
        <v>106</v>
      </c>
    </row>
    <row r="126" spans="1:41" ht="24.95" customHeight="1" x14ac:dyDescent="0.2">
      <c r="A126" s="1" t="s">
        <v>89</v>
      </c>
      <c r="B126" s="1" t="s">
        <v>0</v>
      </c>
      <c r="C126" s="126" t="s">
        <v>90</v>
      </c>
      <c r="D126" s="2" t="s">
        <v>219</v>
      </c>
      <c r="E126" s="2">
        <v>1</v>
      </c>
      <c r="F126" s="12">
        <v>84</v>
      </c>
      <c r="G126" s="12">
        <v>84</v>
      </c>
      <c r="H126" s="12">
        <v>83</v>
      </c>
      <c r="I126" s="12">
        <v>83</v>
      </c>
      <c r="J126" s="25">
        <v>101</v>
      </c>
      <c r="K126" s="25">
        <v>101</v>
      </c>
      <c r="L126" s="25">
        <v>101</v>
      </c>
      <c r="M126" s="25">
        <v>101</v>
      </c>
      <c r="N126" s="12">
        <v>111</v>
      </c>
      <c r="O126" s="12">
        <v>109</v>
      </c>
      <c r="P126" s="12">
        <v>108</v>
      </c>
      <c r="Q126" s="12">
        <v>107</v>
      </c>
      <c r="R126" s="12">
        <v>130</v>
      </c>
      <c r="S126" s="12">
        <v>132</v>
      </c>
      <c r="T126" s="12">
        <v>131</v>
      </c>
      <c r="U126" s="12">
        <v>130</v>
      </c>
      <c r="V126" s="25">
        <v>109</v>
      </c>
      <c r="W126" s="25">
        <v>101</v>
      </c>
      <c r="X126" s="25">
        <v>101</v>
      </c>
      <c r="Y126" s="25">
        <v>101</v>
      </c>
      <c r="Z126" s="582">
        <v>126</v>
      </c>
      <c r="AA126" s="582">
        <v>124</v>
      </c>
      <c r="AB126" s="582">
        <v>123</v>
      </c>
      <c r="AC126" s="582">
        <v>123</v>
      </c>
      <c r="AD126" s="330">
        <v>109</v>
      </c>
      <c r="AE126" s="330">
        <v>108</v>
      </c>
      <c r="AF126" s="330">
        <v>104</v>
      </c>
      <c r="AG126" s="330">
        <v>104</v>
      </c>
      <c r="AH126" s="621">
        <v>128</v>
      </c>
      <c r="AI126" s="621">
        <v>127</v>
      </c>
      <c r="AJ126" s="621">
        <v>126</v>
      </c>
      <c r="AK126" s="621">
        <v>126</v>
      </c>
      <c r="AL126" s="47">
        <v>123</v>
      </c>
      <c r="AM126" s="47">
        <v>121</v>
      </c>
      <c r="AN126" s="47">
        <v>120</v>
      </c>
      <c r="AO126" s="47">
        <v>120</v>
      </c>
    </row>
    <row r="127" spans="1:41" ht="24.95" customHeight="1" x14ac:dyDescent="0.2">
      <c r="A127" s="312" t="s">
        <v>49</v>
      </c>
      <c r="B127" s="312" t="s">
        <v>0</v>
      </c>
      <c r="C127" s="560" t="s">
        <v>50</v>
      </c>
      <c r="D127" s="2" t="s">
        <v>221</v>
      </c>
      <c r="E127" s="311">
        <v>1</v>
      </c>
      <c r="F127" s="330">
        <v>86</v>
      </c>
      <c r="G127" s="330">
        <v>85</v>
      </c>
      <c r="H127" s="330">
        <v>84</v>
      </c>
      <c r="I127" s="330">
        <v>84</v>
      </c>
      <c r="J127" s="331">
        <v>76</v>
      </c>
      <c r="K127" s="331">
        <v>77</v>
      </c>
      <c r="L127" s="331">
        <v>77</v>
      </c>
      <c r="M127" s="331">
        <v>76</v>
      </c>
      <c r="N127" s="330">
        <v>77</v>
      </c>
      <c r="O127" s="330">
        <v>79</v>
      </c>
      <c r="P127" s="330">
        <v>79</v>
      </c>
      <c r="Q127" s="330">
        <v>79</v>
      </c>
      <c r="R127" s="330">
        <v>56</v>
      </c>
      <c r="S127" s="330">
        <v>57</v>
      </c>
      <c r="T127" s="330">
        <v>57</v>
      </c>
      <c r="U127" s="330">
        <v>57</v>
      </c>
      <c r="V127" s="331">
        <v>60</v>
      </c>
      <c r="W127" s="331">
        <v>60</v>
      </c>
      <c r="X127" s="331">
        <v>60</v>
      </c>
      <c r="Y127" s="331">
        <v>60</v>
      </c>
      <c r="Z127" s="583">
        <v>60</v>
      </c>
      <c r="AA127" s="583">
        <v>63</v>
      </c>
      <c r="AB127" s="583">
        <v>61</v>
      </c>
      <c r="AC127" s="583">
        <v>61</v>
      </c>
      <c r="AD127" s="330">
        <v>60</v>
      </c>
      <c r="AE127" s="330">
        <v>59</v>
      </c>
      <c r="AF127" s="330">
        <v>59</v>
      </c>
      <c r="AG127" s="330">
        <v>59</v>
      </c>
      <c r="AH127" s="620"/>
      <c r="AI127" s="620"/>
      <c r="AJ127" s="620"/>
      <c r="AK127" s="620"/>
      <c r="AL127" s="622"/>
      <c r="AM127" s="622"/>
      <c r="AN127" s="622"/>
      <c r="AO127" s="622"/>
    </row>
    <row r="128" spans="1:41" ht="24.95" customHeight="1" x14ac:dyDescent="0.2">
      <c r="A128" s="1" t="s">
        <v>931</v>
      </c>
      <c r="B128" s="1" t="s">
        <v>0</v>
      </c>
      <c r="C128" s="770" t="s">
        <v>932</v>
      </c>
      <c r="D128" s="2" t="s">
        <v>219</v>
      </c>
      <c r="E128" s="2">
        <v>3</v>
      </c>
      <c r="F128" s="12"/>
      <c r="G128" s="12"/>
      <c r="H128" s="12"/>
      <c r="I128" s="12"/>
      <c r="J128" s="25"/>
      <c r="K128" s="25"/>
      <c r="L128" s="25"/>
      <c r="M128" s="25"/>
      <c r="N128" s="12"/>
      <c r="O128" s="12"/>
      <c r="P128" s="12"/>
      <c r="Q128" s="12"/>
      <c r="R128" s="12"/>
      <c r="S128" s="12"/>
      <c r="T128" s="12"/>
      <c r="U128" s="12"/>
      <c r="V128" s="25"/>
      <c r="W128" s="25"/>
      <c r="X128" s="25"/>
      <c r="Y128" s="25"/>
      <c r="Z128" s="582"/>
      <c r="AA128" s="582"/>
      <c r="AB128" s="582"/>
      <c r="AC128" s="582"/>
      <c r="AD128" s="330">
        <v>86</v>
      </c>
      <c r="AE128" s="330">
        <v>86</v>
      </c>
      <c r="AF128" s="330">
        <v>85</v>
      </c>
      <c r="AG128" s="330">
        <v>85</v>
      </c>
      <c r="AH128" s="530">
        <v>146</v>
      </c>
      <c r="AI128" s="530">
        <v>145</v>
      </c>
      <c r="AJ128" s="530">
        <v>145</v>
      </c>
      <c r="AK128" s="530">
        <v>145</v>
      </c>
      <c r="AL128" s="528">
        <v>194</v>
      </c>
      <c r="AM128" s="528">
        <v>193</v>
      </c>
      <c r="AN128" s="528">
        <v>191</v>
      </c>
      <c r="AO128" s="528">
        <v>191</v>
      </c>
    </row>
    <row r="129" spans="1:41" ht="24.95" customHeight="1" x14ac:dyDescent="0.2">
      <c r="A129" s="312" t="s">
        <v>181</v>
      </c>
      <c r="B129" s="312" t="s">
        <v>0</v>
      </c>
      <c r="C129" s="770" t="s">
        <v>286</v>
      </c>
      <c r="D129" s="2" t="s">
        <v>219</v>
      </c>
      <c r="E129" s="311">
        <v>6</v>
      </c>
      <c r="F129" s="330">
        <v>104</v>
      </c>
      <c r="G129" s="330">
        <v>105</v>
      </c>
      <c r="H129" s="330">
        <v>103</v>
      </c>
      <c r="I129" s="330">
        <v>103</v>
      </c>
      <c r="J129" s="331">
        <v>103</v>
      </c>
      <c r="K129" s="331">
        <v>105</v>
      </c>
      <c r="L129" s="331">
        <v>103</v>
      </c>
      <c r="M129" s="331">
        <v>103</v>
      </c>
      <c r="N129" s="330">
        <v>111</v>
      </c>
      <c r="O129" s="330">
        <v>111</v>
      </c>
      <c r="P129" s="330">
        <v>111</v>
      </c>
      <c r="Q129" s="330">
        <v>109</v>
      </c>
      <c r="R129" s="330">
        <v>111</v>
      </c>
      <c r="S129" s="330">
        <v>113</v>
      </c>
      <c r="T129" s="330">
        <v>113</v>
      </c>
      <c r="U129" s="330">
        <v>113</v>
      </c>
      <c r="V129" s="331">
        <v>117</v>
      </c>
      <c r="W129" s="331">
        <v>116</v>
      </c>
      <c r="X129" s="331">
        <v>114</v>
      </c>
      <c r="Y129" s="331">
        <v>114</v>
      </c>
      <c r="Z129" s="583">
        <v>117</v>
      </c>
      <c r="AA129" s="583">
        <v>117</v>
      </c>
      <c r="AB129" s="583">
        <v>114</v>
      </c>
      <c r="AC129" s="583">
        <v>114</v>
      </c>
      <c r="AD129" s="330">
        <v>110</v>
      </c>
      <c r="AE129" s="330">
        <v>109</v>
      </c>
      <c r="AF129" s="330">
        <v>107</v>
      </c>
      <c r="AG129" s="330">
        <v>107</v>
      </c>
      <c r="AH129" s="530">
        <v>111</v>
      </c>
      <c r="AI129" s="530">
        <v>109</v>
      </c>
      <c r="AJ129" s="530">
        <v>109</v>
      </c>
      <c r="AK129" s="530">
        <v>109</v>
      </c>
      <c r="AL129" s="528">
        <v>116</v>
      </c>
      <c r="AM129" s="528">
        <v>115</v>
      </c>
      <c r="AN129" s="528">
        <v>114</v>
      </c>
      <c r="AO129" s="528">
        <v>114</v>
      </c>
    </row>
    <row r="130" spans="1:41" ht="24.95" customHeight="1" x14ac:dyDescent="0.2">
      <c r="A130" s="1" t="s">
        <v>933</v>
      </c>
      <c r="B130" s="1" t="s">
        <v>0</v>
      </c>
      <c r="C130" s="126" t="s">
        <v>934</v>
      </c>
      <c r="D130" s="2" t="s">
        <v>219</v>
      </c>
      <c r="E130" s="2">
        <v>2</v>
      </c>
      <c r="F130" s="12"/>
      <c r="G130" s="12"/>
      <c r="H130" s="12"/>
      <c r="I130" s="12"/>
      <c r="J130" s="25"/>
      <c r="K130" s="25"/>
      <c r="L130" s="25"/>
      <c r="M130" s="25"/>
      <c r="N130" s="12"/>
      <c r="O130" s="12"/>
      <c r="P130" s="12"/>
      <c r="Q130" s="12"/>
      <c r="R130" s="12"/>
      <c r="S130" s="12"/>
      <c r="T130" s="12"/>
      <c r="U130" s="12"/>
      <c r="V130" s="25"/>
      <c r="W130" s="25"/>
      <c r="X130" s="25"/>
      <c r="Y130" s="25"/>
      <c r="Z130" s="582"/>
      <c r="AA130" s="582"/>
      <c r="AB130" s="582"/>
      <c r="AC130" s="582"/>
      <c r="AD130" s="47">
        <v>40</v>
      </c>
      <c r="AE130" s="47">
        <v>42</v>
      </c>
      <c r="AF130" s="47">
        <v>42</v>
      </c>
      <c r="AG130" s="47">
        <v>42</v>
      </c>
      <c r="AH130" s="621">
        <v>130</v>
      </c>
      <c r="AI130" s="621">
        <v>130</v>
      </c>
      <c r="AJ130" s="621">
        <v>122</v>
      </c>
      <c r="AK130" s="621">
        <v>122</v>
      </c>
      <c r="AL130" s="528">
        <v>168</v>
      </c>
      <c r="AM130" s="528">
        <v>163</v>
      </c>
      <c r="AN130" s="528">
        <v>161</v>
      </c>
      <c r="AO130" s="528">
        <v>161</v>
      </c>
    </row>
    <row r="131" spans="1:41" ht="24.95" customHeight="1" x14ac:dyDescent="0.2">
      <c r="A131" s="1" t="s">
        <v>191</v>
      </c>
      <c r="B131" s="1" t="s">
        <v>0</v>
      </c>
      <c r="C131" s="126" t="s">
        <v>192</v>
      </c>
      <c r="D131" s="2" t="s">
        <v>221</v>
      </c>
      <c r="E131" s="2">
        <v>2</v>
      </c>
      <c r="F131" s="12">
        <v>0</v>
      </c>
      <c r="G131" s="12">
        <v>5</v>
      </c>
      <c r="H131" s="47">
        <v>2</v>
      </c>
      <c r="I131" s="47">
        <v>2</v>
      </c>
      <c r="J131" s="25"/>
      <c r="K131" s="25"/>
      <c r="L131" s="25"/>
      <c r="M131" s="25"/>
      <c r="N131" s="12"/>
      <c r="O131" s="12"/>
      <c r="P131" s="12"/>
      <c r="Q131" s="12"/>
      <c r="R131" s="12"/>
      <c r="S131" s="12"/>
      <c r="T131" s="12"/>
      <c r="U131" s="12"/>
      <c r="V131" s="25">
        <v>0</v>
      </c>
      <c r="W131" s="25">
        <v>235</v>
      </c>
      <c r="X131" s="25">
        <v>214</v>
      </c>
      <c r="Y131" s="25">
        <v>214</v>
      </c>
      <c r="Z131" s="584">
        <v>0</v>
      </c>
      <c r="AA131" s="584">
        <v>13</v>
      </c>
      <c r="AB131" s="584">
        <v>9</v>
      </c>
      <c r="AC131" s="584">
        <v>9</v>
      </c>
      <c r="AD131" s="499"/>
      <c r="AE131" s="499"/>
      <c r="AF131" s="499"/>
      <c r="AG131" s="499"/>
      <c r="AH131" s="499"/>
      <c r="AI131" s="499"/>
      <c r="AJ131" s="499"/>
      <c r="AK131" s="499"/>
      <c r="AL131" s="47">
        <v>0</v>
      </c>
      <c r="AM131" s="47">
        <v>2</v>
      </c>
      <c r="AN131" s="47">
        <v>2</v>
      </c>
      <c r="AO131" s="47">
        <v>2</v>
      </c>
    </row>
    <row r="132" spans="1:41" ht="24.95" customHeight="1" x14ac:dyDescent="0.2">
      <c r="A132" s="14" t="s">
        <v>236</v>
      </c>
      <c r="B132" s="1" t="s">
        <v>0</v>
      </c>
      <c r="C132" s="126" t="s">
        <v>231</v>
      </c>
      <c r="D132" s="2" t="s">
        <v>221</v>
      </c>
      <c r="E132" s="2">
        <v>4</v>
      </c>
      <c r="F132" s="12"/>
      <c r="G132" s="12"/>
      <c r="H132" s="613"/>
      <c r="I132" s="613"/>
      <c r="J132" s="25"/>
      <c r="K132" s="25"/>
      <c r="L132" s="25"/>
      <c r="M132" s="25"/>
      <c r="N132" s="12">
        <v>0</v>
      </c>
      <c r="O132" s="12">
        <v>2</v>
      </c>
      <c r="P132" s="12">
        <v>2</v>
      </c>
      <c r="Q132" s="12">
        <v>2</v>
      </c>
      <c r="R132" s="12"/>
      <c r="S132" s="12"/>
      <c r="T132" s="12"/>
      <c r="U132" s="12"/>
      <c r="V132" s="25"/>
      <c r="W132" s="25"/>
      <c r="X132" s="25"/>
      <c r="Y132" s="25"/>
      <c r="Z132" s="615"/>
      <c r="AA132" s="615"/>
      <c r="AB132" s="615"/>
      <c r="AC132" s="615"/>
      <c r="AD132" s="617"/>
      <c r="AE132" s="617"/>
      <c r="AF132" s="617"/>
      <c r="AG132" s="617"/>
      <c r="AH132" s="620"/>
      <c r="AI132" s="620"/>
      <c r="AJ132" s="620"/>
      <c r="AK132" s="620"/>
      <c r="AL132" s="622"/>
      <c r="AM132" s="622"/>
      <c r="AN132" s="622"/>
      <c r="AO132" s="622"/>
    </row>
    <row r="133" spans="1:41" ht="24.95" customHeight="1" x14ac:dyDescent="0.2">
      <c r="A133" s="1" t="s">
        <v>157</v>
      </c>
      <c r="B133" s="1" t="s">
        <v>0</v>
      </c>
      <c r="C133" s="126" t="s">
        <v>1098</v>
      </c>
      <c r="D133" s="2" t="s">
        <v>221</v>
      </c>
      <c r="E133" s="2">
        <v>5</v>
      </c>
      <c r="F133" s="12">
        <v>43</v>
      </c>
      <c r="G133" s="12">
        <v>43</v>
      </c>
      <c r="H133" s="12">
        <v>43</v>
      </c>
      <c r="I133" s="12">
        <v>43</v>
      </c>
      <c r="J133" s="25">
        <v>43</v>
      </c>
      <c r="K133" s="25">
        <v>43</v>
      </c>
      <c r="L133" s="25">
        <v>43</v>
      </c>
      <c r="M133" s="25">
        <v>43</v>
      </c>
      <c r="N133" s="12">
        <v>42</v>
      </c>
      <c r="O133" s="12">
        <v>42</v>
      </c>
      <c r="P133" s="12">
        <v>42</v>
      </c>
      <c r="Q133" s="12">
        <v>42</v>
      </c>
      <c r="R133" s="12">
        <v>58</v>
      </c>
      <c r="S133" s="12">
        <v>58</v>
      </c>
      <c r="T133" s="12">
        <v>58</v>
      </c>
      <c r="U133" s="12">
        <v>57</v>
      </c>
      <c r="V133" s="25">
        <v>55</v>
      </c>
      <c r="W133" s="25">
        <v>55</v>
      </c>
      <c r="X133" s="25">
        <v>55</v>
      </c>
      <c r="Y133" s="25">
        <v>55</v>
      </c>
      <c r="Z133" s="582">
        <v>52</v>
      </c>
      <c r="AA133" s="582">
        <v>52</v>
      </c>
      <c r="AB133" s="582">
        <v>51</v>
      </c>
      <c r="AC133" s="582">
        <v>51</v>
      </c>
      <c r="AD133" s="47">
        <v>87</v>
      </c>
      <c r="AE133" s="47">
        <v>87</v>
      </c>
      <c r="AF133" s="47">
        <v>87</v>
      </c>
      <c r="AG133" s="47">
        <v>87</v>
      </c>
      <c r="AH133" s="621">
        <v>55</v>
      </c>
      <c r="AI133" s="621">
        <v>54</v>
      </c>
      <c r="AJ133" s="621">
        <v>54</v>
      </c>
      <c r="AK133" s="621">
        <v>54</v>
      </c>
      <c r="AL133" s="47">
        <v>53</v>
      </c>
      <c r="AM133" s="47">
        <v>53</v>
      </c>
      <c r="AN133" s="47">
        <v>53</v>
      </c>
      <c r="AO133" s="47">
        <v>53</v>
      </c>
    </row>
    <row r="134" spans="1:41" ht="24.95" customHeight="1" x14ac:dyDescent="0.2">
      <c r="A134" s="1" t="s">
        <v>214</v>
      </c>
      <c r="B134" s="1" t="s">
        <v>0</v>
      </c>
      <c r="C134" s="126" t="s">
        <v>215</v>
      </c>
      <c r="D134" s="2" t="s">
        <v>221</v>
      </c>
      <c r="E134" s="2">
        <v>6</v>
      </c>
      <c r="F134" s="12">
        <v>0</v>
      </c>
      <c r="G134" s="12">
        <v>1</v>
      </c>
      <c r="H134" s="12">
        <v>1</v>
      </c>
      <c r="I134" s="12">
        <v>1</v>
      </c>
      <c r="J134" s="25"/>
      <c r="K134" s="25"/>
      <c r="L134" s="25"/>
      <c r="M134" s="25"/>
      <c r="N134" s="12"/>
      <c r="O134" s="12"/>
      <c r="P134" s="12"/>
      <c r="Q134" s="12"/>
      <c r="R134" s="12"/>
      <c r="S134" s="12"/>
      <c r="T134" s="12"/>
      <c r="U134" s="12"/>
      <c r="V134" s="25"/>
      <c r="W134" s="25"/>
      <c r="X134" s="25"/>
      <c r="Y134" s="25"/>
      <c r="Z134" s="582">
        <v>0</v>
      </c>
      <c r="AA134" s="582">
        <v>1</v>
      </c>
      <c r="AB134" s="582">
        <v>1</v>
      </c>
      <c r="AC134" s="582">
        <v>1</v>
      </c>
      <c r="AD134" s="617"/>
      <c r="AE134" s="617"/>
      <c r="AF134" s="617"/>
      <c r="AG134" s="617"/>
      <c r="AH134" s="620"/>
      <c r="AI134" s="620"/>
      <c r="AJ134" s="620"/>
      <c r="AK134" s="620"/>
      <c r="AL134" s="622"/>
      <c r="AM134" s="622"/>
      <c r="AN134" s="622"/>
      <c r="AO134" s="622"/>
    </row>
    <row r="135" spans="1:41" ht="24.95" customHeight="1" x14ac:dyDescent="0.2">
      <c r="A135" s="1" t="s">
        <v>119</v>
      </c>
      <c r="B135" s="1" t="s">
        <v>0</v>
      </c>
      <c r="C135" s="126" t="s">
        <v>120</v>
      </c>
      <c r="D135" s="2" t="s">
        <v>221</v>
      </c>
      <c r="E135" s="2">
        <v>4</v>
      </c>
      <c r="F135" s="12">
        <v>17</v>
      </c>
      <c r="G135" s="12">
        <v>18</v>
      </c>
      <c r="H135" s="12">
        <v>16</v>
      </c>
      <c r="I135" s="12">
        <v>16</v>
      </c>
      <c r="J135" s="25">
        <v>25</v>
      </c>
      <c r="K135" s="25">
        <v>23</v>
      </c>
      <c r="L135" s="25">
        <v>20</v>
      </c>
      <c r="M135" s="25">
        <v>20</v>
      </c>
      <c r="N135" s="12">
        <v>14</v>
      </c>
      <c r="O135" s="12">
        <v>11</v>
      </c>
      <c r="P135" s="12">
        <v>11</v>
      </c>
      <c r="Q135" s="12">
        <v>11</v>
      </c>
      <c r="R135" s="12">
        <v>13</v>
      </c>
      <c r="S135" s="12">
        <v>13</v>
      </c>
      <c r="T135" s="12">
        <v>13</v>
      </c>
      <c r="U135" s="12">
        <v>13</v>
      </c>
      <c r="V135" s="25">
        <v>19</v>
      </c>
      <c r="W135" s="25">
        <v>12</v>
      </c>
      <c r="X135" s="25">
        <v>12</v>
      </c>
      <c r="Y135" s="25">
        <v>12</v>
      </c>
      <c r="Z135" s="582">
        <v>16</v>
      </c>
      <c r="AA135" s="582">
        <v>23</v>
      </c>
      <c r="AB135" s="582">
        <v>23</v>
      </c>
      <c r="AC135" s="582">
        <v>23</v>
      </c>
      <c r="AD135" s="330">
        <v>0</v>
      </c>
      <c r="AE135" s="330">
        <v>17</v>
      </c>
      <c r="AF135" s="330">
        <v>17</v>
      </c>
      <c r="AG135" s="330">
        <v>17</v>
      </c>
      <c r="AH135" s="530">
        <v>23</v>
      </c>
      <c r="AI135" s="530">
        <v>23</v>
      </c>
      <c r="AJ135" s="530">
        <v>22</v>
      </c>
      <c r="AK135" s="530">
        <v>22</v>
      </c>
      <c r="AL135" s="528">
        <v>36</v>
      </c>
      <c r="AM135" s="528">
        <v>35</v>
      </c>
      <c r="AN135" s="528">
        <v>35</v>
      </c>
      <c r="AO135" s="528">
        <v>35</v>
      </c>
    </row>
    <row r="136" spans="1:41" ht="24.95" customHeight="1" x14ac:dyDescent="0.2">
      <c r="A136" s="1" t="s">
        <v>51</v>
      </c>
      <c r="B136" s="1" t="s">
        <v>0</v>
      </c>
      <c r="C136" s="126" t="s">
        <v>52</v>
      </c>
      <c r="D136" s="2" t="s">
        <v>221</v>
      </c>
      <c r="E136" s="2">
        <v>6</v>
      </c>
      <c r="F136" s="12">
        <v>79</v>
      </c>
      <c r="G136" s="12">
        <v>77</v>
      </c>
      <c r="H136" s="12">
        <v>69</v>
      </c>
      <c r="I136" s="12">
        <v>69</v>
      </c>
      <c r="J136" s="25">
        <v>79</v>
      </c>
      <c r="K136" s="25">
        <v>79</v>
      </c>
      <c r="L136" s="25">
        <v>79</v>
      </c>
      <c r="M136" s="25">
        <v>76</v>
      </c>
      <c r="N136" s="12">
        <v>56</v>
      </c>
      <c r="O136" s="12">
        <v>56</v>
      </c>
      <c r="P136" s="12">
        <v>56</v>
      </c>
      <c r="Q136" s="12">
        <v>51</v>
      </c>
      <c r="R136" s="12">
        <v>80</v>
      </c>
      <c r="S136" s="12">
        <v>79</v>
      </c>
      <c r="T136" s="12">
        <v>79</v>
      </c>
      <c r="U136" s="12">
        <v>66</v>
      </c>
      <c r="V136" s="25">
        <v>73</v>
      </c>
      <c r="W136" s="25">
        <v>73</v>
      </c>
      <c r="X136" s="25">
        <v>72</v>
      </c>
      <c r="Y136" s="25">
        <v>72</v>
      </c>
      <c r="Z136" s="582">
        <v>59</v>
      </c>
      <c r="AA136" s="582">
        <v>59</v>
      </c>
      <c r="AB136" s="582">
        <v>56</v>
      </c>
      <c r="AC136" s="582">
        <v>56</v>
      </c>
      <c r="AD136" s="330">
        <v>77</v>
      </c>
      <c r="AE136" s="330">
        <v>77</v>
      </c>
      <c r="AF136" s="330">
        <v>76</v>
      </c>
      <c r="AG136" s="330">
        <v>76</v>
      </c>
      <c r="AH136" s="530">
        <v>50</v>
      </c>
      <c r="AI136" s="530">
        <v>50</v>
      </c>
      <c r="AJ136" s="530">
        <v>48</v>
      </c>
      <c r="AK136" s="530">
        <v>48</v>
      </c>
      <c r="AL136" s="528">
        <v>62</v>
      </c>
      <c r="AM136" s="528">
        <v>62</v>
      </c>
      <c r="AN136" s="528">
        <v>61</v>
      </c>
      <c r="AO136" s="528">
        <v>61</v>
      </c>
    </row>
    <row r="137" spans="1:41" ht="24.95" customHeight="1" x14ac:dyDescent="0.2">
      <c r="A137" s="1" t="s">
        <v>39</v>
      </c>
      <c r="B137" s="1" t="s">
        <v>0</v>
      </c>
      <c r="C137" s="126" t="s">
        <v>40</v>
      </c>
      <c r="D137" s="2" t="s">
        <v>221</v>
      </c>
      <c r="E137" s="2">
        <v>2</v>
      </c>
      <c r="F137" s="12">
        <v>50</v>
      </c>
      <c r="G137" s="12">
        <v>51</v>
      </c>
      <c r="H137" s="47">
        <v>50</v>
      </c>
      <c r="I137" s="47">
        <v>50</v>
      </c>
      <c r="J137" s="25">
        <v>65</v>
      </c>
      <c r="K137" s="25">
        <v>65</v>
      </c>
      <c r="L137" s="25">
        <v>65</v>
      </c>
      <c r="M137" s="25">
        <v>64</v>
      </c>
      <c r="N137" s="12">
        <v>63</v>
      </c>
      <c r="O137" s="12">
        <v>61</v>
      </c>
      <c r="P137" s="12">
        <v>61</v>
      </c>
      <c r="Q137" s="12">
        <v>61</v>
      </c>
      <c r="R137" s="12">
        <v>68</v>
      </c>
      <c r="S137" s="12">
        <v>68</v>
      </c>
      <c r="T137" s="12">
        <v>67</v>
      </c>
      <c r="U137" s="12">
        <v>67</v>
      </c>
      <c r="V137" s="25">
        <v>53</v>
      </c>
      <c r="W137" s="25">
        <v>49</v>
      </c>
      <c r="X137" s="25">
        <v>49</v>
      </c>
      <c r="Y137" s="25">
        <v>49</v>
      </c>
      <c r="Z137" s="584">
        <v>52</v>
      </c>
      <c r="AA137" s="584">
        <v>51</v>
      </c>
      <c r="AB137" s="584">
        <v>51</v>
      </c>
      <c r="AC137" s="584">
        <v>51</v>
      </c>
      <c r="AD137" s="330">
        <v>76</v>
      </c>
      <c r="AE137" s="330">
        <v>75</v>
      </c>
      <c r="AF137" s="330">
        <v>74</v>
      </c>
      <c r="AG137" s="330">
        <v>74</v>
      </c>
      <c r="AH137" s="530">
        <v>64</v>
      </c>
      <c r="AI137" s="530">
        <v>63</v>
      </c>
      <c r="AJ137" s="530">
        <v>62</v>
      </c>
      <c r="AK137" s="530">
        <v>62</v>
      </c>
      <c r="AL137" s="618">
        <v>36</v>
      </c>
      <c r="AM137" s="618">
        <v>34</v>
      </c>
      <c r="AN137" s="618">
        <v>34</v>
      </c>
      <c r="AO137" s="618">
        <v>34</v>
      </c>
    </row>
    <row r="138" spans="1:41" ht="24.95" customHeight="1" x14ac:dyDescent="0.2">
      <c r="A138" s="475" t="s">
        <v>237</v>
      </c>
      <c r="B138" s="312" t="s">
        <v>0</v>
      </c>
      <c r="C138" s="560" t="s">
        <v>227</v>
      </c>
      <c r="D138" s="2" t="s">
        <v>221</v>
      </c>
      <c r="E138" s="311">
        <v>2</v>
      </c>
      <c r="F138" s="330"/>
      <c r="G138" s="330"/>
      <c r="H138" s="499"/>
      <c r="I138" s="499"/>
      <c r="J138" s="331">
        <v>0</v>
      </c>
      <c r="K138" s="331">
        <v>21</v>
      </c>
      <c r="L138" s="331">
        <v>18</v>
      </c>
      <c r="M138" s="331">
        <v>18</v>
      </c>
      <c r="N138" s="330"/>
      <c r="O138" s="330"/>
      <c r="P138" s="330"/>
      <c r="Q138" s="330"/>
      <c r="R138" s="330"/>
      <c r="S138" s="330"/>
      <c r="T138" s="330"/>
      <c r="U138" s="330"/>
      <c r="V138" s="331"/>
      <c r="W138" s="331"/>
      <c r="X138" s="331"/>
      <c r="Y138" s="331"/>
      <c r="Z138" s="499"/>
      <c r="AA138" s="499"/>
      <c r="AB138" s="499"/>
      <c r="AC138" s="499"/>
      <c r="AD138" s="330">
        <v>0</v>
      </c>
      <c r="AE138" s="330">
        <v>1</v>
      </c>
      <c r="AF138" s="330">
        <v>1</v>
      </c>
      <c r="AG138" s="330">
        <v>1</v>
      </c>
      <c r="AH138" s="530">
        <v>0</v>
      </c>
      <c r="AI138" s="530">
        <v>17</v>
      </c>
      <c r="AJ138" s="530">
        <v>13</v>
      </c>
      <c r="AK138" s="530">
        <v>13</v>
      </c>
      <c r="AL138" s="530"/>
      <c r="AM138" s="530"/>
      <c r="AN138" s="530"/>
      <c r="AO138" s="530"/>
    </row>
    <row r="139" spans="1:41" ht="24.95" customHeight="1" x14ac:dyDescent="0.2">
      <c r="A139" s="1" t="s">
        <v>935</v>
      </c>
      <c r="B139" s="1" t="s">
        <v>0</v>
      </c>
      <c r="C139" s="770" t="s">
        <v>936</v>
      </c>
      <c r="D139" s="2" t="s">
        <v>221</v>
      </c>
      <c r="E139" s="2">
        <v>4</v>
      </c>
      <c r="F139" s="12"/>
      <c r="G139" s="12"/>
      <c r="H139" s="613"/>
      <c r="I139" s="613"/>
      <c r="J139" s="25"/>
      <c r="K139" s="25"/>
      <c r="L139" s="25"/>
      <c r="M139" s="25"/>
      <c r="N139" s="12"/>
      <c r="O139" s="12"/>
      <c r="P139" s="12"/>
      <c r="Q139" s="12"/>
      <c r="R139" s="12"/>
      <c r="S139" s="12"/>
      <c r="T139" s="12"/>
      <c r="U139" s="12"/>
      <c r="V139" s="25"/>
      <c r="W139" s="25"/>
      <c r="X139" s="25"/>
      <c r="Y139" s="25"/>
      <c r="Z139" s="615"/>
      <c r="AA139" s="615"/>
      <c r="AB139" s="615"/>
      <c r="AC139" s="615"/>
      <c r="AD139" s="330">
        <v>0</v>
      </c>
      <c r="AE139" s="330">
        <v>18</v>
      </c>
      <c r="AF139" s="330">
        <v>16</v>
      </c>
      <c r="AG139" s="330">
        <v>16</v>
      </c>
      <c r="AH139" s="530">
        <v>0</v>
      </c>
      <c r="AI139" s="530">
        <v>14</v>
      </c>
      <c r="AJ139" s="530">
        <v>13</v>
      </c>
      <c r="AK139" s="530">
        <v>13</v>
      </c>
      <c r="AL139" s="619"/>
      <c r="AM139" s="619"/>
      <c r="AN139" s="619"/>
      <c r="AO139" s="619"/>
    </row>
    <row r="140" spans="1:41" ht="24.95" customHeight="1" x14ac:dyDescent="0.2">
      <c r="A140" s="1" t="s">
        <v>154</v>
      </c>
      <c r="B140" s="1" t="s">
        <v>0</v>
      </c>
      <c r="C140" s="126" t="s">
        <v>155</v>
      </c>
      <c r="D140" s="2" t="s">
        <v>221</v>
      </c>
      <c r="E140" s="2">
        <v>5</v>
      </c>
      <c r="F140" s="12">
        <v>3</v>
      </c>
      <c r="G140" s="12">
        <v>3</v>
      </c>
      <c r="H140" s="47">
        <v>3</v>
      </c>
      <c r="I140" s="47">
        <v>3</v>
      </c>
      <c r="J140" s="25">
        <v>12</v>
      </c>
      <c r="K140" s="25">
        <v>12</v>
      </c>
      <c r="L140" s="25">
        <v>12</v>
      </c>
      <c r="M140" s="25">
        <v>12</v>
      </c>
      <c r="N140" s="12">
        <v>2</v>
      </c>
      <c r="O140" s="12">
        <v>2</v>
      </c>
      <c r="P140" s="12">
        <v>2</v>
      </c>
      <c r="Q140" s="12">
        <v>2</v>
      </c>
      <c r="R140" s="12">
        <v>5</v>
      </c>
      <c r="S140" s="12">
        <v>5</v>
      </c>
      <c r="T140" s="12">
        <v>5</v>
      </c>
      <c r="U140" s="12">
        <v>5</v>
      </c>
      <c r="V140" s="25">
        <v>3</v>
      </c>
      <c r="W140" s="25">
        <v>3</v>
      </c>
      <c r="X140" s="25">
        <v>3</v>
      </c>
      <c r="Y140" s="25">
        <v>3</v>
      </c>
      <c r="Z140" s="582">
        <v>7</v>
      </c>
      <c r="AA140" s="582">
        <v>6</v>
      </c>
      <c r="AB140" s="582">
        <v>6</v>
      </c>
      <c r="AC140" s="582">
        <v>6</v>
      </c>
      <c r="AD140" s="330">
        <v>5</v>
      </c>
      <c r="AE140" s="330">
        <v>4</v>
      </c>
      <c r="AF140" s="330">
        <v>4</v>
      </c>
      <c r="AG140" s="330">
        <v>4</v>
      </c>
      <c r="AH140" s="530">
        <v>5</v>
      </c>
      <c r="AI140" s="530">
        <v>4</v>
      </c>
      <c r="AJ140" s="530">
        <v>4</v>
      </c>
      <c r="AK140" s="530">
        <v>4</v>
      </c>
      <c r="AL140" s="528">
        <v>8</v>
      </c>
      <c r="AM140" s="528">
        <v>7</v>
      </c>
      <c r="AN140" s="528">
        <v>7</v>
      </c>
      <c r="AO140" s="528">
        <v>7</v>
      </c>
    </row>
    <row r="141" spans="1:41" ht="24.95" customHeight="1" x14ac:dyDescent="0.2">
      <c r="A141" s="14" t="s">
        <v>238</v>
      </c>
      <c r="B141" s="1" t="s">
        <v>0</v>
      </c>
      <c r="C141" s="126" t="s">
        <v>233</v>
      </c>
      <c r="D141" s="2" t="s">
        <v>221</v>
      </c>
      <c r="E141" s="2">
        <v>2</v>
      </c>
      <c r="F141" s="12"/>
      <c r="G141" s="12"/>
      <c r="H141" s="613"/>
      <c r="I141" s="613"/>
      <c r="J141" s="25"/>
      <c r="K141" s="25"/>
      <c r="L141" s="25"/>
      <c r="M141" s="25"/>
      <c r="N141" s="12"/>
      <c r="O141" s="12"/>
      <c r="P141" s="12"/>
      <c r="Q141" s="12"/>
      <c r="R141" s="12">
        <v>7</v>
      </c>
      <c r="S141" s="12">
        <v>6</v>
      </c>
      <c r="T141" s="12">
        <v>6</v>
      </c>
      <c r="U141" s="12">
        <v>6</v>
      </c>
      <c r="V141" s="25">
        <v>4</v>
      </c>
      <c r="W141" s="25">
        <v>3</v>
      </c>
      <c r="X141" s="25">
        <v>3</v>
      </c>
      <c r="Y141" s="25">
        <v>3</v>
      </c>
      <c r="Z141" s="582">
        <v>14</v>
      </c>
      <c r="AA141" s="582">
        <v>14</v>
      </c>
      <c r="AB141" s="582">
        <v>14</v>
      </c>
      <c r="AC141" s="582">
        <v>14</v>
      </c>
      <c r="AD141" s="330">
        <v>23</v>
      </c>
      <c r="AE141" s="330">
        <v>23</v>
      </c>
      <c r="AF141" s="330">
        <v>21</v>
      </c>
      <c r="AG141" s="330">
        <v>21</v>
      </c>
      <c r="AH141" s="530">
        <v>19</v>
      </c>
      <c r="AI141" s="530">
        <v>19</v>
      </c>
      <c r="AJ141" s="530">
        <v>19</v>
      </c>
      <c r="AK141" s="530">
        <v>19</v>
      </c>
      <c r="AL141" s="528">
        <v>13</v>
      </c>
      <c r="AM141" s="528">
        <v>12</v>
      </c>
      <c r="AN141" s="528">
        <v>12</v>
      </c>
      <c r="AO141" s="528">
        <v>12</v>
      </c>
    </row>
    <row r="142" spans="1:41" ht="24.95" customHeight="1" x14ac:dyDescent="0.2">
      <c r="A142" s="1" t="s">
        <v>143</v>
      </c>
      <c r="B142" s="1" t="s">
        <v>0</v>
      </c>
      <c r="C142" s="126" t="s">
        <v>144</v>
      </c>
      <c r="D142" s="2" t="s">
        <v>221</v>
      </c>
      <c r="E142" s="2">
        <v>2</v>
      </c>
      <c r="F142" s="12">
        <v>38</v>
      </c>
      <c r="G142" s="12">
        <v>43</v>
      </c>
      <c r="H142" s="12">
        <v>42</v>
      </c>
      <c r="I142" s="12">
        <v>42</v>
      </c>
      <c r="J142" s="25">
        <v>42</v>
      </c>
      <c r="K142" s="25">
        <v>39</v>
      </c>
      <c r="L142" s="25">
        <v>39</v>
      </c>
      <c r="M142" s="25">
        <v>39</v>
      </c>
      <c r="N142" s="12">
        <v>51</v>
      </c>
      <c r="O142" s="12">
        <v>53</v>
      </c>
      <c r="P142" s="12">
        <v>53</v>
      </c>
      <c r="Q142" s="12">
        <v>51</v>
      </c>
      <c r="R142" s="12">
        <v>48</v>
      </c>
      <c r="S142" s="12">
        <v>48</v>
      </c>
      <c r="T142" s="12">
        <v>48</v>
      </c>
      <c r="U142" s="12">
        <v>44</v>
      </c>
      <c r="V142" s="25">
        <v>58</v>
      </c>
      <c r="W142" s="25">
        <v>56</v>
      </c>
      <c r="X142" s="25">
        <v>56</v>
      </c>
      <c r="Y142" s="25">
        <v>56</v>
      </c>
      <c r="Z142" s="582">
        <v>63</v>
      </c>
      <c r="AA142" s="582">
        <v>62</v>
      </c>
      <c r="AB142" s="582">
        <v>62</v>
      </c>
      <c r="AC142" s="582">
        <v>62</v>
      </c>
      <c r="AD142" s="330">
        <v>8</v>
      </c>
      <c r="AE142" s="330">
        <v>94</v>
      </c>
      <c r="AF142" s="330">
        <v>94</v>
      </c>
      <c r="AG142" s="330">
        <v>94</v>
      </c>
      <c r="AH142" s="530">
        <v>105</v>
      </c>
      <c r="AI142" s="530">
        <v>103</v>
      </c>
      <c r="AJ142" s="530">
        <v>102</v>
      </c>
      <c r="AK142" s="530">
        <v>102</v>
      </c>
      <c r="AL142" s="528">
        <v>95</v>
      </c>
      <c r="AM142" s="528">
        <v>94</v>
      </c>
      <c r="AN142" s="528">
        <v>92</v>
      </c>
      <c r="AO142" s="528">
        <v>92</v>
      </c>
    </row>
    <row r="143" spans="1:41" ht="24.95" customHeight="1" x14ac:dyDescent="0.2">
      <c r="A143" s="1" t="s">
        <v>208</v>
      </c>
      <c r="B143" s="1" t="s">
        <v>0</v>
      </c>
      <c r="C143" s="126" t="s">
        <v>209</v>
      </c>
      <c r="D143" s="2" t="s">
        <v>221</v>
      </c>
      <c r="E143" s="2">
        <v>1</v>
      </c>
      <c r="F143" s="12">
        <v>16</v>
      </c>
      <c r="G143" s="12">
        <v>15</v>
      </c>
      <c r="H143" s="12">
        <v>14</v>
      </c>
      <c r="I143" s="12">
        <v>14</v>
      </c>
      <c r="J143" s="25">
        <v>17</v>
      </c>
      <c r="K143" s="25">
        <v>21</v>
      </c>
      <c r="L143" s="25">
        <v>21</v>
      </c>
      <c r="M143" s="25">
        <v>21</v>
      </c>
      <c r="N143" s="12">
        <v>10</v>
      </c>
      <c r="O143" s="12">
        <v>9</v>
      </c>
      <c r="P143" s="12">
        <v>8</v>
      </c>
      <c r="Q143" s="12">
        <v>8</v>
      </c>
      <c r="R143" s="12">
        <v>18</v>
      </c>
      <c r="S143" s="12">
        <v>18</v>
      </c>
      <c r="T143" s="12">
        <v>18</v>
      </c>
      <c r="U143" s="12">
        <v>18</v>
      </c>
      <c r="V143" s="25">
        <v>27</v>
      </c>
      <c r="W143" s="25">
        <v>25</v>
      </c>
      <c r="X143" s="25">
        <v>25</v>
      </c>
      <c r="Y143" s="25">
        <v>25</v>
      </c>
      <c r="Z143" s="582">
        <v>23</v>
      </c>
      <c r="AA143" s="582">
        <v>24</v>
      </c>
      <c r="AB143" s="582">
        <v>24</v>
      </c>
      <c r="AC143" s="582">
        <v>24</v>
      </c>
      <c r="AD143" s="330">
        <v>29</v>
      </c>
      <c r="AE143" s="330">
        <v>29</v>
      </c>
      <c r="AF143" s="330">
        <v>29</v>
      </c>
      <c r="AG143" s="330">
        <v>29</v>
      </c>
      <c r="AH143" s="530">
        <v>49</v>
      </c>
      <c r="AI143" s="530">
        <v>49</v>
      </c>
      <c r="AJ143" s="530">
        <v>48</v>
      </c>
      <c r="AK143" s="530">
        <v>48</v>
      </c>
      <c r="AL143" s="528">
        <v>53</v>
      </c>
      <c r="AM143" s="528">
        <v>53</v>
      </c>
      <c r="AN143" s="528">
        <v>52</v>
      </c>
      <c r="AO143" s="528">
        <v>52</v>
      </c>
    </row>
    <row r="144" spans="1:41" ht="24.95" customHeight="1" x14ac:dyDescent="0.2">
      <c r="A144" s="312" t="s">
        <v>66</v>
      </c>
      <c r="B144" s="312" t="s">
        <v>0</v>
      </c>
      <c r="C144" s="560" t="s">
        <v>67</v>
      </c>
      <c r="D144" s="2" t="s">
        <v>221</v>
      </c>
      <c r="E144" s="311">
        <v>1</v>
      </c>
      <c r="F144" s="330">
        <v>136</v>
      </c>
      <c r="G144" s="330">
        <v>136</v>
      </c>
      <c r="H144" s="330">
        <v>132</v>
      </c>
      <c r="I144" s="330">
        <v>132</v>
      </c>
      <c r="J144" s="331">
        <v>144</v>
      </c>
      <c r="K144" s="331">
        <v>141</v>
      </c>
      <c r="L144" s="331">
        <v>141</v>
      </c>
      <c r="M144" s="331">
        <v>141</v>
      </c>
      <c r="N144" s="330">
        <v>118</v>
      </c>
      <c r="O144" s="330">
        <v>116</v>
      </c>
      <c r="P144" s="330">
        <v>116</v>
      </c>
      <c r="Q144" s="330">
        <v>115</v>
      </c>
      <c r="R144" s="330">
        <v>131</v>
      </c>
      <c r="S144" s="330">
        <v>130</v>
      </c>
      <c r="T144" s="330">
        <v>129</v>
      </c>
      <c r="U144" s="330">
        <v>127</v>
      </c>
      <c r="V144" s="331">
        <v>106</v>
      </c>
      <c r="W144" s="331">
        <v>105</v>
      </c>
      <c r="X144" s="331">
        <v>105</v>
      </c>
      <c r="Y144" s="331">
        <v>105</v>
      </c>
      <c r="Z144" s="583">
        <v>131</v>
      </c>
      <c r="AA144" s="583">
        <v>133</v>
      </c>
      <c r="AB144" s="583">
        <v>132</v>
      </c>
      <c r="AC144" s="583">
        <v>132</v>
      </c>
      <c r="AD144" s="330">
        <v>139</v>
      </c>
      <c r="AE144" s="330">
        <v>136</v>
      </c>
      <c r="AF144" s="330">
        <v>136</v>
      </c>
      <c r="AG144" s="330">
        <v>136</v>
      </c>
      <c r="AH144" s="530">
        <v>121</v>
      </c>
      <c r="AI144" s="530">
        <v>120</v>
      </c>
      <c r="AJ144" s="530">
        <v>118</v>
      </c>
      <c r="AK144" s="530">
        <v>118</v>
      </c>
      <c r="AL144" s="528">
        <v>131</v>
      </c>
      <c r="AM144" s="528">
        <v>131</v>
      </c>
      <c r="AN144" s="528">
        <v>131</v>
      </c>
      <c r="AO144" s="528">
        <v>131</v>
      </c>
    </row>
    <row r="145" spans="1:41" ht="24.95" customHeight="1" x14ac:dyDescent="0.2">
      <c r="A145" s="1" t="s">
        <v>893</v>
      </c>
      <c r="B145" s="1" t="s">
        <v>0</v>
      </c>
      <c r="C145" s="770" t="s">
        <v>892</v>
      </c>
      <c r="D145" s="2" t="s">
        <v>221</v>
      </c>
      <c r="E145" s="2">
        <v>6</v>
      </c>
      <c r="F145" s="12"/>
      <c r="G145" s="12"/>
      <c r="H145" s="12"/>
      <c r="I145" s="12"/>
      <c r="J145" s="25"/>
      <c r="K145" s="25"/>
      <c r="L145" s="25"/>
      <c r="M145" s="25"/>
      <c r="N145" s="12"/>
      <c r="O145" s="12"/>
      <c r="P145" s="12"/>
      <c r="Q145" s="12"/>
      <c r="R145" s="12"/>
      <c r="S145" s="12"/>
      <c r="T145" s="12"/>
      <c r="U145" s="12"/>
      <c r="V145" s="25"/>
      <c r="W145" s="25"/>
      <c r="X145" s="25"/>
      <c r="Y145" s="25"/>
      <c r="Z145" s="582"/>
      <c r="AA145" s="582"/>
      <c r="AB145" s="582"/>
      <c r="AC145" s="582"/>
      <c r="AD145" s="330">
        <v>0</v>
      </c>
      <c r="AE145" s="330">
        <v>9</v>
      </c>
      <c r="AF145" s="330">
        <v>7</v>
      </c>
      <c r="AG145" s="330">
        <v>7</v>
      </c>
      <c r="AH145" s="530">
        <v>0</v>
      </c>
      <c r="AI145" s="530">
        <v>6</v>
      </c>
      <c r="AJ145" s="530">
        <v>6</v>
      </c>
      <c r="AK145" s="530">
        <v>6</v>
      </c>
      <c r="AL145" s="528">
        <v>0</v>
      </c>
      <c r="AM145" s="528">
        <v>5</v>
      </c>
      <c r="AN145" s="528">
        <v>5</v>
      </c>
      <c r="AO145" s="528">
        <v>5</v>
      </c>
    </row>
    <row r="146" spans="1:41" ht="24.95" customHeight="1" x14ac:dyDescent="0.2">
      <c r="A146" s="1" t="s">
        <v>30</v>
      </c>
      <c r="B146" s="1" t="s">
        <v>0</v>
      </c>
      <c r="C146" s="126" t="s">
        <v>31</v>
      </c>
      <c r="D146" s="2" t="s">
        <v>221</v>
      </c>
      <c r="E146" s="2">
        <v>6</v>
      </c>
      <c r="F146" s="12">
        <v>7</v>
      </c>
      <c r="G146" s="12">
        <v>11</v>
      </c>
      <c r="H146" s="12">
        <v>11</v>
      </c>
      <c r="I146" s="12">
        <v>11</v>
      </c>
      <c r="J146" s="25">
        <v>5</v>
      </c>
      <c r="K146" s="25">
        <v>12</v>
      </c>
      <c r="L146" s="25">
        <v>12</v>
      </c>
      <c r="M146" s="25">
        <v>12</v>
      </c>
      <c r="N146" s="12">
        <v>10</v>
      </c>
      <c r="O146" s="12">
        <v>9</v>
      </c>
      <c r="P146" s="12">
        <v>9</v>
      </c>
      <c r="Q146" s="12">
        <v>8</v>
      </c>
      <c r="R146" s="12">
        <v>4</v>
      </c>
      <c r="S146" s="12">
        <v>4</v>
      </c>
      <c r="T146" s="12">
        <v>4</v>
      </c>
      <c r="U146" s="12">
        <v>4</v>
      </c>
      <c r="V146" s="25">
        <v>4</v>
      </c>
      <c r="W146" s="25">
        <v>4</v>
      </c>
      <c r="X146" s="25">
        <v>4</v>
      </c>
      <c r="Y146" s="25">
        <v>4</v>
      </c>
      <c r="Z146" s="582">
        <v>6</v>
      </c>
      <c r="AA146" s="582">
        <v>6</v>
      </c>
      <c r="AB146" s="582">
        <v>6</v>
      </c>
      <c r="AC146" s="582">
        <v>6</v>
      </c>
      <c r="AD146" s="330">
        <v>12</v>
      </c>
      <c r="AE146" s="330">
        <v>11</v>
      </c>
      <c r="AF146" s="330">
        <v>11</v>
      </c>
      <c r="AG146" s="330">
        <v>11</v>
      </c>
      <c r="AH146" s="530">
        <v>5</v>
      </c>
      <c r="AI146" s="530">
        <v>7</v>
      </c>
      <c r="AJ146" s="530">
        <v>7</v>
      </c>
      <c r="AK146" s="530">
        <v>7</v>
      </c>
      <c r="AL146" s="528">
        <v>10</v>
      </c>
      <c r="AM146" s="528">
        <v>10</v>
      </c>
      <c r="AN146" s="528">
        <v>10</v>
      </c>
      <c r="AO146" s="528">
        <v>10</v>
      </c>
    </row>
    <row r="147" spans="1:41" ht="24.95" customHeight="1" x14ac:dyDescent="0.2">
      <c r="A147" s="312" t="s">
        <v>53</v>
      </c>
      <c r="B147" s="312" t="s">
        <v>0</v>
      </c>
      <c r="C147" s="126" t="s">
        <v>54</v>
      </c>
      <c r="D147" s="2" t="s">
        <v>221</v>
      </c>
      <c r="E147" s="2">
        <v>6</v>
      </c>
      <c r="F147" s="330">
        <v>36</v>
      </c>
      <c r="G147" s="330">
        <v>36</v>
      </c>
      <c r="H147" s="330">
        <v>36</v>
      </c>
      <c r="I147" s="330">
        <v>36</v>
      </c>
      <c r="J147" s="331">
        <v>37</v>
      </c>
      <c r="K147" s="331">
        <v>37</v>
      </c>
      <c r="L147" s="331">
        <v>37</v>
      </c>
      <c r="M147" s="331">
        <v>35</v>
      </c>
      <c r="N147" s="330">
        <v>25</v>
      </c>
      <c r="O147" s="330">
        <v>25</v>
      </c>
      <c r="P147" s="330">
        <v>25</v>
      </c>
      <c r="Q147" s="330">
        <v>25</v>
      </c>
      <c r="R147" s="330">
        <v>30</v>
      </c>
      <c r="S147" s="330">
        <v>30</v>
      </c>
      <c r="T147" s="330">
        <v>30</v>
      </c>
      <c r="U147" s="330">
        <v>30</v>
      </c>
      <c r="V147" s="331">
        <v>25</v>
      </c>
      <c r="W147" s="331">
        <v>25</v>
      </c>
      <c r="X147" s="331">
        <v>25</v>
      </c>
      <c r="Y147" s="331">
        <v>25</v>
      </c>
      <c r="Z147" s="583">
        <v>31</v>
      </c>
      <c r="AA147" s="583">
        <v>31</v>
      </c>
      <c r="AB147" s="583">
        <v>31</v>
      </c>
      <c r="AC147" s="583">
        <v>31</v>
      </c>
      <c r="AD147" s="330">
        <v>26</v>
      </c>
      <c r="AE147" s="330">
        <v>27</v>
      </c>
      <c r="AF147" s="330">
        <v>27</v>
      </c>
      <c r="AG147" s="330">
        <v>27</v>
      </c>
      <c r="AH147" s="530">
        <v>23</v>
      </c>
      <c r="AI147" s="530">
        <v>23</v>
      </c>
      <c r="AJ147" s="530">
        <v>23</v>
      </c>
      <c r="AK147" s="530">
        <v>23</v>
      </c>
      <c r="AL147" s="618">
        <v>21</v>
      </c>
      <c r="AM147" s="618">
        <v>21</v>
      </c>
      <c r="AN147" s="618">
        <v>21</v>
      </c>
      <c r="AO147" s="618">
        <v>21</v>
      </c>
    </row>
    <row r="148" spans="1:41" ht="24.95" customHeight="1" x14ac:dyDescent="0.2">
      <c r="A148" s="1"/>
      <c r="B148" s="1"/>
      <c r="C148" s="126" t="s">
        <v>844</v>
      </c>
      <c r="D148" s="2" t="s">
        <v>221</v>
      </c>
      <c r="E148" s="2">
        <v>4</v>
      </c>
      <c r="F148" s="12"/>
      <c r="G148" s="12"/>
      <c r="H148" s="12"/>
      <c r="I148" s="12"/>
      <c r="J148" s="25"/>
      <c r="K148" s="25"/>
      <c r="L148" s="25"/>
      <c r="M148" s="25"/>
      <c r="N148" s="12"/>
      <c r="O148" s="12"/>
      <c r="P148" s="12"/>
      <c r="Q148" s="12"/>
      <c r="R148" s="12"/>
      <c r="S148" s="12"/>
      <c r="T148" s="12"/>
      <c r="U148" s="12"/>
      <c r="V148" s="25"/>
      <c r="W148" s="25"/>
      <c r="X148" s="25"/>
      <c r="Y148" s="25"/>
      <c r="Z148" s="582"/>
      <c r="AA148" s="582"/>
      <c r="AB148" s="582"/>
      <c r="AC148" s="582"/>
      <c r="AD148" s="330"/>
      <c r="AE148" s="330"/>
      <c r="AF148" s="330"/>
      <c r="AG148" s="330"/>
      <c r="AH148" s="530">
        <v>9</v>
      </c>
      <c r="AI148" s="530">
        <v>9</v>
      </c>
      <c r="AJ148" s="530">
        <v>8</v>
      </c>
      <c r="AK148" s="530">
        <v>8</v>
      </c>
      <c r="AL148" s="619"/>
      <c r="AM148" s="619"/>
      <c r="AN148" s="619"/>
      <c r="AO148" s="619"/>
    </row>
    <row r="149" spans="1:41" ht="24.95" customHeight="1" x14ac:dyDescent="0.2">
      <c r="A149" s="1" t="s">
        <v>141</v>
      </c>
      <c r="B149" s="1" t="s">
        <v>0</v>
      </c>
      <c r="C149" s="126" t="s">
        <v>142</v>
      </c>
      <c r="D149" s="2" t="s">
        <v>221</v>
      </c>
      <c r="E149" s="2">
        <v>2</v>
      </c>
      <c r="F149" s="12">
        <v>17</v>
      </c>
      <c r="G149" s="12">
        <v>16</v>
      </c>
      <c r="H149" s="12">
        <v>16</v>
      </c>
      <c r="I149" s="12">
        <v>16</v>
      </c>
      <c r="J149" s="25">
        <v>7</v>
      </c>
      <c r="K149" s="25">
        <v>9</v>
      </c>
      <c r="L149" s="25">
        <v>9</v>
      </c>
      <c r="M149" s="25">
        <v>9</v>
      </c>
      <c r="N149" s="12">
        <v>17</v>
      </c>
      <c r="O149" s="12">
        <v>15</v>
      </c>
      <c r="P149" s="12">
        <v>15</v>
      </c>
      <c r="Q149" s="12">
        <v>15</v>
      </c>
      <c r="R149" s="12">
        <v>13</v>
      </c>
      <c r="S149" s="12">
        <v>13</v>
      </c>
      <c r="T149" s="12">
        <v>13</v>
      </c>
      <c r="U149" s="12">
        <v>11</v>
      </c>
      <c r="V149" s="25">
        <v>14</v>
      </c>
      <c r="W149" s="25">
        <v>14</v>
      </c>
      <c r="X149" s="25">
        <v>14</v>
      </c>
      <c r="Y149" s="25">
        <v>14</v>
      </c>
      <c r="Z149" s="582">
        <v>13</v>
      </c>
      <c r="AA149" s="582">
        <v>13</v>
      </c>
      <c r="AB149" s="582">
        <v>13</v>
      </c>
      <c r="AC149" s="582">
        <v>13</v>
      </c>
      <c r="AD149" s="330">
        <v>14</v>
      </c>
      <c r="AE149" s="330">
        <v>14</v>
      </c>
      <c r="AF149" s="330">
        <v>14</v>
      </c>
      <c r="AG149" s="330">
        <v>14</v>
      </c>
      <c r="AH149" s="530">
        <v>20</v>
      </c>
      <c r="AI149" s="530">
        <v>20</v>
      </c>
      <c r="AJ149" s="530">
        <v>20</v>
      </c>
      <c r="AK149" s="530">
        <v>20</v>
      </c>
      <c r="AL149" s="528">
        <v>19</v>
      </c>
      <c r="AM149" s="528">
        <v>19</v>
      </c>
      <c r="AN149" s="528">
        <v>19</v>
      </c>
      <c r="AO149" s="528">
        <v>19</v>
      </c>
    </row>
    <row r="150" spans="1:41" ht="24.95" customHeight="1" x14ac:dyDescent="0.2">
      <c r="A150" s="1" t="s">
        <v>148</v>
      </c>
      <c r="B150" s="1" t="s">
        <v>0</v>
      </c>
      <c r="C150" s="126" t="s">
        <v>149</v>
      </c>
      <c r="D150" s="2" t="s">
        <v>221</v>
      </c>
      <c r="E150" s="2">
        <v>5</v>
      </c>
      <c r="F150" s="12">
        <v>32</v>
      </c>
      <c r="G150" s="12">
        <v>43</v>
      </c>
      <c r="H150" s="12">
        <v>42</v>
      </c>
      <c r="I150" s="12">
        <v>42</v>
      </c>
      <c r="J150" s="25">
        <v>38</v>
      </c>
      <c r="K150" s="25">
        <v>42</v>
      </c>
      <c r="L150" s="25">
        <v>41</v>
      </c>
      <c r="M150" s="25">
        <v>41</v>
      </c>
      <c r="N150" s="12">
        <v>27</v>
      </c>
      <c r="O150" s="12">
        <v>32</v>
      </c>
      <c r="P150" s="12">
        <v>32</v>
      </c>
      <c r="Q150" s="12">
        <v>32</v>
      </c>
      <c r="R150" s="12">
        <v>25</v>
      </c>
      <c r="S150" s="12">
        <v>24</v>
      </c>
      <c r="T150" s="12">
        <v>24</v>
      </c>
      <c r="U150" s="12">
        <v>24</v>
      </c>
      <c r="V150" s="25">
        <v>23</v>
      </c>
      <c r="W150" s="25">
        <v>23</v>
      </c>
      <c r="X150" s="25">
        <v>23</v>
      </c>
      <c r="Y150" s="25">
        <v>23</v>
      </c>
      <c r="Z150" s="582">
        <v>35</v>
      </c>
      <c r="AA150" s="582">
        <v>29</v>
      </c>
      <c r="AB150" s="582">
        <v>29</v>
      </c>
      <c r="AC150" s="582">
        <v>29</v>
      </c>
      <c r="AD150" s="330">
        <v>27</v>
      </c>
      <c r="AE150" s="330">
        <v>26</v>
      </c>
      <c r="AF150" s="330">
        <v>26</v>
      </c>
      <c r="AG150" s="330">
        <v>26</v>
      </c>
      <c r="AH150" s="530">
        <v>39</v>
      </c>
      <c r="AI150" s="530">
        <v>36</v>
      </c>
      <c r="AJ150" s="530">
        <v>35</v>
      </c>
      <c r="AK150" s="530">
        <v>35</v>
      </c>
      <c r="AL150" s="528">
        <v>49</v>
      </c>
      <c r="AM150" s="528">
        <v>48</v>
      </c>
      <c r="AN150" s="528">
        <v>44</v>
      </c>
      <c r="AO150" s="528">
        <v>44</v>
      </c>
    </row>
    <row r="151" spans="1:41" ht="24.95" customHeight="1" x14ac:dyDescent="0.2">
      <c r="A151" s="1" t="s">
        <v>139</v>
      </c>
      <c r="B151" s="1" t="s">
        <v>0</v>
      </c>
      <c r="C151" s="126" t="s">
        <v>140</v>
      </c>
      <c r="D151" s="2" t="s">
        <v>221</v>
      </c>
      <c r="E151" s="2">
        <v>2</v>
      </c>
      <c r="F151" s="12">
        <v>7</v>
      </c>
      <c r="G151" s="12">
        <v>9</v>
      </c>
      <c r="H151" s="12">
        <v>8</v>
      </c>
      <c r="I151" s="12">
        <v>8</v>
      </c>
      <c r="J151" s="25">
        <v>21</v>
      </c>
      <c r="K151" s="25">
        <v>21</v>
      </c>
      <c r="L151" s="25">
        <v>20</v>
      </c>
      <c r="M151" s="25">
        <v>20</v>
      </c>
      <c r="N151" s="12">
        <v>23</v>
      </c>
      <c r="O151" s="12">
        <v>23</v>
      </c>
      <c r="P151" s="12">
        <v>23</v>
      </c>
      <c r="Q151" s="12">
        <v>23</v>
      </c>
      <c r="R151" s="12">
        <v>35</v>
      </c>
      <c r="S151" s="12">
        <v>35</v>
      </c>
      <c r="T151" s="12">
        <v>35</v>
      </c>
      <c r="U151" s="12">
        <v>33</v>
      </c>
      <c r="V151" s="25">
        <v>32</v>
      </c>
      <c r="W151" s="25">
        <v>32</v>
      </c>
      <c r="X151" s="25">
        <v>32</v>
      </c>
      <c r="Y151" s="25">
        <v>32</v>
      </c>
      <c r="Z151" s="582">
        <v>34</v>
      </c>
      <c r="AA151" s="582">
        <v>34</v>
      </c>
      <c r="AB151" s="582">
        <v>34</v>
      </c>
      <c r="AC151" s="582">
        <v>34</v>
      </c>
      <c r="AD151" s="330">
        <v>42</v>
      </c>
      <c r="AE151" s="330">
        <v>42</v>
      </c>
      <c r="AF151" s="330">
        <v>42</v>
      </c>
      <c r="AG151" s="330">
        <v>42</v>
      </c>
      <c r="AH151" s="530">
        <v>41</v>
      </c>
      <c r="AI151" s="530">
        <v>41</v>
      </c>
      <c r="AJ151" s="530">
        <v>41</v>
      </c>
      <c r="AK151" s="530">
        <v>41</v>
      </c>
      <c r="AL151" s="528">
        <v>40</v>
      </c>
      <c r="AM151" s="528">
        <v>39</v>
      </c>
      <c r="AN151" s="528">
        <v>39</v>
      </c>
      <c r="AO151" s="528">
        <v>39</v>
      </c>
    </row>
    <row r="152" spans="1:41" ht="24.95" customHeight="1" x14ac:dyDescent="0.2">
      <c r="A152" s="1" t="s">
        <v>121</v>
      </c>
      <c r="B152" s="1" t="s">
        <v>0</v>
      </c>
      <c r="C152" s="126" t="s">
        <v>122</v>
      </c>
      <c r="D152" s="2" t="s">
        <v>221</v>
      </c>
      <c r="E152" s="2">
        <v>6</v>
      </c>
      <c r="F152" s="12">
        <v>82</v>
      </c>
      <c r="G152" s="12">
        <v>110</v>
      </c>
      <c r="H152" s="12">
        <v>110</v>
      </c>
      <c r="I152" s="12">
        <v>110</v>
      </c>
      <c r="J152" s="25">
        <v>134</v>
      </c>
      <c r="K152" s="25">
        <v>133</v>
      </c>
      <c r="L152" s="25">
        <v>133</v>
      </c>
      <c r="M152" s="25">
        <v>131</v>
      </c>
      <c r="N152" s="12">
        <v>130</v>
      </c>
      <c r="O152" s="12">
        <v>130</v>
      </c>
      <c r="P152" s="12">
        <v>130</v>
      </c>
      <c r="Q152" s="12">
        <v>130</v>
      </c>
      <c r="R152" s="12">
        <v>159</v>
      </c>
      <c r="S152" s="12">
        <v>159</v>
      </c>
      <c r="T152" s="12">
        <v>159</v>
      </c>
      <c r="U152" s="12">
        <v>157</v>
      </c>
      <c r="V152" s="25">
        <v>144</v>
      </c>
      <c r="W152" s="25">
        <v>144</v>
      </c>
      <c r="X152" s="25">
        <v>144</v>
      </c>
      <c r="Y152" s="25">
        <v>144</v>
      </c>
      <c r="Z152" s="582">
        <v>33</v>
      </c>
      <c r="AA152" s="582">
        <v>153</v>
      </c>
      <c r="AB152" s="582">
        <v>151</v>
      </c>
      <c r="AC152" s="582">
        <v>151</v>
      </c>
      <c r="AD152" s="330">
        <v>200</v>
      </c>
      <c r="AE152" s="330">
        <v>200</v>
      </c>
      <c r="AF152" s="330">
        <v>199</v>
      </c>
      <c r="AG152" s="330">
        <v>199</v>
      </c>
      <c r="AH152" s="530">
        <v>153</v>
      </c>
      <c r="AI152" s="530">
        <v>153</v>
      </c>
      <c r="AJ152" s="530">
        <v>151</v>
      </c>
      <c r="AK152" s="530">
        <v>151</v>
      </c>
      <c r="AL152" s="528">
        <v>150</v>
      </c>
      <c r="AM152" s="528">
        <v>147</v>
      </c>
      <c r="AN152" s="528">
        <v>146</v>
      </c>
      <c r="AO152" s="528">
        <v>146</v>
      </c>
    </row>
    <row r="153" spans="1:41" ht="24.95" customHeight="1" x14ac:dyDescent="0.2">
      <c r="A153" s="1" t="s">
        <v>196</v>
      </c>
      <c r="B153" s="1" t="s">
        <v>0</v>
      </c>
      <c r="C153" s="126" t="s">
        <v>197</v>
      </c>
      <c r="D153" s="2" t="s">
        <v>221</v>
      </c>
      <c r="E153" s="2">
        <v>5</v>
      </c>
      <c r="F153" s="12">
        <v>20</v>
      </c>
      <c r="G153" s="12">
        <v>30</v>
      </c>
      <c r="H153" s="12">
        <v>30</v>
      </c>
      <c r="I153" s="12">
        <v>30</v>
      </c>
      <c r="J153" s="25">
        <v>15</v>
      </c>
      <c r="K153" s="25">
        <v>23</v>
      </c>
      <c r="L153" s="25">
        <v>23</v>
      </c>
      <c r="M153" s="25">
        <v>23</v>
      </c>
      <c r="N153" s="12">
        <v>50</v>
      </c>
      <c r="O153" s="12">
        <v>46</v>
      </c>
      <c r="P153" s="12">
        <v>46</v>
      </c>
      <c r="Q153" s="12">
        <v>46</v>
      </c>
      <c r="R153" s="12">
        <v>48</v>
      </c>
      <c r="S153" s="12">
        <v>46</v>
      </c>
      <c r="T153" s="12">
        <v>46</v>
      </c>
      <c r="U153" s="12">
        <v>46</v>
      </c>
      <c r="V153" s="25">
        <v>53</v>
      </c>
      <c r="W153" s="25">
        <v>52</v>
      </c>
      <c r="X153" s="25">
        <v>52</v>
      </c>
      <c r="Y153" s="25">
        <v>52</v>
      </c>
      <c r="Z153" s="582">
        <v>48</v>
      </c>
      <c r="AA153" s="582">
        <v>48</v>
      </c>
      <c r="AB153" s="582">
        <v>48</v>
      </c>
      <c r="AC153" s="582">
        <v>48</v>
      </c>
      <c r="AD153" s="330">
        <v>49</v>
      </c>
      <c r="AE153" s="330">
        <v>47</v>
      </c>
      <c r="AF153" s="330">
        <v>47</v>
      </c>
      <c r="AG153" s="330">
        <v>47</v>
      </c>
      <c r="AH153" s="530">
        <v>69</v>
      </c>
      <c r="AI153" s="530">
        <v>69</v>
      </c>
      <c r="AJ153" s="530">
        <v>69</v>
      </c>
      <c r="AK153" s="530">
        <v>69</v>
      </c>
      <c r="AL153" s="528">
        <v>62</v>
      </c>
      <c r="AM153" s="528">
        <v>62</v>
      </c>
      <c r="AN153" s="528">
        <v>61</v>
      </c>
      <c r="AO153" s="528">
        <v>61</v>
      </c>
    </row>
    <row r="154" spans="1:41" ht="24.95" customHeight="1" x14ac:dyDescent="0.2">
      <c r="A154" s="1" t="s">
        <v>163</v>
      </c>
      <c r="B154" s="1" t="s">
        <v>0</v>
      </c>
      <c r="C154" s="126" t="s">
        <v>164</v>
      </c>
      <c r="D154" s="2" t="s">
        <v>221</v>
      </c>
      <c r="E154" s="2">
        <v>1</v>
      </c>
      <c r="F154" s="47">
        <v>37</v>
      </c>
      <c r="G154" s="47">
        <v>38</v>
      </c>
      <c r="H154" s="47">
        <v>38</v>
      </c>
      <c r="I154" s="47">
        <v>38</v>
      </c>
      <c r="J154" s="25">
        <v>29</v>
      </c>
      <c r="K154" s="25">
        <v>31</v>
      </c>
      <c r="L154" s="25">
        <v>31</v>
      </c>
      <c r="M154" s="25">
        <v>31</v>
      </c>
      <c r="N154" s="12">
        <v>22</v>
      </c>
      <c r="O154" s="12">
        <v>21</v>
      </c>
      <c r="P154" s="12">
        <v>20</v>
      </c>
      <c r="Q154" s="12">
        <v>20</v>
      </c>
      <c r="R154" s="12">
        <v>25</v>
      </c>
      <c r="S154" s="12">
        <v>25</v>
      </c>
      <c r="T154" s="12">
        <v>25</v>
      </c>
      <c r="U154" s="12">
        <v>25</v>
      </c>
      <c r="V154" s="25">
        <v>45</v>
      </c>
      <c r="W154" s="25">
        <v>44</v>
      </c>
      <c r="X154" s="25">
        <v>44</v>
      </c>
      <c r="Y154" s="25">
        <v>44</v>
      </c>
      <c r="Z154" s="584">
        <v>57</v>
      </c>
      <c r="AA154" s="584">
        <v>57</v>
      </c>
      <c r="AB154" s="584">
        <v>56</v>
      </c>
      <c r="AC154" s="584">
        <v>56</v>
      </c>
      <c r="AD154" s="47">
        <v>53</v>
      </c>
      <c r="AE154" s="47">
        <v>53</v>
      </c>
      <c r="AF154" s="47">
        <v>53</v>
      </c>
      <c r="AG154" s="47">
        <v>53</v>
      </c>
      <c r="AH154" s="621">
        <v>51</v>
      </c>
      <c r="AI154" s="621">
        <v>50</v>
      </c>
      <c r="AJ154" s="621">
        <v>50</v>
      </c>
      <c r="AK154" s="621">
        <v>50</v>
      </c>
      <c r="AL154" s="47">
        <v>53</v>
      </c>
      <c r="AM154" s="47">
        <v>53</v>
      </c>
      <c r="AN154" s="47">
        <v>52</v>
      </c>
      <c r="AO154" s="47">
        <v>52</v>
      </c>
    </row>
    <row r="155" spans="1:41" ht="24.95" customHeight="1" x14ac:dyDescent="0.2">
      <c r="A155" s="14" t="s">
        <v>239</v>
      </c>
      <c r="B155" s="1" t="s">
        <v>0</v>
      </c>
      <c r="C155" s="126" t="s">
        <v>228</v>
      </c>
      <c r="D155" s="2" t="s">
        <v>221</v>
      </c>
      <c r="E155" s="2">
        <v>6</v>
      </c>
      <c r="F155" s="613"/>
      <c r="G155" s="613"/>
      <c r="H155" s="613"/>
      <c r="I155" s="613"/>
      <c r="J155" s="25">
        <v>0</v>
      </c>
      <c r="K155" s="25">
        <v>6</v>
      </c>
      <c r="L155" s="25">
        <v>6</v>
      </c>
      <c r="M155" s="25">
        <v>6</v>
      </c>
      <c r="N155" s="12">
        <v>0</v>
      </c>
      <c r="O155" s="12">
        <v>5</v>
      </c>
      <c r="P155" s="12">
        <v>5</v>
      </c>
      <c r="Q155" s="12">
        <v>4</v>
      </c>
      <c r="R155" s="12">
        <v>2</v>
      </c>
      <c r="S155" s="12">
        <v>2</v>
      </c>
      <c r="T155" s="12">
        <v>2</v>
      </c>
      <c r="U155" s="12">
        <v>2</v>
      </c>
      <c r="V155" s="25">
        <v>2</v>
      </c>
      <c r="W155" s="25">
        <v>2</v>
      </c>
      <c r="X155" s="25">
        <v>2</v>
      </c>
      <c r="Y155" s="25">
        <v>2</v>
      </c>
      <c r="Z155" s="615"/>
      <c r="AA155" s="615"/>
      <c r="AB155" s="615"/>
      <c r="AC155" s="615"/>
      <c r="AD155" s="617"/>
      <c r="AE155" s="617"/>
      <c r="AF155" s="617"/>
      <c r="AG155" s="617"/>
      <c r="AH155" s="620"/>
      <c r="AI155" s="620"/>
      <c r="AJ155" s="620"/>
      <c r="AK155" s="620"/>
      <c r="AL155" s="622"/>
      <c r="AM155" s="622"/>
      <c r="AN155" s="622"/>
      <c r="AO155" s="622"/>
    </row>
    <row r="156" spans="1:41" ht="24.95" customHeight="1" x14ac:dyDescent="0.2">
      <c r="A156" s="1" t="s">
        <v>210</v>
      </c>
      <c r="B156" s="1" t="s">
        <v>0</v>
      </c>
      <c r="C156" s="126" t="s">
        <v>211</v>
      </c>
      <c r="D156" s="2" t="s">
        <v>221</v>
      </c>
      <c r="E156" s="2">
        <v>3</v>
      </c>
      <c r="F156" s="12">
        <v>16</v>
      </c>
      <c r="G156" s="12">
        <v>16</v>
      </c>
      <c r="H156" s="12">
        <v>16</v>
      </c>
      <c r="I156" s="12">
        <v>16</v>
      </c>
      <c r="J156" s="25">
        <v>3</v>
      </c>
      <c r="K156" s="25">
        <v>15</v>
      </c>
      <c r="L156" s="25">
        <v>15</v>
      </c>
      <c r="M156" s="25">
        <v>15</v>
      </c>
      <c r="N156" s="12">
        <v>18</v>
      </c>
      <c r="O156" s="12">
        <v>16</v>
      </c>
      <c r="P156" s="12">
        <v>16</v>
      </c>
      <c r="Q156" s="12">
        <v>16</v>
      </c>
      <c r="R156" s="12">
        <v>20</v>
      </c>
      <c r="S156" s="12">
        <v>20</v>
      </c>
      <c r="T156" s="12">
        <v>20</v>
      </c>
      <c r="U156" s="12">
        <v>20</v>
      </c>
      <c r="V156" s="25">
        <v>27</v>
      </c>
      <c r="W156" s="25">
        <v>27</v>
      </c>
      <c r="X156" s="25">
        <v>27</v>
      </c>
      <c r="Y156" s="25">
        <v>27</v>
      </c>
      <c r="Z156" s="582">
        <v>25</v>
      </c>
      <c r="AA156" s="582">
        <v>25</v>
      </c>
      <c r="AB156" s="582">
        <v>25</v>
      </c>
      <c r="AC156" s="582">
        <v>25</v>
      </c>
      <c r="AD156" s="330">
        <v>28</v>
      </c>
      <c r="AE156" s="330">
        <v>29</v>
      </c>
      <c r="AF156" s="330">
        <v>28</v>
      </c>
      <c r="AG156" s="330">
        <v>28</v>
      </c>
      <c r="AH156" s="530">
        <v>26</v>
      </c>
      <c r="AI156" s="530">
        <v>26</v>
      </c>
      <c r="AJ156" s="530">
        <v>26</v>
      </c>
      <c r="AK156" s="530">
        <v>26</v>
      </c>
      <c r="AL156" s="528">
        <v>31</v>
      </c>
      <c r="AM156" s="528">
        <v>31</v>
      </c>
      <c r="AN156" s="528">
        <v>29</v>
      </c>
      <c r="AO156" s="528">
        <v>29</v>
      </c>
    </row>
    <row r="157" spans="1:41" ht="24.95" customHeight="1" x14ac:dyDescent="0.2">
      <c r="A157" s="1" t="s">
        <v>56</v>
      </c>
      <c r="B157" s="1" t="s">
        <v>0</v>
      </c>
      <c r="C157" s="126" t="s">
        <v>57</v>
      </c>
      <c r="D157" s="2" t="s">
        <v>221</v>
      </c>
      <c r="E157" s="2">
        <v>3</v>
      </c>
      <c r="F157" s="12">
        <v>60</v>
      </c>
      <c r="G157" s="12">
        <v>61</v>
      </c>
      <c r="H157" s="12">
        <v>61</v>
      </c>
      <c r="I157" s="12">
        <v>61</v>
      </c>
      <c r="J157" s="25">
        <v>24</v>
      </c>
      <c r="K157" s="25">
        <v>24</v>
      </c>
      <c r="L157" s="25">
        <v>24</v>
      </c>
      <c r="M157" s="25">
        <v>24</v>
      </c>
      <c r="N157" s="12">
        <v>35</v>
      </c>
      <c r="O157" s="12">
        <v>34</v>
      </c>
      <c r="P157" s="12">
        <v>34</v>
      </c>
      <c r="Q157" s="12">
        <v>34</v>
      </c>
      <c r="R157" s="12">
        <v>38</v>
      </c>
      <c r="S157" s="12">
        <v>37</v>
      </c>
      <c r="T157" s="12">
        <v>36</v>
      </c>
      <c r="U157" s="12">
        <v>36</v>
      </c>
      <c r="V157" s="25">
        <v>26</v>
      </c>
      <c r="W157" s="25">
        <v>25</v>
      </c>
      <c r="X157" s="25">
        <v>24</v>
      </c>
      <c r="Y157" s="25">
        <v>24</v>
      </c>
      <c r="Z157" s="582">
        <v>28</v>
      </c>
      <c r="AA157" s="582">
        <v>28</v>
      </c>
      <c r="AB157" s="582">
        <v>28</v>
      </c>
      <c r="AC157" s="582">
        <v>28</v>
      </c>
      <c r="AD157" s="330">
        <v>29</v>
      </c>
      <c r="AE157" s="330">
        <v>29</v>
      </c>
      <c r="AF157" s="330">
        <v>28</v>
      </c>
      <c r="AG157" s="330">
        <v>28</v>
      </c>
      <c r="AH157" s="530">
        <v>34</v>
      </c>
      <c r="AI157" s="530">
        <v>34</v>
      </c>
      <c r="AJ157" s="530">
        <v>34</v>
      </c>
      <c r="AK157" s="530">
        <v>34</v>
      </c>
      <c r="AL157" s="528">
        <v>27</v>
      </c>
      <c r="AM157" s="528">
        <v>27</v>
      </c>
      <c r="AN157" s="528">
        <v>27</v>
      </c>
      <c r="AO157" s="528">
        <v>27</v>
      </c>
    </row>
    <row r="158" spans="1:41" ht="24.95" customHeight="1" x14ac:dyDescent="0.2">
      <c r="A158" s="1" t="s">
        <v>194</v>
      </c>
      <c r="B158" s="1" t="s">
        <v>0</v>
      </c>
      <c r="C158" s="126" t="s">
        <v>195</v>
      </c>
      <c r="D158" s="2" t="s">
        <v>221</v>
      </c>
      <c r="E158" s="2">
        <v>5</v>
      </c>
      <c r="F158" s="12">
        <v>12</v>
      </c>
      <c r="G158" s="12">
        <v>16</v>
      </c>
      <c r="H158" s="12">
        <v>15</v>
      </c>
      <c r="I158" s="12">
        <v>15</v>
      </c>
      <c r="J158" s="25">
        <v>17</v>
      </c>
      <c r="K158" s="25">
        <v>17</v>
      </c>
      <c r="L158" s="25">
        <v>17</v>
      </c>
      <c r="M158" s="25">
        <v>17</v>
      </c>
      <c r="N158" s="12">
        <v>19</v>
      </c>
      <c r="O158" s="12">
        <v>19</v>
      </c>
      <c r="P158" s="12">
        <v>19</v>
      </c>
      <c r="Q158" s="12">
        <v>19</v>
      </c>
      <c r="R158" s="12">
        <v>24</v>
      </c>
      <c r="S158" s="12">
        <v>24</v>
      </c>
      <c r="T158" s="12">
        <v>24</v>
      </c>
      <c r="U158" s="12">
        <v>24</v>
      </c>
      <c r="V158" s="25">
        <v>32</v>
      </c>
      <c r="W158" s="25">
        <v>32</v>
      </c>
      <c r="X158" s="25">
        <v>32</v>
      </c>
      <c r="Y158" s="25">
        <v>32</v>
      </c>
      <c r="Z158" s="582">
        <v>37</v>
      </c>
      <c r="AA158" s="582">
        <v>37</v>
      </c>
      <c r="AB158" s="582">
        <v>37</v>
      </c>
      <c r="AC158" s="582">
        <v>37</v>
      </c>
      <c r="AD158" s="330">
        <v>22</v>
      </c>
      <c r="AE158" s="330">
        <v>22</v>
      </c>
      <c r="AF158" s="330">
        <v>22</v>
      </c>
      <c r="AG158" s="330">
        <v>22</v>
      </c>
      <c r="AH158" s="530">
        <v>17</v>
      </c>
      <c r="AI158" s="530">
        <v>17</v>
      </c>
      <c r="AJ158" s="530">
        <v>17</v>
      </c>
      <c r="AK158" s="530">
        <v>17</v>
      </c>
      <c r="AL158" s="528">
        <v>33</v>
      </c>
      <c r="AM158" s="528">
        <v>33</v>
      </c>
      <c r="AN158" s="528">
        <v>33</v>
      </c>
      <c r="AO158" s="528">
        <v>33</v>
      </c>
    </row>
    <row r="159" spans="1:41" ht="24.95" customHeight="1" x14ac:dyDescent="0.2">
      <c r="A159" s="1" t="s">
        <v>18</v>
      </c>
      <c r="B159" s="1" t="s">
        <v>0</v>
      </c>
      <c r="C159" s="126" t="s">
        <v>19</v>
      </c>
      <c r="D159" s="2" t="s">
        <v>221</v>
      </c>
      <c r="E159" s="2">
        <v>5</v>
      </c>
      <c r="F159" s="12">
        <v>66</v>
      </c>
      <c r="G159" s="12">
        <v>66</v>
      </c>
      <c r="H159" s="12">
        <v>66</v>
      </c>
      <c r="I159" s="12">
        <v>66</v>
      </c>
      <c r="J159" s="25">
        <v>59</v>
      </c>
      <c r="K159" s="25">
        <v>59</v>
      </c>
      <c r="L159" s="25">
        <v>59</v>
      </c>
      <c r="M159" s="25">
        <v>59</v>
      </c>
      <c r="N159" s="12">
        <v>66</v>
      </c>
      <c r="O159" s="12">
        <v>66</v>
      </c>
      <c r="P159" s="12">
        <v>66</v>
      </c>
      <c r="Q159" s="12">
        <v>66</v>
      </c>
      <c r="R159" s="12">
        <v>57</v>
      </c>
      <c r="S159" s="12">
        <v>56</v>
      </c>
      <c r="T159" s="12">
        <v>56</v>
      </c>
      <c r="U159" s="12">
        <v>56</v>
      </c>
      <c r="V159" s="25">
        <v>89</v>
      </c>
      <c r="W159" s="25">
        <v>89</v>
      </c>
      <c r="X159" s="25">
        <v>89</v>
      </c>
      <c r="Y159" s="25">
        <v>89</v>
      </c>
      <c r="Z159" s="582">
        <v>54</v>
      </c>
      <c r="AA159" s="582">
        <v>54</v>
      </c>
      <c r="AB159" s="582">
        <v>54</v>
      </c>
      <c r="AC159" s="582">
        <v>54</v>
      </c>
      <c r="AD159" s="330">
        <v>74</v>
      </c>
      <c r="AE159" s="330">
        <v>73</v>
      </c>
      <c r="AF159" s="330">
        <v>73</v>
      </c>
      <c r="AG159" s="330">
        <v>73</v>
      </c>
      <c r="AH159" s="530">
        <v>91</v>
      </c>
      <c r="AI159" s="530">
        <v>90</v>
      </c>
      <c r="AJ159" s="530">
        <v>90</v>
      </c>
      <c r="AK159" s="530">
        <v>90</v>
      </c>
      <c r="AL159" s="528">
        <v>79</v>
      </c>
      <c r="AM159" s="528">
        <v>79</v>
      </c>
      <c r="AN159" s="528">
        <v>78</v>
      </c>
      <c r="AO159" s="528">
        <v>78</v>
      </c>
    </row>
    <row r="160" spans="1:41" ht="24.95" customHeight="1" x14ac:dyDescent="0.2">
      <c r="A160" s="1" t="s">
        <v>117</v>
      </c>
      <c r="B160" s="1" t="s">
        <v>0</v>
      </c>
      <c r="C160" s="126" t="s">
        <v>118</v>
      </c>
      <c r="D160" s="2" t="s">
        <v>221</v>
      </c>
      <c r="E160" s="2">
        <v>3</v>
      </c>
      <c r="F160" s="12">
        <v>0</v>
      </c>
      <c r="G160" s="12">
        <v>30</v>
      </c>
      <c r="H160" s="12">
        <v>30</v>
      </c>
      <c r="I160" s="12">
        <v>30</v>
      </c>
      <c r="J160" s="25">
        <v>28</v>
      </c>
      <c r="K160" s="25">
        <v>28</v>
      </c>
      <c r="L160" s="25">
        <v>28</v>
      </c>
      <c r="M160" s="25">
        <v>28</v>
      </c>
      <c r="N160" s="12">
        <v>28</v>
      </c>
      <c r="O160" s="12">
        <v>28</v>
      </c>
      <c r="P160" s="12">
        <v>28</v>
      </c>
      <c r="Q160" s="12">
        <v>28</v>
      </c>
      <c r="R160" s="12">
        <v>0</v>
      </c>
      <c r="S160" s="12">
        <v>29</v>
      </c>
      <c r="T160" s="12">
        <v>29</v>
      </c>
      <c r="U160" s="12">
        <v>29</v>
      </c>
      <c r="V160" s="25">
        <v>31</v>
      </c>
      <c r="W160" s="25">
        <v>31</v>
      </c>
      <c r="X160" s="25">
        <v>30</v>
      </c>
      <c r="Y160" s="25">
        <v>30</v>
      </c>
      <c r="Z160" s="582">
        <v>37</v>
      </c>
      <c r="AA160" s="582">
        <v>37</v>
      </c>
      <c r="AB160" s="582">
        <v>37</v>
      </c>
      <c r="AC160" s="582">
        <v>37</v>
      </c>
      <c r="AD160" s="330">
        <v>40</v>
      </c>
      <c r="AE160" s="330">
        <v>40</v>
      </c>
      <c r="AF160" s="330">
        <v>40</v>
      </c>
      <c r="AG160" s="330">
        <v>40</v>
      </c>
      <c r="AH160" s="530">
        <v>30</v>
      </c>
      <c r="AI160" s="530">
        <v>30</v>
      </c>
      <c r="AJ160" s="530">
        <v>30</v>
      </c>
      <c r="AK160" s="530">
        <v>30</v>
      </c>
      <c r="AL160" s="528">
        <v>22</v>
      </c>
      <c r="AM160" s="528">
        <v>22</v>
      </c>
      <c r="AN160" s="528">
        <v>22</v>
      </c>
      <c r="AO160" s="528">
        <v>22</v>
      </c>
    </row>
    <row r="161" spans="1:41" ht="24.95" customHeight="1" x14ac:dyDescent="0.2">
      <c r="A161" s="1" t="s">
        <v>204</v>
      </c>
      <c r="B161" s="1" t="s">
        <v>0</v>
      </c>
      <c r="C161" s="126" t="s">
        <v>205</v>
      </c>
      <c r="D161" s="2" t="s">
        <v>221</v>
      </c>
      <c r="E161" s="2">
        <v>5</v>
      </c>
      <c r="F161" s="12">
        <v>35</v>
      </c>
      <c r="G161" s="12">
        <v>35</v>
      </c>
      <c r="H161" s="12">
        <v>32</v>
      </c>
      <c r="I161" s="12">
        <v>32</v>
      </c>
      <c r="J161" s="25">
        <v>40</v>
      </c>
      <c r="K161" s="25">
        <v>40</v>
      </c>
      <c r="L161" s="25">
        <v>40</v>
      </c>
      <c r="M161" s="25">
        <v>40</v>
      </c>
      <c r="N161" s="12">
        <v>51</v>
      </c>
      <c r="O161" s="12">
        <v>51</v>
      </c>
      <c r="P161" s="12">
        <v>51</v>
      </c>
      <c r="Q161" s="12">
        <v>51</v>
      </c>
      <c r="R161" s="12">
        <v>56</v>
      </c>
      <c r="S161" s="12">
        <v>56</v>
      </c>
      <c r="T161" s="12">
        <v>56</v>
      </c>
      <c r="U161" s="12">
        <v>55</v>
      </c>
      <c r="V161" s="25">
        <v>39</v>
      </c>
      <c r="W161" s="25">
        <v>39</v>
      </c>
      <c r="X161" s="25">
        <v>39</v>
      </c>
      <c r="Y161" s="25">
        <v>39</v>
      </c>
      <c r="Z161" s="582">
        <v>61</v>
      </c>
      <c r="AA161" s="582">
        <v>61</v>
      </c>
      <c r="AB161" s="582">
        <v>61</v>
      </c>
      <c r="AC161" s="582">
        <v>61</v>
      </c>
      <c r="AD161" s="330">
        <v>53</v>
      </c>
      <c r="AE161" s="330">
        <v>52</v>
      </c>
      <c r="AF161" s="330">
        <v>51</v>
      </c>
      <c r="AG161" s="330">
        <v>51</v>
      </c>
      <c r="AH161" s="530">
        <v>45</v>
      </c>
      <c r="AI161" s="530">
        <v>45</v>
      </c>
      <c r="AJ161" s="530">
        <v>45</v>
      </c>
      <c r="AK161" s="530">
        <v>45</v>
      </c>
      <c r="AL161" s="528">
        <v>44</v>
      </c>
      <c r="AM161" s="528">
        <v>44</v>
      </c>
      <c r="AN161" s="528">
        <v>43</v>
      </c>
      <c r="AO161" s="528">
        <v>43</v>
      </c>
    </row>
    <row r="162" spans="1:41" ht="24.95" customHeight="1" x14ac:dyDescent="0.2">
      <c r="A162" s="1" t="s">
        <v>200</v>
      </c>
      <c r="B162" s="1" t="s">
        <v>0</v>
      </c>
      <c r="C162" s="126" t="s">
        <v>201</v>
      </c>
      <c r="D162" s="2" t="s">
        <v>219</v>
      </c>
      <c r="E162" s="2">
        <v>5</v>
      </c>
      <c r="F162" s="12">
        <v>119</v>
      </c>
      <c r="G162" s="12">
        <v>119</v>
      </c>
      <c r="H162" s="12">
        <v>118</v>
      </c>
      <c r="I162" s="12">
        <v>118</v>
      </c>
      <c r="J162" s="25">
        <v>110</v>
      </c>
      <c r="K162" s="25">
        <v>110</v>
      </c>
      <c r="L162" s="25">
        <v>109</v>
      </c>
      <c r="M162" s="25">
        <v>109</v>
      </c>
      <c r="N162" s="12">
        <v>117</v>
      </c>
      <c r="O162" s="12">
        <v>118</v>
      </c>
      <c r="P162" s="12">
        <v>118</v>
      </c>
      <c r="Q162" s="12">
        <v>118</v>
      </c>
      <c r="R162" s="12">
        <v>106</v>
      </c>
      <c r="S162" s="12">
        <v>106</v>
      </c>
      <c r="T162" s="12">
        <v>106</v>
      </c>
      <c r="U162" s="12">
        <v>105</v>
      </c>
      <c r="V162" s="25">
        <v>100</v>
      </c>
      <c r="W162" s="25">
        <v>99</v>
      </c>
      <c r="X162" s="25">
        <v>99</v>
      </c>
      <c r="Y162" s="25">
        <v>99</v>
      </c>
      <c r="Z162" s="582">
        <v>110</v>
      </c>
      <c r="AA162" s="582">
        <v>108</v>
      </c>
      <c r="AB162" s="582">
        <v>108</v>
      </c>
      <c r="AC162" s="582">
        <v>108</v>
      </c>
      <c r="AD162" s="330">
        <v>103</v>
      </c>
      <c r="AE162" s="330">
        <v>102</v>
      </c>
      <c r="AF162" s="330">
        <v>101</v>
      </c>
      <c r="AG162" s="330">
        <v>101</v>
      </c>
      <c r="AH162" s="530">
        <v>122</v>
      </c>
      <c r="AI162" s="530">
        <v>122</v>
      </c>
      <c r="AJ162" s="530">
        <v>119</v>
      </c>
      <c r="AK162" s="530">
        <v>119</v>
      </c>
      <c r="AL162" s="528">
        <v>126</v>
      </c>
      <c r="AM162" s="528">
        <v>126</v>
      </c>
      <c r="AN162" s="528">
        <v>125</v>
      </c>
      <c r="AO162" s="528">
        <v>125</v>
      </c>
    </row>
    <row r="163" spans="1:41" ht="24.95" customHeight="1" x14ac:dyDescent="0.2">
      <c r="A163" s="1" t="s">
        <v>212</v>
      </c>
      <c r="B163" s="1" t="s">
        <v>0</v>
      </c>
      <c r="C163" s="126" t="s">
        <v>213</v>
      </c>
      <c r="D163" s="2" t="s">
        <v>221</v>
      </c>
      <c r="E163" s="2">
        <v>5</v>
      </c>
      <c r="F163" s="12">
        <v>19</v>
      </c>
      <c r="G163" s="12">
        <v>19</v>
      </c>
      <c r="H163" s="12">
        <v>19</v>
      </c>
      <c r="I163" s="12">
        <v>19</v>
      </c>
      <c r="J163" s="25">
        <v>14</v>
      </c>
      <c r="K163" s="25">
        <v>14</v>
      </c>
      <c r="L163" s="25">
        <v>14</v>
      </c>
      <c r="M163" s="25">
        <v>14</v>
      </c>
      <c r="N163" s="12">
        <v>36</v>
      </c>
      <c r="O163" s="12">
        <v>35</v>
      </c>
      <c r="P163" s="12">
        <v>35</v>
      </c>
      <c r="Q163" s="12">
        <v>35</v>
      </c>
      <c r="R163" s="12">
        <v>20</v>
      </c>
      <c r="S163" s="12">
        <v>20</v>
      </c>
      <c r="T163" s="12">
        <v>20</v>
      </c>
      <c r="U163" s="12">
        <v>20</v>
      </c>
      <c r="V163" s="25">
        <v>43</v>
      </c>
      <c r="W163" s="25">
        <v>43</v>
      </c>
      <c r="X163" s="25">
        <v>43</v>
      </c>
      <c r="Y163" s="25">
        <v>43</v>
      </c>
      <c r="Z163" s="582">
        <v>43</v>
      </c>
      <c r="AA163" s="582">
        <v>43</v>
      </c>
      <c r="AB163" s="582">
        <v>43</v>
      </c>
      <c r="AC163" s="582">
        <v>43</v>
      </c>
      <c r="AD163" s="330">
        <v>39</v>
      </c>
      <c r="AE163" s="330">
        <v>38</v>
      </c>
      <c r="AF163" s="330">
        <v>38</v>
      </c>
      <c r="AG163" s="330">
        <v>38</v>
      </c>
      <c r="AH163" s="530">
        <v>77</v>
      </c>
      <c r="AI163" s="530">
        <v>77</v>
      </c>
      <c r="AJ163" s="530">
        <v>76</v>
      </c>
      <c r="AK163" s="530">
        <v>76</v>
      </c>
      <c r="AL163" s="528">
        <v>87</v>
      </c>
      <c r="AM163" s="528">
        <v>87</v>
      </c>
      <c r="AN163" s="528">
        <v>86</v>
      </c>
      <c r="AO163" s="528">
        <v>86</v>
      </c>
    </row>
    <row r="164" spans="1:41" ht="24.95" customHeight="1" x14ac:dyDescent="0.2">
      <c r="A164" s="1" t="s">
        <v>175</v>
      </c>
      <c r="B164" s="1" t="s">
        <v>0</v>
      </c>
      <c r="C164" s="126" t="s">
        <v>176</v>
      </c>
      <c r="D164" s="2" t="s">
        <v>221</v>
      </c>
      <c r="E164" s="2">
        <v>5</v>
      </c>
      <c r="F164" s="12">
        <v>30</v>
      </c>
      <c r="G164" s="12">
        <v>30</v>
      </c>
      <c r="H164" s="12">
        <v>30</v>
      </c>
      <c r="I164" s="12">
        <v>30</v>
      </c>
      <c r="J164" s="25">
        <v>29</v>
      </c>
      <c r="K164" s="25">
        <v>29</v>
      </c>
      <c r="L164" s="25">
        <v>29</v>
      </c>
      <c r="M164" s="25">
        <v>29</v>
      </c>
      <c r="N164" s="12">
        <v>18</v>
      </c>
      <c r="O164" s="12">
        <v>18</v>
      </c>
      <c r="P164" s="12">
        <v>18</v>
      </c>
      <c r="Q164" s="12">
        <v>18</v>
      </c>
      <c r="R164" s="12">
        <v>20</v>
      </c>
      <c r="S164" s="12">
        <v>20</v>
      </c>
      <c r="T164" s="12">
        <v>20</v>
      </c>
      <c r="U164" s="12">
        <v>20</v>
      </c>
      <c r="V164" s="25">
        <v>21</v>
      </c>
      <c r="W164" s="25">
        <v>21</v>
      </c>
      <c r="X164" s="25">
        <v>21</v>
      </c>
      <c r="Y164" s="25">
        <v>21</v>
      </c>
      <c r="Z164" s="582">
        <v>14</v>
      </c>
      <c r="AA164" s="582">
        <v>14</v>
      </c>
      <c r="AB164" s="582">
        <v>14</v>
      </c>
      <c r="AC164" s="582">
        <v>14</v>
      </c>
      <c r="AD164" s="330">
        <v>33</v>
      </c>
      <c r="AE164" s="330">
        <v>33</v>
      </c>
      <c r="AF164" s="330">
        <v>33</v>
      </c>
      <c r="AG164" s="330">
        <v>33</v>
      </c>
      <c r="AH164" s="530">
        <v>42</v>
      </c>
      <c r="AI164" s="530">
        <v>42</v>
      </c>
      <c r="AJ164" s="530">
        <v>42</v>
      </c>
      <c r="AK164" s="530">
        <v>42</v>
      </c>
      <c r="AL164" s="528">
        <v>22</v>
      </c>
      <c r="AM164" s="528">
        <v>22</v>
      </c>
      <c r="AN164" s="528">
        <v>22</v>
      </c>
      <c r="AO164" s="528">
        <v>22</v>
      </c>
    </row>
    <row r="165" spans="1:41" ht="24.95" customHeight="1" x14ac:dyDescent="0.2">
      <c r="A165" s="1" t="s">
        <v>78</v>
      </c>
      <c r="B165" s="1" t="s">
        <v>0</v>
      </c>
      <c r="C165" s="126" t="s">
        <v>285</v>
      </c>
      <c r="D165" s="2" t="s">
        <v>221</v>
      </c>
      <c r="E165" s="2">
        <v>4</v>
      </c>
      <c r="F165" s="12">
        <v>0</v>
      </c>
      <c r="G165" s="12">
        <v>2</v>
      </c>
      <c r="H165" s="12">
        <v>2</v>
      </c>
      <c r="I165" s="12">
        <v>2</v>
      </c>
      <c r="J165" s="25">
        <v>16</v>
      </c>
      <c r="K165" s="25">
        <v>10</v>
      </c>
      <c r="L165" s="25">
        <v>10</v>
      </c>
      <c r="M165" s="25">
        <v>10</v>
      </c>
      <c r="N165" s="12">
        <v>8</v>
      </c>
      <c r="O165" s="12">
        <v>8</v>
      </c>
      <c r="P165" s="12">
        <v>8</v>
      </c>
      <c r="Q165" s="12">
        <v>8</v>
      </c>
      <c r="R165" s="12">
        <v>4</v>
      </c>
      <c r="S165" s="12">
        <v>4</v>
      </c>
      <c r="T165" s="12">
        <v>4</v>
      </c>
      <c r="U165" s="12">
        <v>4</v>
      </c>
      <c r="V165" s="25">
        <v>7</v>
      </c>
      <c r="W165" s="25">
        <v>7</v>
      </c>
      <c r="X165" s="25">
        <v>6</v>
      </c>
      <c r="Y165" s="25">
        <v>6</v>
      </c>
      <c r="Z165" s="582">
        <v>13</v>
      </c>
      <c r="AA165" s="582">
        <v>12</v>
      </c>
      <c r="AB165" s="582">
        <v>11</v>
      </c>
      <c r="AC165" s="582">
        <v>11</v>
      </c>
      <c r="AD165" s="330">
        <v>11</v>
      </c>
      <c r="AE165" s="330">
        <v>11</v>
      </c>
      <c r="AF165" s="330">
        <v>11</v>
      </c>
      <c r="AG165" s="330">
        <v>11</v>
      </c>
      <c r="AH165" s="530">
        <v>10</v>
      </c>
      <c r="AI165" s="530">
        <v>10</v>
      </c>
      <c r="AJ165" s="530">
        <v>10</v>
      </c>
      <c r="AK165" s="530">
        <v>10</v>
      </c>
      <c r="AL165" s="528">
        <v>17</v>
      </c>
      <c r="AM165" s="528">
        <v>17</v>
      </c>
      <c r="AN165" s="528">
        <v>16</v>
      </c>
      <c r="AO165" s="528">
        <v>16</v>
      </c>
    </row>
    <row r="166" spans="1:41" ht="24.95" customHeight="1" x14ac:dyDescent="0.2">
      <c r="A166" s="1" t="s">
        <v>70</v>
      </c>
      <c r="B166" s="1" t="s">
        <v>0</v>
      </c>
      <c r="C166" s="126" t="s">
        <v>71</v>
      </c>
      <c r="D166" s="2" t="s">
        <v>221</v>
      </c>
      <c r="E166" s="2">
        <v>6</v>
      </c>
      <c r="F166" s="12">
        <v>70</v>
      </c>
      <c r="G166" s="12">
        <v>70</v>
      </c>
      <c r="H166" s="12">
        <v>70</v>
      </c>
      <c r="I166" s="12">
        <v>70</v>
      </c>
      <c r="J166" s="25">
        <v>79</v>
      </c>
      <c r="K166" s="25">
        <v>79</v>
      </c>
      <c r="L166" s="25">
        <v>79</v>
      </c>
      <c r="M166" s="25">
        <v>77</v>
      </c>
      <c r="N166" s="12">
        <v>70</v>
      </c>
      <c r="O166" s="12">
        <v>69</v>
      </c>
      <c r="P166" s="12">
        <v>69</v>
      </c>
      <c r="Q166" s="12">
        <v>67</v>
      </c>
      <c r="R166" s="12">
        <v>96</v>
      </c>
      <c r="S166" s="12">
        <v>96</v>
      </c>
      <c r="T166" s="12">
        <v>96</v>
      </c>
      <c r="U166" s="12">
        <v>92</v>
      </c>
      <c r="V166" s="25">
        <v>93</v>
      </c>
      <c r="W166" s="25">
        <v>93</v>
      </c>
      <c r="X166" s="25">
        <v>93</v>
      </c>
      <c r="Y166" s="25">
        <v>93</v>
      </c>
      <c r="Z166" s="582">
        <v>101</v>
      </c>
      <c r="AA166" s="582">
        <v>102</v>
      </c>
      <c r="AB166" s="582">
        <v>101</v>
      </c>
      <c r="AC166" s="582">
        <v>101</v>
      </c>
      <c r="AD166" s="330">
        <v>113</v>
      </c>
      <c r="AE166" s="330">
        <v>113</v>
      </c>
      <c r="AF166" s="330">
        <v>113</v>
      </c>
      <c r="AG166" s="330">
        <v>113</v>
      </c>
      <c r="AH166" s="530">
        <v>106</v>
      </c>
      <c r="AI166" s="530">
        <v>106</v>
      </c>
      <c r="AJ166" s="530">
        <v>106</v>
      </c>
      <c r="AK166" s="530">
        <v>106</v>
      </c>
      <c r="AL166" s="528">
        <v>111</v>
      </c>
      <c r="AM166" s="528">
        <v>111</v>
      </c>
      <c r="AN166" s="528">
        <v>107</v>
      </c>
      <c r="AO166" s="528">
        <v>107</v>
      </c>
    </row>
    <row r="167" spans="1:41" ht="24.95" customHeight="1" x14ac:dyDescent="0.2">
      <c r="A167" s="1" t="s">
        <v>206</v>
      </c>
      <c r="B167" s="1" t="s">
        <v>0</v>
      </c>
      <c r="C167" s="126" t="s">
        <v>207</v>
      </c>
      <c r="D167" s="2" t="s">
        <v>221</v>
      </c>
      <c r="E167" s="2">
        <v>4</v>
      </c>
      <c r="F167" s="12">
        <v>12</v>
      </c>
      <c r="G167" s="12">
        <v>12</v>
      </c>
      <c r="H167" s="12">
        <v>12</v>
      </c>
      <c r="I167" s="12">
        <v>12</v>
      </c>
      <c r="J167" s="25">
        <v>9</v>
      </c>
      <c r="K167" s="25">
        <v>16</v>
      </c>
      <c r="L167" s="25">
        <v>16</v>
      </c>
      <c r="M167" s="25">
        <v>16</v>
      </c>
      <c r="N167" s="12">
        <v>16</v>
      </c>
      <c r="O167" s="12">
        <v>15</v>
      </c>
      <c r="P167" s="12">
        <v>15</v>
      </c>
      <c r="Q167" s="12">
        <v>15</v>
      </c>
      <c r="R167" s="12">
        <v>19</v>
      </c>
      <c r="S167" s="12">
        <v>18</v>
      </c>
      <c r="T167" s="12">
        <v>18</v>
      </c>
      <c r="U167" s="12">
        <v>18</v>
      </c>
      <c r="V167" s="25">
        <v>16</v>
      </c>
      <c r="W167" s="25">
        <v>16</v>
      </c>
      <c r="X167" s="25">
        <v>16</v>
      </c>
      <c r="Y167" s="25">
        <v>16</v>
      </c>
      <c r="Z167" s="582">
        <v>15</v>
      </c>
      <c r="AA167" s="582">
        <v>16</v>
      </c>
      <c r="AB167" s="582">
        <v>16</v>
      </c>
      <c r="AC167" s="582">
        <v>16</v>
      </c>
      <c r="AD167" s="330">
        <v>19</v>
      </c>
      <c r="AE167" s="330">
        <v>19</v>
      </c>
      <c r="AF167" s="330">
        <v>19</v>
      </c>
      <c r="AG167" s="330">
        <v>19</v>
      </c>
      <c r="AH167" s="530">
        <v>23</v>
      </c>
      <c r="AI167" s="530">
        <v>23</v>
      </c>
      <c r="AJ167" s="530">
        <v>23</v>
      </c>
      <c r="AK167" s="530">
        <v>23</v>
      </c>
      <c r="AL167" s="528">
        <v>24</v>
      </c>
      <c r="AM167" s="528">
        <v>24</v>
      </c>
      <c r="AN167" s="528">
        <v>24</v>
      </c>
      <c r="AO167" s="528">
        <v>24</v>
      </c>
    </row>
    <row r="168" spans="1:41" ht="24.95" customHeight="1" x14ac:dyDescent="0.2">
      <c r="A168" s="1" t="s">
        <v>98</v>
      </c>
      <c r="B168" s="42" t="s">
        <v>0</v>
      </c>
      <c r="C168" s="126" t="s">
        <v>99</v>
      </c>
      <c r="D168" s="44" t="s">
        <v>221</v>
      </c>
      <c r="E168" s="44">
        <v>5</v>
      </c>
      <c r="F168" s="12">
        <v>19</v>
      </c>
      <c r="G168" s="12">
        <v>19</v>
      </c>
      <c r="H168" s="12">
        <v>19</v>
      </c>
      <c r="I168" s="12">
        <v>19</v>
      </c>
      <c r="J168" s="25">
        <v>23</v>
      </c>
      <c r="K168" s="25">
        <v>24</v>
      </c>
      <c r="L168" s="25">
        <v>24</v>
      </c>
      <c r="M168" s="25">
        <v>24</v>
      </c>
      <c r="N168" s="12">
        <v>18</v>
      </c>
      <c r="O168" s="12">
        <v>17</v>
      </c>
      <c r="P168" s="12">
        <v>17</v>
      </c>
      <c r="Q168" s="12">
        <v>17</v>
      </c>
      <c r="R168" s="12">
        <v>21</v>
      </c>
      <c r="S168" s="12">
        <v>21</v>
      </c>
      <c r="T168" s="12">
        <v>21</v>
      </c>
      <c r="U168" s="12">
        <v>21</v>
      </c>
      <c r="V168" s="25">
        <v>20</v>
      </c>
      <c r="W168" s="25">
        <v>19</v>
      </c>
      <c r="X168" s="25">
        <v>19</v>
      </c>
      <c r="Y168" s="25">
        <v>19</v>
      </c>
      <c r="Z168" s="582">
        <v>26</v>
      </c>
      <c r="AA168" s="582">
        <v>27</v>
      </c>
      <c r="AB168" s="582">
        <v>26</v>
      </c>
      <c r="AC168" s="582">
        <v>26</v>
      </c>
      <c r="AD168" s="330">
        <v>23</v>
      </c>
      <c r="AE168" s="330">
        <v>23</v>
      </c>
      <c r="AF168" s="330">
        <v>23</v>
      </c>
      <c r="AG168" s="330">
        <v>23</v>
      </c>
      <c r="AH168" s="530">
        <v>21</v>
      </c>
      <c r="AI168" s="530">
        <v>21</v>
      </c>
      <c r="AJ168" s="530">
        <v>21</v>
      </c>
      <c r="AK168" s="530">
        <v>21</v>
      </c>
      <c r="AL168" s="528">
        <v>29</v>
      </c>
      <c r="AM168" s="528">
        <v>29</v>
      </c>
      <c r="AN168" s="528">
        <v>28</v>
      </c>
      <c r="AO168" s="528">
        <v>28</v>
      </c>
    </row>
    <row r="169" spans="1:41" ht="24.95" customHeight="1" x14ac:dyDescent="0.2">
      <c r="A169" s="1" t="s">
        <v>72</v>
      </c>
      <c r="B169" s="42" t="s">
        <v>0</v>
      </c>
      <c r="C169" s="642" t="s">
        <v>73</v>
      </c>
      <c r="D169" s="44" t="s">
        <v>221</v>
      </c>
      <c r="E169" s="466">
        <v>2</v>
      </c>
      <c r="F169" s="528">
        <v>12</v>
      </c>
      <c r="G169" s="528">
        <v>22</v>
      </c>
      <c r="H169" s="528">
        <v>22</v>
      </c>
      <c r="I169" s="528">
        <v>22</v>
      </c>
      <c r="J169" s="614">
        <v>25</v>
      </c>
      <c r="K169" s="614">
        <v>43</v>
      </c>
      <c r="L169" s="614">
        <v>43</v>
      </c>
      <c r="M169" s="614">
        <v>43</v>
      </c>
      <c r="N169" s="528">
        <v>35</v>
      </c>
      <c r="O169" s="528">
        <v>36</v>
      </c>
      <c r="P169" s="528">
        <v>36</v>
      </c>
      <c r="Q169" s="528">
        <v>36</v>
      </c>
      <c r="R169" s="528">
        <v>18</v>
      </c>
      <c r="S169" s="528">
        <v>18</v>
      </c>
      <c r="T169" s="528">
        <v>18</v>
      </c>
      <c r="U169" s="528">
        <v>18</v>
      </c>
      <c r="V169" s="614">
        <v>25</v>
      </c>
      <c r="W169" s="614">
        <v>25</v>
      </c>
      <c r="X169" s="614">
        <v>25</v>
      </c>
      <c r="Y169" s="614">
        <v>25</v>
      </c>
      <c r="Z169" s="616">
        <v>34</v>
      </c>
      <c r="AA169" s="616">
        <v>35</v>
      </c>
      <c r="AB169" s="616">
        <v>35</v>
      </c>
      <c r="AC169" s="616">
        <v>35</v>
      </c>
      <c r="AD169" s="528">
        <v>21</v>
      </c>
      <c r="AE169" s="528">
        <v>37</v>
      </c>
      <c r="AF169" s="528">
        <v>37</v>
      </c>
      <c r="AG169" s="528">
        <v>37</v>
      </c>
      <c r="AH169" s="619">
        <v>44</v>
      </c>
      <c r="AI169" s="619">
        <v>44</v>
      </c>
      <c r="AJ169" s="619">
        <v>44</v>
      </c>
      <c r="AK169" s="619">
        <v>44</v>
      </c>
      <c r="AL169" s="528">
        <v>46</v>
      </c>
      <c r="AM169" s="528">
        <v>46</v>
      </c>
      <c r="AN169" s="528">
        <v>46</v>
      </c>
      <c r="AO169" s="528">
        <v>46</v>
      </c>
    </row>
    <row r="170" spans="1:41" ht="24.95" customHeight="1" x14ac:dyDescent="0.2">
      <c r="A170" s="1" t="s">
        <v>1084</v>
      </c>
      <c r="B170" s="42" t="s">
        <v>0</v>
      </c>
      <c r="C170" s="642" t="s">
        <v>1082</v>
      </c>
      <c r="D170" s="44" t="s">
        <v>221</v>
      </c>
      <c r="E170" s="528"/>
      <c r="F170" s="528"/>
      <c r="G170" s="528"/>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8">
        <v>21</v>
      </c>
      <c r="AM170" s="528">
        <v>21</v>
      </c>
      <c r="AN170" s="528">
        <v>21</v>
      </c>
      <c r="AO170" s="528">
        <v>21</v>
      </c>
    </row>
  </sheetData>
  <sheetProtection sheet="1" selectLockedCells="1" selectUnlockedCells="1"/>
  <mergeCells count="11">
    <mergeCell ref="AL7:AO7"/>
    <mergeCell ref="A1:I1"/>
    <mergeCell ref="A3:I3"/>
    <mergeCell ref="F7:I7"/>
    <mergeCell ref="J7:M7"/>
    <mergeCell ref="N7:Q7"/>
    <mergeCell ref="AH7:AK7"/>
    <mergeCell ref="AD7:AG7"/>
    <mergeCell ref="Z7:AC7"/>
    <mergeCell ref="R7:U7"/>
    <mergeCell ref="V7:Y7"/>
  </mergeCells>
  <conditionalFormatting sqref="C1:C75 C77:C1048576">
    <cfRule type="duplicateValues" dxfId="75" priority="1"/>
  </conditionalFormatting>
  <conditionalFormatting sqref="C169:C170">
    <cfRule type="duplicateValues" dxfId="74" priority="40"/>
  </conditionalFormatting>
  <conditionalFormatting sqref="C171:C1048576 C1:C75 C77:C168">
    <cfRule type="duplicateValues" dxfId="73" priority="3"/>
  </conditionalFormatting>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F4F8-6AB9-4400-B3C3-14D6A0EA4715}">
  <sheetPr codeName="Hoja3"/>
  <dimension ref="A2:DA141"/>
  <sheetViews>
    <sheetView topLeftCell="A72" workbookViewId="0">
      <pane xSplit="1" topLeftCell="CI1" activePane="topRight" state="frozen"/>
      <selection activeCell="K23" sqref="K23"/>
      <selection pane="topRight" activeCell="CM91" sqref="CM91"/>
    </sheetView>
  </sheetViews>
  <sheetFormatPr baseColWidth="10" defaultColWidth="11.42578125" defaultRowHeight="15.75" x14ac:dyDescent="0.25"/>
  <cols>
    <col min="1" max="1" width="56.140625" style="717" customWidth="1"/>
    <col min="2" max="2" width="15.85546875" style="133" customWidth="1"/>
    <col min="3" max="3" width="12.85546875" style="133" customWidth="1"/>
    <col min="4" max="4" width="18.85546875" style="133" customWidth="1"/>
    <col min="5" max="5" width="12.5703125" style="133" customWidth="1"/>
    <col min="6" max="6" width="11.85546875" style="133" customWidth="1"/>
    <col min="7" max="7" width="11.7109375" style="133" customWidth="1"/>
    <col min="8" max="9" width="12.5703125" style="133" customWidth="1"/>
    <col min="10" max="10" width="13.28515625" style="133" customWidth="1"/>
    <col min="11" max="11" width="13.7109375" style="133" customWidth="1"/>
    <col min="12" max="12" width="14.7109375" style="133" customWidth="1"/>
    <col min="13" max="13" width="11.7109375" style="133" customWidth="1"/>
    <col min="14" max="14" width="12" style="133" customWidth="1"/>
    <col min="15" max="15" width="11.28515625" style="133" customWidth="1"/>
    <col min="16" max="24" width="11.85546875" style="133" customWidth="1"/>
    <col min="25" max="25" width="13.85546875" style="133" customWidth="1"/>
    <col min="26" max="26" width="14.7109375" style="133" customWidth="1"/>
    <col min="27" max="27" width="12" style="133" customWidth="1"/>
    <col min="28" max="28" width="12.5703125" style="163" customWidth="1"/>
    <col min="29" max="29" width="12.42578125" style="163" customWidth="1"/>
    <col min="30" max="32" width="12.85546875" style="163" customWidth="1"/>
    <col min="33" max="33" width="15.7109375" style="163" customWidth="1"/>
    <col min="34" max="34" width="11.42578125" style="153" customWidth="1"/>
    <col min="35" max="36" width="11.42578125" style="133" customWidth="1"/>
    <col min="37" max="42" width="11.42578125" style="163" customWidth="1"/>
    <col min="43" max="45" width="11.42578125" style="133" customWidth="1"/>
    <col min="46" max="49" width="11.42578125" style="163" customWidth="1"/>
    <col min="50" max="50" width="12.28515625" style="163" customWidth="1"/>
    <col min="51" max="51" width="12.42578125" style="163" customWidth="1"/>
    <col min="52" max="52" width="12.42578125" style="133" customWidth="1"/>
    <col min="53" max="53" width="12.85546875" style="133" customWidth="1"/>
    <col min="54" max="54" width="12.5703125" style="133" customWidth="1"/>
    <col min="55" max="55" width="14.42578125" style="163" customWidth="1"/>
    <col min="56" max="56" width="14.7109375" style="163" customWidth="1"/>
    <col min="57" max="57" width="13.5703125" style="163" customWidth="1"/>
    <col min="58" max="58" width="13" style="163" customWidth="1"/>
    <col min="59" max="59" width="11.7109375" style="163" customWidth="1"/>
    <col min="60" max="60" width="11.42578125" style="163" customWidth="1"/>
    <col min="61" max="63" width="11.42578125" style="133" customWidth="1"/>
    <col min="64" max="69" width="11.42578125" style="163" customWidth="1"/>
    <col min="70" max="96" width="11.42578125" style="133" customWidth="1"/>
    <col min="97" max="97" width="9.7109375" style="133" customWidth="1"/>
    <col min="98" max="16384" width="11.42578125" style="133"/>
  </cols>
  <sheetData>
    <row r="2" spans="1:105" ht="15" x14ac:dyDescent="0.25">
      <c r="A2" s="717">
        <v>1</v>
      </c>
      <c r="B2" s="133">
        <v>2</v>
      </c>
      <c r="C2" s="133">
        <v>3</v>
      </c>
      <c r="D2" s="133">
        <v>4</v>
      </c>
      <c r="E2" s="133">
        <v>5</v>
      </c>
      <c r="F2" s="133">
        <v>6</v>
      </c>
      <c r="G2" s="133">
        <v>7</v>
      </c>
      <c r="H2" s="133">
        <v>8</v>
      </c>
      <c r="I2" s="133">
        <v>9</v>
      </c>
      <c r="J2" s="133">
        <v>10</v>
      </c>
      <c r="K2" s="133">
        <v>11</v>
      </c>
      <c r="L2" s="133">
        <v>12</v>
      </c>
      <c r="M2" s="133">
        <v>13</v>
      </c>
      <c r="N2" s="133">
        <v>14</v>
      </c>
      <c r="O2" s="133">
        <v>15</v>
      </c>
      <c r="P2" s="133">
        <v>16</v>
      </c>
      <c r="Q2" s="133">
        <v>17</v>
      </c>
      <c r="R2" s="133">
        <v>18</v>
      </c>
      <c r="S2" s="133">
        <v>19</v>
      </c>
      <c r="T2" s="133">
        <v>20</v>
      </c>
      <c r="U2" s="133">
        <v>21</v>
      </c>
      <c r="V2" s="133">
        <v>22</v>
      </c>
      <c r="W2" s="133">
        <v>23</v>
      </c>
      <c r="X2" s="133">
        <v>24</v>
      </c>
      <c r="Y2" s="133">
        <v>25</v>
      </c>
      <c r="Z2" s="133">
        <v>26</v>
      </c>
      <c r="AA2" s="133">
        <v>27</v>
      </c>
      <c r="AB2" s="133">
        <v>28</v>
      </c>
      <c r="AC2" s="133">
        <v>29</v>
      </c>
      <c r="AD2" s="133">
        <v>30</v>
      </c>
      <c r="AE2" s="133">
        <v>31</v>
      </c>
      <c r="AF2" s="133">
        <v>32</v>
      </c>
      <c r="AG2" s="133">
        <v>33</v>
      </c>
      <c r="AH2" s="133">
        <v>34</v>
      </c>
      <c r="AI2" s="133">
        <v>35</v>
      </c>
      <c r="AJ2" s="133">
        <v>36</v>
      </c>
      <c r="AK2" s="133">
        <v>37</v>
      </c>
      <c r="AL2" s="133">
        <v>38</v>
      </c>
      <c r="AM2" s="133">
        <v>39</v>
      </c>
      <c r="AN2" s="133">
        <v>40</v>
      </c>
      <c r="AO2" s="133">
        <v>41</v>
      </c>
      <c r="AP2" s="133">
        <v>42</v>
      </c>
      <c r="AQ2" s="133">
        <v>43</v>
      </c>
      <c r="AR2" s="133">
        <v>44</v>
      </c>
      <c r="AS2" s="133">
        <v>45</v>
      </c>
      <c r="AT2" s="133">
        <v>46</v>
      </c>
      <c r="AU2" s="133">
        <v>47</v>
      </c>
      <c r="AV2" s="133">
        <v>48</v>
      </c>
      <c r="AW2" s="133">
        <v>49</v>
      </c>
      <c r="AX2" s="133">
        <v>50</v>
      </c>
      <c r="AY2" s="133">
        <v>51</v>
      </c>
      <c r="AZ2" s="133">
        <v>52</v>
      </c>
      <c r="BA2" s="133">
        <v>53</v>
      </c>
      <c r="BB2" s="133">
        <v>54</v>
      </c>
      <c r="BC2" s="133">
        <v>55</v>
      </c>
      <c r="BD2" s="133">
        <v>56</v>
      </c>
      <c r="BE2" s="133">
        <v>57</v>
      </c>
      <c r="BF2" s="133">
        <v>58</v>
      </c>
      <c r="BG2" s="133">
        <v>59</v>
      </c>
      <c r="BH2" s="133">
        <v>60</v>
      </c>
      <c r="BI2" s="133">
        <v>61</v>
      </c>
      <c r="BJ2" s="133">
        <v>62</v>
      </c>
      <c r="BK2" s="133">
        <v>63</v>
      </c>
      <c r="BL2" s="133">
        <v>64</v>
      </c>
      <c r="BM2" s="133">
        <v>65</v>
      </c>
      <c r="BN2" s="133">
        <v>66</v>
      </c>
      <c r="BO2" s="133">
        <v>67</v>
      </c>
      <c r="BP2" s="133">
        <v>68</v>
      </c>
      <c r="BQ2" s="133">
        <v>69</v>
      </c>
      <c r="BR2" s="133">
        <v>70</v>
      </c>
      <c r="BS2" s="133">
        <v>71</v>
      </c>
      <c r="BT2" s="133">
        <v>72</v>
      </c>
      <c r="BU2" s="133">
        <v>73</v>
      </c>
      <c r="BV2" s="133">
        <v>74</v>
      </c>
      <c r="BW2" s="133">
        <v>75</v>
      </c>
      <c r="BX2" s="133">
        <v>76</v>
      </c>
      <c r="BY2" s="133">
        <v>77</v>
      </c>
      <c r="BZ2" s="133">
        <v>78</v>
      </c>
      <c r="CA2" s="133">
        <v>79</v>
      </c>
      <c r="CB2" s="133">
        <v>80</v>
      </c>
      <c r="CC2" s="133">
        <v>81</v>
      </c>
      <c r="CD2" s="133">
        <v>82</v>
      </c>
      <c r="CE2" s="133">
        <v>83</v>
      </c>
      <c r="CF2" s="133">
        <v>84</v>
      </c>
      <c r="CG2" s="133">
        <v>85</v>
      </c>
      <c r="CH2" s="133">
        <v>86</v>
      </c>
      <c r="CI2" s="133">
        <v>87</v>
      </c>
      <c r="CJ2" s="133">
        <v>88</v>
      </c>
      <c r="CK2" s="133">
        <v>89</v>
      </c>
      <c r="CL2" s="133">
        <v>90</v>
      </c>
      <c r="CM2" s="133">
        <v>91</v>
      </c>
      <c r="CN2" s="133">
        <v>92</v>
      </c>
      <c r="CO2" s="133">
        <v>93</v>
      </c>
      <c r="CP2" s="133">
        <v>94</v>
      </c>
      <c r="CQ2" s="133">
        <v>95</v>
      </c>
      <c r="CR2" s="133">
        <v>96</v>
      </c>
      <c r="CS2" s="133">
        <v>97</v>
      </c>
      <c r="CT2" s="133">
        <v>98</v>
      </c>
      <c r="CU2" s="133">
        <v>99</v>
      </c>
      <c r="CV2" s="133">
        <v>100</v>
      </c>
      <c r="CW2" s="133">
        <v>101</v>
      </c>
      <c r="CX2" s="133">
        <v>102</v>
      </c>
      <c r="CY2" s="133">
        <v>103</v>
      </c>
      <c r="CZ2" s="133">
        <v>104</v>
      </c>
      <c r="DA2" s="133">
        <v>105</v>
      </c>
    </row>
    <row r="3" spans="1:105" ht="16.5" thickBot="1" x14ac:dyDescent="0.3"/>
    <row r="4" spans="1:105" thickBot="1" x14ac:dyDescent="0.3">
      <c r="A4" s="717">
        <v>1</v>
      </c>
      <c r="B4" s="133">
        <v>2</v>
      </c>
      <c r="C4" s="133">
        <v>3</v>
      </c>
      <c r="D4" s="133" t="e">
        <f>VLOOKUP($E$9,Clasificación!$A$6:$CR$139,88,0)</f>
        <v>#N/A</v>
      </c>
      <c r="F4" s="133" t="e">
        <f>VLOOKUP($E$9,Clasificación!$A$6:$CR$139,88,0)</f>
        <v>#N/A</v>
      </c>
      <c r="G4" s="862">
        <v>2014</v>
      </c>
      <c r="H4" s="863"/>
      <c r="I4" s="863"/>
      <c r="J4" s="863"/>
      <c r="K4" s="863"/>
      <c r="L4" s="863"/>
      <c r="M4" s="863"/>
      <c r="N4" s="863"/>
      <c r="O4" s="864"/>
      <c r="P4" s="862">
        <v>2015</v>
      </c>
      <c r="Q4" s="863"/>
      <c r="R4" s="863"/>
      <c r="S4" s="863"/>
      <c r="T4" s="863"/>
      <c r="U4" s="863"/>
      <c r="V4" s="863"/>
      <c r="W4" s="863"/>
      <c r="X4" s="864"/>
      <c r="Y4" s="858">
        <v>2016</v>
      </c>
      <c r="Z4" s="859"/>
      <c r="AA4" s="859"/>
      <c r="AB4" s="859"/>
      <c r="AC4" s="859"/>
      <c r="AD4" s="859"/>
      <c r="AE4" s="859"/>
      <c r="AF4" s="859"/>
      <c r="AG4" s="865"/>
      <c r="AH4" s="858">
        <v>2017</v>
      </c>
      <c r="AI4" s="859"/>
      <c r="AJ4" s="859"/>
      <c r="AK4" s="859"/>
      <c r="AL4" s="859"/>
      <c r="AM4" s="859"/>
      <c r="AN4" s="859"/>
      <c r="AO4" s="859"/>
      <c r="AP4" s="865"/>
      <c r="AQ4" s="858">
        <v>2018</v>
      </c>
      <c r="AR4" s="859"/>
      <c r="AS4" s="859"/>
      <c r="AT4" s="859"/>
      <c r="AU4" s="859"/>
      <c r="AV4" s="859"/>
      <c r="AW4" s="859"/>
      <c r="AX4" s="859"/>
      <c r="AY4" s="865"/>
      <c r="AZ4" s="858">
        <v>2019</v>
      </c>
      <c r="BA4" s="859"/>
      <c r="BB4" s="859"/>
      <c r="BC4" s="859"/>
      <c r="BD4" s="859"/>
      <c r="BE4" s="859"/>
      <c r="BF4" s="859"/>
      <c r="BG4" s="859"/>
      <c r="BH4" s="861"/>
      <c r="BI4" s="858">
        <v>2020</v>
      </c>
      <c r="BJ4" s="859"/>
      <c r="BK4" s="859"/>
      <c r="BL4" s="860"/>
      <c r="BM4" s="860"/>
      <c r="BN4" s="860"/>
      <c r="BO4" s="860"/>
      <c r="BP4" s="860"/>
      <c r="BQ4" s="861"/>
      <c r="BR4" s="858">
        <v>2021</v>
      </c>
      <c r="BS4" s="859"/>
      <c r="BT4" s="859"/>
      <c r="BU4" s="860"/>
      <c r="BV4" s="860"/>
      <c r="BW4" s="860"/>
      <c r="BX4" s="860"/>
      <c r="BY4" s="860"/>
      <c r="BZ4" s="861"/>
      <c r="CA4" s="858">
        <v>2022</v>
      </c>
      <c r="CB4" s="859"/>
      <c r="CC4" s="859"/>
      <c r="CD4" s="860"/>
      <c r="CE4" s="860"/>
      <c r="CF4" s="860"/>
      <c r="CG4" s="860"/>
      <c r="CH4" s="860"/>
      <c r="CI4" s="861"/>
      <c r="CJ4" s="858">
        <v>2023</v>
      </c>
      <c r="CK4" s="859"/>
      <c r="CL4" s="859"/>
      <c r="CM4" s="860"/>
      <c r="CN4" s="860"/>
      <c r="CO4" s="860"/>
      <c r="CP4" s="860"/>
      <c r="CQ4" s="860"/>
      <c r="CR4" s="861"/>
      <c r="CS4" s="858">
        <v>2024</v>
      </c>
      <c r="CT4" s="859"/>
      <c r="CU4" s="859"/>
      <c r="CV4" s="860"/>
      <c r="CW4" s="860"/>
      <c r="CX4" s="860"/>
      <c r="CY4" s="860"/>
      <c r="CZ4" s="860"/>
      <c r="DA4" s="861"/>
    </row>
    <row r="5" spans="1:105" s="187" customFormat="1" ht="51.75" thickBot="1" x14ac:dyDescent="0.25">
      <c r="A5" s="718" t="s">
        <v>406</v>
      </c>
      <c r="B5" s="181" t="s">
        <v>407</v>
      </c>
      <c r="C5" s="182" t="s">
        <v>566</v>
      </c>
      <c r="D5" s="182" t="s">
        <v>408</v>
      </c>
      <c r="E5" s="182" t="s">
        <v>780</v>
      </c>
      <c r="F5" s="182" t="s">
        <v>242</v>
      </c>
      <c r="G5" s="183">
        <v>2014</v>
      </c>
      <c r="H5" s="183" t="s">
        <v>409</v>
      </c>
      <c r="I5" s="183" t="s">
        <v>410</v>
      </c>
      <c r="J5" s="183" t="s">
        <v>781</v>
      </c>
      <c r="K5" s="183" t="s">
        <v>782</v>
      </c>
      <c r="L5" s="183" t="s">
        <v>783</v>
      </c>
      <c r="M5" s="183" t="s">
        <v>784</v>
      </c>
      <c r="N5" s="183" t="s">
        <v>785</v>
      </c>
      <c r="O5" s="183" t="s">
        <v>786</v>
      </c>
      <c r="P5" s="178" t="s">
        <v>793</v>
      </c>
      <c r="Q5" s="178" t="s">
        <v>409</v>
      </c>
      <c r="R5" s="178" t="s">
        <v>410</v>
      </c>
      <c r="S5" s="178" t="s">
        <v>781</v>
      </c>
      <c r="T5" s="178" t="s">
        <v>782</v>
      </c>
      <c r="U5" s="178" t="s">
        <v>783</v>
      </c>
      <c r="V5" s="178" t="s">
        <v>784</v>
      </c>
      <c r="W5" s="178" t="s">
        <v>785</v>
      </c>
      <c r="X5" s="178" t="s">
        <v>786</v>
      </c>
      <c r="Y5" s="178" t="s">
        <v>793</v>
      </c>
      <c r="Z5" s="178" t="s">
        <v>409</v>
      </c>
      <c r="AA5" s="180" t="s">
        <v>410</v>
      </c>
      <c r="AB5" s="184" t="s">
        <v>781</v>
      </c>
      <c r="AC5" s="184" t="s">
        <v>782</v>
      </c>
      <c r="AD5" s="184" t="s">
        <v>783</v>
      </c>
      <c r="AE5" s="184" t="s">
        <v>784</v>
      </c>
      <c r="AF5" s="184" t="s">
        <v>785</v>
      </c>
      <c r="AG5" s="184" t="s">
        <v>786</v>
      </c>
      <c r="AH5" s="179">
        <v>2017</v>
      </c>
      <c r="AI5" s="180" t="s">
        <v>409</v>
      </c>
      <c r="AJ5" s="180" t="s">
        <v>410</v>
      </c>
      <c r="AK5" s="184" t="s">
        <v>411</v>
      </c>
      <c r="AL5" s="184" t="s">
        <v>412</v>
      </c>
      <c r="AM5" s="184" t="s">
        <v>413</v>
      </c>
      <c r="AN5" s="184" t="s">
        <v>414</v>
      </c>
      <c r="AO5" s="184" t="s">
        <v>415</v>
      </c>
      <c r="AP5" s="184" t="s">
        <v>416</v>
      </c>
      <c r="AQ5" s="180">
        <v>2018</v>
      </c>
      <c r="AR5" s="180" t="s">
        <v>409</v>
      </c>
      <c r="AS5" s="180" t="s">
        <v>410</v>
      </c>
      <c r="AT5" s="184" t="s">
        <v>411</v>
      </c>
      <c r="AU5" s="184" t="s">
        <v>412</v>
      </c>
      <c r="AV5" s="184" t="s">
        <v>413</v>
      </c>
      <c r="AW5" s="184" t="s">
        <v>414</v>
      </c>
      <c r="AX5" s="184" t="s">
        <v>415</v>
      </c>
      <c r="AY5" s="184" t="s">
        <v>416</v>
      </c>
      <c r="AZ5" s="185">
        <v>2019</v>
      </c>
      <c r="BA5" s="185" t="s">
        <v>409</v>
      </c>
      <c r="BB5" s="185" t="s">
        <v>410</v>
      </c>
      <c r="BC5" s="186" t="s">
        <v>781</v>
      </c>
      <c r="BD5" s="186" t="s">
        <v>782</v>
      </c>
      <c r="BE5" s="186" t="s">
        <v>783</v>
      </c>
      <c r="BF5" s="186" t="s">
        <v>784</v>
      </c>
      <c r="BG5" s="186" t="s">
        <v>785</v>
      </c>
      <c r="BH5" s="186" t="s">
        <v>786</v>
      </c>
      <c r="BI5" s="180">
        <v>2020</v>
      </c>
      <c r="BJ5" s="180" t="s">
        <v>409</v>
      </c>
      <c r="BK5" s="180" t="s">
        <v>410</v>
      </c>
      <c r="BL5" s="184" t="s">
        <v>781</v>
      </c>
      <c r="BM5" s="184" t="s">
        <v>782</v>
      </c>
      <c r="BN5" s="184" t="s">
        <v>783</v>
      </c>
      <c r="BO5" s="184" t="s">
        <v>784</v>
      </c>
      <c r="BP5" s="184" t="s">
        <v>785</v>
      </c>
      <c r="BQ5" s="184" t="s">
        <v>786</v>
      </c>
      <c r="BR5" s="180">
        <v>2021</v>
      </c>
      <c r="BS5" s="180" t="s">
        <v>409</v>
      </c>
      <c r="BT5" s="180" t="s">
        <v>410</v>
      </c>
      <c r="BU5" s="184" t="s">
        <v>781</v>
      </c>
      <c r="BV5" s="184" t="s">
        <v>782</v>
      </c>
      <c r="BW5" s="184" t="s">
        <v>783</v>
      </c>
      <c r="BX5" s="184" t="s">
        <v>784</v>
      </c>
      <c r="BY5" s="184" t="s">
        <v>785</v>
      </c>
      <c r="BZ5" s="184" t="s">
        <v>786</v>
      </c>
      <c r="CA5" s="180">
        <v>2022</v>
      </c>
      <c r="CB5" s="180" t="s">
        <v>409</v>
      </c>
      <c r="CC5" s="180" t="s">
        <v>410</v>
      </c>
      <c r="CD5" s="184" t="s">
        <v>781</v>
      </c>
      <c r="CE5" s="184" t="s">
        <v>782</v>
      </c>
      <c r="CF5" s="184" t="s">
        <v>783</v>
      </c>
      <c r="CG5" s="184" t="s">
        <v>784</v>
      </c>
      <c r="CH5" s="184" t="s">
        <v>785</v>
      </c>
      <c r="CI5" s="184" t="s">
        <v>786</v>
      </c>
      <c r="CJ5" s="180">
        <v>2023</v>
      </c>
      <c r="CK5" s="180" t="s">
        <v>409</v>
      </c>
      <c r="CL5" s="180" t="s">
        <v>410</v>
      </c>
      <c r="CM5" s="184" t="s">
        <v>781</v>
      </c>
      <c r="CN5" s="184" t="s">
        <v>782</v>
      </c>
      <c r="CO5" s="184" t="s">
        <v>783</v>
      </c>
      <c r="CP5" s="184" t="s">
        <v>784</v>
      </c>
      <c r="CQ5" s="184" t="s">
        <v>785</v>
      </c>
      <c r="CR5" s="184" t="s">
        <v>786</v>
      </c>
      <c r="CS5" s="180">
        <v>2024</v>
      </c>
      <c r="CT5" s="180" t="s">
        <v>409</v>
      </c>
      <c r="CU5" s="180" t="s">
        <v>410</v>
      </c>
      <c r="CV5" s="184" t="s">
        <v>781</v>
      </c>
      <c r="CW5" s="184" t="s">
        <v>782</v>
      </c>
      <c r="CX5" s="184" t="s">
        <v>783</v>
      </c>
      <c r="CY5" s="184" t="s">
        <v>784</v>
      </c>
      <c r="CZ5" s="184" t="s">
        <v>785</v>
      </c>
      <c r="DA5" s="184" t="s">
        <v>786</v>
      </c>
    </row>
    <row r="6" spans="1:105" x14ac:dyDescent="0.25">
      <c r="A6" s="36" t="s">
        <v>29</v>
      </c>
      <c r="B6" s="134">
        <v>325754001778</v>
      </c>
      <c r="C6" s="170" t="s">
        <v>567</v>
      </c>
      <c r="D6" s="170" t="s">
        <v>417</v>
      </c>
      <c r="E6" s="170" t="s">
        <v>787</v>
      </c>
      <c r="F6" s="170" t="s">
        <v>221</v>
      </c>
      <c r="G6" s="171" t="s">
        <v>405</v>
      </c>
      <c r="H6" s="172">
        <v>210</v>
      </c>
      <c r="I6" s="172">
        <v>210</v>
      </c>
      <c r="J6" s="172">
        <v>0.69199999999999995</v>
      </c>
      <c r="K6" s="172">
        <v>0.7</v>
      </c>
      <c r="L6" s="172">
        <v>0.71120000000000005</v>
      </c>
      <c r="M6" s="172">
        <v>0.71679999999999999</v>
      </c>
      <c r="N6" s="172">
        <v>0.67069999999999996</v>
      </c>
      <c r="O6" s="172">
        <v>0.70240000000000002</v>
      </c>
      <c r="P6" s="173" t="s">
        <v>405</v>
      </c>
      <c r="Q6" s="174" t="s">
        <v>791</v>
      </c>
      <c r="R6" s="174" t="s">
        <v>473</v>
      </c>
      <c r="S6" s="174">
        <v>0.68589999999999995</v>
      </c>
      <c r="T6" s="174">
        <v>0.69279999999999997</v>
      </c>
      <c r="U6" s="174">
        <v>0.69650000000000001</v>
      </c>
      <c r="V6" s="174">
        <v>0.69750000000000001</v>
      </c>
      <c r="W6" s="174">
        <v>0.66249999999999998</v>
      </c>
      <c r="X6" s="174">
        <v>0.69079999999999997</v>
      </c>
      <c r="Y6" s="138" t="s">
        <v>405</v>
      </c>
      <c r="Z6" s="134" t="s">
        <v>676</v>
      </c>
      <c r="AA6" s="134" t="s">
        <v>677</v>
      </c>
      <c r="AB6" s="137">
        <v>0.68140000000000001</v>
      </c>
      <c r="AC6" s="137">
        <v>0.69899999999999995</v>
      </c>
      <c r="AD6" s="137">
        <v>0.68679999999999997</v>
      </c>
      <c r="AE6" s="137">
        <v>0.70909999999999995</v>
      </c>
      <c r="AF6" s="137">
        <v>0.6764</v>
      </c>
      <c r="AG6" s="137">
        <v>0.69269999999999998</v>
      </c>
      <c r="AH6" s="154" t="s">
        <v>405</v>
      </c>
      <c r="AI6" s="134" t="s">
        <v>610</v>
      </c>
      <c r="AJ6" s="134" t="s">
        <v>594</v>
      </c>
      <c r="AK6" s="137">
        <v>0.68089999999999995</v>
      </c>
      <c r="AL6" s="137">
        <v>0.69450000000000001</v>
      </c>
      <c r="AM6" s="137">
        <v>0.69579999999999997</v>
      </c>
      <c r="AN6" s="137">
        <v>0.71789999999999998</v>
      </c>
      <c r="AO6" s="137">
        <v>0.68179999999999996</v>
      </c>
      <c r="AP6" s="137">
        <v>0.69610000000000005</v>
      </c>
      <c r="AQ6" s="139" t="s">
        <v>405</v>
      </c>
      <c r="AR6" s="134" t="s">
        <v>494</v>
      </c>
      <c r="AS6" s="134" t="s">
        <v>454</v>
      </c>
      <c r="AT6" s="137">
        <v>0.68600000000000005</v>
      </c>
      <c r="AU6" s="137">
        <v>0.69620000000000004</v>
      </c>
      <c r="AV6" s="137">
        <v>0.69550000000000001</v>
      </c>
      <c r="AW6" s="137">
        <v>0.72919999999999996</v>
      </c>
      <c r="AX6" s="137">
        <v>0.69350000000000001</v>
      </c>
      <c r="AY6" s="137">
        <v>0.70109999999999995</v>
      </c>
      <c r="AZ6" s="138" t="s">
        <v>405</v>
      </c>
      <c r="BA6" s="134" t="s">
        <v>643</v>
      </c>
      <c r="BB6" s="134" t="s">
        <v>494</v>
      </c>
      <c r="BC6" s="137">
        <v>0.68120000000000003</v>
      </c>
      <c r="BD6" s="137">
        <v>0.68720000000000003</v>
      </c>
      <c r="BE6" s="137">
        <v>0.68469999999999998</v>
      </c>
      <c r="BF6" s="137">
        <v>0.72589999999999999</v>
      </c>
      <c r="BG6" s="137">
        <v>0.68500000000000005</v>
      </c>
      <c r="BH6" s="137">
        <v>0.69399999999999995</v>
      </c>
      <c r="BI6" s="135" t="s">
        <v>405</v>
      </c>
      <c r="BJ6" s="152">
        <v>200</v>
      </c>
      <c r="BK6" s="152">
        <v>190</v>
      </c>
      <c r="BL6" s="137">
        <v>0.69320000000000004</v>
      </c>
      <c r="BM6" s="137">
        <v>0.67800000000000005</v>
      </c>
      <c r="BN6" s="137">
        <v>0.66700000000000004</v>
      </c>
      <c r="BO6" s="137">
        <v>0.71299999999999997</v>
      </c>
      <c r="BP6" s="137">
        <v>0.6694</v>
      </c>
      <c r="BQ6" s="137">
        <v>0.68640000000000001</v>
      </c>
      <c r="BR6" s="279" t="s">
        <v>405</v>
      </c>
      <c r="BS6" s="271">
        <v>203</v>
      </c>
      <c r="BT6" s="271">
        <v>201</v>
      </c>
      <c r="BU6" s="271">
        <v>0.70179999999999998</v>
      </c>
      <c r="BV6" s="271">
        <v>0.69069999999999998</v>
      </c>
      <c r="BW6" s="271">
        <v>0.67700000000000005</v>
      </c>
      <c r="BX6" s="271">
        <v>0.72670000000000001</v>
      </c>
      <c r="BY6" s="271">
        <v>0.6845</v>
      </c>
      <c r="BZ6" s="271">
        <v>0.69799999999999995</v>
      </c>
      <c r="CR6" s="589"/>
      <c r="CT6" s="588"/>
      <c r="CU6" s="588"/>
      <c r="CV6" s="588"/>
      <c r="CW6" s="588"/>
      <c r="CX6" s="588"/>
      <c r="CY6" s="588"/>
      <c r="CZ6" s="588"/>
      <c r="DA6" s="588"/>
    </row>
    <row r="7" spans="1:105" ht="16.5" x14ac:dyDescent="0.3">
      <c r="A7" s="750" t="s">
        <v>1095</v>
      </c>
      <c r="B7" s="678">
        <v>325754800026</v>
      </c>
      <c r="C7" s="134" t="s">
        <v>567</v>
      </c>
      <c r="D7" s="134" t="s">
        <v>417</v>
      </c>
      <c r="E7" s="134" t="s">
        <v>787</v>
      </c>
      <c r="F7" s="170" t="s">
        <v>221</v>
      </c>
      <c r="G7" s="134"/>
      <c r="H7" s="134"/>
      <c r="I7" s="134"/>
      <c r="J7" s="134"/>
      <c r="K7" s="134"/>
      <c r="L7" s="134"/>
      <c r="M7" s="134"/>
      <c r="N7" s="134"/>
      <c r="O7" s="134"/>
      <c r="P7" s="568"/>
      <c r="Q7" s="568"/>
      <c r="R7" s="568"/>
      <c r="S7" s="568"/>
      <c r="T7" s="568"/>
      <c r="U7" s="568"/>
      <c r="V7" s="568"/>
      <c r="W7" s="568"/>
      <c r="X7" s="568"/>
      <c r="Y7" s="134"/>
      <c r="Z7" s="690"/>
      <c r="AA7" s="690"/>
      <c r="AB7" s="137"/>
      <c r="AC7" s="137"/>
      <c r="AD7" s="137"/>
      <c r="AE7" s="137"/>
      <c r="AF7" s="137"/>
      <c r="AG7" s="137"/>
      <c r="AH7" s="156"/>
      <c r="AI7" s="134"/>
      <c r="AJ7" s="134"/>
      <c r="AK7" s="137"/>
      <c r="AL7" s="137"/>
      <c r="AM7" s="137"/>
      <c r="AN7" s="137"/>
      <c r="AO7" s="137"/>
      <c r="AP7" s="137"/>
      <c r="AQ7" s="134"/>
      <c r="AR7" s="134"/>
      <c r="AS7" s="134"/>
      <c r="AT7" s="137"/>
      <c r="AU7" s="137"/>
      <c r="AV7" s="137"/>
      <c r="AW7" s="137"/>
      <c r="AX7" s="137"/>
      <c r="AY7" s="137"/>
      <c r="AZ7" s="134"/>
      <c r="BA7" s="134"/>
      <c r="BB7" s="134"/>
      <c r="BC7" s="137"/>
      <c r="BD7" s="137"/>
      <c r="BE7" s="137"/>
      <c r="BF7" s="137"/>
      <c r="BG7" s="137"/>
      <c r="BH7" s="137"/>
      <c r="BI7" s="134"/>
      <c r="BJ7" s="134"/>
      <c r="BK7" s="134"/>
      <c r="BL7" s="137"/>
      <c r="BM7" s="137"/>
      <c r="BN7" s="137"/>
      <c r="BO7" s="137"/>
      <c r="BP7" s="137"/>
      <c r="BQ7" s="137"/>
      <c r="BR7" s="639"/>
      <c r="BS7" s="271"/>
      <c r="BT7" s="271"/>
      <c r="BU7" s="271"/>
      <c r="BV7" s="271"/>
      <c r="BW7" s="271"/>
      <c r="BX7" s="271"/>
      <c r="BY7" s="271"/>
      <c r="BZ7" s="271"/>
      <c r="CS7" s="569" t="s">
        <v>541</v>
      </c>
      <c r="CT7" s="716">
        <v>18</v>
      </c>
      <c r="CU7" s="716">
        <v>17</v>
      </c>
      <c r="CV7" s="740">
        <v>0.64790000000000003</v>
      </c>
      <c r="CW7" s="716">
        <v>0.6109</v>
      </c>
      <c r="CX7" s="716">
        <v>0.63070000000000004</v>
      </c>
      <c r="CY7" s="716">
        <v>0.6573</v>
      </c>
      <c r="CZ7" s="716">
        <v>0.59909999999999997</v>
      </c>
      <c r="DA7" s="677">
        <v>0.63380000000000003</v>
      </c>
    </row>
    <row r="8" spans="1:105" x14ac:dyDescent="0.25">
      <c r="A8" s="36" t="s">
        <v>270</v>
      </c>
      <c r="B8" s="346" t="s">
        <v>272</v>
      </c>
      <c r="C8" s="134" t="s">
        <v>567</v>
      </c>
      <c r="D8" s="134" t="s">
        <v>417</v>
      </c>
      <c r="E8" s="346" t="s">
        <v>787</v>
      </c>
      <c r="F8" s="134" t="s">
        <v>221</v>
      </c>
      <c r="G8" s="347" t="s">
        <v>541</v>
      </c>
      <c r="H8" s="348">
        <v>31</v>
      </c>
      <c r="I8" s="348">
        <v>31</v>
      </c>
      <c r="J8" s="348">
        <v>0.64670000000000005</v>
      </c>
      <c r="K8" s="348">
        <v>0.63160000000000005</v>
      </c>
      <c r="L8" s="348">
        <v>0.63090000000000002</v>
      </c>
      <c r="M8" s="348">
        <v>0.66749999999999998</v>
      </c>
      <c r="N8" s="348">
        <v>0.63129999999999997</v>
      </c>
      <c r="O8" s="348">
        <v>0.64319999999999999</v>
      </c>
      <c r="P8" s="347" t="s">
        <v>541</v>
      </c>
      <c r="Q8" s="348" t="s">
        <v>513</v>
      </c>
      <c r="R8" s="348" t="s">
        <v>513</v>
      </c>
      <c r="S8" s="348">
        <v>0.63700000000000001</v>
      </c>
      <c r="T8" s="348">
        <v>0.62809999999999999</v>
      </c>
      <c r="U8" s="348">
        <v>0.64019999999999999</v>
      </c>
      <c r="V8" s="348">
        <v>0.66120000000000001</v>
      </c>
      <c r="W8" s="348">
        <v>0.64100000000000001</v>
      </c>
      <c r="X8" s="348">
        <v>0.64149999999999996</v>
      </c>
      <c r="Y8" s="349" t="s">
        <v>541</v>
      </c>
      <c r="Z8" s="346" t="s">
        <v>513</v>
      </c>
      <c r="AA8" s="346" t="s">
        <v>513</v>
      </c>
      <c r="AB8" s="350">
        <v>0.63700000000000001</v>
      </c>
      <c r="AC8" s="350">
        <v>0.62809999999999999</v>
      </c>
      <c r="AD8" s="350">
        <v>0.64019999999999999</v>
      </c>
      <c r="AE8" s="350">
        <v>0.66120000000000001</v>
      </c>
      <c r="AF8" s="350">
        <v>0.64100000000000001</v>
      </c>
      <c r="AG8" s="350">
        <v>0.64149999999999996</v>
      </c>
      <c r="AH8" s="351" t="s">
        <v>541</v>
      </c>
      <c r="AI8" s="346" t="s">
        <v>513</v>
      </c>
      <c r="AJ8" s="346" t="s">
        <v>513</v>
      </c>
      <c r="AK8" s="350">
        <v>0.63700000000000001</v>
      </c>
      <c r="AL8" s="350">
        <v>0.62809999999999999</v>
      </c>
      <c r="AM8" s="350">
        <v>0.64019999999999999</v>
      </c>
      <c r="AN8" s="350">
        <v>0.66120000000000001</v>
      </c>
      <c r="AO8" s="350">
        <v>0.64100000000000001</v>
      </c>
      <c r="AP8" s="350">
        <v>0.64149999999999996</v>
      </c>
      <c r="AQ8" s="352" t="s">
        <v>541</v>
      </c>
      <c r="AR8" s="346" t="s">
        <v>513</v>
      </c>
      <c r="AS8" s="346" t="s">
        <v>513</v>
      </c>
      <c r="AT8" s="350">
        <v>0.63700000000000001</v>
      </c>
      <c r="AU8" s="350">
        <v>0.62809999999999999</v>
      </c>
      <c r="AV8" s="350">
        <v>0.64019999999999999</v>
      </c>
      <c r="AW8" s="350">
        <v>0.66120000000000001</v>
      </c>
      <c r="AX8" s="350">
        <v>0.64100000000000001</v>
      </c>
      <c r="AY8" s="350">
        <v>0.64149999999999996</v>
      </c>
      <c r="AZ8" s="349" t="s">
        <v>541</v>
      </c>
      <c r="BA8" s="346" t="s">
        <v>513</v>
      </c>
      <c r="BB8" s="346" t="s">
        <v>513</v>
      </c>
      <c r="BC8" s="350">
        <v>0.63700000000000001</v>
      </c>
      <c r="BD8" s="350">
        <v>0.62809999999999999</v>
      </c>
      <c r="BE8" s="350">
        <v>0.64019999999999999</v>
      </c>
      <c r="BF8" s="350">
        <v>0.66120000000000001</v>
      </c>
      <c r="BG8" s="350">
        <v>0.64100000000000001</v>
      </c>
      <c r="BH8" s="350">
        <v>0.64149999999999996</v>
      </c>
      <c r="BI8" s="353" t="s">
        <v>541</v>
      </c>
      <c r="BJ8" s="354">
        <v>24</v>
      </c>
      <c r="BK8" s="354">
        <v>24</v>
      </c>
      <c r="BL8" s="350">
        <v>0.63700000000000001</v>
      </c>
      <c r="BM8" s="350">
        <v>0.62809999999999999</v>
      </c>
      <c r="BN8" s="350">
        <v>0.64019999999999999</v>
      </c>
      <c r="BO8" s="350">
        <v>0.66120000000000001</v>
      </c>
      <c r="BP8" s="350">
        <v>0.64100000000000001</v>
      </c>
      <c r="BQ8" s="350">
        <v>0.64149999999999996</v>
      </c>
      <c r="BR8" s="355" t="s">
        <v>557</v>
      </c>
      <c r="BS8" s="346">
        <v>30</v>
      </c>
      <c r="BT8" s="346">
        <v>26</v>
      </c>
      <c r="BU8" s="346">
        <v>0.64700000000000002</v>
      </c>
      <c r="BV8" s="346">
        <v>0.59860000000000002</v>
      </c>
      <c r="BW8" s="346">
        <v>0.5645</v>
      </c>
      <c r="BX8" s="346">
        <v>0.65069999999999995</v>
      </c>
      <c r="BY8" s="346">
        <v>0.62119999999999997</v>
      </c>
      <c r="BZ8" s="346">
        <v>0.61570000000000003</v>
      </c>
      <c r="CA8" s="346"/>
      <c r="CB8" s="346"/>
      <c r="CC8" s="346"/>
      <c r="CD8" s="346"/>
      <c r="CE8" s="346"/>
      <c r="CF8" s="346"/>
      <c r="CG8" s="346"/>
      <c r="CH8" s="346"/>
      <c r="CI8" s="346"/>
      <c r="CJ8" s="568"/>
      <c r="CK8" s="568"/>
      <c r="CL8" s="568"/>
      <c r="CM8" s="568"/>
      <c r="CN8" s="568"/>
      <c r="CO8" s="568"/>
      <c r="CP8" s="568"/>
      <c r="CQ8" s="568"/>
      <c r="CR8" s="692"/>
      <c r="CT8" s="588"/>
      <c r="CU8" s="588"/>
      <c r="CV8" s="588"/>
      <c r="CW8" s="588"/>
      <c r="CX8" s="588"/>
      <c r="CY8" s="588"/>
      <c r="CZ8" s="588"/>
      <c r="DA8" s="588"/>
    </row>
    <row r="9" spans="1:105" x14ac:dyDescent="0.25">
      <c r="A9" s="36" t="s">
        <v>916</v>
      </c>
      <c r="B9" s="134" t="s">
        <v>915</v>
      </c>
      <c r="C9" s="134" t="s">
        <v>567</v>
      </c>
      <c r="D9" s="134" t="s">
        <v>417</v>
      </c>
      <c r="E9" s="134"/>
      <c r="F9" s="134" t="s">
        <v>221</v>
      </c>
      <c r="G9" s="167"/>
      <c r="H9" s="166"/>
      <c r="I9" s="166"/>
      <c r="J9" s="166"/>
      <c r="K9" s="166"/>
      <c r="L9" s="166"/>
      <c r="M9" s="166"/>
      <c r="N9" s="166"/>
      <c r="O9" s="166"/>
      <c r="P9" s="175"/>
      <c r="Q9" s="174"/>
      <c r="R9" s="174"/>
      <c r="S9" s="174"/>
      <c r="T9" s="174"/>
      <c r="U9" s="174"/>
      <c r="V9" s="174"/>
      <c r="W9" s="174"/>
      <c r="X9" s="174"/>
      <c r="Y9" s="141"/>
      <c r="Z9" s="134"/>
      <c r="AA9" s="134"/>
      <c r="AB9" s="137"/>
      <c r="AC9" s="137"/>
      <c r="AD9" s="137"/>
      <c r="AE9" s="137"/>
      <c r="AF9" s="137"/>
      <c r="AG9" s="137"/>
      <c r="AH9" s="155"/>
      <c r="AI9" s="134"/>
      <c r="AJ9" s="134"/>
      <c r="AK9" s="137"/>
      <c r="AL9" s="137"/>
      <c r="AM9" s="137"/>
      <c r="AN9" s="137"/>
      <c r="AO9" s="137"/>
      <c r="AP9" s="137"/>
      <c r="AQ9" s="142"/>
      <c r="AR9" s="134"/>
      <c r="AS9" s="134"/>
      <c r="AT9" s="137"/>
      <c r="AU9" s="137"/>
      <c r="AV9" s="137"/>
      <c r="AW9" s="137"/>
      <c r="AX9" s="137"/>
      <c r="AY9" s="137"/>
      <c r="AZ9" s="141"/>
      <c r="BA9" s="134"/>
      <c r="BB9" s="134"/>
      <c r="BC9" s="137"/>
      <c r="BD9" s="137"/>
      <c r="BE9" s="137"/>
      <c r="BF9" s="137"/>
      <c r="BG9" s="137"/>
      <c r="BH9" s="137"/>
      <c r="BI9" s="140"/>
      <c r="BJ9" s="152"/>
      <c r="BK9" s="152"/>
      <c r="BL9" s="137"/>
      <c r="BM9" s="137"/>
      <c r="BN9" s="137"/>
      <c r="BO9" s="137"/>
      <c r="BP9" s="137"/>
      <c r="BQ9" s="137"/>
      <c r="BR9" s="280"/>
      <c r="BS9" s="271"/>
      <c r="BT9" s="271"/>
      <c r="BU9" s="271"/>
      <c r="BV9" s="271"/>
      <c r="BW9" s="271"/>
      <c r="BX9" s="271"/>
      <c r="BY9" s="271"/>
      <c r="BZ9" s="271"/>
      <c r="CA9" s="356" t="s">
        <v>557</v>
      </c>
      <c r="CB9" s="357">
        <v>24</v>
      </c>
      <c r="CC9" s="357">
        <v>20</v>
      </c>
      <c r="CD9" s="357">
        <v>0.55549999999999999</v>
      </c>
      <c r="CE9" s="357">
        <v>0.55189999999999995</v>
      </c>
      <c r="CF9" s="357">
        <v>0.54120000000000001</v>
      </c>
      <c r="CG9" s="357">
        <v>0.61619999999999997</v>
      </c>
      <c r="CH9" s="357">
        <v>0.56159999999999999</v>
      </c>
      <c r="CI9" s="357">
        <v>0.56579999999999997</v>
      </c>
      <c r="CJ9" s="723" t="s">
        <v>557</v>
      </c>
      <c r="CK9" s="626">
        <v>42</v>
      </c>
      <c r="CL9" s="626">
        <v>33</v>
      </c>
      <c r="CM9" s="626">
        <v>0.54690000000000005</v>
      </c>
      <c r="CN9" s="626">
        <v>0.54149999999999998</v>
      </c>
      <c r="CO9" s="626">
        <v>0.51990000000000003</v>
      </c>
      <c r="CP9" s="626">
        <v>0.5877</v>
      </c>
      <c r="CQ9" s="626">
        <v>0.55640000000000001</v>
      </c>
      <c r="CR9" s="721">
        <v>0.54959999999999998</v>
      </c>
      <c r="CS9" s="568"/>
      <c r="CT9" s="587"/>
      <c r="CU9" s="587"/>
      <c r="CV9" s="587"/>
      <c r="CW9" s="587"/>
      <c r="CX9" s="587"/>
      <c r="CY9" s="587"/>
      <c r="CZ9" s="587"/>
      <c r="DA9" s="587"/>
    </row>
    <row r="10" spans="1:105" x14ac:dyDescent="0.25">
      <c r="A10" s="36" t="s">
        <v>34</v>
      </c>
      <c r="B10" s="134" t="s">
        <v>514</v>
      </c>
      <c r="C10" s="134" t="s">
        <v>567</v>
      </c>
      <c r="D10" s="134" t="s">
        <v>417</v>
      </c>
      <c r="E10" s="134" t="s">
        <v>787</v>
      </c>
      <c r="F10" s="134" t="s">
        <v>221</v>
      </c>
      <c r="G10" s="165" t="s">
        <v>405</v>
      </c>
      <c r="H10" s="166">
        <v>117</v>
      </c>
      <c r="I10" s="166">
        <v>117</v>
      </c>
      <c r="J10" s="166">
        <v>0.68540000000000001</v>
      </c>
      <c r="K10" s="166">
        <v>0.66859999999999997</v>
      </c>
      <c r="L10" s="166">
        <v>0.66990000000000005</v>
      </c>
      <c r="M10" s="166">
        <v>0.69710000000000005</v>
      </c>
      <c r="N10" s="166">
        <v>0.69689999999999996</v>
      </c>
      <c r="O10" s="166">
        <v>0.68149999999999999</v>
      </c>
      <c r="P10" s="634" t="s">
        <v>405</v>
      </c>
      <c r="Q10" s="166" t="s">
        <v>792</v>
      </c>
      <c r="R10" s="166" t="s">
        <v>792</v>
      </c>
      <c r="S10" s="166">
        <v>0.69679999999999997</v>
      </c>
      <c r="T10" s="166">
        <v>0.68559999999999999</v>
      </c>
      <c r="U10" s="166">
        <v>0.67710000000000004</v>
      </c>
      <c r="V10" s="166">
        <v>0.70689999999999997</v>
      </c>
      <c r="W10" s="166">
        <v>0.7006</v>
      </c>
      <c r="X10" s="166">
        <v>0.69230000000000003</v>
      </c>
      <c r="Y10" s="138" t="s">
        <v>405</v>
      </c>
      <c r="Z10" s="134" t="s">
        <v>670</v>
      </c>
      <c r="AA10" s="134" t="s">
        <v>670</v>
      </c>
      <c r="AB10" s="137">
        <v>0.70150000000000001</v>
      </c>
      <c r="AC10" s="137">
        <v>0.70909999999999995</v>
      </c>
      <c r="AD10" s="137">
        <v>0.68689999999999996</v>
      </c>
      <c r="AE10" s="137">
        <v>0.7177</v>
      </c>
      <c r="AF10" s="137">
        <v>0.70720000000000005</v>
      </c>
      <c r="AG10" s="137">
        <v>0.70409999999999995</v>
      </c>
      <c r="AH10" s="154" t="s">
        <v>405</v>
      </c>
      <c r="AI10" s="134" t="s">
        <v>606</v>
      </c>
      <c r="AJ10" s="134" t="s">
        <v>467</v>
      </c>
      <c r="AK10" s="137">
        <v>0.69710000000000005</v>
      </c>
      <c r="AL10" s="137">
        <v>0.71120000000000005</v>
      </c>
      <c r="AM10" s="137">
        <v>0.69159999999999999</v>
      </c>
      <c r="AN10" s="137">
        <v>0.7208</v>
      </c>
      <c r="AO10" s="137">
        <v>0.69220000000000004</v>
      </c>
      <c r="AP10" s="137">
        <v>0.70420000000000005</v>
      </c>
      <c r="AQ10" s="139" t="s">
        <v>405</v>
      </c>
      <c r="AR10" s="134" t="s">
        <v>515</v>
      </c>
      <c r="AS10" s="134" t="s">
        <v>516</v>
      </c>
      <c r="AT10" s="137">
        <v>0.68130000000000002</v>
      </c>
      <c r="AU10" s="137">
        <v>0.69040000000000001</v>
      </c>
      <c r="AV10" s="137">
        <v>0.67079999999999995</v>
      </c>
      <c r="AW10" s="137">
        <v>0.72460000000000002</v>
      </c>
      <c r="AX10" s="137">
        <v>0.68930000000000002</v>
      </c>
      <c r="AY10" s="137">
        <v>0.69159999999999999</v>
      </c>
      <c r="AZ10" s="141" t="s">
        <v>541</v>
      </c>
      <c r="BA10" s="134" t="s">
        <v>515</v>
      </c>
      <c r="BB10" s="134" t="s">
        <v>705</v>
      </c>
      <c r="BC10" s="137">
        <v>0.66059999999999997</v>
      </c>
      <c r="BD10" s="137">
        <v>0.65720000000000001</v>
      </c>
      <c r="BE10" s="137">
        <v>0.63670000000000004</v>
      </c>
      <c r="BF10" s="137">
        <v>0.71560000000000001</v>
      </c>
      <c r="BG10" s="137">
        <v>0.66890000000000005</v>
      </c>
      <c r="BH10" s="137">
        <v>0.66759999999999997</v>
      </c>
      <c r="BI10" s="140" t="s">
        <v>541</v>
      </c>
      <c r="BJ10" s="152">
        <v>139</v>
      </c>
      <c r="BK10" s="152">
        <v>135</v>
      </c>
      <c r="BL10" s="137">
        <v>0.66979999999999995</v>
      </c>
      <c r="BM10" s="137">
        <v>0.63880000000000003</v>
      </c>
      <c r="BN10" s="137">
        <v>0.61939999999999995</v>
      </c>
      <c r="BO10" s="137">
        <v>0.71340000000000003</v>
      </c>
      <c r="BP10" s="137">
        <v>0.6694</v>
      </c>
      <c r="BQ10" s="137">
        <v>0.66100000000000003</v>
      </c>
      <c r="BR10" s="279" t="s">
        <v>405</v>
      </c>
      <c r="BS10" s="271">
        <v>129</v>
      </c>
      <c r="BT10" s="271">
        <v>129</v>
      </c>
      <c r="BU10" s="271">
        <v>0.68510000000000004</v>
      </c>
      <c r="BV10" s="271">
        <v>0.66020000000000001</v>
      </c>
      <c r="BW10" s="271">
        <v>0.64480000000000004</v>
      </c>
      <c r="BX10" s="271">
        <v>0.72460000000000002</v>
      </c>
      <c r="BY10" s="271">
        <v>0.68630000000000002</v>
      </c>
      <c r="BZ10" s="271">
        <v>0.67920000000000003</v>
      </c>
      <c r="CA10" s="358" t="s">
        <v>405</v>
      </c>
      <c r="CB10" s="357">
        <v>114</v>
      </c>
      <c r="CC10" s="357">
        <v>114</v>
      </c>
      <c r="CD10" s="357">
        <v>0.70189999999999997</v>
      </c>
      <c r="CE10" s="357">
        <v>0.67310000000000003</v>
      </c>
      <c r="CF10" s="357">
        <v>0.66290000000000004</v>
      </c>
      <c r="CG10" s="357">
        <v>0.72919999999999996</v>
      </c>
      <c r="CH10" s="357">
        <v>0.69359999999999999</v>
      </c>
      <c r="CI10" s="357">
        <v>0.69189999999999996</v>
      </c>
      <c r="CJ10" s="714" t="s">
        <v>405</v>
      </c>
      <c r="CK10" s="626">
        <v>96</v>
      </c>
      <c r="CL10" s="626">
        <v>96</v>
      </c>
      <c r="CM10" s="626">
        <v>0.70909999999999995</v>
      </c>
      <c r="CN10" s="626">
        <v>0.68640000000000001</v>
      </c>
      <c r="CO10" s="626">
        <v>0.67669999999999997</v>
      </c>
      <c r="CP10" s="626">
        <v>0.73819999999999997</v>
      </c>
      <c r="CQ10" s="626">
        <v>0.71460000000000001</v>
      </c>
      <c r="CR10" s="721">
        <v>0.70350000000000001</v>
      </c>
      <c r="CS10" s="608" t="s">
        <v>405</v>
      </c>
      <c r="CT10" s="569">
        <v>89</v>
      </c>
      <c r="CU10" s="569">
        <v>88</v>
      </c>
      <c r="CV10" s="590">
        <v>0.70689999999999997</v>
      </c>
      <c r="CW10" s="590">
        <v>0.6845</v>
      </c>
      <c r="CX10" s="590">
        <v>0.66080000000000005</v>
      </c>
      <c r="CY10" s="590">
        <v>0.7379</v>
      </c>
      <c r="CZ10" s="590">
        <v>0.70820000000000005</v>
      </c>
      <c r="DA10" s="590">
        <v>0.69840000000000002</v>
      </c>
    </row>
    <row r="11" spans="1:105" x14ac:dyDescent="0.25">
      <c r="A11" s="36" t="s">
        <v>271</v>
      </c>
      <c r="B11" s="134" t="s">
        <v>55</v>
      </c>
      <c r="C11" s="134" t="s">
        <v>567</v>
      </c>
      <c r="D11" s="134" t="s">
        <v>417</v>
      </c>
      <c r="E11" s="134" t="s">
        <v>787</v>
      </c>
      <c r="F11" s="134" t="s">
        <v>221</v>
      </c>
      <c r="G11" s="167" t="s">
        <v>541</v>
      </c>
      <c r="H11" s="166">
        <v>136</v>
      </c>
      <c r="I11" s="166">
        <v>135</v>
      </c>
      <c r="J11" s="166">
        <v>0.66339999999999999</v>
      </c>
      <c r="K11" s="166">
        <v>0.65429999999999999</v>
      </c>
      <c r="L11" s="166">
        <v>0.65790000000000004</v>
      </c>
      <c r="M11" s="166">
        <v>0.64790000000000003</v>
      </c>
      <c r="N11" s="166">
        <v>0.64059999999999995</v>
      </c>
      <c r="O11" s="166">
        <v>0.65469999999999995</v>
      </c>
      <c r="P11" s="164"/>
      <c r="Q11" s="134"/>
      <c r="R11" s="134"/>
      <c r="S11" s="134"/>
      <c r="T11" s="134"/>
      <c r="U11" s="134"/>
      <c r="V11" s="134"/>
      <c r="W11" s="134"/>
      <c r="X11" s="134"/>
      <c r="Y11" s="134"/>
      <c r="Z11" s="134"/>
      <c r="AA11" s="134"/>
      <c r="AB11" s="137"/>
      <c r="AC11" s="137"/>
      <c r="AD11" s="137"/>
      <c r="AE11" s="137"/>
      <c r="AF11" s="137"/>
      <c r="AG11" s="137"/>
      <c r="AH11" s="156"/>
      <c r="AI11" s="134"/>
      <c r="AJ11" s="134"/>
      <c r="AK11" s="137"/>
      <c r="AL11" s="137"/>
      <c r="AM11" s="137"/>
      <c r="AN11" s="137"/>
      <c r="AO11" s="137"/>
      <c r="AP11" s="137"/>
      <c r="AQ11" s="142" t="s">
        <v>541</v>
      </c>
      <c r="AR11" s="134" t="s">
        <v>486</v>
      </c>
      <c r="AS11" s="134" t="s">
        <v>549</v>
      </c>
      <c r="AT11" s="137">
        <v>0.64839999999999998</v>
      </c>
      <c r="AU11" s="137">
        <v>0.64959999999999996</v>
      </c>
      <c r="AV11" s="137">
        <v>0.63670000000000004</v>
      </c>
      <c r="AW11" s="137">
        <v>0.69910000000000005</v>
      </c>
      <c r="AX11" s="137">
        <v>0.63619999999999999</v>
      </c>
      <c r="AY11" s="137">
        <v>0.65669999999999995</v>
      </c>
      <c r="AZ11" s="141" t="s">
        <v>541</v>
      </c>
      <c r="BA11" s="134" t="s">
        <v>440</v>
      </c>
      <c r="BB11" s="134" t="s">
        <v>462</v>
      </c>
      <c r="BC11" s="137">
        <v>0.64419999999999999</v>
      </c>
      <c r="BD11" s="137">
        <v>0.62980000000000003</v>
      </c>
      <c r="BE11" s="137">
        <v>0.62560000000000004</v>
      </c>
      <c r="BF11" s="137">
        <v>0.69950000000000001</v>
      </c>
      <c r="BG11" s="137">
        <v>0.61929999999999996</v>
      </c>
      <c r="BH11" s="137">
        <v>0.64749999999999996</v>
      </c>
      <c r="BI11" s="140" t="s">
        <v>541</v>
      </c>
      <c r="BJ11" s="152">
        <v>120</v>
      </c>
      <c r="BK11" s="152">
        <v>118</v>
      </c>
      <c r="BL11" s="137">
        <v>0.64900000000000002</v>
      </c>
      <c r="BM11" s="137">
        <v>0.63160000000000005</v>
      </c>
      <c r="BN11" s="137">
        <v>0.60750000000000004</v>
      </c>
      <c r="BO11" s="137">
        <v>0.69420000000000004</v>
      </c>
      <c r="BP11" s="137">
        <v>0.61339999999999995</v>
      </c>
      <c r="BQ11" s="137">
        <v>0.6431</v>
      </c>
      <c r="BR11" s="281" t="s">
        <v>541</v>
      </c>
      <c r="BS11" s="271">
        <v>124</v>
      </c>
      <c r="BT11" s="271">
        <v>123</v>
      </c>
      <c r="BU11" s="271">
        <v>0.64480000000000004</v>
      </c>
      <c r="BV11" s="271">
        <v>0.63300000000000001</v>
      </c>
      <c r="BW11" s="271">
        <v>0.61029999999999995</v>
      </c>
      <c r="BX11" s="271">
        <v>0.69430000000000003</v>
      </c>
      <c r="BY11" s="271">
        <v>0.61619999999999997</v>
      </c>
      <c r="BZ11" s="271">
        <v>0.64339999999999997</v>
      </c>
      <c r="CA11" s="359" t="s">
        <v>541</v>
      </c>
      <c r="CB11" s="357">
        <v>128</v>
      </c>
      <c r="CC11" s="357">
        <v>127</v>
      </c>
      <c r="CD11" s="357">
        <v>0.65310000000000001</v>
      </c>
      <c r="CE11" s="357">
        <v>0.61919999999999997</v>
      </c>
      <c r="CF11" s="357">
        <v>0.6079</v>
      </c>
      <c r="CG11" s="357">
        <v>0.69610000000000005</v>
      </c>
      <c r="CH11" s="357">
        <v>0.61770000000000003</v>
      </c>
      <c r="CI11" s="357">
        <v>0.64200000000000002</v>
      </c>
      <c r="CJ11" s="724"/>
      <c r="CK11" s="624"/>
      <c r="CL11" s="624"/>
      <c r="CM11" s="624"/>
      <c r="CN11" s="624"/>
      <c r="CO11" s="624"/>
      <c r="CP11" s="624"/>
      <c r="CQ11" s="624"/>
      <c r="CR11" s="628"/>
      <c r="CS11" s="569" t="s">
        <v>405</v>
      </c>
      <c r="CT11" s="569">
        <v>109</v>
      </c>
      <c r="CU11" s="569">
        <v>109</v>
      </c>
      <c r="CV11" s="590">
        <v>0.70120000000000005</v>
      </c>
      <c r="CW11" s="590">
        <v>0.64849999999999997</v>
      </c>
      <c r="CX11" s="590">
        <v>0.63319999999999999</v>
      </c>
      <c r="CY11" s="590">
        <v>0.7177</v>
      </c>
      <c r="CZ11" s="590">
        <v>0.65469999999999995</v>
      </c>
      <c r="DA11" s="590">
        <v>0.67359999999999998</v>
      </c>
    </row>
    <row r="12" spans="1:105" x14ac:dyDescent="0.25">
      <c r="A12" s="36" t="s">
        <v>291</v>
      </c>
      <c r="B12" s="134" t="s">
        <v>490</v>
      </c>
      <c r="C12" s="134" t="s">
        <v>567</v>
      </c>
      <c r="D12" s="134" t="s">
        <v>417</v>
      </c>
      <c r="E12" s="134" t="s">
        <v>787</v>
      </c>
      <c r="F12" s="134" t="s">
        <v>221</v>
      </c>
      <c r="G12" s="134"/>
      <c r="H12" s="134"/>
      <c r="I12" s="134"/>
      <c r="J12" s="134"/>
      <c r="K12" s="134"/>
      <c r="L12" s="134"/>
      <c r="M12" s="134"/>
      <c r="N12" s="134"/>
      <c r="O12" s="134"/>
      <c r="P12" s="568"/>
      <c r="Q12" s="568"/>
      <c r="R12" s="568"/>
      <c r="S12" s="568"/>
      <c r="T12" s="568"/>
      <c r="U12" s="568"/>
      <c r="V12" s="568"/>
      <c r="W12" s="568"/>
      <c r="X12" s="568"/>
      <c r="Y12" s="134"/>
      <c r="Z12" s="134"/>
      <c r="AA12" s="134"/>
      <c r="AB12" s="137"/>
      <c r="AC12" s="137"/>
      <c r="AD12" s="137"/>
      <c r="AE12" s="137"/>
      <c r="AF12" s="137"/>
      <c r="AG12" s="137"/>
      <c r="AH12" s="156"/>
      <c r="AI12" s="134"/>
      <c r="AJ12" s="134"/>
      <c r="AK12" s="137"/>
      <c r="AL12" s="137"/>
      <c r="AM12" s="137"/>
      <c r="AN12" s="137"/>
      <c r="AO12" s="137"/>
      <c r="AP12" s="137"/>
      <c r="AQ12" s="139" t="s">
        <v>405</v>
      </c>
      <c r="AR12" s="134" t="s">
        <v>491</v>
      </c>
      <c r="AS12" s="134" t="s">
        <v>491</v>
      </c>
      <c r="AT12" s="137">
        <v>0.70820000000000005</v>
      </c>
      <c r="AU12" s="137">
        <v>0.72309999999999997</v>
      </c>
      <c r="AV12" s="137">
        <v>0.67430000000000001</v>
      </c>
      <c r="AW12" s="137">
        <v>0.72270000000000001</v>
      </c>
      <c r="AX12" s="137">
        <v>0.68</v>
      </c>
      <c r="AY12" s="137">
        <v>0.70499999999999996</v>
      </c>
      <c r="AZ12" s="138" t="s">
        <v>405</v>
      </c>
      <c r="BA12" s="134" t="s">
        <v>533</v>
      </c>
      <c r="BB12" s="134" t="s">
        <v>533</v>
      </c>
      <c r="BC12" s="137">
        <v>0.69469999999999998</v>
      </c>
      <c r="BD12" s="137">
        <v>0.69399999999999995</v>
      </c>
      <c r="BE12" s="137">
        <v>0.65769999999999995</v>
      </c>
      <c r="BF12" s="137">
        <v>0.70720000000000005</v>
      </c>
      <c r="BG12" s="137">
        <v>0.67130000000000001</v>
      </c>
      <c r="BH12" s="137">
        <v>0.68710000000000004</v>
      </c>
      <c r="BI12" s="135" t="s">
        <v>405</v>
      </c>
      <c r="BJ12" s="152">
        <v>56</v>
      </c>
      <c r="BK12" s="152">
        <v>55</v>
      </c>
      <c r="BL12" s="137">
        <v>0.68289999999999995</v>
      </c>
      <c r="BM12" s="137">
        <v>0.66830000000000001</v>
      </c>
      <c r="BN12" s="137">
        <v>0.64470000000000005</v>
      </c>
      <c r="BO12" s="137">
        <v>0.69230000000000003</v>
      </c>
      <c r="BP12" s="137">
        <v>0.66039999999999999</v>
      </c>
      <c r="BQ12" s="137">
        <v>0.67120000000000002</v>
      </c>
      <c r="BR12" s="701" t="s">
        <v>405</v>
      </c>
      <c r="BS12" s="271">
        <v>63</v>
      </c>
      <c r="BT12" s="271">
        <v>63</v>
      </c>
      <c r="BU12" s="271">
        <v>0.68440000000000001</v>
      </c>
      <c r="BV12" s="271">
        <v>0.6522</v>
      </c>
      <c r="BW12" s="271">
        <v>0.64629999999999999</v>
      </c>
      <c r="BX12" s="271">
        <v>0.70189999999999997</v>
      </c>
      <c r="BY12" s="271">
        <v>0.66779999999999995</v>
      </c>
      <c r="BZ12" s="271">
        <v>0.67090000000000005</v>
      </c>
      <c r="CA12" s="709" t="s">
        <v>405</v>
      </c>
      <c r="CB12" s="682">
        <v>61</v>
      </c>
      <c r="CC12" s="682">
        <v>61</v>
      </c>
      <c r="CD12" s="682">
        <v>0.70499999999999996</v>
      </c>
      <c r="CE12" s="682">
        <v>0.66020000000000001</v>
      </c>
      <c r="CF12" s="682">
        <v>0.66259999999999997</v>
      </c>
      <c r="CG12" s="682">
        <v>0.71870000000000001</v>
      </c>
      <c r="CH12" s="682">
        <v>0.69899999999999995</v>
      </c>
      <c r="CI12" s="682">
        <v>0.68759999999999999</v>
      </c>
      <c r="CJ12" s="725" t="s">
        <v>405</v>
      </c>
      <c r="CK12" s="626">
        <v>61</v>
      </c>
      <c r="CL12" s="626">
        <v>61</v>
      </c>
      <c r="CM12" s="626">
        <v>0.71599999999999997</v>
      </c>
      <c r="CN12" s="626">
        <v>0.68679999999999997</v>
      </c>
      <c r="CO12" s="626">
        <v>0.69399999999999995</v>
      </c>
      <c r="CP12" s="626">
        <v>0.74419999999999997</v>
      </c>
      <c r="CQ12" s="626">
        <v>0.72050000000000003</v>
      </c>
      <c r="CR12" s="721">
        <v>0.71099999999999997</v>
      </c>
      <c r="CS12" s="569" t="s">
        <v>405</v>
      </c>
      <c r="CT12" s="569">
        <v>60</v>
      </c>
      <c r="CU12" s="569">
        <v>60</v>
      </c>
      <c r="CV12" s="590">
        <v>0.71850000000000003</v>
      </c>
      <c r="CW12" s="590">
        <v>0.69550000000000001</v>
      </c>
      <c r="CX12" s="590">
        <v>0.69189999999999996</v>
      </c>
      <c r="CY12" s="590">
        <v>0.74450000000000005</v>
      </c>
      <c r="CZ12" s="590">
        <v>0.71850000000000003</v>
      </c>
      <c r="DA12" s="590">
        <v>0.71309999999999996</v>
      </c>
    </row>
    <row r="13" spans="1:105" x14ac:dyDescent="0.25">
      <c r="A13" s="36" t="s">
        <v>267</v>
      </c>
      <c r="B13" s="431" t="s">
        <v>273</v>
      </c>
      <c r="C13" s="431" t="s">
        <v>567</v>
      </c>
      <c r="D13" s="431" t="s">
        <v>417</v>
      </c>
      <c r="E13" s="134" t="s">
        <v>787</v>
      </c>
      <c r="F13" s="431" t="s">
        <v>221</v>
      </c>
      <c r="G13" s="431"/>
      <c r="H13" s="431"/>
      <c r="I13" s="431"/>
      <c r="J13" s="431"/>
      <c r="K13" s="431"/>
      <c r="L13" s="431"/>
      <c r="M13" s="431"/>
      <c r="N13" s="431"/>
      <c r="O13" s="431"/>
      <c r="P13" s="432" t="s">
        <v>557</v>
      </c>
      <c r="Q13" s="433" t="s">
        <v>560</v>
      </c>
      <c r="R13" s="433" t="s">
        <v>561</v>
      </c>
      <c r="S13" s="433">
        <v>0.59299999999999997</v>
      </c>
      <c r="T13" s="433">
        <v>0.63929999999999998</v>
      </c>
      <c r="U13" s="433">
        <v>0.59119999999999995</v>
      </c>
      <c r="V13" s="433">
        <v>0.58679999999999999</v>
      </c>
      <c r="W13" s="433">
        <v>0.61029999999999995</v>
      </c>
      <c r="X13" s="433">
        <v>0.60319999999999996</v>
      </c>
      <c r="Y13" s="434" t="s">
        <v>557</v>
      </c>
      <c r="Z13" s="431" t="s">
        <v>560</v>
      </c>
      <c r="AA13" s="431" t="s">
        <v>561</v>
      </c>
      <c r="AB13" s="435">
        <v>0.59299999999999997</v>
      </c>
      <c r="AC13" s="435">
        <v>0.63929999999999998</v>
      </c>
      <c r="AD13" s="435">
        <v>0.59119999999999995</v>
      </c>
      <c r="AE13" s="435">
        <v>0.58679999999999999</v>
      </c>
      <c r="AF13" s="435">
        <v>0.61029999999999995</v>
      </c>
      <c r="AG13" s="435">
        <v>0.60319999999999996</v>
      </c>
      <c r="AH13" s="436" t="s">
        <v>557</v>
      </c>
      <c r="AI13" s="431" t="s">
        <v>560</v>
      </c>
      <c r="AJ13" s="431" t="s">
        <v>561</v>
      </c>
      <c r="AK13" s="435">
        <v>0.59299999999999997</v>
      </c>
      <c r="AL13" s="435">
        <v>0.63929999999999998</v>
      </c>
      <c r="AM13" s="435">
        <v>0.59119999999999995</v>
      </c>
      <c r="AN13" s="435">
        <v>0.58679999999999999</v>
      </c>
      <c r="AO13" s="435">
        <v>0.61029999999999995</v>
      </c>
      <c r="AP13" s="435">
        <v>0.60319999999999996</v>
      </c>
      <c r="AQ13" s="437" t="s">
        <v>557</v>
      </c>
      <c r="AR13" s="431" t="s">
        <v>560</v>
      </c>
      <c r="AS13" s="431" t="s">
        <v>561</v>
      </c>
      <c r="AT13" s="435">
        <v>0.59299999999999997</v>
      </c>
      <c r="AU13" s="435">
        <v>0.63929999999999998</v>
      </c>
      <c r="AV13" s="435">
        <v>0.59119999999999995</v>
      </c>
      <c r="AW13" s="435">
        <v>0.58679999999999999</v>
      </c>
      <c r="AX13" s="435">
        <v>0.61029999999999995</v>
      </c>
      <c r="AY13" s="435">
        <v>0.60319999999999996</v>
      </c>
      <c r="AZ13" s="434" t="s">
        <v>557</v>
      </c>
      <c r="BA13" s="431" t="s">
        <v>560</v>
      </c>
      <c r="BB13" s="431" t="s">
        <v>561</v>
      </c>
      <c r="BC13" s="435">
        <v>0.59299999999999997</v>
      </c>
      <c r="BD13" s="435">
        <v>0.63929999999999998</v>
      </c>
      <c r="BE13" s="435">
        <v>0.59119999999999995</v>
      </c>
      <c r="BF13" s="435">
        <v>0.58679999999999999</v>
      </c>
      <c r="BG13" s="435">
        <v>0.61029999999999995</v>
      </c>
      <c r="BH13" s="435">
        <v>0.60319999999999996</v>
      </c>
      <c r="BI13" s="431"/>
      <c r="BJ13" s="438"/>
      <c r="BK13" s="438"/>
      <c r="BL13" s="435"/>
      <c r="BM13" s="435"/>
      <c r="BN13" s="435"/>
      <c r="BO13" s="435"/>
      <c r="BP13" s="435"/>
      <c r="BQ13" s="435"/>
      <c r="BS13" s="431"/>
      <c r="BT13" s="431"/>
      <c r="BU13" s="431"/>
      <c r="BV13" s="431"/>
      <c r="BW13" s="431"/>
      <c r="BX13" s="431"/>
      <c r="BY13" s="431"/>
      <c r="BZ13" s="431"/>
      <c r="CJ13" s="725" t="s">
        <v>405</v>
      </c>
      <c r="CK13" s="626">
        <v>16</v>
      </c>
      <c r="CL13" s="626">
        <v>16</v>
      </c>
      <c r="CM13" s="626">
        <v>0.71840000000000004</v>
      </c>
      <c r="CN13" s="626">
        <v>0.68730000000000002</v>
      </c>
      <c r="CO13" s="626">
        <v>0.69040000000000001</v>
      </c>
      <c r="CP13" s="626">
        <v>0.74760000000000004</v>
      </c>
      <c r="CQ13" s="626">
        <v>0.72770000000000001</v>
      </c>
      <c r="CR13" s="721">
        <v>0.71220000000000006</v>
      </c>
      <c r="CS13" s="569" t="s">
        <v>405</v>
      </c>
      <c r="CT13" s="569">
        <v>24</v>
      </c>
      <c r="CU13" s="569">
        <v>23</v>
      </c>
      <c r="CV13" s="590">
        <v>0.72150000000000003</v>
      </c>
      <c r="CW13" s="590">
        <v>0.69259999999999999</v>
      </c>
      <c r="CX13" s="590">
        <v>0.68820000000000003</v>
      </c>
      <c r="CY13" s="590">
        <v>0.7601</v>
      </c>
      <c r="CZ13" s="590">
        <v>0.74009999999999998</v>
      </c>
      <c r="DA13" s="590">
        <v>0.71750000000000003</v>
      </c>
    </row>
    <row r="14" spans="1:105" ht="16.5" x14ac:dyDescent="0.3">
      <c r="A14" s="126" t="s">
        <v>189</v>
      </c>
      <c r="B14" s="678">
        <v>325754004980</v>
      </c>
      <c r="C14" s="134" t="s">
        <v>567</v>
      </c>
      <c r="D14" s="134" t="s">
        <v>417</v>
      </c>
      <c r="E14" s="134" t="s">
        <v>787</v>
      </c>
      <c r="F14" s="134" t="s">
        <v>221</v>
      </c>
      <c r="G14" s="134"/>
      <c r="H14" s="134"/>
      <c r="I14" s="134"/>
      <c r="J14" s="134"/>
      <c r="K14" s="134"/>
      <c r="L14" s="134"/>
      <c r="M14" s="134"/>
      <c r="N14" s="134"/>
      <c r="O14" s="134"/>
      <c r="P14" s="568"/>
      <c r="Q14" s="568"/>
      <c r="R14" s="568"/>
      <c r="S14" s="568"/>
      <c r="T14" s="568"/>
      <c r="U14" s="568"/>
      <c r="V14" s="568"/>
      <c r="W14" s="568"/>
      <c r="X14" s="568"/>
      <c r="Y14" s="134"/>
      <c r="Z14" s="134"/>
      <c r="AA14" s="134"/>
      <c r="AB14" s="137"/>
      <c r="AC14" s="137"/>
      <c r="AD14" s="137"/>
      <c r="AE14" s="137"/>
      <c r="AF14" s="137"/>
      <c r="AG14" s="137"/>
      <c r="AH14" s="156"/>
      <c r="AI14" s="134"/>
      <c r="AJ14" s="134"/>
      <c r="AK14" s="137"/>
      <c r="AL14" s="137"/>
      <c r="AM14" s="137"/>
      <c r="AN14" s="137"/>
      <c r="AO14" s="137"/>
      <c r="AP14" s="137"/>
      <c r="AQ14" s="134"/>
      <c r="AR14" s="134"/>
      <c r="AS14" s="134"/>
      <c r="AT14" s="137"/>
      <c r="AU14" s="137"/>
      <c r="AV14" s="137"/>
      <c r="AW14" s="137"/>
      <c r="AX14" s="137"/>
      <c r="AY14" s="137"/>
      <c r="AZ14" s="134"/>
      <c r="BA14" s="134"/>
      <c r="BB14" s="134"/>
      <c r="BC14" s="137"/>
      <c r="BD14" s="137"/>
      <c r="BE14" s="137"/>
      <c r="BF14" s="137"/>
      <c r="BG14" s="137"/>
      <c r="BH14" s="137"/>
      <c r="BI14" s="134"/>
      <c r="BJ14" s="134"/>
      <c r="BK14" s="134"/>
      <c r="BL14" s="137"/>
      <c r="BM14" s="137"/>
      <c r="BN14" s="137"/>
      <c r="BO14" s="137"/>
      <c r="BP14" s="137"/>
      <c r="BQ14" s="137"/>
      <c r="BR14" s="639"/>
      <c r="BS14" s="271"/>
      <c r="BT14" s="271"/>
      <c r="BU14" s="271"/>
      <c r="BV14" s="271"/>
      <c r="BW14" s="271"/>
      <c r="BX14" s="271"/>
      <c r="BY14" s="271"/>
      <c r="BZ14" s="271"/>
      <c r="CA14" s="346"/>
      <c r="CB14" s="346"/>
      <c r="CC14" s="346"/>
      <c r="CD14" s="346"/>
      <c r="CE14" s="346"/>
      <c r="CF14" s="346"/>
      <c r="CG14" s="346"/>
      <c r="CH14" s="346"/>
      <c r="CI14" s="346"/>
      <c r="CK14" s="624"/>
      <c r="CL14" s="624"/>
      <c r="CM14" s="624"/>
      <c r="CN14" s="624"/>
      <c r="CO14" s="624"/>
      <c r="CP14" s="624"/>
      <c r="CQ14" s="624"/>
      <c r="CR14" s="624"/>
      <c r="CS14" s="569" t="s">
        <v>557</v>
      </c>
      <c r="CT14" s="716">
        <v>10</v>
      </c>
      <c r="CU14" s="716">
        <v>9</v>
      </c>
      <c r="CV14" s="716">
        <v>0.59970000000000001</v>
      </c>
      <c r="CW14" s="716">
        <v>0.57730000000000004</v>
      </c>
      <c r="CX14" s="716">
        <v>0.61639999999999995</v>
      </c>
      <c r="CY14" s="716">
        <v>0.66820000000000002</v>
      </c>
      <c r="CZ14" s="716">
        <v>0.59450000000000003</v>
      </c>
      <c r="DA14" s="677">
        <v>0.61380000000000001</v>
      </c>
    </row>
    <row r="15" spans="1:105" x14ac:dyDescent="0.25">
      <c r="A15" s="126" t="s">
        <v>918</v>
      </c>
      <c r="B15" s="166" t="s">
        <v>917</v>
      </c>
      <c r="C15" s="166" t="s">
        <v>567</v>
      </c>
      <c r="D15" s="134" t="s">
        <v>221</v>
      </c>
      <c r="E15" s="134" t="s">
        <v>787</v>
      </c>
      <c r="F15" s="134" t="s">
        <v>221</v>
      </c>
      <c r="G15" s="134"/>
      <c r="H15" s="134"/>
      <c r="I15" s="134"/>
      <c r="J15" s="134"/>
      <c r="K15" s="134"/>
      <c r="L15" s="134"/>
      <c r="M15" s="134"/>
      <c r="N15" s="134"/>
      <c r="O15" s="134"/>
      <c r="P15" s="176"/>
      <c r="Q15" s="174"/>
      <c r="R15" s="174"/>
      <c r="S15" s="174"/>
      <c r="T15" s="174"/>
      <c r="U15" s="174"/>
      <c r="V15" s="174"/>
      <c r="W15" s="174"/>
      <c r="X15" s="174"/>
      <c r="Y15" s="143"/>
      <c r="Z15" s="134"/>
      <c r="AA15" s="134"/>
      <c r="AB15" s="137"/>
      <c r="AC15" s="137"/>
      <c r="AD15" s="137"/>
      <c r="AE15" s="137"/>
      <c r="AF15" s="137"/>
      <c r="AG15" s="137"/>
      <c r="AH15" s="157"/>
      <c r="AI15" s="134"/>
      <c r="AJ15" s="134"/>
      <c r="AK15" s="137"/>
      <c r="AL15" s="137"/>
      <c r="AM15" s="137"/>
      <c r="AN15" s="137"/>
      <c r="AO15" s="137"/>
      <c r="AP15" s="137"/>
      <c r="AQ15" s="144"/>
      <c r="AR15" s="134"/>
      <c r="AS15" s="134"/>
      <c r="AT15" s="137"/>
      <c r="AU15" s="137"/>
      <c r="AV15" s="137"/>
      <c r="AW15" s="137"/>
      <c r="AX15" s="137"/>
      <c r="AY15" s="137"/>
      <c r="AZ15" s="143"/>
      <c r="BA15" s="134"/>
      <c r="BB15" s="134"/>
      <c r="BC15" s="137"/>
      <c r="BD15" s="137"/>
      <c r="BE15" s="137"/>
      <c r="BF15" s="137"/>
      <c r="BG15" s="137"/>
      <c r="BH15" s="137"/>
      <c r="BI15" s="134"/>
      <c r="BJ15" s="152"/>
      <c r="BK15" s="152"/>
      <c r="BL15" s="137"/>
      <c r="BM15" s="137"/>
      <c r="BN15" s="137"/>
      <c r="BO15" s="137"/>
      <c r="BP15" s="137"/>
      <c r="BQ15" s="137"/>
      <c r="BS15" s="271"/>
      <c r="BT15" s="271"/>
      <c r="BU15" s="271"/>
      <c r="BV15" s="271"/>
      <c r="BW15" s="271"/>
      <c r="BX15" s="271"/>
      <c r="BY15" s="271"/>
      <c r="BZ15" s="271"/>
      <c r="CJ15" s="713" t="s">
        <v>404</v>
      </c>
      <c r="CK15" s="626">
        <v>10</v>
      </c>
      <c r="CL15" s="626">
        <v>10</v>
      </c>
      <c r="CM15" s="626">
        <v>0.73629999999999995</v>
      </c>
      <c r="CN15" s="626">
        <v>0.71040000000000003</v>
      </c>
      <c r="CO15" s="626">
        <v>0.70209999999999995</v>
      </c>
      <c r="CP15" s="626">
        <v>0.75519999999999998</v>
      </c>
      <c r="CQ15" s="626">
        <v>0.75949999999999995</v>
      </c>
      <c r="CR15" s="721">
        <v>0.72860000000000003</v>
      </c>
      <c r="CS15" s="568"/>
      <c r="CT15" s="587"/>
      <c r="CU15" s="587"/>
      <c r="CV15" s="591"/>
      <c r="CW15" s="591"/>
      <c r="CX15" s="591"/>
      <c r="CY15" s="591"/>
      <c r="CZ15" s="591"/>
      <c r="DA15" s="591"/>
    </row>
    <row r="16" spans="1:105" x14ac:dyDescent="0.25">
      <c r="A16" s="36" t="s">
        <v>63</v>
      </c>
      <c r="B16" s="134" t="s">
        <v>62</v>
      </c>
      <c r="C16" s="134" t="s">
        <v>567</v>
      </c>
      <c r="D16" s="134" t="s">
        <v>417</v>
      </c>
      <c r="E16" s="134" t="s">
        <v>787</v>
      </c>
      <c r="F16" s="134" t="s">
        <v>221</v>
      </c>
      <c r="G16" s="167" t="s">
        <v>541</v>
      </c>
      <c r="H16" s="166">
        <v>51</v>
      </c>
      <c r="I16" s="166">
        <v>48</v>
      </c>
      <c r="J16" s="166">
        <v>0.63270000000000004</v>
      </c>
      <c r="K16" s="166">
        <v>0.63870000000000005</v>
      </c>
      <c r="L16" s="166">
        <v>0.65580000000000005</v>
      </c>
      <c r="M16" s="166">
        <v>0.65390000000000004</v>
      </c>
      <c r="N16" s="166">
        <v>0.62409999999999999</v>
      </c>
      <c r="O16" s="166">
        <v>0.64359999999999995</v>
      </c>
      <c r="P16" s="175" t="s">
        <v>541</v>
      </c>
      <c r="Q16" s="174" t="s">
        <v>82</v>
      </c>
      <c r="R16" s="174" t="s">
        <v>545</v>
      </c>
      <c r="S16" s="174">
        <v>0.61460000000000004</v>
      </c>
      <c r="T16" s="174">
        <v>0.61629999999999996</v>
      </c>
      <c r="U16" s="174">
        <v>0.62229999999999996</v>
      </c>
      <c r="V16" s="174">
        <v>0.63080000000000003</v>
      </c>
      <c r="W16" s="174">
        <v>0.61599999999999999</v>
      </c>
      <c r="X16" s="174">
        <v>0.62060000000000004</v>
      </c>
      <c r="Y16" s="141" t="s">
        <v>541</v>
      </c>
      <c r="Z16" s="134" t="s">
        <v>569</v>
      </c>
      <c r="AA16" s="134" t="s">
        <v>162</v>
      </c>
      <c r="AB16" s="137">
        <v>0.61860000000000004</v>
      </c>
      <c r="AC16" s="137">
        <v>0.63149999999999995</v>
      </c>
      <c r="AD16" s="137">
        <v>0.61250000000000004</v>
      </c>
      <c r="AE16" s="137">
        <v>0.63770000000000004</v>
      </c>
      <c r="AF16" s="137">
        <v>0.64029999999999998</v>
      </c>
      <c r="AG16" s="137">
        <v>0.62629999999999997</v>
      </c>
      <c r="AH16" s="155" t="s">
        <v>541</v>
      </c>
      <c r="AI16" s="134" t="s">
        <v>640</v>
      </c>
      <c r="AJ16" s="134" t="s">
        <v>641</v>
      </c>
      <c r="AK16" s="137">
        <v>0.60780000000000001</v>
      </c>
      <c r="AL16" s="137">
        <v>0.63390000000000002</v>
      </c>
      <c r="AM16" s="137">
        <v>0.60580000000000001</v>
      </c>
      <c r="AN16" s="137">
        <v>0.67279999999999995</v>
      </c>
      <c r="AO16" s="137">
        <v>0.64729999999999999</v>
      </c>
      <c r="AP16" s="137">
        <v>0.63139999999999996</v>
      </c>
      <c r="AQ16" s="139" t="s">
        <v>405</v>
      </c>
      <c r="AR16" s="134" t="s">
        <v>512</v>
      </c>
      <c r="AS16" s="134" t="s">
        <v>513</v>
      </c>
      <c r="AT16" s="137">
        <v>0.64280000000000004</v>
      </c>
      <c r="AU16" s="137">
        <v>0.70909999999999995</v>
      </c>
      <c r="AV16" s="137">
        <v>0.67120000000000002</v>
      </c>
      <c r="AW16" s="137">
        <v>0.74129999999999996</v>
      </c>
      <c r="AX16" s="137">
        <v>0.70240000000000002</v>
      </c>
      <c r="AY16" s="137">
        <v>0.69199999999999995</v>
      </c>
      <c r="AZ16" s="145" t="s">
        <v>404</v>
      </c>
      <c r="BA16" s="134" t="s">
        <v>512</v>
      </c>
      <c r="BB16" s="134" t="s">
        <v>512</v>
      </c>
      <c r="BC16" s="137">
        <v>0.70920000000000005</v>
      </c>
      <c r="BD16" s="137">
        <v>0.73380000000000001</v>
      </c>
      <c r="BE16" s="137">
        <v>0.71120000000000005</v>
      </c>
      <c r="BF16" s="137">
        <v>0.77829999999999999</v>
      </c>
      <c r="BG16" s="137">
        <v>0.72470000000000001</v>
      </c>
      <c r="BH16" s="137">
        <v>0.73250000000000004</v>
      </c>
      <c r="BI16" s="135" t="s">
        <v>405</v>
      </c>
      <c r="BJ16" s="152">
        <v>33</v>
      </c>
      <c r="BK16" s="152">
        <v>33</v>
      </c>
      <c r="BL16" s="137">
        <v>0.69230000000000003</v>
      </c>
      <c r="BM16" s="137">
        <v>0.69820000000000004</v>
      </c>
      <c r="BN16" s="137">
        <v>0.68169999999999997</v>
      </c>
      <c r="BO16" s="137">
        <v>0.74570000000000003</v>
      </c>
      <c r="BP16" s="137">
        <v>0.71240000000000003</v>
      </c>
      <c r="BQ16" s="137">
        <v>0.70509999999999995</v>
      </c>
      <c r="BR16" s="279" t="s">
        <v>405</v>
      </c>
      <c r="BS16" s="272">
        <v>45</v>
      </c>
      <c r="BT16" s="272">
        <v>44</v>
      </c>
      <c r="BU16" s="272">
        <v>0.6895</v>
      </c>
      <c r="BV16" s="272">
        <v>0.68179999999999996</v>
      </c>
      <c r="BW16" s="272">
        <v>0.69640000000000002</v>
      </c>
      <c r="BX16" s="272">
        <v>0.73729999999999996</v>
      </c>
      <c r="BY16" s="272">
        <v>0.69540000000000002</v>
      </c>
      <c r="BZ16" s="272">
        <v>0.70079999999999998</v>
      </c>
      <c r="CA16" s="709" t="s">
        <v>405</v>
      </c>
      <c r="CB16" s="682" t="s">
        <v>634</v>
      </c>
      <c r="CC16" s="682" t="s">
        <v>421</v>
      </c>
      <c r="CD16" s="682">
        <v>0.68200000000000005</v>
      </c>
      <c r="CE16" s="682">
        <v>0.66890000000000005</v>
      </c>
      <c r="CF16" s="682">
        <v>0.66990000000000005</v>
      </c>
      <c r="CG16" s="682">
        <v>0.72060000000000002</v>
      </c>
      <c r="CH16" s="682">
        <v>0.67779999999999996</v>
      </c>
      <c r="CI16" s="682">
        <v>0.68469999999999998</v>
      </c>
      <c r="CK16" s="624"/>
      <c r="CL16" s="624"/>
      <c r="CM16" s="624"/>
      <c r="CN16" s="624"/>
      <c r="CO16" s="624"/>
      <c r="CP16" s="624"/>
      <c r="CQ16" s="624"/>
      <c r="CR16" s="628"/>
      <c r="CS16" s="569" t="s">
        <v>541</v>
      </c>
      <c r="CT16" s="569">
        <v>78</v>
      </c>
      <c r="CU16" s="569">
        <v>74</v>
      </c>
      <c r="CV16" s="590">
        <v>0.66839999999999999</v>
      </c>
      <c r="CW16" s="590">
        <v>0.65169999999999995</v>
      </c>
      <c r="CX16" s="590">
        <v>0.62960000000000005</v>
      </c>
      <c r="CY16" s="590">
        <v>0.69240000000000002</v>
      </c>
      <c r="CZ16" s="590">
        <v>0.64480000000000004</v>
      </c>
      <c r="DA16" s="590">
        <v>0.6593</v>
      </c>
    </row>
    <row r="17" spans="1:105" x14ac:dyDescent="0.25">
      <c r="A17" s="36" t="s">
        <v>44</v>
      </c>
      <c r="B17" s="134" t="s">
        <v>43</v>
      </c>
      <c r="C17" s="134" t="s">
        <v>567</v>
      </c>
      <c r="D17" s="134" t="s">
        <v>417</v>
      </c>
      <c r="E17" s="134" t="s">
        <v>787</v>
      </c>
      <c r="F17" s="134" t="s">
        <v>221</v>
      </c>
      <c r="G17" s="167" t="s">
        <v>541</v>
      </c>
      <c r="H17" s="166">
        <v>48</v>
      </c>
      <c r="I17" s="166">
        <v>47</v>
      </c>
      <c r="J17" s="166">
        <v>0.64610000000000001</v>
      </c>
      <c r="K17" s="166">
        <v>0.64419999999999999</v>
      </c>
      <c r="L17" s="166">
        <v>0.66759999999999997</v>
      </c>
      <c r="M17" s="166">
        <v>0.65890000000000004</v>
      </c>
      <c r="N17" s="166">
        <v>0.67510000000000003</v>
      </c>
      <c r="O17" s="166">
        <v>0.65580000000000005</v>
      </c>
      <c r="P17" s="635" t="s">
        <v>541</v>
      </c>
      <c r="Q17" s="166" t="s">
        <v>464</v>
      </c>
      <c r="R17" s="166" t="s">
        <v>569</v>
      </c>
      <c r="S17" s="166">
        <v>0.64659999999999995</v>
      </c>
      <c r="T17" s="166">
        <v>0.63839999999999997</v>
      </c>
      <c r="U17" s="166">
        <v>0.64510000000000001</v>
      </c>
      <c r="V17" s="166">
        <v>0.64100000000000001</v>
      </c>
      <c r="W17" s="166">
        <v>0.65990000000000004</v>
      </c>
      <c r="X17" s="166">
        <v>0.64410000000000001</v>
      </c>
      <c r="Y17" s="141" t="s">
        <v>541</v>
      </c>
      <c r="Z17" s="134" t="s">
        <v>162</v>
      </c>
      <c r="AA17" s="134" t="s">
        <v>145</v>
      </c>
      <c r="AB17" s="137">
        <v>0.66569999999999996</v>
      </c>
      <c r="AC17" s="137">
        <v>0.65200000000000002</v>
      </c>
      <c r="AD17" s="137">
        <v>0.64119999999999999</v>
      </c>
      <c r="AE17" s="137">
        <v>0.65890000000000004</v>
      </c>
      <c r="AF17" s="137">
        <v>0.67149999999999999</v>
      </c>
      <c r="AG17" s="137">
        <v>0.65569999999999995</v>
      </c>
      <c r="AH17" s="155" t="s">
        <v>541</v>
      </c>
      <c r="AI17" s="134" t="s">
        <v>162</v>
      </c>
      <c r="AJ17" s="134" t="s">
        <v>145</v>
      </c>
      <c r="AK17" s="137">
        <v>0.66569999999999996</v>
      </c>
      <c r="AL17" s="137">
        <v>0.65200000000000002</v>
      </c>
      <c r="AM17" s="137">
        <v>0.64119999999999999</v>
      </c>
      <c r="AN17" s="137">
        <v>0.65890000000000004</v>
      </c>
      <c r="AO17" s="137">
        <v>0.67149999999999999</v>
      </c>
      <c r="AP17" s="137">
        <v>0.65569999999999995</v>
      </c>
      <c r="AQ17" s="142" t="s">
        <v>541</v>
      </c>
      <c r="AR17" s="134" t="s">
        <v>162</v>
      </c>
      <c r="AS17" s="134" t="s">
        <v>145</v>
      </c>
      <c r="AT17" s="137">
        <v>0.66569999999999996</v>
      </c>
      <c r="AU17" s="137">
        <v>0.65200000000000002</v>
      </c>
      <c r="AV17" s="137">
        <v>0.64119999999999999</v>
      </c>
      <c r="AW17" s="137">
        <v>0.65890000000000004</v>
      </c>
      <c r="AX17" s="137">
        <v>0.67149999999999999</v>
      </c>
      <c r="AY17" s="137">
        <v>0.65569999999999995</v>
      </c>
      <c r="AZ17" s="141" t="s">
        <v>541</v>
      </c>
      <c r="BA17" s="134" t="s">
        <v>162</v>
      </c>
      <c r="BB17" s="134" t="s">
        <v>145</v>
      </c>
      <c r="BC17" s="137">
        <v>0.66569999999999996</v>
      </c>
      <c r="BD17" s="137">
        <v>0.65200000000000002</v>
      </c>
      <c r="BE17" s="137">
        <v>0.64119999999999999</v>
      </c>
      <c r="BF17" s="137">
        <v>0.65890000000000004</v>
      </c>
      <c r="BG17" s="137">
        <v>0.67149999999999999</v>
      </c>
      <c r="BH17" s="137">
        <v>0.65569999999999995</v>
      </c>
      <c r="BI17" s="140" t="s">
        <v>541</v>
      </c>
      <c r="BJ17" s="152">
        <v>40</v>
      </c>
      <c r="BK17" s="152">
        <v>38</v>
      </c>
      <c r="BL17" s="137">
        <v>0.66569999999999996</v>
      </c>
      <c r="BM17" s="137">
        <v>0.65200000000000002</v>
      </c>
      <c r="BN17" s="137">
        <v>0.64119999999999999</v>
      </c>
      <c r="BO17" s="137">
        <v>0.65890000000000004</v>
      </c>
      <c r="BP17" s="137">
        <v>0.67149999999999999</v>
      </c>
      <c r="BQ17" s="137">
        <v>0.65569999999999995</v>
      </c>
      <c r="BR17" s="639"/>
      <c r="BS17" s="271"/>
      <c r="BT17" s="271"/>
      <c r="BU17" s="271"/>
      <c r="BV17" s="271"/>
      <c r="BW17" s="271"/>
      <c r="BX17" s="271"/>
      <c r="BY17" s="271"/>
      <c r="BZ17" s="271"/>
      <c r="CA17" s="346"/>
      <c r="CB17" s="346"/>
      <c r="CC17" s="346"/>
      <c r="CD17" s="346"/>
      <c r="CE17" s="346"/>
      <c r="CF17" s="346"/>
      <c r="CG17" s="346"/>
      <c r="CH17" s="346"/>
      <c r="CI17" s="346"/>
      <c r="CJ17" s="724"/>
      <c r="CK17" s="624"/>
      <c r="CL17" s="624"/>
      <c r="CM17" s="624"/>
      <c r="CN17" s="624"/>
      <c r="CO17" s="624"/>
      <c r="CP17" s="624"/>
      <c r="CQ17" s="624"/>
      <c r="CR17" s="628"/>
      <c r="CS17" s="568"/>
      <c r="CT17" s="587"/>
      <c r="CU17" s="587"/>
      <c r="CV17" s="591"/>
      <c r="CW17" s="591"/>
      <c r="CX17" s="591"/>
      <c r="CY17" s="591"/>
      <c r="CZ17" s="591"/>
      <c r="DA17" s="591"/>
    </row>
    <row r="18" spans="1:105" x14ac:dyDescent="0.25">
      <c r="A18" s="36" t="s">
        <v>69</v>
      </c>
      <c r="B18" s="134" t="s">
        <v>68</v>
      </c>
      <c r="C18" s="134" t="s">
        <v>567</v>
      </c>
      <c r="D18" s="134" t="s">
        <v>417</v>
      </c>
      <c r="E18" s="134" t="s">
        <v>787</v>
      </c>
      <c r="F18" s="134" t="s">
        <v>221</v>
      </c>
      <c r="G18" s="167" t="s">
        <v>541</v>
      </c>
      <c r="H18" s="166">
        <v>54</v>
      </c>
      <c r="I18" s="166">
        <v>54</v>
      </c>
      <c r="J18" s="166">
        <v>0.64249999999999996</v>
      </c>
      <c r="K18" s="166">
        <v>0.64390000000000003</v>
      </c>
      <c r="L18" s="166">
        <v>0.65990000000000004</v>
      </c>
      <c r="M18" s="166">
        <v>0.64510000000000001</v>
      </c>
      <c r="N18" s="166">
        <v>0.624</v>
      </c>
      <c r="O18" s="166">
        <v>0.64600000000000002</v>
      </c>
      <c r="P18" s="635" t="s">
        <v>541</v>
      </c>
      <c r="Q18" s="166" t="s">
        <v>481</v>
      </c>
      <c r="R18" s="166" t="s">
        <v>481</v>
      </c>
      <c r="S18" s="166">
        <v>0.61650000000000005</v>
      </c>
      <c r="T18" s="166">
        <v>0.6321</v>
      </c>
      <c r="U18" s="166">
        <v>0.66059999999999997</v>
      </c>
      <c r="V18" s="166">
        <v>0.65820000000000001</v>
      </c>
      <c r="W18" s="166">
        <v>0.63439999999999996</v>
      </c>
      <c r="X18" s="166">
        <v>0.64129999999999998</v>
      </c>
      <c r="Y18" s="141" t="s">
        <v>541</v>
      </c>
      <c r="Z18" s="134" t="s">
        <v>145</v>
      </c>
      <c r="AA18" s="134" t="s">
        <v>145</v>
      </c>
      <c r="AB18" s="137">
        <v>0.60270000000000001</v>
      </c>
      <c r="AC18" s="137">
        <v>0.63649999999999995</v>
      </c>
      <c r="AD18" s="137">
        <v>0.629</v>
      </c>
      <c r="AE18" s="137">
        <v>0.67020000000000002</v>
      </c>
      <c r="AF18" s="137">
        <v>0.66420000000000001</v>
      </c>
      <c r="AG18" s="137">
        <v>0.63680000000000003</v>
      </c>
      <c r="AH18" s="155" t="s">
        <v>541</v>
      </c>
      <c r="AI18" s="134" t="s">
        <v>145</v>
      </c>
      <c r="AJ18" s="134" t="s">
        <v>145</v>
      </c>
      <c r="AK18" s="137">
        <v>0.60270000000000001</v>
      </c>
      <c r="AL18" s="137">
        <v>0.63649999999999995</v>
      </c>
      <c r="AM18" s="137">
        <v>0.629</v>
      </c>
      <c r="AN18" s="137">
        <v>0.67020000000000002</v>
      </c>
      <c r="AO18" s="137">
        <v>0.66420000000000001</v>
      </c>
      <c r="AP18" s="137">
        <v>0.63680000000000003</v>
      </c>
      <c r="AQ18" s="144" t="s">
        <v>557</v>
      </c>
      <c r="AR18" s="134" t="s">
        <v>553</v>
      </c>
      <c r="AS18" s="134" t="s">
        <v>543</v>
      </c>
      <c r="AT18" s="137">
        <v>0.61329999999999996</v>
      </c>
      <c r="AU18" s="137">
        <v>0.62970000000000004</v>
      </c>
      <c r="AV18" s="137">
        <v>0.55689999999999995</v>
      </c>
      <c r="AW18" s="137">
        <v>0.64870000000000005</v>
      </c>
      <c r="AX18" s="137">
        <v>0.68479999999999996</v>
      </c>
      <c r="AY18" s="137">
        <v>0.61770000000000003</v>
      </c>
      <c r="AZ18" s="700" t="s">
        <v>541</v>
      </c>
      <c r="BA18" s="133" t="s">
        <v>530</v>
      </c>
      <c r="BB18" s="133" t="s">
        <v>553</v>
      </c>
      <c r="BC18" s="163">
        <v>0.64770000000000005</v>
      </c>
      <c r="BD18" s="163">
        <v>0.625</v>
      </c>
      <c r="BE18" s="163">
        <v>0.55659999999999998</v>
      </c>
      <c r="BF18" s="163">
        <v>0.69620000000000004</v>
      </c>
      <c r="BG18" s="163">
        <v>0.69240000000000002</v>
      </c>
      <c r="BH18" s="163">
        <v>0.6361</v>
      </c>
      <c r="BI18" s="140" t="s">
        <v>541</v>
      </c>
      <c r="BJ18" s="152">
        <v>30</v>
      </c>
      <c r="BK18" s="152">
        <v>26</v>
      </c>
      <c r="BL18" s="137">
        <v>0.65900000000000003</v>
      </c>
      <c r="BM18" s="137">
        <v>0.63329999999999997</v>
      </c>
      <c r="BN18" s="137">
        <v>0.58950000000000002</v>
      </c>
      <c r="BO18" s="137">
        <v>0.7006</v>
      </c>
      <c r="BP18" s="137">
        <v>0.67779999999999996</v>
      </c>
      <c r="BQ18" s="137">
        <v>0.64810000000000001</v>
      </c>
      <c r="BR18" s="279" t="s">
        <v>405</v>
      </c>
      <c r="BS18" s="272">
        <v>31</v>
      </c>
      <c r="BT18" s="272">
        <v>31</v>
      </c>
      <c r="BU18" s="272">
        <v>0.68240000000000001</v>
      </c>
      <c r="BV18" s="272">
        <v>0.65600000000000003</v>
      </c>
      <c r="BW18" s="272">
        <v>0.64929999999999999</v>
      </c>
      <c r="BX18" s="272">
        <v>0.73729999999999996</v>
      </c>
      <c r="BY18" s="272">
        <v>0.67320000000000002</v>
      </c>
      <c r="BZ18" s="272">
        <v>0.68069999999999997</v>
      </c>
      <c r="CA18" s="346"/>
      <c r="CB18" s="346"/>
      <c r="CC18" s="346"/>
      <c r="CD18" s="346"/>
      <c r="CE18" s="346"/>
      <c r="CF18" s="346"/>
      <c r="CG18" s="346"/>
      <c r="CH18" s="346"/>
      <c r="CI18" s="346"/>
      <c r="CJ18" s="724"/>
      <c r="CK18" s="624"/>
      <c r="CL18" s="624"/>
      <c r="CM18" s="624"/>
      <c r="CN18" s="624"/>
      <c r="CO18" s="624"/>
      <c r="CP18" s="624"/>
      <c r="CQ18" s="624"/>
      <c r="CR18" s="628"/>
      <c r="CS18" s="569" t="s">
        <v>404</v>
      </c>
      <c r="CT18" s="569">
        <v>20</v>
      </c>
      <c r="CU18" s="569">
        <v>20</v>
      </c>
      <c r="CV18" s="590">
        <v>0.72860000000000003</v>
      </c>
      <c r="CW18" s="590">
        <v>0.7137</v>
      </c>
      <c r="CX18" s="590">
        <v>0.72319999999999995</v>
      </c>
      <c r="CY18" s="590">
        <v>0.79279999999999995</v>
      </c>
      <c r="CZ18" s="590">
        <v>0.75960000000000005</v>
      </c>
      <c r="DA18" s="590">
        <v>0.74109999999999998</v>
      </c>
    </row>
    <row r="19" spans="1:105" x14ac:dyDescent="0.25">
      <c r="A19" s="36" t="s">
        <v>268</v>
      </c>
      <c r="B19" s="134" t="s">
        <v>274</v>
      </c>
      <c r="C19" s="134" t="s">
        <v>567</v>
      </c>
      <c r="D19" s="134" t="s">
        <v>417</v>
      </c>
      <c r="E19" s="134" t="s">
        <v>787</v>
      </c>
      <c r="F19" s="134" t="s">
        <v>221</v>
      </c>
      <c r="G19" s="134"/>
      <c r="H19" s="134"/>
      <c r="I19" s="134"/>
      <c r="J19" s="134"/>
      <c r="K19" s="134"/>
      <c r="L19" s="134"/>
      <c r="M19" s="134"/>
      <c r="N19" s="134"/>
      <c r="O19" s="134"/>
      <c r="P19" s="568"/>
      <c r="Q19" s="568"/>
      <c r="R19" s="568"/>
      <c r="S19" s="568"/>
      <c r="T19" s="568"/>
      <c r="U19" s="568"/>
      <c r="V19" s="568"/>
      <c r="W19" s="568"/>
      <c r="X19" s="568"/>
      <c r="Y19" s="134"/>
      <c r="Z19" s="134"/>
      <c r="AA19" s="134"/>
      <c r="AB19" s="137"/>
      <c r="AC19" s="137"/>
      <c r="AD19" s="137"/>
      <c r="AE19" s="137"/>
      <c r="AF19" s="137"/>
      <c r="AG19" s="137"/>
      <c r="AH19" s="156"/>
      <c r="AI19" s="134"/>
      <c r="AJ19" s="134"/>
      <c r="AK19" s="137"/>
      <c r="AL19" s="137"/>
      <c r="AM19" s="137"/>
      <c r="AN19" s="137"/>
      <c r="AO19" s="137"/>
      <c r="AP19" s="137"/>
      <c r="AQ19" s="134"/>
      <c r="AR19" s="134"/>
      <c r="AS19" s="134"/>
      <c r="AT19" s="137"/>
      <c r="AU19" s="137"/>
      <c r="AV19" s="137"/>
      <c r="AW19" s="137"/>
      <c r="AX19" s="137"/>
      <c r="AY19" s="137"/>
      <c r="AZ19" s="134"/>
      <c r="BA19" s="134"/>
      <c r="BB19" s="134"/>
      <c r="BC19" s="137"/>
      <c r="BD19" s="137"/>
      <c r="BE19" s="137"/>
      <c r="BF19" s="137"/>
      <c r="BG19" s="137"/>
      <c r="BH19" s="137"/>
      <c r="BI19" s="140" t="s">
        <v>541</v>
      </c>
      <c r="BJ19" s="152">
        <v>26</v>
      </c>
      <c r="BK19" s="152">
        <v>25</v>
      </c>
      <c r="BL19" s="137">
        <v>0.67859999999999998</v>
      </c>
      <c r="BM19" s="137">
        <v>0.62080000000000002</v>
      </c>
      <c r="BN19" s="137">
        <v>0.65090000000000003</v>
      </c>
      <c r="BO19" s="137">
        <v>0.68110000000000004</v>
      </c>
      <c r="BP19" s="137">
        <v>0.60899999999999999</v>
      </c>
      <c r="BQ19" s="137">
        <v>0.65410000000000001</v>
      </c>
      <c r="BR19" s="279" t="s">
        <v>405</v>
      </c>
      <c r="BS19" s="272">
        <v>51</v>
      </c>
      <c r="BT19" s="272">
        <v>51</v>
      </c>
      <c r="BU19" s="272">
        <v>0.69830000000000003</v>
      </c>
      <c r="BV19" s="272">
        <v>0.65680000000000005</v>
      </c>
      <c r="BW19" s="272">
        <v>0.67710000000000004</v>
      </c>
      <c r="BX19" s="272">
        <v>0.72299999999999998</v>
      </c>
      <c r="BY19" s="272">
        <v>0.65739999999999998</v>
      </c>
      <c r="BZ19" s="272">
        <v>0.68640000000000001</v>
      </c>
      <c r="CA19" s="359" t="s">
        <v>541</v>
      </c>
      <c r="CB19" s="357" t="s">
        <v>448</v>
      </c>
      <c r="CC19" s="357" t="s">
        <v>448</v>
      </c>
      <c r="CD19" s="357">
        <v>0.66639999999999999</v>
      </c>
      <c r="CE19" s="357">
        <v>0.62970000000000004</v>
      </c>
      <c r="CF19" s="357">
        <v>0.6633</v>
      </c>
      <c r="CG19" s="357">
        <v>0.71250000000000002</v>
      </c>
      <c r="CH19" s="357">
        <v>0.65410000000000001</v>
      </c>
      <c r="CI19" s="357">
        <v>0.66690000000000005</v>
      </c>
      <c r="CJ19" s="725" t="s">
        <v>405</v>
      </c>
      <c r="CK19" s="626">
        <v>86</v>
      </c>
      <c r="CL19" s="626">
        <v>86</v>
      </c>
      <c r="CM19" s="626">
        <v>0.67330000000000001</v>
      </c>
      <c r="CN19" s="626">
        <v>0.64680000000000004</v>
      </c>
      <c r="CO19" s="626">
        <v>0.66930000000000001</v>
      </c>
      <c r="CP19" s="626">
        <v>0.7349</v>
      </c>
      <c r="CQ19" s="626">
        <v>0.67910000000000004</v>
      </c>
      <c r="CR19" s="721">
        <v>0.68089999999999995</v>
      </c>
      <c r="CS19" s="569" t="s">
        <v>405</v>
      </c>
      <c r="CT19" s="569">
        <v>99</v>
      </c>
      <c r="CU19" s="569">
        <v>99</v>
      </c>
      <c r="CV19" s="590">
        <v>0.67369999999999997</v>
      </c>
      <c r="CW19" s="590">
        <v>0.64480000000000004</v>
      </c>
      <c r="CX19" s="590">
        <v>0.65759999999999996</v>
      </c>
      <c r="CY19" s="590">
        <v>0.72340000000000004</v>
      </c>
      <c r="CZ19" s="590">
        <v>0.69059999999999999</v>
      </c>
      <c r="DA19" s="590">
        <v>0.67610000000000003</v>
      </c>
    </row>
    <row r="20" spans="1:105" x14ac:dyDescent="0.25">
      <c r="A20" s="36" t="s">
        <v>223</v>
      </c>
      <c r="B20" s="271" t="s">
        <v>537</v>
      </c>
      <c r="C20" s="134" t="s">
        <v>567</v>
      </c>
      <c r="D20" s="134" t="s">
        <v>417</v>
      </c>
      <c r="E20" s="134" t="s">
        <v>787</v>
      </c>
      <c r="F20" s="134" t="s">
        <v>219</v>
      </c>
      <c r="G20" s="271"/>
      <c r="H20" s="271"/>
      <c r="I20" s="271"/>
      <c r="J20" s="271"/>
      <c r="K20" s="271"/>
      <c r="L20" s="271"/>
      <c r="M20" s="271"/>
      <c r="N20" s="271"/>
      <c r="O20" s="271"/>
      <c r="P20" s="271"/>
      <c r="Q20" s="271"/>
      <c r="R20" s="271"/>
      <c r="S20" s="271"/>
      <c r="T20" s="271"/>
      <c r="U20" s="271"/>
      <c r="V20" s="271"/>
      <c r="W20" s="271"/>
      <c r="X20" s="271"/>
      <c r="Y20" s="271"/>
      <c r="Z20" s="271"/>
      <c r="AA20" s="271"/>
      <c r="AB20" s="273"/>
      <c r="AC20" s="273"/>
      <c r="AD20" s="273"/>
      <c r="AE20" s="273"/>
      <c r="AF20" s="273"/>
      <c r="AG20" s="273"/>
      <c r="AH20" s="697" t="s">
        <v>405</v>
      </c>
      <c r="AI20" s="271" t="s">
        <v>486</v>
      </c>
      <c r="AJ20" s="271" t="s">
        <v>486</v>
      </c>
      <c r="AK20" s="273">
        <v>0.68220000000000003</v>
      </c>
      <c r="AL20" s="273">
        <v>0.70140000000000002</v>
      </c>
      <c r="AM20" s="273">
        <v>0.6946</v>
      </c>
      <c r="AN20" s="273">
        <v>0.73209999999999997</v>
      </c>
      <c r="AO20" s="273">
        <v>0.64070000000000005</v>
      </c>
      <c r="AP20" s="273">
        <v>0.69779999999999998</v>
      </c>
      <c r="AQ20" s="276" t="s">
        <v>405</v>
      </c>
      <c r="AR20" s="271" t="s">
        <v>538</v>
      </c>
      <c r="AS20" s="271" t="s">
        <v>539</v>
      </c>
      <c r="AT20" s="273">
        <v>0.67100000000000004</v>
      </c>
      <c r="AU20" s="273">
        <v>0.67769999999999997</v>
      </c>
      <c r="AV20" s="273">
        <v>0.66720000000000002</v>
      </c>
      <c r="AW20" s="273">
        <v>0.71970000000000001</v>
      </c>
      <c r="AX20" s="273">
        <v>0.64910000000000001</v>
      </c>
      <c r="AY20" s="273">
        <v>0.68120000000000003</v>
      </c>
      <c r="AZ20" s="681" t="s">
        <v>405</v>
      </c>
      <c r="BA20" s="272" t="s">
        <v>811</v>
      </c>
      <c r="BB20" s="272" t="s">
        <v>914</v>
      </c>
      <c r="BC20" s="272">
        <v>0.6774</v>
      </c>
      <c r="BD20" s="272">
        <v>0.6724</v>
      </c>
      <c r="BE20" s="272">
        <v>0.64829999999999999</v>
      </c>
      <c r="BF20" s="272">
        <v>0.7137</v>
      </c>
      <c r="BG20" s="272">
        <v>0.64710000000000001</v>
      </c>
      <c r="BH20" s="272">
        <v>0.67559999999999998</v>
      </c>
      <c r="BI20" s="277" t="s">
        <v>541</v>
      </c>
      <c r="BJ20" s="274">
        <v>421</v>
      </c>
      <c r="BK20" s="274">
        <v>414</v>
      </c>
      <c r="BL20" s="273">
        <v>0.67290000000000005</v>
      </c>
      <c r="BM20" s="273">
        <v>0.65180000000000005</v>
      </c>
      <c r="BN20" s="273">
        <v>0.62380000000000002</v>
      </c>
      <c r="BO20" s="273">
        <v>0.69479999999999997</v>
      </c>
      <c r="BP20" s="273">
        <v>0.63600000000000001</v>
      </c>
      <c r="BQ20" s="273">
        <v>0.65890000000000004</v>
      </c>
      <c r="BR20" s="281" t="s">
        <v>541</v>
      </c>
      <c r="BS20" s="272">
        <v>449</v>
      </c>
      <c r="BT20" s="272">
        <v>443</v>
      </c>
      <c r="BU20" s="272">
        <v>0.67269999999999996</v>
      </c>
      <c r="BV20" s="272">
        <v>0.64759999999999995</v>
      </c>
      <c r="BW20" s="272">
        <v>0.62160000000000004</v>
      </c>
      <c r="BX20" s="272">
        <v>0.69169999999999998</v>
      </c>
      <c r="BY20" s="272">
        <v>0.62339999999999995</v>
      </c>
      <c r="BZ20" s="272">
        <v>0.65569999999999995</v>
      </c>
      <c r="CA20" s="359" t="s">
        <v>541</v>
      </c>
      <c r="CB20" s="357" t="s">
        <v>940</v>
      </c>
      <c r="CC20" s="357" t="s">
        <v>805</v>
      </c>
      <c r="CD20" s="357">
        <v>0.66159999999999997</v>
      </c>
      <c r="CE20" s="357">
        <v>0.63980000000000004</v>
      </c>
      <c r="CF20" s="357">
        <v>0.62849999999999995</v>
      </c>
      <c r="CG20" s="357">
        <v>0.69099999999999995</v>
      </c>
      <c r="CH20" s="357">
        <v>0.62009999999999998</v>
      </c>
      <c r="CI20" s="357">
        <v>0.65249999999999997</v>
      </c>
      <c r="CJ20" s="715" t="s">
        <v>541</v>
      </c>
      <c r="CK20" s="626">
        <v>417</v>
      </c>
      <c r="CL20" s="626">
        <v>404</v>
      </c>
      <c r="CM20" s="626">
        <v>0.66420000000000001</v>
      </c>
      <c r="CN20" s="626">
        <v>0.65310000000000001</v>
      </c>
      <c r="CO20" s="626">
        <v>0.63849999999999996</v>
      </c>
      <c r="CP20" s="626">
        <v>0.70240000000000002</v>
      </c>
      <c r="CQ20" s="626">
        <v>0.64549999999999996</v>
      </c>
      <c r="CR20" s="721">
        <v>0.66310000000000002</v>
      </c>
      <c r="CS20" s="569" t="s">
        <v>541</v>
      </c>
      <c r="CT20" s="569">
        <v>413</v>
      </c>
      <c r="CU20" s="569">
        <v>400</v>
      </c>
      <c r="CV20" s="590">
        <v>0.66439999999999999</v>
      </c>
      <c r="CW20" s="590">
        <v>0.66239999999999999</v>
      </c>
      <c r="CX20" s="590">
        <v>0.64229999999999998</v>
      </c>
      <c r="CY20" s="590">
        <v>0.71099999999999997</v>
      </c>
      <c r="CZ20" s="590">
        <v>0.66339999999999999</v>
      </c>
      <c r="DA20" s="590">
        <v>0.66949999999999998</v>
      </c>
    </row>
    <row r="21" spans="1:105" x14ac:dyDescent="0.25">
      <c r="A21" s="36" t="s">
        <v>126</v>
      </c>
      <c r="B21" s="134" t="s">
        <v>125</v>
      </c>
      <c r="C21" s="134" t="s">
        <v>567</v>
      </c>
      <c r="D21" s="134" t="s">
        <v>417</v>
      </c>
      <c r="E21" s="134" t="s">
        <v>787</v>
      </c>
      <c r="F21" s="134" t="s">
        <v>221</v>
      </c>
      <c r="G21" s="168" t="s">
        <v>404</v>
      </c>
      <c r="H21" s="166">
        <v>521</v>
      </c>
      <c r="I21" s="166">
        <v>520</v>
      </c>
      <c r="J21" s="166">
        <v>0.74439999999999995</v>
      </c>
      <c r="K21" s="166">
        <v>0.75800000000000001</v>
      </c>
      <c r="L21" s="166">
        <v>0.75370000000000004</v>
      </c>
      <c r="M21" s="166">
        <v>0.76060000000000005</v>
      </c>
      <c r="N21" s="166">
        <v>0.752</v>
      </c>
      <c r="O21" s="166">
        <v>0.754</v>
      </c>
      <c r="P21" s="177" t="s">
        <v>404</v>
      </c>
      <c r="Q21" s="174" t="s">
        <v>808</v>
      </c>
      <c r="R21" s="174" t="s">
        <v>809</v>
      </c>
      <c r="S21" s="174">
        <v>0.745</v>
      </c>
      <c r="T21" s="174">
        <v>0.75460000000000005</v>
      </c>
      <c r="U21" s="174">
        <v>0.74490000000000001</v>
      </c>
      <c r="V21" s="174">
        <v>0.75190000000000001</v>
      </c>
      <c r="W21" s="174">
        <v>0.75119999999999998</v>
      </c>
      <c r="X21" s="174">
        <v>0.74919999999999998</v>
      </c>
      <c r="Y21" s="145" t="s">
        <v>404</v>
      </c>
      <c r="Z21" s="134" t="s">
        <v>645</v>
      </c>
      <c r="AA21" s="134" t="s">
        <v>646</v>
      </c>
      <c r="AB21" s="137">
        <v>0.75770000000000004</v>
      </c>
      <c r="AC21" s="137">
        <v>0.76670000000000005</v>
      </c>
      <c r="AD21" s="137">
        <v>0.75739999999999996</v>
      </c>
      <c r="AE21" s="137">
        <v>0.75949999999999995</v>
      </c>
      <c r="AF21" s="137">
        <v>0.77239999999999998</v>
      </c>
      <c r="AG21" s="137">
        <v>0.76119999999999999</v>
      </c>
      <c r="AH21" s="158" t="s">
        <v>404</v>
      </c>
      <c r="AI21" s="134" t="s">
        <v>573</v>
      </c>
      <c r="AJ21" s="134" t="s">
        <v>574</v>
      </c>
      <c r="AK21" s="137">
        <v>0.76329999999999998</v>
      </c>
      <c r="AL21" s="137">
        <v>0.77090000000000003</v>
      </c>
      <c r="AM21" s="137">
        <v>0.76080000000000003</v>
      </c>
      <c r="AN21" s="137">
        <v>0.76300000000000001</v>
      </c>
      <c r="AO21" s="137">
        <v>0.78290000000000004</v>
      </c>
      <c r="AP21" s="137">
        <v>0.76590000000000003</v>
      </c>
      <c r="AQ21" s="148" t="s">
        <v>403</v>
      </c>
      <c r="AR21" s="134" t="s">
        <v>427</v>
      </c>
      <c r="AS21" s="134" t="s">
        <v>428</v>
      </c>
      <c r="AT21" s="137">
        <v>0.77580000000000005</v>
      </c>
      <c r="AU21" s="137">
        <v>0.78120000000000001</v>
      </c>
      <c r="AV21" s="137">
        <v>0.77249999999999996</v>
      </c>
      <c r="AW21" s="137">
        <v>0.78120000000000001</v>
      </c>
      <c r="AX21" s="137">
        <v>0.79010000000000002</v>
      </c>
      <c r="AY21" s="137">
        <v>0.77859999999999996</v>
      </c>
      <c r="AZ21" s="147" t="s">
        <v>403</v>
      </c>
      <c r="BA21" s="134" t="s">
        <v>742</v>
      </c>
      <c r="BB21" s="134" t="s">
        <v>716</v>
      </c>
      <c r="BC21" s="137">
        <v>0.78110000000000002</v>
      </c>
      <c r="BD21" s="137">
        <v>0.76849999999999996</v>
      </c>
      <c r="BE21" s="137">
        <v>0.75670000000000004</v>
      </c>
      <c r="BF21" s="137">
        <v>0.78180000000000005</v>
      </c>
      <c r="BG21" s="137">
        <v>0.78300000000000003</v>
      </c>
      <c r="BH21" s="137">
        <v>0.77290000000000003</v>
      </c>
      <c r="BI21" s="146" t="s">
        <v>403</v>
      </c>
      <c r="BJ21" s="152">
        <v>333</v>
      </c>
      <c r="BK21" s="152">
        <v>327</v>
      </c>
      <c r="BL21" s="137">
        <v>0.78590000000000004</v>
      </c>
      <c r="BM21" s="137">
        <v>0.76180000000000003</v>
      </c>
      <c r="BN21" s="137">
        <v>0.76229999999999998</v>
      </c>
      <c r="BO21" s="137">
        <v>0.78720000000000001</v>
      </c>
      <c r="BP21" s="137">
        <v>0.78039999999999998</v>
      </c>
      <c r="BQ21" s="137">
        <v>0.77480000000000004</v>
      </c>
      <c r="BR21" s="282" t="s">
        <v>403</v>
      </c>
      <c r="BS21" s="272">
        <v>326</v>
      </c>
      <c r="BT21" s="272">
        <v>325</v>
      </c>
      <c r="BU21" s="272">
        <v>0.78710000000000002</v>
      </c>
      <c r="BV21" s="272">
        <v>0.75119999999999998</v>
      </c>
      <c r="BW21" s="272">
        <v>0.75619999999999998</v>
      </c>
      <c r="BX21" s="272">
        <v>0.78990000000000005</v>
      </c>
      <c r="BY21" s="272">
        <v>0.79590000000000005</v>
      </c>
      <c r="BZ21" s="272">
        <v>0.77300000000000002</v>
      </c>
      <c r="CA21" s="360" t="s">
        <v>403</v>
      </c>
      <c r="CB21" s="357" t="s">
        <v>748</v>
      </c>
      <c r="CC21" s="357" t="s">
        <v>941</v>
      </c>
      <c r="CD21" s="357">
        <v>0.78669999999999995</v>
      </c>
      <c r="CE21" s="357">
        <v>0.75049999999999994</v>
      </c>
      <c r="CF21" s="357">
        <v>0.76300000000000001</v>
      </c>
      <c r="CG21" s="357">
        <v>0.79810000000000003</v>
      </c>
      <c r="CH21" s="357">
        <v>0.80300000000000005</v>
      </c>
      <c r="CI21" s="357">
        <v>0.77669999999999995</v>
      </c>
      <c r="CJ21" s="726" t="s">
        <v>403</v>
      </c>
      <c r="CK21" s="626">
        <v>350</v>
      </c>
      <c r="CL21" s="626">
        <v>349</v>
      </c>
      <c r="CM21" s="626">
        <v>0.78710000000000002</v>
      </c>
      <c r="CN21" s="626">
        <v>0.75239999999999996</v>
      </c>
      <c r="CO21" s="626">
        <v>0.75449999999999995</v>
      </c>
      <c r="CP21" s="626">
        <v>0.7954</v>
      </c>
      <c r="CQ21" s="626">
        <v>0.81710000000000005</v>
      </c>
      <c r="CR21" s="721">
        <v>0.77580000000000005</v>
      </c>
      <c r="CS21" s="569" t="s">
        <v>403</v>
      </c>
      <c r="CT21" s="569">
        <v>342</v>
      </c>
      <c r="CU21" s="569">
        <v>341</v>
      </c>
      <c r="CV21" s="590">
        <v>0.79669999999999996</v>
      </c>
      <c r="CW21" s="590">
        <v>0.76500000000000001</v>
      </c>
      <c r="CX21" s="590">
        <v>0.76390000000000002</v>
      </c>
      <c r="CY21" s="590">
        <v>0.80430000000000001</v>
      </c>
      <c r="CZ21" s="590">
        <v>0.82210000000000005</v>
      </c>
      <c r="DA21" s="590">
        <v>0.78549999999999998</v>
      </c>
    </row>
    <row r="22" spans="1:105" x14ac:dyDescent="0.25">
      <c r="A22" s="560" t="s">
        <v>269</v>
      </c>
      <c r="B22" s="679">
        <v>325754005331</v>
      </c>
      <c r="C22" s="134" t="s">
        <v>567</v>
      </c>
      <c r="D22" s="134" t="s">
        <v>417</v>
      </c>
      <c r="E22" s="346" t="s">
        <v>787</v>
      </c>
      <c r="F22" s="134" t="s">
        <v>221</v>
      </c>
      <c r="G22" s="372"/>
      <c r="H22" s="348"/>
      <c r="I22" s="348"/>
      <c r="J22" s="348"/>
      <c r="K22" s="348"/>
      <c r="L22" s="348"/>
      <c r="M22" s="348"/>
      <c r="N22" s="348"/>
      <c r="O22" s="348"/>
      <c r="P22" s="372"/>
      <c r="Q22" s="348"/>
      <c r="R22" s="348"/>
      <c r="S22" s="348"/>
      <c r="T22" s="348"/>
      <c r="U22" s="348"/>
      <c r="V22" s="348"/>
      <c r="W22" s="348"/>
      <c r="X22" s="348"/>
      <c r="Y22" s="365"/>
      <c r="Z22" s="346"/>
      <c r="AA22" s="346"/>
      <c r="AB22" s="350"/>
      <c r="AC22" s="350"/>
      <c r="AD22" s="350"/>
      <c r="AE22" s="350"/>
      <c r="AF22" s="350"/>
      <c r="AG22" s="350"/>
      <c r="AH22" s="363"/>
      <c r="AI22" s="346"/>
      <c r="AJ22" s="346"/>
      <c r="AK22" s="350"/>
      <c r="AL22" s="350"/>
      <c r="AM22" s="350"/>
      <c r="AN22" s="350"/>
      <c r="AO22" s="350"/>
      <c r="AP22" s="350"/>
      <c r="AQ22" s="374"/>
      <c r="AR22" s="346"/>
      <c r="AS22" s="346"/>
      <c r="AT22" s="350"/>
      <c r="AU22" s="350"/>
      <c r="AV22" s="350"/>
      <c r="AW22" s="350"/>
      <c r="AX22" s="350"/>
      <c r="AY22" s="350"/>
      <c r="AZ22" s="373"/>
      <c r="BA22" s="346"/>
      <c r="BB22" s="346"/>
      <c r="BC22" s="350"/>
      <c r="BD22" s="350"/>
      <c r="BE22" s="350"/>
      <c r="BF22" s="350"/>
      <c r="BG22" s="350"/>
      <c r="BH22" s="350"/>
      <c r="BI22" s="375"/>
      <c r="BJ22" s="354"/>
      <c r="BK22" s="354"/>
      <c r="BL22" s="350"/>
      <c r="BM22" s="350"/>
      <c r="BN22" s="350"/>
      <c r="BO22" s="350"/>
      <c r="BP22" s="350"/>
      <c r="BQ22" s="350"/>
      <c r="BR22" s="377" t="s">
        <v>541</v>
      </c>
      <c r="BS22" s="348">
        <v>77</v>
      </c>
      <c r="BT22" s="348">
        <v>70</v>
      </c>
      <c r="BU22" s="348">
        <v>0.63580000000000003</v>
      </c>
      <c r="BV22" s="348">
        <v>0.59409999999999996</v>
      </c>
      <c r="BW22" s="348">
        <v>0.58850000000000002</v>
      </c>
      <c r="BX22" s="348">
        <v>0.68889999999999996</v>
      </c>
      <c r="BY22" s="348">
        <v>0.61399999999999999</v>
      </c>
      <c r="BZ22" s="348">
        <v>0.62590000000000001</v>
      </c>
      <c r="CA22" s="359" t="s">
        <v>541</v>
      </c>
      <c r="CB22" s="357" t="s">
        <v>469</v>
      </c>
      <c r="CC22" s="357" t="s">
        <v>82</v>
      </c>
      <c r="CD22" s="357">
        <v>0.63870000000000005</v>
      </c>
      <c r="CE22" s="357">
        <v>0.59899999999999998</v>
      </c>
      <c r="CF22" s="357">
        <v>0.6048</v>
      </c>
      <c r="CG22" s="357">
        <v>0.69210000000000005</v>
      </c>
      <c r="CH22" s="357">
        <v>0.62470000000000003</v>
      </c>
      <c r="CI22" s="357">
        <v>0.63300000000000001</v>
      </c>
      <c r="CJ22" s="724"/>
      <c r="CK22" s="624"/>
      <c r="CL22" s="624"/>
      <c r="CM22" s="624"/>
      <c r="CN22" s="624"/>
      <c r="CO22" s="624"/>
      <c r="CP22" s="624"/>
      <c r="CQ22" s="624"/>
      <c r="CR22" s="628"/>
      <c r="CS22" s="568"/>
      <c r="CT22" s="587"/>
      <c r="CU22" s="587"/>
      <c r="CV22" s="591"/>
      <c r="CW22" s="591"/>
      <c r="CX22" s="591"/>
      <c r="CY22" s="591"/>
      <c r="CZ22" s="591"/>
      <c r="DA22" s="591"/>
    </row>
    <row r="23" spans="1:105" x14ac:dyDescent="0.25">
      <c r="A23" s="36" t="s">
        <v>134</v>
      </c>
      <c r="B23" s="134" t="s">
        <v>133</v>
      </c>
      <c r="C23" s="134" t="s">
        <v>567</v>
      </c>
      <c r="D23" s="134" t="s">
        <v>417</v>
      </c>
      <c r="E23" s="134" t="s">
        <v>787</v>
      </c>
      <c r="F23" s="134" t="s">
        <v>221</v>
      </c>
      <c r="G23" s="165" t="s">
        <v>405</v>
      </c>
      <c r="H23" s="166">
        <v>56</v>
      </c>
      <c r="I23" s="166">
        <v>56</v>
      </c>
      <c r="J23" s="166">
        <v>0.70199999999999996</v>
      </c>
      <c r="K23" s="166">
        <v>0.72460000000000002</v>
      </c>
      <c r="L23" s="166">
        <v>0.70550000000000002</v>
      </c>
      <c r="M23" s="166">
        <v>0.74270000000000003</v>
      </c>
      <c r="N23" s="166">
        <v>0.71389999999999998</v>
      </c>
      <c r="O23" s="166">
        <v>0.71830000000000005</v>
      </c>
      <c r="P23" s="173" t="s">
        <v>405</v>
      </c>
      <c r="Q23" s="174" t="s">
        <v>707</v>
      </c>
      <c r="R23" s="174" t="s">
        <v>707</v>
      </c>
      <c r="S23" s="174">
        <v>0.70030000000000003</v>
      </c>
      <c r="T23" s="174">
        <v>0.71630000000000005</v>
      </c>
      <c r="U23" s="174">
        <v>0.69940000000000002</v>
      </c>
      <c r="V23" s="174">
        <v>0.71779999999999999</v>
      </c>
      <c r="W23" s="174">
        <v>0.70509999999999995</v>
      </c>
      <c r="X23" s="174">
        <v>0.70820000000000005</v>
      </c>
      <c r="Y23" s="138" t="s">
        <v>405</v>
      </c>
      <c r="Z23" s="134" t="s">
        <v>568</v>
      </c>
      <c r="AA23" s="134" t="s">
        <v>568</v>
      </c>
      <c r="AB23" s="137">
        <v>0.70430000000000004</v>
      </c>
      <c r="AC23" s="137">
        <v>0.71430000000000005</v>
      </c>
      <c r="AD23" s="137">
        <v>0.71040000000000003</v>
      </c>
      <c r="AE23" s="137">
        <v>0.71750000000000003</v>
      </c>
      <c r="AF23" s="137">
        <v>0.72989999999999999</v>
      </c>
      <c r="AG23" s="137">
        <v>0.71299999999999997</v>
      </c>
      <c r="AH23" s="158" t="s">
        <v>404</v>
      </c>
      <c r="AI23" s="134" t="s">
        <v>595</v>
      </c>
      <c r="AJ23" s="134" t="s">
        <v>595</v>
      </c>
      <c r="AK23" s="137">
        <v>0.72309999999999997</v>
      </c>
      <c r="AL23" s="137">
        <v>0.72319999999999995</v>
      </c>
      <c r="AM23" s="137">
        <v>0.72670000000000001</v>
      </c>
      <c r="AN23" s="137">
        <v>0.72550000000000003</v>
      </c>
      <c r="AO23" s="137">
        <v>0.74550000000000005</v>
      </c>
      <c r="AP23" s="137">
        <v>0.72619999999999996</v>
      </c>
      <c r="AQ23" s="150" t="s">
        <v>404</v>
      </c>
      <c r="AR23" s="134" t="s">
        <v>421</v>
      </c>
      <c r="AS23" s="134" t="s">
        <v>421</v>
      </c>
      <c r="AT23" s="137">
        <v>0.74299999999999999</v>
      </c>
      <c r="AU23" s="137">
        <v>0.72060000000000002</v>
      </c>
      <c r="AV23" s="137">
        <v>0.71989999999999998</v>
      </c>
      <c r="AW23" s="137">
        <v>0.74299999999999999</v>
      </c>
      <c r="AX23" s="137">
        <v>0.74460000000000004</v>
      </c>
      <c r="AY23" s="137">
        <v>0.73260000000000003</v>
      </c>
      <c r="AZ23" s="145" t="s">
        <v>404</v>
      </c>
      <c r="BA23" s="134" t="s">
        <v>595</v>
      </c>
      <c r="BB23" s="134" t="s">
        <v>595</v>
      </c>
      <c r="BC23" s="137">
        <v>0.76239999999999997</v>
      </c>
      <c r="BD23" s="137">
        <v>0.71640000000000004</v>
      </c>
      <c r="BE23" s="137">
        <v>0.72270000000000001</v>
      </c>
      <c r="BF23" s="137">
        <v>0.76039999999999996</v>
      </c>
      <c r="BG23" s="137">
        <v>0.74109999999999998</v>
      </c>
      <c r="BH23" s="137">
        <v>0.74050000000000005</v>
      </c>
      <c r="BI23" s="149" t="s">
        <v>404</v>
      </c>
      <c r="BJ23" s="152">
        <v>58</v>
      </c>
      <c r="BK23" s="152">
        <v>58</v>
      </c>
      <c r="BL23" s="137">
        <v>0.76629999999999998</v>
      </c>
      <c r="BM23" s="137">
        <v>0.72119999999999995</v>
      </c>
      <c r="BN23" s="137">
        <v>0.7298</v>
      </c>
      <c r="BO23" s="137">
        <v>0.76419999999999999</v>
      </c>
      <c r="BP23" s="137">
        <v>0.72860000000000003</v>
      </c>
      <c r="BQ23" s="137">
        <v>0.74409999999999998</v>
      </c>
      <c r="BR23" s="283" t="s">
        <v>404</v>
      </c>
      <c r="BS23" s="272">
        <v>61</v>
      </c>
      <c r="BT23" s="272">
        <v>61</v>
      </c>
      <c r="BU23" s="272">
        <v>0.77280000000000004</v>
      </c>
      <c r="BV23" s="272">
        <v>0.74409999999999998</v>
      </c>
      <c r="BW23" s="272">
        <v>0.75839999999999996</v>
      </c>
      <c r="BX23" s="272">
        <v>0.79159999999999997</v>
      </c>
      <c r="BY23" s="272">
        <v>0.75629999999999997</v>
      </c>
      <c r="BZ23" s="272">
        <v>0.76590000000000003</v>
      </c>
      <c r="CA23" s="360" t="s">
        <v>403</v>
      </c>
      <c r="CB23" s="357" t="s">
        <v>596</v>
      </c>
      <c r="CC23" s="357" t="s">
        <v>596</v>
      </c>
      <c r="CD23" s="357">
        <v>0.77200000000000002</v>
      </c>
      <c r="CE23" s="357">
        <v>0.75390000000000001</v>
      </c>
      <c r="CF23" s="357">
        <v>0.76600000000000001</v>
      </c>
      <c r="CG23" s="357">
        <v>0.79239999999999999</v>
      </c>
      <c r="CH23" s="357">
        <v>0.77139999999999997</v>
      </c>
      <c r="CI23" s="357">
        <v>0.77110000000000001</v>
      </c>
      <c r="CJ23" s="727" t="s">
        <v>404</v>
      </c>
      <c r="CK23" s="626">
        <v>60</v>
      </c>
      <c r="CL23" s="626">
        <v>60</v>
      </c>
      <c r="CM23" s="626">
        <v>0.76200000000000001</v>
      </c>
      <c r="CN23" s="626">
        <v>0.75449999999999995</v>
      </c>
      <c r="CO23" s="626">
        <v>0.75570000000000004</v>
      </c>
      <c r="CP23" s="626">
        <v>0.79379999999999995</v>
      </c>
      <c r="CQ23" s="626">
        <v>0.78949999999999998</v>
      </c>
      <c r="CR23" s="721">
        <v>0.76829999999999998</v>
      </c>
      <c r="CS23" s="569" t="s">
        <v>404</v>
      </c>
      <c r="CT23" s="569">
        <v>61</v>
      </c>
      <c r="CU23" s="569">
        <v>60</v>
      </c>
      <c r="CV23" s="590">
        <v>0.75690000000000002</v>
      </c>
      <c r="CW23" s="590">
        <v>0.74660000000000004</v>
      </c>
      <c r="CX23" s="590">
        <v>0.7409</v>
      </c>
      <c r="CY23" s="590">
        <v>0.7863</v>
      </c>
      <c r="CZ23" s="590">
        <v>0.76219999999999999</v>
      </c>
      <c r="DA23" s="590">
        <v>0.75800000000000001</v>
      </c>
    </row>
    <row r="24" spans="1:105" x14ac:dyDescent="0.25">
      <c r="A24" s="126" t="s">
        <v>920</v>
      </c>
      <c r="B24" s="134" t="s">
        <v>919</v>
      </c>
      <c r="C24" s="134" t="s">
        <v>567</v>
      </c>
      <c r="D24" s="134" t="s">
        <v>417</v>
      </c>
      <c r="E24" s="134"/>
      <c r="F24" s="134" t="s">
        <v>221</v>
      </c>
      <c r="G24" s="165"/>
      <c r="H24" s="166"/>
      <c r="I24" s="166"/>
      <c r="J24" s="166"/>
      <c r="K24" s="166"/>
      <c r="L24" s="166"/>
      <c r="M24" s="166"/>
      <c r="N24" s="166"/>
      <c r="O24" s="166"/>
      <c r="P24" s="634"/>
      <c r="Q24" s="166"/>
      <c r="R24" s="166"/>
      <c r="S24" s="166"/>
      <c r="T24" s="166"/>
      <c r="U24" s="166"/>
      <c r="V24" s="166"/>
      <c r="W24" s="166"/>
      <c r="X24" s="166"/>
      <c r="Y24" s="138"/>
      <c r="Z24" s="134"/>
      <c r="AA24" s="134"/>
      <c r="AB24" s="137"/>
      <c r="AC24" s="137"/>
      <c r="AD24" s="137"/>
      <c r="AE24" s="137"/>
      <c r="AF24" s="137"/>
      <c r="AG24" s="137"/>
      <c r="AH24" s="158"/>
      <c r="AI24" s="134"/>
      <c r="AJ24" s="134"/>
      <c r="AK24" s="137"/>
      <c r="AL24" s="137"/>
      <c r="AM24" s="137"/>
      <c r="AN24" s="137"/>
      <c r="AO24" s="137"/>
      <c r="AP24" s="137"/>
      <c r="AQ24" s="150"/>
      <c r="AR24" s="134"/>
      <c r="AS24" s="134"/>
      <c r="AT24" s="137"/>
      <c r="AU24" s="137"/>
      <c r="AV24" s="137"/>
      <c r="AW24" s="137"/>
      <c r="AX24" s="137"/>
      <c r="AY24" s="137"/>
      <c r="AZ24" s="145"/>
      <c r="BA24" s="134"/>
      <c r="BB24" s="134"/>
      <c r="BC24" s="137"/>
      <c r="BD24" s="137"/>
      <c r="BE24" s="137"/>
      <c r="BF24" s="137"/>
      <c r="BG24" s="137"/>
      <c r="BH24" s="137"/>
      <c r="BI24" s="149"/>
      <c r="BJ24" s="152"/>
      <c r="BK24" s="152"/>
      <c r="BL24" s="137"/>
      <c r="BM24" s="137"/>
      <c r="BN24" s="137"/>
      <c r="BO24" s="137"/>
      <c r="BP24" s="137"/>
      <c r="BQ24" s="137"/>
      <c r="BR24" s="283"/>
      <c r="BS24" s="272"/>
      <c r="BT24" s="272"/>
      <c r="BU24" s="272"/>
      <c r="BV24" s="272"/>
      <c r="BW24" s="272"/>
      <c r="BX24" s="272"/>
      <c r="BY24" s="272"/>
      <c r="BZ24" s="272"/>
      <c r="CA24" s="360" t="s">
        <v>403</v>
      </c>
      <c r="CB24" s="357" t="s">
        <v>633</v>
      </c>
      <c r="CC24" s="357" t="s">
        <v>633</v>
      </c>
      <c r="CD24" s="357">
        <v>0.7994</v>
      </c>
      <c r="CE24" s="357">
        <v>0.78759999999999997</v>
      </c>
      <c r="CF24" s="357">
        <v>0.7893</v>
      </c>
      <c r="CG24" s="357">
        <v>0.81689999999999996</v>
      </c>
      <c r="CH24" s="357">
        <v>0.83250000000000002</v>
      </c>
      <c r="CI24" s="357">
        <v>0.80089999999999995</v>
      </c>
      <c r="CJ24" s="726" t="s">
        <v>403</v>
      </c>
      <c r="CK24" s="626">
        <v>44</v>
      </c>
      <c r="CL24" s="626">
        <v>43</v>
      </c>
      <c r="CM24" s="626">
        <v>0.79430000000000001</v>
      </c>
      <c r="CN24" s="626">
        <v>0.76819999999999999</v>
      </c>
      <c r="CO24" s="626">
        <v>0.79179999999999995</v>
      </c>
      <c r="CP24" s="626">
        <v>0.81989999999999996</v>
      </c>
      <c r="CQ24" s="626">
        <v>0.81030000000000002</v>
      </c>
      <c r="CR24" s="721">
        <v>0.79479999999999995</v>
      </c>
      <c r="CS24" s="569" t="s">
        <v>403</v>
      </c>
      <c r="CT24" s="569">
        <v>66</v>
      </c>
      <c r="CU24" s="569">
        <v>65</v>
      </c>
      <c r="CV24" s="590">
        <v>0.81120000000000003</v>
      </c>
      <c r="CW24" s="590">
        <v>0.78639999999999999</v>
      </c>
      <c r="CX24" s="590">
        <v>0.80389999999999995</v>
      </c>
      <c r="CY24" s="590">
        <v>0.83079999999999998</v>
      </c>
      <c r="CZ24" s="590">
        <v>0.82169999999999999</v>
      </c>
      <c r="DA24" s="590">
        <v>0.80910000000000004</v>
      </c>
    </row>
    <row r="25" spans="1:105" x14ac:dyDescent="0.25">
      <c r="A25" s="36" t="s">
        <v>101</v>
      </c>
      <c r="B25" s="134" t="s">
        <v>100</v>
      </c>
      <c r="C25" s="134" t="s">
        <v>567</v>
      </c>
      <c r="D25" s="134" t="s">
        <v>417</v>
      </c>
      <c r="E25" s="134" t="s">
        <v>787</v>
      </c>
      <c r="F25" s="134" t="s">
        <v>221</v>
      </c>
      <c r="G25" s="165" t="s">
        <v>405</v>
      </c>
      <c r="H25" s="166">
        <v>155</v>
      </c>
      <c r="I25" s="166">
        <v>154</v>
      </c>
      <c r="J25" s="166">
        <v>0.67430000000000001</v>
      </c>
      <c r="K25" s="166">
        <v>0.67879999999999996</v>
      </c>
      <c r="L25" s="166">
        <v>0.67649999999999999</v>
      </c>
      <c r="M25" s="166">
        <v>0.6915</v>
      </c>
      <c r="N25" s="166">
        <v>0.67530000000000001</v>
      </c>
      <c r="O25" s="166">
        <v>0.67989999999999995</v>
      </c>
      <c r="P25" s="173" t="s">
        <v>405</v>
      </c>
      <c r="Q25" s="174" t="s">
        <v>436</v>
      </c>
      <c r="R25" s="174" t="s">
        <v>693</v>
      </c>
      <c r="S25" s="174">
        <v>0.68230000000000002</v>
      </c>
      <c r="T25" s="174">
        <v>0.68559999999999999</v>
      </c>
      <c r="U25" s="174">
        <v>0.67479999999999996</v>
      </c>
      <c r="V25" s="174">
        <v>0.6885</v>
      </c>
      <c r="W25" s="174">
        <v>0.66820000000000002</v>
      </c>
      <c r="X25" s="174">
        <v>0.68169999999999997</v>
      </c>
      <c r="Y25" s="138" t="s">
        <v>405</v>
      </c>
      <c r="Z25" s="134" t="s">
        <v>631</v>
      </c>
      <c r="AA25" s="134" t="s">
        <v>667</v>
      </c>
      <c r="AB25" s="137">
        <v>0.71879999999999999</v>
      </c>
      <c r="AC25" s="137">
        <v>0.7167</v>
      </c>
      <c r="AD25" s="137">
        <v>0.7</v>
      </c>
      <c r="AE25" s="137">
        <v>0.7097</v>
      </c>
      <c r="AF25" s="137">
        <v>0.68320000000000003</v>
      </c>
      <c r="AG25" s="137">
        <v>0.70909999999999995</v>
      </c>
      <c r="AH25" s="159" t="s">
        <v>405</v>
      </c>
      <c r="AI25" s="134" t="s">
        <v>603</v>
      </c>
      <c r="AJ25" s="134" t="s">
        <v>436</v>
      </c>
      <c r="AK25" s="137">
        <v>0.7278</v>
      </c>
      <c r="AL25" s="137">
        <v>0.71350000000000002</v>
      </c>
      <c r="AM25" s="137">
        <v>0.70030000000000003</v>
      </c>
      <c r="AN25" s="137">
        <v>0.72040000000000004</v>
      </c>
      <c r="AO25" s="137">
        <v>0.69059999999999999</v>
      </c>
      <c r="AP25" s="137">
        <v>0.71360000000000001</v>
      </c>
      <c r="AQ25" s="150" t="s">
        <v>404</v>
      </c>
      <c r="AR25" s="134" t="s">
        <v>467</v>
      </c>
      <c r="AS25" s="134" t="s">
        <v>468</v>
      </c>
      <c r="AT25" s="137">
        <v>0.73629999999999995</v>
      </c>
      <c r="AU25" s="137">
        <v>0.71689999999999998</v>
      </c>
      <c r="AV25" s="137">
        <v>0.70709999999999995</v>
      </c>
      <c r="AW25" s="137">
        <v>0.74460000000000004</v>
      </c>
      <c r="AX25" s="137">
        <v>0.71250000000000002</v>
      </c>
      <c r="AY25" s="137">
        <v>0.72519999999999996</v>
      </c>
      <c r="AZ25" s="145" t="s">
        <v>404</v>
      </c>
      <c r="BA25" s="134" t="s">
        <v>755</v>
      </c>
      <c r="BB25" s="134" t="s">
        <v>756</v>
      </c>
      <c r="BC25" s="137">
        <v>0.74260000000000004</v>
      </c>
      <c r="BD25" s="137">
        <v>0.71030000000000004</v>
      </c>
      <c r="BE25" s="137">
        <v>0.69850000000000001</v>
      </c>
      <c r="BF25" s="137">
        <v>0.74870000000000003</v>
      </c>
      <c r="BG25" s="137">
        <v>0.70820000000000005</v>
      </c>
      <c r="BH25" s="137">
        <v>0.72370000000000001</v>
      </c>
      <c r="BI25" s="149" t="s">
        <v>404</v>
      </c>
      <c r="BJ25" s="152">
        <v>174</v>
      </c>
      <c r="BK25" s="152">
        <v>169</v>
      </c>
      <c r="BL25" s="137">
        <v>0.74619999999999997</v>
      </c>
      <c r="BM25" s="137">
        <v>0.70599999999999996</v>
      </c>
      <c r="BN25" s="137">
        <v>0.69550000000000001</v>
      </c>
      <c r="BO25" s="137">
        <v>0.74309999999999998</v>
      </c>
      <c r="BP25" s="137">
        <v>0.6976</v>
      </c>
      <c r="BQ25" s="137">
        <v>0.7208</v>
      </c>
      <c r="BR25" s="279" t="s">
        <v>405</v>
      </c>
      <c r="BS25" s="272">
        <v>172</v>
      </c>
      <c r="BT25" s="272">
        <v>172</v>
      </c>
      <c r="BU25" s="272">
        <v>0.75149999999999995</v>
      </c>
      <c r="BV25" s="272">
        <v>0.70430000000000004</v>
      </c>
      <c r="BW25" s="272">
        <v>0.69030000000000002</v>
      </c>
      <c r="BX25" s="272">
        <v>0.7389</v>
      </c>
      <c r="BY25" s="272">
        <v>0.7046</v>
      </c>
      <c r="BZ25" s="272">
        <v>0.72</v>
      </c>
      <c r="CA25" s="358" t="s">
        <v>405</v>
      </c>
      <c r="CB25" s="357" t="s">
        <v>598</v>
      </c>
      <c r="CC25" s="357" t="s">
        <v>756</v>
      </c>
      <c r="CD25" s="357">
        <v>0.74729999999999996</v>
      </c>
      <c r="CE25" s="357">
        <v>0.6976</v>
      </c>
      <c r="CF25" s="357">
        <v>0.69359999999999999</v>
      </c>
      <c r="CG25" s="357">
        <v>0.73629999999999995</v>
      </c>
      <c r="CH25" s="357">
        <v>0.69799999999999995</v>
      </c>
      <c r="CI25" s="357">
        <v>0.71709999999999996</v>
      </c>
      <c r="CJ25" s="727" t="s">
        <v>404</v>
      </c>
      <c r="CK25" s="626">
        <v>169</v>
      </c>
      <c r="CL25" s="626">
        <v>164</v>
      </c>
      <c r="CM25" s="626">
        <v>0.74750000000000005</v>
      </c>
      <c r="CN25" s="626">
        <v>0.70320000000000005</v>
      </c>
      <c r="CO25" s="626">
        <v>0.6915</v>
      </c>
      <c r="CP25" s="626">
        <v>0.73860000000000003</v>
      </c>
      <c r="CQ25" s="626">
        <v>0.71830000000000005</v>
      </c>
      <c r="CR25" s="721">
        <v>0.72</v>
      </c>
      <c r="CS25" s="569" t="s">
        <v>404</v>
      </c>
      <c r="CT25" s="569">
        <v>172</v>
      </c>
      <c r="CU25" s="569">
        <v>167</v>
      </c>
      <c r="CV25" s="590">
        <v>0.75290000000000001</v>
      </c>
      <c r="CW25" s="590">
        <v>0.7046</v>
      </c>
      <c r="CX25" s="590">
        <v>0.70899999999999996</v>
      </c>
      <c r="CY25" s="590">
        <v>0.753</v>
      </c>
      <c r="CZ25" s="590">
        <v>0.71899999999999997</v>
      </c>
      <c r="DA25" s="590">
        <v>0.72909999999999997</v>
      </c>
    </row>
    <row r="26" spans="1:105" x14ac:dyDescent="0.25">
      <c r="A26" s="36" t="s">
        <v>229</v>
      </c>
      <c r="B26" s="134" t="s">
        <v>766</v>
      </c>
      <c r="C26" s="134" t="s">
        <v>567</v>
      </c>
      <c r="D26" s="134" t="s">
        <v>417</v>
      </c>
      <c r="E26" s="134" t="s">
        <v>787</v>
      </c>
      <c r="F26" s="134" t="s">
        <v>221</v>
      </c>
      <c r="G26" s="134"/>
      <c r="H26" s="134"/>
      <c r="I26" s="134"/>
      <c r="J26" s="134"/>
      <c r="K26" s="134"/>
      <c r="L26" s="134"/>
      <c r="M26" s="134"/>
      <c r="N26" s="134"/>
      <c r="O26" s="134"/>
      <c r="P26" s="568"/>
      <c r="Q26" s="568"/>
      <c r="R26" s="568"/>
      <c r="S26" s="568"/>
      <c r="T26" s="568"/>
      <c r="U26" s="568"/>
      <c r="V26" s="568"/>
      <c r="W26" s="568"/>
      <c r="X26" s="568"/>
      <c r="Y26" s="134"/>
      <c r="Z26" s="134"/>
      <c r="AA26" s="134"/>
      <c r="AB26" s="137"/>
      <c r="AC26" s="137"/>
      <c r="AD26" s="137"/>
      <c r="AE26" s="137"/>
      <c r="AF26" s="137"/>
      <c r="AG26" s="137"/>
      <c r="AH26" s="156"/>
      <c r="AI26" s="134"/>
      <c r="AJ26" s="134"/>
      <c r="AK26" s="137"/>
      <c r="AL26" s="137"/>
      <c r="AM26" s="137"/>
      <c r="AN26" s="137"/>
      <c r="AO26" s="137"/>
      <c r="AP26" s="137"/>
      <c r="AQ26" s="134"/>
      <c r="AR26" s="134"/>
      <c r="AS26" s="134"/>
      <c r="AT26" s="137"/>
      <c r="AU26" s="137"/>
      <c r="AV26" s="137"/>
      <c r="AW26" s="137"/>
      <c r="AX26" s="137"/>
      <c r="AY26" s="137"/>
      <c r="AZ26" s="138" t="s">
        <v>405</v>
      </c>
      <c r="BA26" s="134" t="s">
        <v>633</v>
      </c>
      <c r="BB26" s="134" t="s">
        <v>633</v>
      </c>
      <c r="BC26" s="137">
        <v>0.69259999999999999</v>
      </c>
      <c r="BD26" s="137">
        <v>0.66269999999999996</v>
      </c>
      <c r="BE26" s="137">
        <v>0.67010000000000003</v>
      </c>
      <c r="BF26" s="137">
        <v>0.72289999999999999</v>
      </c>
      <c r="BG26" s="137">
        <v>0.70660000000000001</v>
      </c>
      <c r="BH26" s="137">
        <v>0.68859999999999999</v>
      </c>
      <c r="BI26" s="135" t="s">
        <v>405</v>
      </c>
      <c r="BJ26" s="152">
        <v>26</v>
      </c>
      <c r="BK26" s="152">
        <v>26</v>
      </c>
      <c r="BL26" s="137">
        <v>0.71209999999999996</v>
      </c>
      <c r="BM26" s="137">
        <v>0.66449999999999998</v>
      </c>
      <c r="BN26" s="137">
        <v>0.67679999999999996</v>
      </c>
      <c r="BO26" s="137">
        <v>0.7218</v>
      </c>
      <c r="BP26" s="137">
        <v>0.67159999999999997</v>
      </c>
      <c r="BQ26" s="137">
        <v>0.69210000000000005</v>
      </c>
      <c r="BR26" s="279" t="s">
        <v>405</v>
      </c>
      <c r="BS26" s="272">
        <v>22</v>
      </c>
      <c r="BT26" s="272">
        <v>22</v>
      </c>
      <c r="BU26" s="272">
        <v>0.72540000000000004</v>
      </c>
      <c r="BV26" s="272">
        <v>0.66669999999999996</v>
      </c>
      <c r="BW26" s="272">
        <v>0.67</v>
      </c>
      <c r="BX26" s="272">
        <v>0.7107</v>
      </c>
      <c r="BY26" s="272">
        <v>0.65900000000000003</v>
      </c>
      <c r="BZ26" s="272">
        <v>0.69059999999999999</v>
      </c>
      <c r="CA26" s="358" t="s">
        <v>405</v>
      </c>
      <c r="CB26" s="357" t="s">
        <v>530</v>
      </c>
      <c r="CC26" s="357" t="s">
        <v>530</v>
      </c>
      <c r="CD26" s="357">
        <v>0.74329999999999996</v>
      </c>
      <c r="CE26" s="357">
        <v>0.68189999999999995</v>
      </c>
      <c r="CF26" s="357">
        <v>0.69420000000000004</v>
      </c>
      <c r="CG26" s="357">
        <v>0.75929999999999997</v>
      </c>
      <c r="CH26" s="357">
        <v>0.68810000000000004</v>
      </c>
      <c r="CI26" s="357">
        <v>0.71719999999999995</v>
      </c>
      <c r="CJ26" s="713" t="s">
        <v>404</v>
      </c>
      <c r="CK26" s="626">
        <v>32</v>
      </c>
      <c r="CL26" s="626">
        <v>32</v>
      </c>
      <c r="CM26" s="626">
        <v>0.74680000000000002</v>
      </c>
      <c r="CN26" s="626">
        <v>0.72909999999999997</v>
      </c>
      <c r="CO26" s="626">
        <v>0.71879999999999999</v>
      </c>
      <c r="CP26" s="626">
        <v>0.78310000000000002</v>
      </c>
      <c r="CQ26" s="626">
        <v>0.73219999999999996</v>
      </c>
      <c r="CR26" s="721">
        <v>0.74350000000000005</v>
      </c>
      <c r="CS26" s="569" t="s">
        <v>404</v>
      </c>
      <c r="CT26" s="569">
        <v>37</v>
      </c>
      <c r="CU26" s="569">
        <v>37</v>
      </c>
      <c r="CV26" s="590">
        <v>0.72619999999999996</v>
      </c>
      <c r="CW26" s="590">
        <v>0.71599999999999997</v>
      </c>
      <c r="CX26" s="590">
        <v>0.70309999999999995</v>
      </c>
      <c r="CY26" s="590">
        <v>0.76990000000000003</v>
      </c>
      <c r="CZ26" s="590">
        <v>0.72850000000000004</v>
      </c>
      <c r="DA26" s="590">
        <v>0.7288</v>
      </c>
    </row>
    <row r="27" spans="1:105" x14ac:dyDescent="0.25">
      <c r="A27" s="36" t="s">
        <v>116</v>
      </c>
      <c r="B27" s="134" t="s">
        <v>115</v>
      </c>
      <c r="C27" s="134" t="s">
        <v>567</v>
      </c>
      <c r="D27" s="134" t="s">
        <v>417</v>
      </c>
      <c r="E27" s="134" t="s">
        <v>787</v>
      </c>
      <c r="F27" s="134" t="s">
        <v>221</v>
      </c>
      <c r="G27" s="165" t="s">
        <v>405</v>
      </c>
      <c r="H27" s="166">
        <v>131</v>
      </c>
      <c r="I27" s="166">
        <v>130</v>
      </c>
      <c r="J27" s="166">
        <v>0.70079999999999998</v>
      </c>
      <c r="K27" s="166">
        <v>0.71730000000000005</v>
      </c>
      <c r="L27" s="166">
        <v>0.68899999999999995</v>
      </c>
      <c r="M27" s="166">
        <v>0.69399999999999995</v>
      </c>
      <c r="N27" s="166">
        <v>0.69679999999999997</v>
      </c>
      <c r="O27" s="166">
        <v>0.7</v>
      </c>
      <c r="P27" s="173" t="s">
        <v>405</v>
      </c>
      <c r="Q27" s="174" t="s">
        <v>810</v>
      </c>
      <c r="R27" s="174" t="s">
        <v>710</v>
      </c>
      <c r="S27" s="174">
        <v>0.70399999999999996</v>
      </c>
      <c r="T27" s="174">
        <v>0.72030000000000005</v>
      </c>
      <c r="U27" s="174">
        <v>0.69099999999999995</v>
      </c>
      <c r="V27" s="174">
        <v>0.68979999999999997</v>
      </c>
      <c r="W27" s="174">
        <v>0.6915</v>
      </c>
      <c r="X27" s="174">
        <v>0.70050000000000001</v>
      </c>
      <c r="Y27" s="138" t="s">
        <v>405</v>
      </c>
      <c r="Z27" s="134" t="s">
        <v>666</v>
      </c>
      <c r="AA27" s="134" t="s">
        <v>525</v>
      </c>
      <c r="AB27" s="137">
        <v>0.7016</v>
      </c>
      <c r="AC27" s="137">
        <v>0.7339</v>
      </c>
      <c r="AD27" s="137">
        <v>0.70279999999999998</v>
      </c>
      <c r="AE27" s="137">
        <v>0.70150000000000001</v>
      </c>
      <c r="AF27" s="137">
        <v>0.70679999999999998</v>
      </c>
      <c r="AG27" s="137">
        <v>0.7097</v>
      </c>
      <c r="AH27" s="158" t="s">
        <v>404</v>
      </c>
      <c r="AI27" s="134" t="s">
        <v>597</v>
      </c>
      <c r="AJ27" s="134" t="s">
        <v>598</v>
      </c>
      <c r="AK27" s="137">
        <v>0.71789999999999998</v>
      </c>
      <c r="AL27" s="137">
        <v>0.73770000000000002</v>
      </c>
      <c r="AM27" s="137">
        <v>0.70860000000000001</v>
      </c>
      <c r="AN27" s="137">
        <v>0.7198</v>
      </c>
      <c r="AO27" s="137">
        <v>0.7107</v>
      </c>
      <c r="AP27" s="137">
        <v>0.72019999999999995</v>
      </c>
      <c r="AQ27" s="139" t="s">
        <v>405</v>
      </c>
      <c r="AR27" s="134" t="s">
        <v>473</v>
      </c>
      <c r="AS27" s="134" t="s">
        <v>474</v>
      </c>
      <c r="AT27" s="137">
        <v>0.71460000000000001</v>
      </c>
      <c r="AU27" s="137">
        <v>0.72160000000000002</v>
      </c>
      <c r="AV27" s="137">
        <v>0.69689999999999996</v>
      </c>
      <c r="AW27" s="137">
        <v>0.73329999999999995</v>
      </c>
      <c r="AX27" s="137">
        <v>0.71240000000000003</v>
      </c>
      <c r="AY27" s="137">
        <v>0.71630000000000005</v>
      </c>
      <c r="AZ27" s="138" t="s">
        <v>405</v>
      </c>
      <c r="BA27" s="134" t="s">
        <v>660</v>
      </c>
      <c r="BB27" s="134" t="s">
        <v>430</v>
      </c>
      <c r="BC27" s="137">
        <v>0.73419999999999996</v>
      </c>
      <c r="BD27" s="137">
        <v>0.70599999999999996</v>
      </c>
      <c r="BE27" s="137">
        <v>0.69089999999999996</v>
      </c>
      <c r="BF27" s="137">
        <v>0.74399999999999999</v>
      </c>
      <c r="BG27" s="137">
        <v>0.70889999999999997</v>
      </c>
      <c r="BH27" s="137">
        <v>0.71799999999999997</v>
      </c>
      <c r="BI27" s="135" t="s">
        <v>405</v>
      </c>
      <c r="BJ27" s="152">
        <v>215</v>
      </c>
      <c r="BK27" s="152">
        <v>213</v>
      </c>
      <c r="BL27" s="137">
        <v>0.73399999999999999</v>
      </c>
      <c r="BM27" s="137">
        <v>0.68120000000000003</v>
      </c>
      <c r="BN27" s="137">
        <v>0.68120000000000003</v>
      </c>
      <c r="BO27" s="137">
        <v>0.73740000000000006</v>
      </c>
      <c r="BP27" s="137">
        <v>0.68489999999999995</v>
      </c>
      <c r="BQ27" s="137">
        <v>0.70660000000000001</v>
      </c>
      <c r="BR27" s="707" t="s">
        <v>404</v>
      </c>
      <c r="BS27" s="272">
        <v>200</v>
      </c>
      <c r="BT27" s="272">
        <v>200</v>
      </c>
      <c r="BU27" s="272">
        <v>0.74880000000000002</v>
      </c>
      <c r="BV27" s="272">
        <v>0.69369999999999998</v>
      </c>
      <c r="BW27" s="272">
        <v>0.69850000000000001</v>
      </c>
      <c r="BX27" s="272">
        <v>0.75560000000000005</v>
      </c>
      <c r="BY27" s="272">
        <v>0.69599999999999995</v>
      </c>
      <c r="BZ27" s="272">
        <v>0.72199999999999998</v>
      </c>
      <c r="CA27" s="710" t="s">
        <v>404</v>
      </c>
      <c r="CB27" s="682" t="s">
        <v>453</v>
      </c>
      <c r="CC27" s="682" t="s">
        <v>453</v>
      </c>
      <c r="CD27" s="682">
        <v>0.75280000000000002</v>
      </c>
      <c r="CE27" s="682">
        <v>0.7026</v>
      </c>
      <c r="CF27" s="682">
        <v>0.7097</v>
      </c>
      <c r="CG27" s="682">
        <v>0.76370000000000005</v>
      </c>
      <c r="CH27" s="682">
        <v>0.70960000000000001</v>
      </c>
      <c r="CI27" s="682">
        <v>0.73050000000000004</v>
      </c>
      <c r="CJ27" s="713" t="s">
        <v>404</v>
      </c>
      <c r="CK27" s="626">
        <v>219</v>
      </c>
      <c r="CL27" s="626">
        <v>219</v>
      </c>
      <c r="CM27" s="626">
        <v>0.76480000000000004</v>
      </c>
      <c r="CN27" s="626">
        <v>0.72770000000000001</v>
      </c>
      <c r="CO27" s="626">
        <v>0.7228</v>
      </c>
      <c r="CP27" s="626">
        <v>0.7752</v>
      </c>
      <c r="CQ27" s="626">
        <v>0.75600000000000001</v>
      </c>
      <c r="CR27" s="721">
        <v>0.74829999999999997</v>
      </c>
      <c r="CS27" s="569" t="s">
        <v>404</v>
      </c>
      <c r="CT27" s="569">
        <v>240</v>
      </c>
      <c r="CU27" s="569">
        <v>240</v>
      </c>
      <c r="CV27" s="590">
        <v>0.78069999999999995</v>
      </c>
      <c r="CW27" s="590">
        <v>0.73540000000000005</v>
      </c>
      <c r="CX27" s="590">
        <v>0.72119999999999995</v>
      </c>
      <c r="CY27" s="590">
        <v>0.7671</v>
      </c>
      <c r="CZ27" s="590">
        <v>0.76619999999999999</v>
      </c>
      <c r="DA27" s="590">
        <v>0.75229999999999997</v>
      </c>
    </row>
    <row r="28" spans="1:105" x14ac:dyDescent="0.25">
      <c r="A28" s="36" t="s">
        <v>151</v>
      </c>
      <c r="B28" s="134" t="s">
        <v>150</v>
      </c>
      <c r="C28" s="134" t="s">
        <v>567</v>
      </c>
      <c r="D28" s="134" t="s">
        <v>417</v>
      </c>
      <c r="E28" s="134" t="s">
        <v>787</v>
      </c>
      <c r="F28" s="134" t="s">
        <v>221</v>
      </c>
      <c r="G28" s="165" t="s">
        <v>405</v>
      </c>
      <c r="H28" s="166">
        <v>32</v>
      </c>
      <c r="I28" s="166">
        <v>32</v>
      </c>
      <c r="J28" s="166">
        <v>0.7137</v>
      </c>
      <c r="K28" s="166">
        <v>0.68959999999999999</v>
      </c>
      <c r="L28" s="166">
        <v>0.7369</v>
      </c>
      <c r="M28" s="166">
        <v>0.72840000000000005</v>
      </c>
      <c r="N28" s="166">
        <v>0.73080000000000001</v>
      </c>
      <c r="O28" s="166">
        <v>0.71819999999999995</v>
      </c>
      <c r="P28" s="173" t="s">
        <v>405</v>
      </c>
      <c r="Q28" s="174" t="s">
        <v>551</v>
      </c>
      <c r="R28" s="174" t="s">
        <v>162</v>
      </c>
      <c r="S28" s="174">
        <v>0.68520000000000003</v>
      </c>
      <c r="T28" s="174">
        <v>0.68710000000000004</v>
      </c>
      <c r="U28" s="174">
        <v>0.71319999999999995</v>
      </c>
      <c r="V28" s="174">
        <v>0.70889999999999997</v>
      </c>
      <c r="W28" s="174">
        <v>0.70660000000000001</v>
      </c>
      <c r="X28" s="174">
        <v>0.69920000000000004</v>
      </c>
      <c r="Y28" s="145" t="s">
        <v>404</v>
      </c>
      <c r="Z28" s="134" t="s">
        <v>595</v>
      </c>
      <c r="AA28" s="134" t="s">
        <v>658</v>
      </c>
      <c r="AB28" s="137">
        <v>0.70860000000000001</v>
      </c>
      <c r="AC28" s="137">
        <v>0.71850000000000003</v>
      </c>
      <c r="AD28" s="137">
        <v>0.72629999999999995</v>
      </c>
      <c r="AE28" s="137">
        <v>0.73150000000000004</v>
      </c>
      <c r="AF28" s="137">
        <v>0.73409999999999997</v>
      </c>
      <c r="AG28" s="137">
        <v>0.72219999999999995</v>
      </c>
      <c r="AH28" s="158" t="s">
        <v>404</v>
      </c>
      <c r="AI28" s="134" t="s">
        <v>596</v>
      </c>
      <c r="AJ28" s="134" t="s">
        <v>498</v>
      </c>
      <c r="AK28" s="137">
        <v>0.70740000000000003</v>
      </c>
      <c r="AL28" s="137">
        <v>0.72119999999999995</v>
      </c>
      <c r="AM28" s="137">
        <v>0.73050000000000004</v>
      </c>
      <c r="AN28" s="137">
        <v>0.7329</v>
      </c>
      <c r="AO28" s="137">
        <v>0.7268</v>
      </c>
      <c r="AP28" s="137">
        <v>0.72330000000000005</v>
      </c>
      <c r="AQ28" s="150" t="s">
        <v>404</v>
      </c>
      <c r="AR28" s="134" t="s">
        <v>469</v>
      </c>
      <c r="AS28" s="134" t="s">
        <v>470</v>
      </c>
      <c r="AT28" s="137">
        <v>0.70760000000000001</v>
      </c>
      <c r="AU28" s="137">
        <v>0.72040000000000004</v>
      </c>
      <c r="AV28" s="137">
        <v>0.71799999999999997</v>
      </c>
      <c r="AW28" s="137">
        <v>0.74480000000000002</v>
      </c>
      <c r="AX28" s="137">
        <v>0.73670000000000002</v>
      </c>
      <c r="AY28" s="137">
        <v>0.7238</v>
      </c>
      <c r="AZ28" s="138" t="s">
        <v>405</v>
      </c>
      <c r="BA28" s="134" t="s">
        <v>421</v>
      </c>
      <c r="BB28" s="134" t="s">
        <v>421</v>
      </c>
      <c r="BC28" s="137">
        <v>0.68320000000000003</v>
      </c>
      <c r="BD28" s="137">
        <v>0.67369999999999997</v>
      </c>
      <c r="BE28" s="137">
        <v>0.68069999999999997</v>
      </c>
      <c r="BF28" s="137">
        <v>0.7329</v>
      </c>
      <c r="BG28" s="137">
        <v>0.70120000000000005</v>
      </c>
      <c r="BH28" s="137">
        <v>0.69330000000000003</v>
      </c>
      <c r="BI28" s="135" t="s">
        <v>405</v>
      </c>
      <c r="BJ28" s="152">
        <v>76</v>
      </c>
      <c r="BK28" s="152">
        <v>74</v>
      </c>
      <c r="BL28" s="137">
        <v>0.71460000000000001</v>
      </c>
      <c r="BM28" s="137">
        <v>0.67759999999999998</v>
      </c>
      <c r="BN28" s="137">
        <v>0.68389999999999995</v>
      </c>
      <c r="BO28" s="137">
        <v>0.73850000000000005</v>
      </c>
      <c r="BP28" s="137">
        <v>0.70189999999999997</v>
      </c>
      <c r="BQ28" s="137">
        <v>0.70350000000000001</v>
      </c>
      <c r="BR28" s="279" t="s">
        <v>405</v>
      </c>
      <c r="BS28" s="272">
        <v>98</v>
      </c>
      <c r="BT28" s="272">
        <v>97</v>
      </c>
      <c r="BU28" s="272">
        <v>0.70950000000000002</v>
      </c>
      <c r="BV28" s="272">
        <v>0.67249999999999999</v>
      </c>
      <c r="BW28" s="272">
        <v>0.67410000000000003</v>
      </c>
      <c r="BX28" s="272">
        <v>0.74919999999999998</v>
      </c>
      <c r="BY28" s="272">
        <v>0.69599999999999995</v>
      </c>
      <c r="BZ28" s="272">
        <v>0.70089999999999997</v>
      </c>
      <c r="CA28" s="358" t="s">
        <v>405</v>
      </c>
      <c r="CB28" s="357" t="s">
        <v>536</v>
      </c>
      <c r="CC28" s="357" t="s">
        <v>475</v>
      </c>
      <c r="CD28" s="357">
        <v>0.69920000000000004</v>
      </c>
      <c r="CE28" s="357">
        <v>0.66479999999999995</v>
      </c>
      <c r="CF28" s="357">
        <v>0.66469999999999996</v>
      </c>
      <c r="CG28" s="357">
        <v>0.73580000000000001</v>
      </c>
      <c r="CH28" s="357">
        <v>0.67889999999999995</v>
      </c>
      <c r="CI28" s="357">
        <v>0.69020000000000004</v>
      </c>
      <c r="CJ28" s="724"/>
      <c r="CK28" s="624"/>
      <c r="CL28" s="624"/>
      <c r="CM28" s="624"/>
      <c r="CN28" s="624"/>
      <c r="CO28" s="624"/>
      <c r="CP28" s="624"/>
      <c r="CQ28" s="624"/>
      <c r="CR28" s="628"/>
      <c r="CS28" s="569" t="s">
        <v>405</v>
      </c>
      <c r="CT28" s="569">
        <v>116</v>
      </c>
      <c r="CU28" s="569">
        <v>112</v>
      </c>
      <c r="CV28" s="590">
        <v>0.67810000000000004</v>
      </c>
      <c r="CW28" s="590">
        <v>0.66149999999999998</v>
      </c>
      <c r="CX28" s="590">
        <v>0.64170000000000005</v>
      </c>
      <c r="CY28" s="590">
        <v>0.71640000000000004</v>
      </c>
      <c r="CZ28" s="590">
        <v>0.67479999999999996</v>
      </c>
      <c r="DA28" s="590">
        <v>0.67449999999999999</v>
      </c>
    </row>
    <row r="29" spans="1:105" x14ac:dyDescent="0.25">
      <c r="A29" s="126" t="s">
        <v>843</v>
      </c>
      <c r="B29" s="134" t="s">
        <v>563</v>
      </c>
      <c r="C29" s="134" t="s">
        <v>567</v>
      </c>
      <c r="D29" s="134" t="s">
        <v>417</v>
      </c>
      <c r="E29" s="134" t="s">
        <v>787</v>
      </c>
      <c r="F29" s="134" t="s">
        <v>221</v>
      </c>
      <c r="G29" s="169" t="s">
        <v>557</v>
      </c>
      <c r="H29" s="166">
        <v>28</v>
      </c>
      <c r="I29" s="166">
        <v>27</v>
      </c>
      <c r="J29" s="166">
        <v>0.60360000000000003</v>
      </c>
      <c r="K29" s="166">
        <v>0.60670000000000002</v>
      </c>
      <c r="L29" s="166">
        <v>0.59819999999999995</v>
      </c>
      <c r="M29" s="166">
        <v>0.60940000000000005</v>
      </c>
      <c r="N29" s="166">
        <v>0.6169</v>
      </c>
      <c r="O29" s="166">
        <v>0.60540000000000005</v>
      </c>
      <c r="P29" s="176" t="s">
        <v>557</v>
      </c>
      <c r="Q29" s="174" t="s">
        <v>564</v>
      </c>
      <c r="R29" s="174" t="s">
        <v>565</v>
      </c>
      <c r="S29" s="174">
        <v>0.5655</v>
      </c>
      <c r="T29" s="174">
        <v>0.59419999999999995</v>
      </c>
      <c r="U29" s="174">
        <v>0.57750000000000001</v>
      </c>
      <c r="V29" s="174">
        <v>0.61</v>
      </c>
      <c r="W29" s="174">
        <v>0.60709999999999997</v>
      </c>
      <c r="X29" s="174">
        <v>0.58840000000000003</v>
      </c>
      <c r="Y29" s="143" t="s">
        <v>557</v>
      </c>
      <c r="Z29" s="134" t="s">
        <v>564</v>
      </c>
      <c r="AA29" s="134" t="s">
        <v>565</v>
      </c>
      <c r="AB29" s="137">
        <v>0.5655</v>
      </c>
      <c r="AC29" s="137">
        <v>0.59419999999999995</v>
      </c>
      <c r="AD29" s="137">
        <v>0.57750000000000001</v>
      </c>
      <c r="AE29" s="137">
        <v>0.61</v>
      </c>
      <c r="AF29" s="137">
        <v>0.60709999999999997</v>
      </c>
      <c r="AG29" s="137">
        <v>0.58840000000000003</v>
      </c>
      <c r="AH29" s="157" t="s">
        <v>557</v>
      </c>
      <c r="AI29" s="134" t="s">
        <v>564</v>
      </c>
      <c r="AJ29" s="134" t="s">
        <v>565</v>
      </c>
      <c r="AK29" s="137">
        <v>0.5655</v>
      </c>
      <c r="AL29" s="137">
        <v>0.59419999999999995</v>
      </c>
      <c r="AM29" s="137">
        <v>0.57750000000000001</v>
      </c>
      <c r="AN29" s="137">
        <v>0.61</v>
      </c>
      <c r="AO29" s="137">
        <v>0.60709999999999997</v>
      </c>
      <c r="AP29" s="137">
        <v>0.58840000000000003</v>
      </c>
      <c r="AQ29" s="144" t="s">
        <v>557</v>
      </c>
      <c r="AR29" s="134" t="s">
        <v>564</v>
      </c>
      <c r="AS29" s="134" t="s">
        <v>565</v>
      </c>
      <c r="AT29" s="137">
        <v>0.5655</v>
      </c>
      <c r="AU29" s="137">
        <v>0.59419999999999995</v>
      </c>
      <c r="AV29" s="137">
        <v>0.57750000000000001</v>
      </c>
      <c r="AW29" s="137">
        <v>0.61</v>
      </c>
      <c r="AX29" s="137">
        <v>0.60709999999999997</v>
      </c>
      <c r="AY29" s="137">
        <v>0.58840000000000003</v>
      </c>
      <c r="AZ29" s="143" t="s">
        <v>557</v>
      </c>
      <c r="BA29" s="134" t="s">
        <v>564</v>
      </c>
      <c r="BB29" s="134" t="s">
        <v>565</v>
      </c>
      <c r="BC29" s="137">
        <v>0.5655</v>
      </c>
      <c r="BD29" s="137">
        <v>0.59419999999999995</v>
      </c>
      <c r="BE29" s="137">
        <v>0.57750000000000001</v>
      </c>
      <c r="BF29" s="137">
        <v>0.61</v>
      </c>
      <c r="BG29" s="137">
        <v>0.60709999999999997</v>
      </c>
      <c r="BH29" s="137">
        <v>0.58840000000000003</v>
      </c>
      <c r="BI29" s="151" t="s">
        <v>557</v>
      </c>
      <c r="BJ29" s="152">
        <v>34</v>
      </c>
      <c r="BK29" s="152">
        <v>32</v>
      </c>
      <c r="BL29" s="137">
        <v>0.5655</v>
      </c>
      <c r="BM29" s="137">
        <v>0.59419999999999995</v>
      </c>
      <c r="BN29" s="137">
        <v>0.57750000000000001</v>
      </c>
      <c r="BO29" s="137">
        <v>0.61</v>
      </c>
      <c r="BP29" s="137">
        <v>0.60709999999999997</v>
      </c>
      <c r="BQ29" s="137">
        <v>0.58840000000000003</v>
      </c>
      <c r="BR29" s="639"/>
      <c r="BS29" s="271"/>
      <c r="BT29" s="271"/>
      <c r="BU29" s="271"/>
      <c r="BV29" s="271"/>
      <c r="BW29" s="271"/>
      <c r="BX29" s="271"/>
      <c r="BY29" s="271"/>
      <c r="BZ29" s="271"/>
      <c r="CA29" s="346"/>
      <c r="CB29" s="346"/>
      <c r="CC29" s="346"/>
      <c r="CD29" s="346"/>
      <c r="CE29" s="346"/>
      <c r="CF29" s="346"/>
      <c r="CG29" s="346"/>
      <c r="CH29" s="346"/>
      <c r="CI29" s="346"/>
      <c r="CJ29" s="724"/>
      <c r="CK29" s="624"/>
      <c r="CL29" s="624"/>
      <c r="CM29" s="624"/>
      <c r="CN29" s="624"/>
      <c r="CO29" s="624"/>
      <c r="CP29" s="624"/>
      <c r="CQ29" s="624"/>
      <c r="CR29" s="628"/>
      <c r="CS29" s="568"/>
      <c r="CT29" s="587"/>
      <c r="CU29" s="587"/>
      <c r="CV29" s="591"/>
      <c r="CW29" s="591"/>
      <c r="CX29" s="591"/>
      <c r="CY29" s="591"/>
      <c r="CZ29" s="591"/>
      <c r="DA29" s="591"/>
    </row>
    <row r="30" spans="1:105" x14ac:dyDescent="0.25">
      <c r="A30" s="36" t="s">
        <v>199</v>
      </c>
      <c r="B30" s="134" t="s">
        <v>198</v>
      </c>
      <c r="C30" s="134" t="s">
        <v>567</v>
      </c>
      <c r="D30" s="134" t="s">
        <v>417</v>
      </c>
      <c r="E30" s="134" t="s">
        <v>787</v>
      </c>
      <c r="F30" s="134" t="s">
        <v>221</v>
      </c>
      <c r="G30" s="165" t="s">
        <v>405</v>
      </c>
      <c r="H30" s="166">
        <v>53</v>
      </c>
      <c r="I30" s="166">
        <v>52</v>
      </c>
      <c r="J30" s="166">
        <v>0.70540000000000003</v>
      </c>
      <c r="K30" s="166">
        <v>0.7389</v>
      </c>
      <c r="L30" s="166">
        <v>0.70979999999999999</v>
      </c>
      <c r="M30" s="166">
        <v>0.7268</v>
      </c>
      <c r="N30" s="166">
        <v>0.68440000000000001</v>
      </c>
      <c r="O30" s="166">
        <v>0.71750000000000003</v>
      </c>
      <c r="P30" s="177" t="s">
        <v>404</v>
      </c>
      <c r="Q30" s="174" t="s">
        <v>632</v>
      </c>
      <c r="R30" s="174" t="s">
        <v>794</v>
      </c>
      <c r="S30" s="174">
        <v>0.7198</v>
      </c>
      <c r="T30" s="174">
        <v>0.73609999999999998</v>
      </c>
      <c r="U30" s="174">
        <v>0.72750000000000004</v>
      </c>
      <c r="V30" s="174">
        <v>0.72750000000000004</v>
      </c>
      <c r="W30" s="174">
        <v>0.70409999999999995</v>
      </c>
      <c r="X30" s="174">
        <v>0.72589999999999999</v>
      </c>
      <c r="Y30" s="145" t="s">
        <v>404</v>
      </c>
      <c r="Z30" s="134" t="s">
        <v>612</v>
      </c>
      <c r="AA30" s="134" t="s">
        <v>648</v>
      </c>
      <c r="AB30" s="137">
        <v>0.73309999999999997</v>
      </c>
      <c r="AC30" s="137">
        <v>0.74339999999999995</v>
      </c>
      <c r="AD30" s="137">
        <v>0.72709999999999997</v>
      </c>
      <c r="AE30" s="137">
        <v>0.73680000000000001</v>
      </c>
      <c r="AF30" s="137">
        <v>0.73150000000000004</v>
      </c>
      <c r="AG30" s="137">
        <v>0.73480000000000001</v>
      </c>
      <c r="AH30" s="158" t="s">
        <v>404</v>
      </c>
      <c r="AI30" s="134" t="s">
        <v>576</v>
      </c>
      <c r="AJ30" s="134" t="s">
        <v>577</v>
      </c>
      <c r="AK30" s="137">
        <v>0.74390000000000001</v>
      </c>
      <c r="AL30" s="137">
        <v>0.75160000000000005</v>
      </c>
      <c r="AM30" s="137">
        <v>0.73899999999999999</v>
      </c>
      <c r="AN30" s="137">
        <v>0.75739999999999996</v>
      </c>
      <c r="AO30" s="137">
        <v>0.75019999999999998</v>
      </c>
      <c r="AP30" s="137">
        <v>0.74809999999999999</v>
      </c>
      <c r="AQ30" s="150" t="s">
        <v>404</v>
      </c>
      <c r="AR30" s="134" t="s">
        <v>437</v>
      </c>
      <c r="AS30" s="134" t="s">
        <v>438</v>
      </c>
      <c r="AT30" s="137">
        <v>0.75239999999999996</v>
      </c>
      <c r="AU30" s="137">
        <v>0.75219999999999998</v>
      </c>
      <c r="AV30" s="137">
        <v>0.73</v>
      </c>
      <c r="AW30" s="137">
        <v>0.76680000000000004</v>
      </c>
      <c r="AX30" s="137">
        <v>0.76180000000000003</v>
      </c>
      <c r="AY30" s="137">
        <v>0.75119999999999998</v>
      </c>
      <c r="AZ30" s="145" t="s">
        <v>404</v>
      </c>
      <c r="BA30" s="134" t="s">
        <v>745</v>
      </c>
      <c r="BB30" s="134" t="s">
        <v>746</v>
      </c>
      <c r="BC30" s="137">
        <v>0.76080000000000003</v>
      </c>
      <c r="BD30" s="137">
        <v>0.74309999999999998</v>
      </c>
      <c r="BE30" s="137">
        <v>0.72699999999999998</v>
      </c>
      <c r="BF30" s="137">
        <v>0.77290000000000003</v>
      </c>
      <c r="BG30" s="137">
        <v>0.75880000000000003</v>
      </c>
      <c r="BH30" s="137">
        <v>0.75149999999999995</v>
      </c>
      <c r="BI30" s="149" t="s">
        <v>404</v>
      </c>
      <c r="BJ30" s="152">
        <v>475</v>
      </c>
      <c r="BK30" s="152">
        <v>469</v>
      </c>
      <c r="BL30" s="137">
        <v>0.76680000000000004</v>
      </c>
      <c r="BM30" s="137">
        <v>0.7349</v>
      </c>
      <c r="BN30" s="137">
        <v>0.73099999999999998</v>
      </c>
      <c r="BO30" s="137">
        <v>0.77139999999999997</v>
      </c>
      <c r="BP30" s="137">
        <v>0.73899999999999999</v>
      </c>
      <c r="BQ30" s="137">
        <v>0.75009999999999999</v>
      </c>
      <c r="BR30" s="283" t="s">
        <v>404</v>
      </c>
      <c r="BS30" s="272">
        <v>453</v>
      </c>
      <c r="BT30" s="272">
        <v>451</v>
      </c>
      <c r="BU30" s="272">
        <v>0.76959999999999995</v>
      </c>
      <c r="BV30" s="272">
        <v>0.73109999999999997</v>
      </c>
      <c r="BW30" s="272">
        <v>0.74239999999999995</v>
      </c>
      <c r="BX30" s="272">
        <v>0.77969999999999995</v>
      </c>
      <c r="BY30" s="272">
        <v>0.7379</v>
      </c>
      <c r="BZ30" s="272">
        <v>0.75429999999999997</v>
      </c>
      <c r="CA30" s="366" t="s">
        <v>404</v>
      </c>
      <c r="CB30" s="357" t="s">
        <v>698</v>
      </c>
      <c r="CC30" s="357" t="s">
        <v>942</v>
      </c>
      <c r="CD30" s="357">
        <v>0.78139999999999998</v>
      </c>
      <c r="CE30" s="357">
        <v>0.73960000000000004</v>
      </c>
      <c r="CF30" s="357">
        <v>0.76190000000000002</v>
      </c>
      <c r="CG30" s="357">
        <v>0.78649999999999998</v>
      </c>
      <c r="CH30" s="357">
        <v>0.75119999999999998</v>
      </c>
      <c r="CI30" s="357">
        <v>0.7661</v>
      </c>
      <c r="CJ30" s="727" t="s">
        <v>404</v>
      </c>
      <c r="CK30" s="626">
        <v>539</v>
      </c>
      <c r="CL30" s="626">
        <v>538</v>
      </c>
      <c r="CM30" s="626">
        <v>0.78510000000000002</v>
      </c>
      <c r="CN30" s="626">
        <v>0.74229999999999996</v>
      </c>
      <c r="CO30" s="626">
        <v>0.75600000000000001</v>
      </c>
      <c r="CP30" s="626">
        <v>0.78600000000000003</v>
      </c>
      <c r="CQ30" s="626">
        <v>0.77839999999999998</v>
      </c>
      <c r="CR30" s="721">
        <v>0.76819999999999999</v>
      </c>
      <c r="CS30" s="569" t="s">
        <v>403</v>
      </c>
      <c r="CT30" s="569">
        <v>553</v>
      </c>
      <c r="CU30" s="569">
        <v>553</v>
      </c>
      <c r="CV30" s="590">
        <v>0.79100000000000004</v>
      </c>
      <c r="CW30" s="590">
        <v>0.75600000000000001</v>
      </c>
      <c r="CX30" s="590">
        <v>0.75719999999999998</v>
      </c>
      <c r="CY30" s="590">
        <v>0.7883</v>
      </c>
      <c r="CZ30" s="590">
        <v>0.79049999999999998</v>
      </c>
      <c r="DA30" s="590">
        <v>0.77449999999999997</v>
      </c>
    </row>
    <row r="31" spans="1:105" x14ac:dyDescent="0.25">
      <c r="A31" s="36" t="s">
        <v>174</v>
      </c>
      <c r="B31" s="134" t="s">
        <v>173</v>
      </c>
      <c r="C31" s="134" t="s">
        <v>567</v>
      </c>
      <c r="D31" s="134" t="s">
        <v>417</v>
      </c>
      <c r="E31" s="134" t="s">
        <v>787</v>
      </c>
      <c r="F31" s="134" t="s">
        <v>221</v>
      </c>
      <c r="G31" s="165" t="s">
        <v>405</v>
      </c>
      <c r="H31" s="166">
        <v>80</v>
      </c>
      <c r="I31" s="166">
        <v>80</v>
      </c>
      <c r="J31" s="166">
        <v>0.66579999999999995</v>
      </c>
      <c r="K31" s="166">
        <v>0.67149999999999999</v>
      </c>
      <c r="L31" s="166">
        <v>0.6915</v>
      </c>
      <c r="M31" s="166">
        <v>0.69679999999999997</v>
      </c>
      <c r="N31" s="166">
        <v>0.65890000000000004</v>
      </c>
      <c r="O31" s="166">
        <v>0.67969999999999997</v>
      </c>
      <c r="P31" s="173" t="s">
        <v>405</v>
      </c>
      <c r="Q31" s="174" t="s">
        <v>523</v>
      </c>
      <c r="R31" s="174" t="s">
        <v>523</v>
      </c>
      <c r="S31" s="174">
        <v>0.67290000000000005</v>
      </c>
      <c r="T31" s="174">
        <v>0.67359999999999998</v>
      </c>
      <c r="U31" s="174">
        <v>0.70130000000000003</v>
      </c>
      <c r="V31" s="174">
        <v>0.6976</v>
      </c>
      <c r="W31" s="174">
        <v>0.66469999999999996</v>
      </c>
      <c r="X31" s="174">
        <v>0.68469999999999998</v>
      </c>
      <c r="Y31" s="138" t="s">
        <v>405</v>
      </c>
      <c r="Z31" s="134" t="s">
        <v>536</v>
      </c>
      <c r="AA31" s="134" t="s">
        <v>536</v>
      </c>
      <c r="AB31" s="137">
        <v>0.68030000000000002</v>
      </c>
      <c r="AC31" s="137">
        <v>0.68120000000000003</v>
      </c>
      <c r="AD31" s="137">
        <v>0.69879999999999998</v>
      </c>
      <c r="AE31" s="137">
        <v>0.70330000000000004</v>
      </c>
      <c r="AF31" s="137">
        <v>0.68340000000000001</v>
      </c>
      <c r="AG31" s="137">
        <v>0.69030000000000002</v>
      </c>
      <c r="AH31" s="159" t="s">
        <v>405</v>
      </c>
      <c r="AI31" s="134" t="s">
        <v>451</v>
      </c>
      <c r="AJ31" s="134" t="s">
        <v>452</v>
      </c>
      <c r="AK31" s="137">
        <v>0.68330000000000002</v>
      </c>
      <c r="AL31" s="137">
        <v>0.68310000000000004</v>
      </c>
      <c r="AM31" s="137">
        <v>0.67859999999999998</v>
      </c>
      <c r="AN31" s="137">
        <v>0.70320000000000005</v>
      </c>
      <c r="AO31" s="137">
        <v>0.67689999999999995</v>
      </c>
      <c r="AP31" s="137">
        <v>0.68620000000000003</v>
      </c>
      <c r="AQ31" s="139" t="s">
        <v>405</v>
      </c>
      <c r="AR31" s="134" t="s">
        <v>523</v>
      </c>
      <c r="AS31" s="134" t="s">
        <v>524</v>
      </c>
      <c r="AT31" s="137">
        <v>0.69130000000000003</v>
      </c>
      <c r="AU31" s="137">
        <v>0.68540000000000001</v>
      </c>
      <c r="AV31" s="137">
        <v>0.66139999999999999</v>
      </c>
      <c r="AW31" s="137">
        <v>0.71950000000000003</v>
      </c>
      <c r="AX31" s="137">
        <v>0.69289999999999996</v>
      </c>
      <c r="AY31" s="137">
        <v>0.68969999999999998</v>
      </c>
      <c r="AZ31" s="138" t="s">
        <v>405</v>
      </c>
      <c r="BA31" s="134" t="s">
        <v>434</v>
      </c>
      <c r="BB31" s="134" t="s">
        <v>547</v>
      </c>
      <c r="BC31" s="137">
        <v>0.69820000000000004</v>
      </c>
      <c r="BD31" s="137">
        <v>0.68240000000000001</v>
      </c>
      <c r="BE31" s="137">
        <v>0.6583</v>
      </c>
      <c r="BF31" s="137">
        <v>0.73109999999999997</v>
      </c>
      <c r="BG31" s="137">
        <v>0.70040000000000002</v>
      </c>
      <c r="BH31" s="137">
        <v>0.69310000000000005</v>
      </c>
      <c r="BI31" s="135" t="s">
        <v>405</v>
      </c>
      <c r="BJ31" s="152">
        <v>100</v>
      </c>
      <c r="BK31" s="152">
        <v>98</v>
      </c>
      <c r="BL31" s="137">
        <v>0.71760000000000002</v>
      </c>
      <c r="BM31" s="137">
        <v>0.68269999999999997</v>
      </c>
      <c r="BN31" s="137">
        <v>0.67569999999999997</v>
      </c>
      <c r="BO31" s="137">
        <v>0.74039999999999995</v>
      </c>
      <c r="BP31" s="137">
        <v>0.70140000000000002</v>
      </c>
      <c r="BQ31" s="137">
        <v>0.70389999999999997</v>
      </c>
      <c r="BR31" s="279" t="s">
        <v>405</v>
      </c>
      <c r="BS31" s="272">
        <v>94</v>
      </c>
      <c r="BT31" s="272">
        <v>94</v>
      </c>
      <c r="BU31" s="272">
        <v>0.7097</v>
      </c>
      <c r="BV31" s="272">
        <v>0.68520000000000003</v>
      </c>
      <c r="BW31" s="272">
        <v>0.68100000000000005</v>
      </c>
      <c r="BX31" s="272">
        <v>0.74509999999999998</v>
      </c>
      <c r="BY31" s="272">
        <v>0.72170000000000001</v>
      </c>
      <c r="BZ31" s="272">
        <v>0.70650000000000002</v>
      </c>
      <c r="CA31" s="358" t="s">
        <v>405</v>
      </c>
      <c r="CB31" s="357" t="s">
        <v>555</v>
      </c>
      <c r="CC31" s="357" t="s">
        <v>555</v>
      </c>
      <c r="CD31" s="357">
        <v>0.71830000000000005</v>
      </c>
      <c r="CE31" s="357">
        <v>0.69550000000000001</v>
      </c>
      <c r="CF31" s="357">
        <v>0.69499999999999995</v>
      </c>
      <c r="CG31" s="357">
        <v>0.74850000000000005</v>
      </c>
      <c r="CH31" s="357">
        <v>0.7389</v>
      </c>
      <c r="CI31" s="357">
        <v>0.71619999999999995</v>
      </c>
      <c r="CJ31" s="713" t="s">
        <v>404</v>
      </c>
      <c r="CK31" s="626">
        <v>103</v>
      </c>
      <c r="CL31" s="626">
        <v>103</v>
      </c>
      <c r="CM31" s="626">
        <v>0.71899999999999997</v>
      </c>
      <c r="CN31" s="626">
        <v>0.71040000000000003</v>
      </c>
      <c r="CO31" s="626">
        <v>0.72219999999999995</v>
      </c>
      <c r="CP31" s="626">
        <v>0.75170000000000003</v>
      </c>
      <c r="CQ31" s="626">
        <v>0.76839999999999997</v>
      </c>
      <c r="CR31" s="721">
        <v>0.72909999999999997</v>
      </c>
      <c r="CS31" s="569" t="s">
        <v>404</v>
      </c>
      <c r="CT31" s="569">
        <v>106</v>
      </c>
      <c r="CU31" s="569">
        <v>106</v>
      </c>
      <c r="CV31" s="590">
        <v>0.73080000000000001</v>
      </c>
      <c r="CW31" s="590">
        <v>0.70699999999999996</v>
      </c>
      <c r="CX31" s="590">
        <v>0.71540000000000004</v>
      </c>
      <c r="CY31" s="590">
        <v>0.75970000000000004</v>
      </c>
      <c r="CZ31" s="590">
        <v>0.76529999999999998</v>
      </c>
      <c r="DA31" s="590">
        <v>0.73109999999999997</v>
      </c>
    </row>
    <row r="32" spans="1:105" x14ac:dyDescent="0.25">
      <c r="A32" s="36" t="s">
        <v>84</v>
      </c>
      <c r="B32" s="134" t="s">
        <v>83</v>
      </c>
      <c r="C32" s="134" t="s">
        <v>567</v>
      </c>
      <c r="D32" s="134" t="s">
        <v>417</v>
      </c>
      <c r="E32" s="134" t="s">
        <v>787</v>
      </c>
      <c r="F32" s="134" t="s">
        <v>221</v>
      </c>
      <c r="G32" s="168" t="s">
        <v>404</v>
      </c>
      <c r="H32" s="166">
        <v>74</v>
      </c>
      <c r="I32" s="166">
        <v>74</v>
      </c>
      <c r="J32" s="166">
        <v>0.72660000000000002</v>
      </c>
      <c r="K32" s="166">
        <v>0.75229999999999997</v>
      </c>
      <c r="L32" s="166">
        <v>0.75249999999999995</v>
      </c>
      <c r="M32" s="166">
        <v>0.77010000000000001</v>
      </c>
      <c r="N32" s="166">
        <v>0.72030000000000005</v>
      </c>
      <c r="O32" s="166">
        <v>0.74809999999999999</v>
      </c>
      <c r="P32" s="177" t="s">
        <v>404</v>
      </c>
      <c r="Q32" s="174" t="s">
        <v>583</v>
      </c>
      <c r="R32" s="174" t="s">
        <v>583</v>
      </c>
      <c r="S32" s="174">
        <v>0.72419999999999995</v>
      </c>
      <c r="T32" s="174">
        <v>0.73880000000000001</v>
      </c>
      <c r="U32" s="174">
        <v>0.74360000000000004</v>
      </c>
      <c r="V32" s="174">
        <v>0.75170000000000003</v>
      </c>
      <c r="W32" s="174">
        <v>0.72709999999999997</v>
      </c>
      <c r="X32" s="174">
        <v>0.73860000000000003</v>
      </c>
      <c r="Y32" s="145" t="s">
        <v>404</v>
      </c>
      <c r="Z32" s="134" t="s">
        <v>424</v>
      </c>
      <c r="AA32" s="134" t="s">
        <v>424</v>
      </c>
      <c r="AB32" s="137">
        <v>0.73939999999999995</v>
      </c>
      <c r="AC32" s="137">
        <v>0.75029999999999997</v>
      </c>
      <c r="AD32" s="137">
        <v>0.75060000000000004</v>
      </c>
      <c r="AE32" s="137">
        <v>0.75180000000000002</v>
      </c>
      <c r="AF32" s="137">
        <v>0.74309999999999998</v>
      </c>
      <c r="AG32" s="137">
        <v>0.74760000000000004</v>
      </c>
      <c r="AH32" s="158" t="s">
        <v>404</v>
      </c>
      <c r="AI32" s="134" t="s">
        <v>575</v>
      </c>
      <c r="AJ32" s="134" t="s">
        <v>485</v>
      </c>
      <c r="AK32" s="137">
        <v>0.74490000000000001</v>
      </c>
      <c r="AL32" s="137">
        <v>0.75449999999999995</v>
      </c>
      <c r="AM32" s="137">
        <v>0.75409999999999999</v>
      </c>
      <c r="AN32" s="137">
        <v>0.77229999999999999</v>
      </c>
      <c r="AO32" s="137">
        <v>0.75890000000000002</v>
      </c>
      <c r="AP32" s="137">
        <v>0.75660000000000005</v>
      </c>
      <c r="AQ32" s="148" t="s">
        <v>403</v>
      </c>
      <c r="AR32" s="134" t="s">
        <v>421</v>
      </c>
      <c r="AS32" s="134" t="s">
        <v>422</v>
      </c>
      <c r="AT32" s="137">
        <v>0.76670000000000005</v>
      </c>
      <c r="AU32" s="137">
        <v>0.76959999999999995</v>
      </c>
      <c r="AV32" s="137">
        <v>0.78400000000000003</v>
      </c>
      <c r="AW32" s="137">
        <v>0.80210000000000004</v>
      </c>
      <c r="AX32" s="137">
        <v>0.78810000000000002</v>
      </c>
      <c r="AY32" s="137">
        <v>0.78120000000000001</v>
      </c>
      <c r="AZ32" s="147" t="s">
        <v>403</v>
      </c>
      <c r="BA32" s="134" t="s">
        <v>421</v>
      </c>
      <c r="BB32" s="134" t="s">
        <v>568</v>
      </c>
      <c r="BC32" s="137">
        <v>0.76749999999999996</v>
      </c>
      <c r="BD32" s="137">
        <v>0.75560000000000005</v>
      </c>
      <c r="BE32" s="137">
        <v>0.7651</v>
      </c>
      <c r="BF32" s="137">
        <v>0.79649999999999999</v>
      </c>
      <c r="BG32" s="137">
        <v>0.77580000000000005</v>
      </c>
      <c r="BH32" s="137">
        <v>0.77149999999999996</v>
      </c>
      <c r="BI32" s="149" t="s">
        <v>404</v>
      </c>
      <c r="BJ32" s="152">
        <v>67</v>
      </c>
      <c r="BK32" s="152">
        <v>65</v>
      </c>
      <c r="BL32" s="137">
        <v>0.76359999999999995</v>
      </c>
      <c r="BM32" s="137">
        <v>0.74919999999999998</v>
      </c>
      <c r="BN32" s="137">
        <v>0.7702</v>
      </c>
      <c r="BO32" s="137">
        <v>0.7883</v>
      </c>
      <c r="BP32" s="137">
        <v>0.748</v>
      </c>
      <c r="BQ32" s="137">
        <v>0.76629999999999998</v>
      </c>
      <c r="BR32" s="283" t="s">
        <v>404</v>
      </c>
      <c r="BS32" s="272">
        <v>71</v>
      </c>
      <c r="BT32" s="272">
        <v>70</v>
      </c>
      <c r="BU32" s="272">
        <v>0.76370000000000005</v>
      </c>
      <c r="BV32" s="272">
        <v>0.73650000000000004</v>
      </c>
      <c r="BW32" s="272">
        <v>0.755</v>
      </c>
      <c r="BX32" s="272">
        <v>0.77849999999999997</v>
      </c>
      <c r="BY32" s="272">
        <v>0.74539999999999995</v>
      </c>
      <c r="BZ32" s="272">
        <v>0.75739999999999996</v>
      </c>
      <c r="CA32" s="366" t="s">
        <v>404</v>
      </c>
      <c r="CB32" s="357" t="s">
        <v>424</v>
      </c>
      <c r="CC32" s="357" t="s">
        <v>424</v>
      </c>
      <c r="CD32" s="357">
        <v>0.76729999999999998</v>
      </c>
      <c r="CE32" s="357">
        <v>0.74309999999999998</v>
      </c>
      <c r="CF32" s="357">
        <v>0.76959999999999995</v>
      </c>
      <c r="CG32" s="357">
        <v>0.7903</v>
      </c>
      <c r="CH32" s="357">
        <v>0.7591</v>
      </c>
      <c r="CI32" s="357">
        <v>0.76690000000000003</v>
      </c>
      <c r="CJ32" s="726" t="s">
        <v>403</v>
      </c>
      <c r="CK32" s="626">
        <v>57</v>
      </c>
      <c r="CL32" s="626">
        <v>57</v>
      </c>
      <c r="CM32" s="626">
        <v>0.77229999999999999</v>
      </c>
      <c r="CN32" s="626">
        <v>0.74250000000000005</v>
      </c>
      <c r="CO32" s="626">
        <v>0.7702</v>
      </c>
      <c r="CP32" s="626">
        <v>0.79859999999999998</v>
      </c>
      <c r="CQ32" s="626">
        <v>0.78969999999999996</v>
      </c>
      <c r="CR32" s="721">
        <v>0.77229999999999999</v>
      </c>
      <c r="CS32" s="569" t="s">
        <v>403</v>
      </c>
      <c r="CT32" s="569">
        <v>48</v>
      </c>
      <c r="CU32" s="569">
        <v>48</v>
      </c>
      <c r="CV32" s="590">
        <v>0.77210000000000001</v>
      </c>
      <c r="CW32" s="590">
        <v>0.75590000000000002</v>
      </c>
      <c r="CX32" s="590">
        <v>0.77710000000000001</v>
      </c>
      <c r="CY32" s="590">
        <v>0.80769999999999997</v>
      </c>
      <c r="CZ32" s="590">
        <v>0.78800000000000003</v>
      </c>
      <c r="DA32" s="590">
        <v>0.77890000000000004</v>
      </c>
    </row>
    <row r="33" spans="1:105" x14ac:dyDescent="0.25">
      <c r="A33" s="36" t="s">
        <v>185</v>
      </c>
      <c r="B33" s="134" t="s">
        <v>184</v>
      </c>
      <c r="C33" s="134" t="s">
        <v>567</v>
      </c>
      <c r="D33" s="134" t="s">
        <v>417</v>
      </c>
      <c r="E33" s="134" t="s">
        <v>787</v>
      </c>
      <c r="F33" s="134" t="s">
        <v>221</v>
      </c>
      <c r="G33" s="167" t="s">
        <v>541</v>
      </c>
      <c r="H33" s="166">
        <v>28</v>
      </c>
      <c r="I33" s="166">
        <v>24</v>
      </c>
      <c r="J33" s="166">
        <v>0.62539999999999996</v>
      </c>
      <c r="K33" s="166">
        <v>0.63200000000000001</v>
      </c>
      <c r="L33" s="166">
        <v>0.6351</v>
      </c>
      <c r="M33" s="166">
        <v>0.60460000000000003</v>
      </c>
      <c r="N33" s="166">
        <v>0.62039999999999995</v>
      </c>
      <c r="O33" s="166">
        <v>0.624</v>
      </c>
      <c r="P33" s="175" t="s">
        <v>541</v>
      </c>
      <c r="Q33" s="174" t="s">
        <v>479</v>
      </c>
      <c r="R33" s="174" t="s">
        <v>444</v>
      </c>
      <c r="S33" s="174">
        <v>0.63570000000000004</v>
      </c>
      <c r="T33" s="174">
        <v>0.63660000000000005</v>
      </c>
      <c r="U33" s="174">
        <v>0.64070000000000005</v>
      </c>
      <c r="V33" s="174">
        <v>0.62160000000000004</v>
      </c>
      <c r="W33" s="174">
        <v>0.62270000000000003</v>
      </c>
      <c r="X33" s="174">
        <v>0.63280000000000003</v>
      </c>
      <c r="Y33" s="141" t="s">
        <v>541</v>
      </c>
      <c r="Z33" s="134" t="s">
        <v>479</v>
      </c>
      <c r="AA33" s="134" t="s">
        <v>444</v>
      </c>
      <c r="AB33" s="137">
        <v>0.64300000000000002</v>
      </c>
      <c r="AC33" s="137">
        <v>0.65149999999999997</v>
      </c>
      <c r="AD33" s="137">
        <v>0.61819999999999997</v>
      </c>
      <c r="AE33" s="137">
        <v>0.64139999999999997</v>
      </c>
      <c r="AF33" s="137">
        <v>0.62619999999999998</v>
      </c>
      <c r="AG33" s="137">
        <v>0.63759999999999994</v>
      </c>
      <c r="AH33" s="155" t="s">
        <v>541</v>
      </c>
      <c r="AI33" s="134" t="s">
        <v>533</v>
      </c>
      <c r="AJ33" s="134" t="s">
        <v>565</v>
      </c>
      <c r="AK33" s="137">
        <v>0.63160000000000005</v>
      </c>
      <c r="AL33" s="137">
        <v>0.6653</v>
      </c>
      <c r="AM33" s="137">
        <v>0.61419999999999997</v>
      </c>
      <c r="AN33" s="137">
        <v>0.67700000000000005</v>
      </c>
      <c r="AO33" s="137">
        <v>0.62839999999999996</v>
      </c>
      <c r="AP33" s="137">
        <v>0.64559999999999995</v>
      </c>
      <c r="AQ33" s="142" t="s">
        <v>541</v>
      </c>
      <c r="AR33" s="134" t="s">
        <v>481</v>
      </c>
      <c r="AS33" s="134" t="s">
        <v>479</v>
      </c>
      <c r="AT33" s="137">
        <v>0.61529999999999996</v>
      </c>
      <c r="AU33" s="137">
        <v>0.66910000000000003</v>
      </c>
      <c r="AV33" s="137">
        <v>0.59860000000000002</v>
      </c>
      <c r="AW33" s="137">
        <v>0.68059999999999998</v>
      </c>
      <c r="AX33" s="137">
        <v>0.62409999999999999</v>
      </c>
      <c r="AY33" s="137">
        <v>0.63959999999999995</v>
      </c>
      <c r="AZ33" s="143" t="s">
        <v>557</v>
      </c>
      <c r="BA33" s="134" t="s">
        <v>545</v>
      </c>
      <c r="BB33" s="134" t="s">
        <v>607</v>
      </c>
      <c r="BC33" s="137">
        <v>0.59440000000000004</v>
      </c>
      <c r="BD33" s="137">
        <v>0.63190000000000002</v>
      </c>
      <c r="BE33" s="137">
        <v>0.57609999999999995</v>
      </c>
      <c r="BF33" s="137">
        <v>0.66180000000000005</v>
      </c>
      <c r="BG33" s="137">
        <v>0.59499999999999997</v>
      </c>
      <c r="BH33" s="137">
        <v>0.61439999999999995</v>
      </c>
      <c r="BI33" s="151" t="s">
        <v>557</v>
      </c>
      <c r="BJ33" s="152">
        <v>55</v>
      </c>
      <c r="BK33" s="152">
        <v>52</v>
      </c>
      <c r="BL33" s="137">
        <v>0.61499999999999999</v>
      </c>
      <c r="BM33" s="137">
        <v>0.60629999999999995</v>
      </c>
      <c r="BN33" s="137">
        <v>0.5696</v>
      </c>
      <c r="BO33" s="137">
        <v>0.67290000000000005</v>
      </c>
      <c r="BP33" s="137">
        <v>0.60289999999999999</v>
      </c>
      <c r="BQ33" s="137">
        <v>0.61499999999999999</v>
      </c>
      <c r="BR33" s="280" t="s">
        <v>557</v>
      </c>
      <c r="BS33" s="272">
        <v>50</v>
      </c>
      <c r="BT33" s="272">
        <v>50</v>
      </c>
      <c r="BU33" s="272">
        <v>0.62209999999999999</v>
      </c>
      <c r="BV33" s="272">
        <v>0.59799999999999998</v>
      </c>
      <c r="BW33" s="272">
        <v>0.56820000000000004</v>
      </c>
      <c r="BX33" s="272">
        <v>0.67710000000000004</v>
      </c>
      <c r="BY33" s="272">
        <v>0.62160000000000004</v>
      </c>
      <c r="BZ33" s="272">
        <v>0.61670000000000003</v>
      </c>
      <c r="CA33" s="359" t="s">
        <v>541</v>
      </c>
      <c r="CB33" s="357" t="s">
        <v>545</v>
      </c>
      <c r="CC33" s="357" t="s">
        <v>545</v>
      </c>
      <c r="CD33" s="357">
        <v>0.63929999999999998</v>
      </c>
      <c r="CE33" s="357">
        <v>0.59830000000000005</v>
      </c>
      <c r="CF33" s="357">
        <v>0.57350000000000001</v>
      </c>
      <c r="CG33" s="357">
        <v>0.69069999999999998</v>
      </c>
      <c r="CH33" s="357">
        <v>0.64359999999999995</v>
      </c>
      <c r="CI33" s="357">
        <v>0.62690000000000001</v>
      </c>
      <c r="CJ33" s="724"/>
      <c r="CK33" s="624"/>
      <c r="CL33" s="624"/>
      <c r="CM33" s="624"/>
      <c r="CN33" s="624"/>
      <c r="CO33" s="624"/>
      <c r="CP33" s="624"/>
      <c r="CQ33" s="624"/>
      <c r="CR33" s="628"/>
      <c r="CS33" s="569" t="s">
        <v>541</v>
      </c>
      <c r="CT33" s="569">
        <v>49</v>
      </c>
      <c r="CU33" s="569">
        <v>49</v>
      </c>
      <c r="CV33" s="590">
        <v>0.66349999999999998</v>
      </c>
      <c r="CW33" s="590">
        <v>0.64659999999999995</v>
      </c>
      <c r="CX33" s="590">
        <v>0.6381</v>
      </c>
      <c r="CY33" s="590">
        <v>0.7238</v>
      </c>
      <c r="CZ33" s="590">
        <v>0.69230000000000003</v>
      </c>
      <c r="DA33" s="590">
        <v>0.66990000000000005</v>
      </c>
    </row>
    <row r="34" spans="1:105" x14ac:dyDescent="0.25">
      <c r="A34" s="36" t="s">
        <v>161</v>
      </c>
      <c r="B34" s="134" t="s">
        <v>160</v>
      </c>
      <c r="C34" s="134" t="s">
        <v>567</v>
      </c>
      <c r="D34" s="134" t="s">
        <v>417</v>
      </c>
      <c r="E34" s="134" t="s">
        <v>787</v>
      </c>
      <c r="F34" s="134" t="s">
        <v>221</v>
      </c>
      <c r="G34" s="165" t="s">
        <v>405</v>
      </c>
      <c r="H34" s="166">
        <v>120</v>
      </c>
      <c r="I34" s="166">
        <v>120</v>
      </c>
      <c r="J34" s="166">
        <v>0.67579999999999996</v>
      </c>
      <c r="K34" s="166">
        <v>0.68189999999999995</v>
      </c>
      <c r="L34" s="166">
        <v>0.67530000000000001</v>
      </c>
      <c r="M34" s="166">
        <v>0.68510000000000004</v>
      </c>
      <c r="N34" s="166">
        <v>0.65400000000000003</v>
      </c>
      <c r="O34" s="166">
        <v>0.67759999999999998</v>
      </c>
      <c r="P34" s="173" t="s">
        <v>405</v>
      </c>
      <c r="Q34" s="174" t="s">
        <v>578</v>
      </c>
      <c r="R34" s="174" t="s">
        <v>458</v>
      </c>
      <c r="S34" s="174">
        <v>0.67779999999999996</v>
      </c>
      <c r="T34" s="174">
        <v>0.6895</v>
      </c>
      <c r="U34" s="174">
        <v>0.67179999999999995</v>
      </c>
      <c r="V34" s="174">
        <v>0.67359999999999998</v>
      </c>
      <c r="W34" s="174">
        <v>0.65869999999999995</v>
      </c>
      <c r="X34" s="174">
        <v>0.67669999999999997</v>
      </c>
      <c r="Y34" s="138" t="s">
        <v>405</v>
      </c>
      <c r="Z34" s="134" t="s">
        <v>578</v>
      </c>
      <c r="AA34" s="134" t="s">
        <v>458</v>
      </c>
      <c r="AB34" s="137">
        <v>0.69220000000000004</v>
      </c>
      <c r="AC34" s="137">
        <v>0.69810000000000005</v>
      </c>
      <c r="AD34" s="137">
        <v>0.67220000000000002</v>
      </c>
      <c r="AE34" s="137">
        <v>0.68679999999999997</v>
      </c>
      <c r="AF34" s="137">
        <v>0.68420000000000003</v>
      </c>
      <c r="AG34" s="137">
        <v>0.68710000000000004</v>
      </c>
      <c r="AH34" s="159" t="s">
        <v>405</v>
      </c>
      <c r="AI34" s="134" t="s">
        <v>554</v>
      </c>
      <c r="AJ34" s="134" t="s">
        <v>608</v>
      </c>
      <c r="AK34" s="137">
        <v>0.70889999999999997</v>
      </c>
      <c r="AL34" s="137">
        <v>0.71760000000000002</v>
      </c>
      <c r="AM34" s="137">
        <v>0.6774</v>
      </c>
      <c r="AN34" s="137">
        <v>0.70879999999999999</v>
      </c>
      <c r="AO34" s="137">
        <v>0.68210000000000004</v>
      </c>
      <c r="AP34" s="137">
        <v>0.7016</v>
      </c>
      <c r="AQ34" s="139" t="s">
        <v>405</v>
      </c>
      <c r="AR34" s="134" t="s">
        <v>462</v>
      </c>
      <c r="AS34" s="134" t="s">
        <v>484</v>
      </c>
      <c r="AT34" s="137">
        <v>0.72289999999999999</v>
      </c>
      <c r="AU34" s="137">
        <v>0.71179999999999999</v>
      </c>
      <c r="AV34" s="137">
        <v>0.68179999999999996</v>
      </c>
      <c r="AW34" s="137">
        <v>0.71970000000000001</v>
      </c>
      <c r="AX34" s="137">
        <v>0.6915</v>
      </c>
      <c r="AY34" s="137">
        <v>0.7077</v>
      </c>
      <c r="AZ34" s="138" t="s">
        <v>405</v>
      </c>
      <c r="BA34" s="134" t="s">
        <v>667</v>
      </c>
      <c r="BB34" s="134" t="s">
        <v>534</v>
      </c>
      <c r="BC34" s="137">
        <v>0.72450000000000003</v>
      </c>
      <c r="BD34" s="137">
        <v>0.69550000000000001</v>
      </c>
      <c r="BE34" s="137">
        <v>0.66410000000000002</v>
      </c>
      <c r="BF34" s="137">
        <v>0.72160000000000002</v>
      </c>
      <c r="BG34" s="137">
        <v>0.67279999999999995</v>
      </c>
      <c r="BH34" s="137">
        <v>0.69920000000000004</v>
      </c>
      <c r="BI34" s="135" t="s">
        <v>405</v>
      </c>
      <c r="BJ34" s="152">
        <v>121</v>
      </c>
      <c r="BK34" s="152">
        <v>121</v>
      </c>
      <c r="BL34" s="137">
        <v>0.7409</v>
      </c>
      <c r="BM34" s="137">
        <v>0.68520000000000003</v>
      </c>
      <c r="BN34" s="137">
        <v>0.67789999999999995</v>
      </c>
      <c r="BO34" s="137">
        <v>0.72040000000000004</v>
      </c>
      <c r="BP34" s="137">
        <v>0.67859999999999998</v>
      </c>
      <c r="BQ34" s="137">
        <v>0.70399999999999996</v>
      </c>
      <c r="BR34" s="279" t="s">
        <v>405</v>
      </c>
      <c r="BS34" s="272">
        <v>118</v>
      </c>
      <c r="BT34" s="272">
        <v>118</v>
      </c>
      <c r="BU34" s="272">
        <v>0.73839999999999995</v>
      </c>
      <c r="BV34" s="272">
        <v>0.68700000000000006</v>
      </c>
      <c r="BW34" s="272">
        <v>0.67379999999999995</v>
      </c>
      <c r="BX34" s="272">
        <v>0.72640000000000005</v>
      </c>
      <c r="BY34" s="272">
        <v>0.67810000000000004</v>
      </c>
      <c r="BZ34" s="272">
        <v>0.70420000000000005</v>
      </c>
      <c r="CA34" s="358" t="s">
        <v>405</v>
      </c>
      <c r="CB34" s="357" t="s">
        <v>535</v>
      </c>
      <c r="CC34" s="357" t="s">
        <v>535</v>
      </c>
      <c r="CD34" s="357">
        <v>0.73160000000000003</v>
      </c>
      <c r="CE34" s="357">
        <v>0.68730000000000002</v>
      </c>
      <c r="CF34" s="357">
        <v>0.69240000000000002</v>
      </c>
      <c r="CG34" s="357">
        <v>0.73089999999999999</v>
      </c>
      <c r="CH34" s="357">
        <v>0.69179999999999997</v>
      </c>
      <c r="CI34" s="357">
        <v>0.70909999999999995</v>
      </c>
      <c r="CJ34" s="725" t="s">
        <v>405</v>
      </c>
      <c r="CK34" s="626">
        <v>119</v>
      </c>
      <c r="CL34" s="626">
        <v>119</v>
      </c>
      <c r="CM34" s="626">
        <v>0.73099999999999998</v>
      </c>
      <c r="CN34" s="626">
        <v>0.69699999999999995</v>
      </c>
      <c r="CO34" s="626">
        <v>0.68400000000000005</v>
      </c>
      <c r="CP34" s="626">
        <v>0.7409</v>
      </c>
      <c r="CQ34" s="626">
        <v>0.70199999999999996</v>
      </c>
      <c r="CR34" s="721">
        <v>0.71240000000000003</v>
      </c>
      <c r="CS34" s="569" t="s">
        <v>404</v>
      </c>
      <c r="CT34" s="569">
        <v>135</v>
      </c>
      <c r="CU34" s="569">
        <v>135</v>
      </c>
      <c r="CV34" s="590">
        <v>0.74760000000000004</v>
      </c>
      <c r="CW34" s="590">
        <v>0.70820000000000005</v>
      </c>
      <c r="CX34" s="590">
        <v>0.68920000000000003</v>
      </c>
      <c r="CY34" s="590">
        <v>0.75060000000000004</v>
      </c>
      <c r="CZ34" s="590">
        <v>0.69569999999999999</v>
      </c>
      <c r="DA34" s="590">
        <v>0.72170000000000001</v>
      </c>
    </row>
    <row r="35" spans="1:105" x14ac:dyDescent="0.25">
      <c r="A35" s="36" t="s">
        <v>114</v>
      </c>
      <c r="B35" s="134" t="s">
        <v>113</v>
      </c>
      <c r="C35" s="134" t="s">
        <v>567</v>
      </c>
      <c r="D35" s="134" t="s">
        <v>417</v>
      </c>
      <c r="E35" s="134" t="s">
        <v>787</v>
      </c>
      <c r="F35" s="134" t="s">
        <v>221</v>
      </c>
      <c r="G35" s="165" t="s">
        <v>405</v>
      </c>
      <c r="H35" s="166">
        <v>70</v>
      </c>
      <c r="I35" s="166">
        <v>66</v>
      </c>
      <c r="J35" s="166">
        <v>0.69169999999999998</v>
      </c>
      <c r="K35" s="166">
        <v>0.69669999999999999</v>
      </c>
      <c r="L35" s="166">
        <v>0.69740000000000002</v>
      </c>
      <c r="M35" s="166">
        <v>0.71160000000000001</v>
      </c>
      <c r="N35" s="166">
        <v>0.70950000000000002</v>
      </c>
      <c r="O35" s="166">
        <v>0.70009999999999994</v>
      </c>
      <c r="P35" s="173" t="s">
        <v>405</v>
      </c>
      <c r="Q35" s="174" t="s">
        <v>420</v>
      </c>
      <c r="R35" s="174" t="s">
        <v>443</v>
      </c>
      <c r="S35" s="174">
        <v>0.71220000000000006</v>
      </c>
      <c r="T35" s="174">
        <v>0.71089999999999998</v>
      </c>
      <c r="U35" s="174">
        <v>0.72009999999999996</v>
      </c>
      <c r="V35" s="174">
        <v>0.72650000000000003</v>
      </c>
      <c r="W35" s="174">
        <v>0.72499999999999998</v>
      </c>
      <c r="X35" s="174">
        <v>0.71799999999999997</v>
      </c>
      <c r="Y35" s="145" t="s">
        <v>404</v>
      </c>
      <c r="Z35" s="134" t="s">
        <v>657</v>
      </c>
      <c r="AA35" s="134" t="s">
        <v>578</v>
      </c>
      <c r="AB35" s="137">
        <v>0.71360000000000001</v>
      </c>
      <c r="AC35" s="137">
        <v>0.72260000000000002</v>
      </c>
      <c r="AD35" s="137">
        <v>0.71870000000000001</v>
      </c>
      <c r="AE35" s="137">
        <v>0.73070000000000002</v>
      </c>
      <c r="AF35" s="137">
        <v>0.73540000000000005</v>
      </c>
      <c r="AG35" s="137">
        <v>0.72250000000000003</v>
      </c>
      <c r="AH35" s="158" t="s">
        <v>404</v>
      </c>
      <c r="AI35" s="134" t="s">
        <v>578</v>
      </c>
      <c r="AJ35" s="134" t="s">
        <v>578</v>
      </c>
      <c r="AK35" s="137">
        <v>0.74060000000000004</v>
      </c>
      <c r="AL35" s="137">
        <v>0.74380000000000002</v>
      </c>
      <c r="AM35" s="137">
        <v>0.7399</v>
      </c>
      <c r="AN35" s="137">
        <v>0.75890000000000002</v>
      </c>
      <c r="AO35" s="137">
        <v>0.74870000000000003</v>
      </c>
      <c r="AP35" s="137">
        <v>0.746</v>
      </c>
      <c r="AQ35" s="150" t="s">
        <v>404</v>
      </c>
      <c r="AR35" s="134" t="s">
        <v>440</v>
      </c>
      <c r="AS35" s="134" t="s">
        <v>440</v>
      </c>
      <c r="AT35" s="137">
        <v>0.75180000000000002</v>
      </c>
      <c r="AU35" s="137">
        <v>0.74299999999999999</v>
      </c>
      <c r="AV35" s="137">
        <v>0.73419999999999996</v>
      </c>
      <c r="AW35" s="137">
        <v>0.76959999999999995</v>
      </c>
      <c r="AX35" s="137">
        <v>0.74919999999999998</v>
      </c>
      <c r="AY35" s="137">
        <v>0.74960000000000004</v>
      </c>
      <c r="AZ35" s="145" t="s">
        <v>404</v>
      </c>
      <c r="BA35" s="134" t="s">
        <v>657</v>
      </c>
      <c r="BB35" s="134" t="s">
        <v>657</v>
      </c>
      <c r="BC35" s="137">
        <v>0.75519999999999998</v>
      </c>
      <c r="BD35" s="137">
        <v>0.73209999999999997</v>
      </c>
      <c r="BE35" s="137">
        <v>0.73829999999999996</v>
      </c>
      <c r="BF35" s="137">
        <v>0.77969999999999995</v>
      </c>
      <c r="BG35" s="137">
        <v>0.72889999999999999</v>
      </c>
      <c r="BH35" s="137">
        <v>0.74960000000000004</v>
      </c>
      <c r="BI35" s="149" t="s">
        <v>404</v>
      </c>
      <c r="BJ35" s="152">
        <v>123</v>
      </c>
      <c r="BK35" s="152">
        <v>122</v>
      </c>
      <c r="BL35" s="137">
        <v>0.75209999999999999</v>
      </c>
      <c r="BM35" s="137">
        <v>0.72150000000000003</v>
      </c>
      <c r="BN35" s="137">
        <v>0.7389</v>
      </c>
      <c r="BO35" s="137">
        <v>0.77569999999999995</v>
      </c>
      <c r="BP35" s="137">
        <v>0.70960000000000001</v>
      </c>
      <c r="BQ35" s="137">
        <v>0.74419999999999997</v>
      </c>
      <c r="BR35" s="283" t="s">
        <v>404</v>
      </c>
      <c r="BS35" s="272">
        <v>134</v>
      </c>
      <c r="BT35" s="272">
        <v>133</v>
      </c>
      <c r="BU35" s="272">
        <v>0.74429999999999996</v>
      </c>
      <c r="BV35" s="272">
        <v>0.72419999999999995</v>
      </c>
      <c r="BW35" s="272">
        <v>0.7419</v>
      </c>
      <c r="BX35" s="272">
        <v>0.7792</v>
      </c>
      <c r="BY35" s="272">
        <v>0.71399999999999997</v>
      </c>
      <c r="BZ35" s="272">
        <v>0.74480000000000002</v>
      </c>
      <c r="CA35" s="366" t="s">
        <v>404</v>
      </c>
      <c r="CB35" s="357" t="s">
        <v>693</v>
      </c>
      <c r="CC35" s="357" t="s">
        <v>668</v>
      </c>
      <c r="CD35" s="357">
        <v>0.75829999999999997</v>
      </c>
      <c r="CE35" s="357">
        <v>0.73409999999999997</v>
      </c>
      <c r="CF35" s="357">
        <v>0.75129999999999997</v>
      </c>
      <c r="CG35" s="357">
        <v>0.78580000000000005</v>
      </c>
      <c r="CH35" s="357">
        <v>0.74199999999999999</v>
      </c>
      <c r="CI35" s="357">
        <v>0.75619999999999998</v>
      </c>
      <c r="CJ35" s="727" t="s">
        <v>404</v>
      </c>
      <c r="CK35" s="626">
        <v>175</v>
      </c>
      <c r="CL35" s="626">
        <v>173</v>
      </c>
      <c r="CM35" s="626">
        <v>0.76100000000000001</v>
      </c>
      <c r="CN35" s="626">
        <v>0.74070000000000003</v>
      </c>
      <c r="CO35" s="626">
        <v>0.74839999999999995</v>
      </c>
      <c r="CP35" s="626">
        <v>0.78900000000000003</v>
      </c>
      <c r="CQ35" s="626">
        <v>0.76300000000000001</v>
      </c>
      <c r="CR35" s="721">
        <v>0.76</v>
      </c>
      <c r="CS35" s="569" t="s">
        <v>404</v>
      </c>
      <c r="CT35" s="569">
        <v>162</v>
      </c>
      <c r="CU35" s="569">
        <v>160</v>
      </c>
      <c r="CV35" s="590">
        <v>0.77449999999999997</v>
      </c>
      <c r="CW35" s="590">
        <v>0.74939999999999996</v>
      </c>
      <c r="CX35" s="590">
        <v>0.74180000000000001</v>
      </c>
      <c r="CY35" s="590">
        <v>0.79190000000000005</v>
      </c>
      <c r="CZ35" s="590">
        <v>0.76700000000000002</v>
      </c>
      <c r="DA35" s="590">
        <v>0.76459999999999995</v>
      </c>
    </row>
    <row r="36" spans="1:105" x14ac:dyDescent="0.25">
      <c r="A36" s="36" t="s">
        <v>128</v>
      </c>
      <c r="B36" s="134" t="s">
        <v>127</v>
      </c>
      <c r="C36" s="134" t="s">
        <v>567</v>
      </c>
      <c r="D36" s="134" t="s">
        <v>417</v>
      </c>
      <c r="E36" s="134" t="s">
        <v>787</v>
      </c>
      <c r="F36" s="134" t="s">
        <v>221</v>
      </c>
      <c r="G36" s="165" t="s">
        <v>405</v>
      </c>
      <c r="H36" s="166">
        <v>65</v>
      </c>
      <c r="I36" s="166">
        <v>65</v>
      </c>
      <c r="J36" s="166">
        <v>0.68320000000000003</v>
      </c>
      <c r="K36" s="166">
        <v>0.70589999999999997</v>
      </c>
      <c r="L36" s="166">
        <v>0.71360000000000001</v>
      </c>
      <c r="M36" s="166">
        <v>0.73150000000000004</v>
      </c>
      <c r="N36" s="166">
        <v>0.71889999999999998</v>
      </c>
      <c r="O36" s="166">
        <v>0.70930000000000004</v>
      </c>
      <c r="P36" s="173" t="s">
        <v>405</v>
      </c>
      <c r="Q36" s="174" t="s">
        <v>424</v>
      </c>
      <c r="R36" s="174" t="s">
        <v>424</v>
      </c>
      <c r="S36" s="174">
        <v>0.69940000000000002</v>
      </c>
      <c r="T36" s="174">
        <v>0.71230000000000004</v>
      </c>
      <c r="U36" s="174">
        <v>0.71279999999999999</v>
      </c>
      <c r="V36" s="174">
        <v>0.72570000000000001</v>
      </c>
      <c r="W36" s="174">
        <v>0.72150000000000003</v>
      </c>
      <c r="X36" s="174">
        <v>0.71319999999999995</v>
      </c>
      <c r="Y36" s="145" t="s">
        <v>404</v>
      </c>
      <c r="Z36" s="134" t="s">
        <v>419</v>
      </c>
      <c r="AA36" s="134" t="s">
        <v>419</v>
      </c>
      <c r="AB36" s="137">
        <v>0.71360000000000001</v>
      </c>
      <c r="AC36" s="137">
        <v>0.7288</v>
      </c>
      <c r="AD36" s="137">
        <v>0.72289999999999999</v>
      </c>
      <c r="AE36" s="137">
        <v>0.73819999999999997</v>
      </c>
      <c r="AF36" s="137">
        <v>0.74619999999999997</v>
      </c>
      <c r="AG36" s="137">
        <v>0.72740000000000005</v>
      </c>
      <c r="AH36" s="158" t="s">
        <v>404</v>
      </c>
      <c r="AI36" s="134" t="s">
        <v>583</v>
      </c>
      <c r="AJ36" s="134" t="s">
        <v>583</v>
      </c>
      <c r="AK36" s="137">
        <v>0.74590000000000001</v>
      </c>
      <c r="AL36" s="137">
        <v>0.73060000000000003</v>
      </c>
      <c r="AM36" s="137">
        <v>0.73170000000000002</v>
      </c>
      <c r="AN36" s="137">
        <v>0.73699999999999999</v>
      </c>
      <c r="AO36" s="137">
        <v>0.7671</v>
      </c>
      <c r="AP36" s="137">
        <v>0.73860000000000003</v>
      </c>
      <c r="AQ36" s="150" t="s">
        <v>404</v>
      </c>
      <c r="AR36" s="134" t="s">
        <v>439</v>
      </c>
      <c r="AS36" s="134" t="s">
        <v>443</v>
      </c>
      <c r="AT36" s="137">
        <v>0.72840000000000005</v>
      </c>
      <c r="AU36" s="137">
        <v>0.73480000000000001</v>
      </c>
      <c r="AV36" s="137">
        <v>0.74219999999999997</v>
      </c>
      <c r="AW36" s="137">
        <v>0.75449999999999995</v>
      </c>
      <c r="AX36" s="137">
        <v>0.77910000000000001</v>
      </c>
      <c r="AY36" s="137">
        <v>0.74299999999999999</v>
      </c>
      <c r="AZ36" s="145" t="s">
        <v>404</v>
      </c>
      <c r="BA36" s="134" t="s">
        <v>678</v>
      </c>
      <c r="BB36" s="134" t="s">
        <v>485</v>
      </c>
      <c r="BC36" s="137">
        <v>0.73760000000000003</v>
      </c>
      <c r="BD36" s="137">
        <v>0.73029999999999995</v>
      </c>
      <c r="BE36" s="137">
        <v>0.73950000000000005</v>
      </c>
      <c r="BF36" s="137">
        <v>0.75819999999999999</v>
      </c>
      <c r="BG36" s="137">
        <v>0.77769999999999995</v>
      </c>
      <c r="BH36" s="137">
        <v>0.74419999999999997</v>
      </c>
      <c r="BI36" s="149" t="s">
        <v>404</v>
      </c>
      <c r="BJ36" s="152">
        <v>70</v>
      </c>
      <c r="BK36" s="152">
        <v>67</v>
      </c>
      <c r="BL36" s="137">
        <v>0.73360000000000003</v>
      </c>
      <c r="BM36" s="137">
        <v>0.73429999999999995</v>
      </c>
      <c r="BN36" s="137">
        <v>0.74250000000000005</v>
      </c>
      <c r="BO36" s="137">
        <v>0.75639999999999996</v>
      </c>
      <c r="BP36" s="137">
        <v>0.75929999999999997</v>
      </c>
      <c r="BQ36" s="137">
        <v>0.74299999999999999</v>
      </c>
      <c r="BR36" s="283" t="s">
        <v>404</v>
      </c>
      <c r="BS36" s="272">
        <v>58</v>
      </c>
      <c r="BT36" s="272">
        <v>58</v>
      </c>
      <c r="BU36" s="272">
        <v>0.75039999999999996</v>
      </c>
      <c r="BV36" s="272">
        <v>0.7268</v>
      </c>
      <c r="BW36" s="272">
        <v>0.73350000000000004</v>
      </c>
      <c r="BX36" s="272">
        <v>0.76300000000000001</v>
      </c>
      <c r="BY36" s="272">
        <v>0.75280000000000002</v>
      </c>
      <c r="BZ36" s="272">
        <v>0.74419999999999997</v>
      </c>
      <c r="CA36" s="366" t="s">
        <v>404</v>
      </c>
      <c r="CB36" s="357" t="s">
        <v>424</v>
      </c>
      <c r="CC36" s="357" t="s">
        <v>424</v>
      </c>
      <c r="CD36" s="357">
        <v>0.74129999999999996</v>
      </c>
      <c r="CE36" s="357">
        <v>0.72350000000000003</v>
      </c>
      <c r="CF36" s="357">
        <v>0.7268</v>
      </c>
      <c r="CG36" s="357">
        <v>0.76119999999999999</v>
      </c>
      <c r="CH36" s="357">
        <v>0.75890000000000002</v>
      </c>
      <c r="CI36" s="357">
        <v>0.73980000000000001</v>
      </c>
      <c r="CJ36" s="727" t="s">
        <v>404</v>
      </c>
      <c r="CK36" s="626">
        <v>75</v>
      </c>
      <c r="CL36" s="626">
        <v>75</v>
      </c>
      <c r="CM36" s="626">
        <v>0.73880000000000001</v>
      </c>
      <c r="CN36" s="626">
        <v>0.72840000000000005</v>
      </c>
      <c r="CO36" s="626">
        <v>0.7258</v>
      </c>
      <c r="CP36" s="626">
        <v>0.76790000000000003</v>
      </c>
      <c r="CQ36" s="626">
        <v>0.77649999999999997</v>
      </c>
      <c r="CR36" s="721">
        <v>0.74299999999999999</v>
      </c>
      <c r="CS36" s="569" t="s">
        <v>404</v>
      </c>
      <c r="CT36" s="569">
        <v>70</v>
      </c>
      <c r="CU36" s="569">
        <v>70</v>
      </c>
      <c r="CV36" s="590">
        <v>0.73599999999999999</v>
      </c>
      <c r="CW36" s="590">
        <v>0.73</v>
      </c>
      <c r="CX36" s="590">
        <v>0.72889999999999999</v>
      </c>
      <c r="CY36" s="590">
        <v>0.76549999999999996</v>
      </c>
      <c r="CZ36" s="590">
        <v>0.77039999999999997</v>
      </c>
      <c r="DA36" s="590">
        <v>0.74239999999999995</v>
      </c>
    </row>
    <row r="37" spans="1:105" x14ac:dyDescent="0.25">
      <c r="A37" s="36" t="s">
        <v>159</v>
      </c>
      <c r="B37" s="134" t="s">
        <v>158</v>
      </c>
      <c r="C37" s="134" t="s">
        <v>567</v>
      </c>
      <c r="D37" s="134" t="s">
        <v>417</v>
      </c>
      <c r="E37" s="134" t="s">
        <v>787</v>
      </c>
      <c r="F37" s="134" t="s">
        <v>221</v>
      </c>
      <c r="G37" s="165" t="s">
        <v>405</v>
      </c>
      <c r="H37" s="166">
        <v>63</v>
      </c>
      <c r="I37" s="166">
        <v>63</v>
      </c>
      <c r="J37" s="166">
        <v>0.68889999999999996</v>
      </c>
      <c r="K37" s="166">
        <v>0.70269999999999999</v>
      </c>
      <c r="L37" s="166">
        <v>0.70720000000000005</v>
      </c>
      <c r="M37" s="166">
        <v>0.72009999999999996</v>
      </c>
      <c r="N37" s="166">
        <v>0.6694</v>
      </c>
      <c r="O37" s="166">
        <v>0.70199999999999996</v>
      </c>
      <c r="P37" s="173" t="s">
        <v>405</v>
      </c>
      <c r="Q37" s="174" t="s">
        <v>546</v>
      </c>
      <c r="R37" s="174" t="s">
        <v>546</v>
      </c>
      <c r="S37" s="174">
        <v>0.67659999999999998</v>
      </c>
      <c r="T37" s="174">
        <v>0.69630000000000003</v>
      </c>
      <c r="U37" s="174">
        <v>0.69520000000000004</v>
      </c>
      <c r="V37" s="174">
        <v>0.70899999999999996</v>
      </c>
      <c r="W37" s="174">
        <v>0.6673</v>
      </c>
      <c r="X37" s="174">
        <v>0.69220000000000004</v>
      </c>
      <c r="Y37" s="138" t="s">
        <v>405</v>
      </c>
      <c r="Z37" s="134" t="s">
        <v>663</v>
      </c>
      <c r="AA37" s="134" t="s">
        <v>663</v>
      </c>
      <c r="AB37" s="137">
        <v>0.69230000000000003</v>
      </c>
      <c r="AC37" s="137">
        <v>0.72799999999999998</v>
      </c>
      <c r="AD37" s="137">
        <v>0.70030000000000003</v>
      </c>
      <c r="AE37" s="137">
        <v>0.72829999999999995</v>
      </c>
      <c r="AF37" s="137">
        <v>0.69820000000000004</v>
      </c>
      <c r="AG37" s="137">
        <v>0.71120000000000005</v>
      </c>
      <c r="AH37" s="159" t="s">
        <v>405</v>
      </c>
      <c r="AI37" s="134" t="s">
        <v>600</v>
      </c>
      <c r="AJ37" s="134" t="s">
        <v>600</v>
      </c>
      <c r="AK37" s="137">
        <v>0.70579999999999998</v>
      </c>
      <c r="AL37" s="137">
        <v>0.7349</v>
      </c>
      <c r="AM37" s="137">
        <v>0.69689999999999996</v>
      </c>
      <c r="AN37" s="137">
        <v>0.73609999999999998</v>
      </c>
      <c r="AO37" s="137">
        <v>0.71799999999999997</v>
      </c>
      <c r="AP37" s="137">
        <v>0.71840000000000004</v>
      </c>
      <c r="AQ37" s="150" t="s">
        <v>404</v>
      </c>
      <c r="AR37" s="134" t="s">
        <v>435</v>
      </c>
      <c r="AS37" s="134" t="s">
        <v>435</v>
      </c>
      <c r="AT37" s="137">
        <v>0.75929999999999997</v>
      </c>
      <c r="AU37" s="137">
        <v>0.77100000000000002</v>
      </c>
      <c r="AV37" s="137">
        <v>0.73719999999999997</v>
      </c>
      <c r="AW37" s="137">
        <v>0.77380000000000004</v>
      </c>
      <c r="AX37" s="137">
        <v>0.75560000000000005</v>
      </c>
      <c r="AY37" s="137">
        <v>0.75990000000000002</v>
      </c>
      <c r="AZ37" s="145" t="s">
        <v>404</v>
      </c>
      <c r="BA37" s="134" t="s">
        <v>575</v>
      </c>
      <c r="BB37" s="134" t="s">
        <v>575</v>
      </c>
      <c r="BC37" s="137">
        <v>0.78380000000000005</v>
      </c>
      <c r="BD37" s="137">
        <v>0.75370000000000004</v>
      </c>
      <c r="BE37" s="137">
        <v>0.75190000000000001</v>
      </c>
      <c r="BF37" s="137">
        <v>0.79159999999999997</v>
      </c>
      <c r="BG37" s="137">
        <v>0.75680000000000003</v>
      </c>
      <c r="BH37" s="137">
        <v>0.76919999999999999</v>
      </c>
      <c r="BI37" s="146" t="s">
        <v>403</v>
      </c>
      <c r="BJ37" s="152">
        <v>62</v>
      </c>
      <c r="BK37" s="152">
        <v>62</v>
      </c>
      <c r="BL37" s="137">
        <v>0.79759999999999998</v>
      </c>
      <c r="BM37" s="137">
        <v>0.76390000000000002</v>
      </c>
      <c r="BN37" s="137">
        <v>0.7601</v>
      </c>
      <c r="BO37" s="137">
        <v>0.79190000000000005</v>
      </c>
      <c r="BP37" s="137">
        <v>0.76049999999999995</v>
      </c>
      <c r="BQ37" s="137">
        <v>0.77700000000000002</v>
      </c>
      <c r="BR37" s="283" t="s">
        <v>404</v>
      </c>
      <c r="BS37" s="272">
        <v>79</v>
      </c>
      <c r="BT37" s="272">
        <v>79</v>
      </c>
      <c r="BU37" s="272">
        <v>0.77529999999999999</v>
      </c>
      <c r="BV37" s="272">
        <v>0.74350000000000005</v>
      </c>
      <c r="BW37" s="272">
        <v>0.74860000000000004</v>
      </c>
      <c r="BX37" s="272">
        <v>0.78029999999999999</v>
      </c>
      <c r="BY37" s="272">
        <v>0.7429</v>
      </c>
      <c r="BZ37" s="272">
        <v>0.76049999999999995</v>
      </c>
      <c r="CA37" s="360" t="s">
        <v>403</v>
      </c>
      <c r="CB37" s="357" t="s">
        <v>647</v>
      </c>
      <c r="CC37" s="357" t="s">
        <v>647</v>
      </c>
      <c r="CD37" s="357">
        <v>0.78059999999999996</v>
      </c>
      <c r="CE37" s="357">
        <v>0.75349999999999995</v>
      </c>
      <c r="CF37" s="357">
        <v>0.76739999999999997</v>
      </c>
      <c r="CG37" s="357">
        <v>0.79610000000000003</v>
      </c>
      <c r="CH37" s="357">
        <v>0.753</v>
      </c>
      <c r="CI37" s="357">
        <v>0.77280000000000004</v>
      </c>
      <c r="CJ37" s="726" t="s">
        <v>403</v>
      </c>
      <c r="CK37" s="626">
        <v>114</v>
      </c>
      <c r="CL37" s="626">
        <v>114</v>
      </c>
      <c r="CM37" s="626">
        <v>0.78239999999999998</v>
      </c>
      <c r="CN37" s="626">
        <v>0.74909999999999999</v>
      </c>
      <c r="CO37" s="626">
        <v>0.76800000000000002</v>
      </c>
      <c r="CP37" s="626">
        <v>0.80320000000000003</v>
      </c>
      <c r="CQ37" s="626">
        <v>0.75739999999999996</v>
      </c>
      <c r="CR37" s="721">
        <v>0.77429999999999999</v>
      </c>
      <c r="CS37" s="569" t="s">
        <v>403</v>
      </c>
      <c r="CT37" s="569">
        <v>109</v>
      </c>
      <c r="CU37" s="569">
        <v>109</v>
      </c>
      <c r="CV37" s="590">
        <v>0.80649999999999999</v>
      </c>
      <c r="CW37" s="590">
        <v>0.76880000000000004</v>
      </c>
      <c r="CX37" s="590">
        <v>0.77759999999999996</v>
      </c>
      <c r="CY37" s="590">
        <v>0.81489999999999996</v>
      </c>
      <c r="CZ37" s="590">
        <v>0.7722</v>
      </c>
      <c r="DA37" s="590">
        <v>0.79039999999999999</v>
      </c>
    </row>
    <row r="38" spans="1:105" x14ac:dyDescent="0.25">
      <c r="A38" s="36" t="s">
        <v>59</v>
      </c>
      <c r="B38" s="134" t="s">
        <v>58</v>
      </c>
      <c r="C38" s="134" t="s">
        <v>567</v>
      </c>
      <c r="D38" s="134" t="s">
        <v>417</v>
      </c>
      <c r="E38" s="134" t="s">
        <v>787</v>
      </c>
      <c r="F38" s="134" t="s">
        <v>221</v>
      </c>
      <c r="G38" s="165" t="s">
        <v>405</v>
      </c>
      <c r="H38" s="166">
        <v>30</v>
      </c>
      <c r="I38" s="166">
        <v>30</v>
      </c>
      <c r="J38" s="166">
        <v>0.66180000000000005</v>
      </c>
      <c r="K38" s="166">
        <v>0.6754</v>
      </c>
      <c r="L38" s="166">
        <v>0.68140000000000001</v>
      </c>
      <c r="M38" s="166">
        <v>0.68130000000000002</v>
      </c>
      <c r="N38" s="166">
        <v>0.69699999999999995</v>
      </c>
      <c r="O38" s="166">
        <v>0.67659999999999998</v>
      </c>
      <c r="P38" s="173" t="s">
        <v>405</v>
      </c>
      <c r="Q38" s="174" t="s">
        <v>556</v>
      </c>
      <c r="R38" s="174" t="s">
        <v>556</v>
      </c>
      <c r="S38" s="174">
        <v>0.6593</v>
      </c>
      <c r="T38" s="174">
        <v>0.68030000000000002</v>
      </c>
      <c r="U38" s="174">
        <v>0.67859999999999998</v>
      </c>
      <c r="V38" s="174">
        <v>0.66510000000000002</v>
      </c>
      <c r="W38" s="174">
        <v>0.6784</v>
      </c>
      <c r="X38" s="174">
        <v>0.6714</v>
      </c>
      <c r="Y38" s="138" t="s">
        <v>405</v>
      </c>
      <c r="Z38" s="134" t="s">
        <v>145</v>
      </c>
      <c r="AA38" s="134" t="s">
        <v>145</v>
      </c>
      <c r="AB38" s="137">
        <v>0.69950000000000001</v>
      </c>
      <c r="AC38" s="137">
        <v>0.70979999999999999</v>
      </c>
      <c r="AD38" s="137">
        <v>0.70320000000000005</v>
      </c>
      <c r="AE38" s="137">
        <v>0.70509999999999995</v>
      </c>
      <c r="AF38" s="137">
        <v>0.72950000000000004</v>
      </c>
      <c r="AG38" s="137">
        <v>0.70630000000000004</v>
      </c>
      <c r="AH38" s="159" t="s">
        <v>405</v>
      </c>
      <c r="AI38" s="134" t="s">
        <v>470</v>
      </c>
      <c r="AJ38" s="134" t="s">
        <v>498</v>
      </c>
      <c r="AK38" s="137">
        <v>0.67549999999999999</v>
      </c>
      <c r="AL38" s="137">
        <v>0.68869999999999998</v>
      </c>
      <c r="AM38" s="137">
        <v>0.64810000000000001</v>
      </c>
      <c r="AN38" s="137">
        <v>0.68359999999999999</v>
      </c>
      <c r="AO38" s="137">
        <v>0.69020000000000004</v>
      </c>
      <c r="AP38" s="137">
        <v>0.67520000000000002</v>
      </c>
      <c r="AQ38" s="142" t="s">
        <v>541</v>
      </c>
      <c r="AR38" s="134" t="s">
        <v>546</v>
      </c>
      <c r="AS38" s="134" t="s">
        <v>423</v>
      </c>
      <c r="AT38" s="137">
        <v>0.66869999999999996</v>
      </c>
      <c r="AU38" s="137">
        <v>0.67300000000000004</v>
      </c>
      <c r="AV38" s="137">
        <v>0.62709999999999999</v>
      </c>
      <c r="AW38" s="137">
        <v>0.68659999999999999</v>
      </c>
      <c r="AX38" s="137">
        <v>0.69769999999999999</v>
      </c>
      <c r="AY38" s="137">
        <v>0.66649999999999998</v>
      </c>
      <c r="AZ38" s="141" t="s">
        <v>541</v>
      </c>
      <c r="BA38" s="134" t="s">
        <v>448</v>
      </c>
      <c r="BB38" s="134" t="s">
        <v>439</v>
      </c>
      <c r="BC38" s="137">
        <v>0.66549999999999998</v>
      </c>
      <c r="BD38" s="137">
        <v>0.65090000000000003</v>
      </c>
      <c r="BE38" s="137">
        <v>0.6048</v>
      </c>
      <c r="BF38" s="137">
        <v>0.67900000000000005</v>
      </c>
      <c r="BG38" s="137">
        <v>0.6835</v>
      </c>
      <c r="BH38" s="137">
        <v>0.65259999999999996</v>
      </c>
      <c r="BI38" s="140" t="s">
        <v>541</v>
      </c>
      <c r="BJ38" s="152">
        <v>76</v>
      </c>
      <c r="BK38" s="152">
        <v>73</v>
      </c>
      <c r="BL38" s="137">
        <v>0.66139999999999999</v>
      </c>
      <c r="BM38" s="137">
        <v>0.62649999999999995</v>
      </c>
      <c r="BN38" s="137">
        <v>0.5958</v>
      </c>
      <c r="BO38" s="137">
        <v>0.68389999999999995</v>
      </c>
      <c r="BP38" s="137">
        <v>0.68010000000000004</v>
      </c>
      <c r="BQ38" s="137">
        <v>0.64480000000000004</v>
      </c>
      <c r="BR38" s="281" t="s">
        <v>541</v>
      </c>
      <c r="BS38" s="272">
        <v>79</v>
      </c>
      <c r="BT38" s="272">
        <v>78</v>
      </c>
      <c r="BU38" s="272">
        <v>0.66559999999999997</v>
      </c>
      <c r="BV38" s="272">
        <v>0.63129999999999997</v>
      </c>
      <c r="BW38" s="272">
        <v>0.60799999999999998</v>
      </c>
      <c r="BX38" s="272">
        <v>0.69089999999999996</v>
      </c>
      <c r="BY38" s="272">
        <v>0.6734</v>
      </c>
      <c r="BZ38" s="272">
        <v>0.65090000000000003</v>
      </c>
      <c r="CA38" s="359" t="s">
        <v>541</v>
      </c>
      <c r="CB38" s="357" t="s">
        <v>420</v>
      </c>
      <c r="CC38" s="357" t="s">
        <v>420</v>
      </c>
      <c r="CD38" s="357">
        <v>0.66239999999999999</v>
      </c>
      <c r="CE38" s="357">
        <v>0.64470000000000005</v>
      </c>
      <c r="CF38" s="357">
        <v>0.61560000000000004</v>
      </c>
      <c r="CG38" s="357">
        <v>0.68640000000000001</v>
      </c>
      <c r="CH38" s="357">
        <v>0.65359999999999996</v>
      </c>
      <c r="CI38" s="357">
        <v>0.65239999999999998</v>
      </c>
      <c r="CJ38" s="728" t="s">
        <v>541</v>
      </c>
      <c r="CK38" s="626">
        <v>77</v>
      </c>
      <c r="CL38" s="626">
        <v>77</v>
      </c>
      <c r="CM38" s="626">
        <v>0.67030000000000001</v>
      </c>
      <c r="CN38" s="626">
        <v>0.6532</v>
      </c>
      <c r="CO38" s="626">
        <v>0.63700000000000001</v>
      </c>
      <c r="CP38" s="626">
        <v>0.69620000000000004</v>
      </c>
      <c r="CQ38" s="626">
        <v>0.66569999999999996</v>
      </c>
      <c r="CR38" s="721">
        <v>0.6643</v>
      </c>
      <c r="CS38" s="569" t="s">
        <v>541</v>
      </c>
      <c r="CT38" s="569">
        <v>66</v>
      </c>
      <c r="CU38" s="569">
        <v>66</v>
      </c>
      <c r="CV38" s="590">
        <v>0.67249999999999999</v>
      </c>
      <c r="CW38" s="590">
        <v>0.65080000000000005</v>
      </c>
      <c r="CX38" s="590">
        <v>0.63939999999999997</v>
      </c>
      <c r="CY38" s="590">
        <v>0.69579999999999997</v>
      </c>
      <c r="CZ38" s="590">
        <v>0.67420000000000002</v>
      </c>
      <c r="DA38" s="590">
        <v>0.66539999999999999</v>
      </c>
    </row>
    <row r="39" spans="1:105" ht="16.5" customHeight="1" x14ac:dyDescent="0.25">
      <c r="A39" s="36" t="s">
        <v>132</v>
      </c>
      <c r="B39" s="134" t="s">
        <v>131</v>
      </c>
      <c r="C39" s="134" t="s">
        <v>567</v>
      </c>
      <c r="D39" s="134" t="s">
        <v>417</v>
      </c>
      <c r="E39" s="134" t="s">
        <v>787</v>
      </c>
      <c r="F39" s="134" t="s">
        <v>221</v>
      </c>
      <c r="G39" s="168" t="s">
        <v>404</v>
      </c>
      <c r="H39" s="166">
        <v>114</v>
      </c>
      <c r="I39" s="166">
        <v>114</v>
      </c>
      <c r="J39" s="166">
        <v>0.72119999999999995</v>
      </c>
      <c r="K39" s="166">
        <v>0.74</v>
      </c>
      <c r="L39" s="166">
        <v>0.73980000000000001</v>
      </c>
      <c r="M39" s="166">
        <v>0.73819999999999997</v>
      </c>
      <c r="N39" s="166">
        <v>0.71360000000000001</v>
      </c>
      <c r="O39" s="166">
        <v>0.73319999999999996</v>
      </c>
      <c r="P39" s="177" t="s">
        <v>404</v>
      </c>
      <c r="Q39" s="174" t="s">
        <v>452</v>
      </c>
      <c r="R39" s="174" t="s">
        <v>452</v>
      </c>
      <c r="S39" s="174">
        <v>0.72960000000000003</v>
      </c>
      <c r="T39" s="174">
        <v>0.75309999999999999</v>
      </c>
      <c r="U39" s="174">
        <v>0.74439999999999995</v>
      </c>
      <c r="V39" s="174">
        <v>0.73880000000000001</v>
      </c>
      <c r="W39" s="174">
        <v>0.70730000000000004</v>
      </c>
      <c r="X39" s="174">
        <v>0.73880000000000001</v>
      </c>
      <c r="Y39" s="145" t="s">
        <v>404</v>
      </c>
      <c r="Z39" s="134" t="s">
        <v>499</v>
      </c>
      <c r="AA39" s="134" t="s">
        <v>499</v>
      </c>
      <c r="AB39" s="137">
        <v>0.75639999999999996</v>
      </c>
      <c r="AC39" s="137">
        <v>0.76890000000000003</v>
      </c>
      <c r="AD39" s="137">
        <v>0.75519999999999998</v>
      </c>
      <c r="AE39" s="137">
        <v>0.75260000000000005</v>
      </c>
      <c r="AF39" s="137">
        <v>0.72250000000000003</v>
      </c>
      <c r="AG39" s="137">
        <v>0.75549999999999995</v>
      </c>
      <c r="AH39" s="158" t="s">
        <v>404</v>
      </c>
      <c r="AI39" s="134" t="s">
        <v>465</v>
      </c>
      <c r="AJ39" s="134" t="s">
        <v>465</v>
      </c>
      <c r="AK39" s="137">
        <v>0.75439999999999996</v>
      </c>
      <c r="AL39" s="137">
        <v>0.76439999999999997</v>
      </c>
      <c r="AM39" s="137">
        <v>0.75339999999999996</v>
      </c>
      <c r="AN39" s="137">
        <v>0.75419999999999998</v>
      </c>
      <c r="AO39" s="137">
        <v>0.73680000000000001</v>
      </c>
      <c r="AP39" s="137">
        <v>0.75509999999999999</v>
      </c>
      <c r="AQ39" s="150" t="s">
        <v>404</v>
      </c>
      <c r="AR39" s="134" t="s">
        <v>436</v>
      </c>
      <c r="AS39" s="134" t="s">
        <v>436</v>
      </c>
      <c r="AT39" s="137">
        <v>0.75560000000000005</v>
      </c>
      <c r="AU39" s="137">
        <v>0.75660000000000005</v>
      </c>
      <c r="AV39" s="137">
        <v>0.74909999999999999</v>
      </c>
      <c r="AW39" s="137">
        <v>0.76749999999999996</v>
      </c>
      <c r="AX39" s="137">
        <v>0.74860000000000004</v>
      </c>
      <c r="AY39" s="137">
        <v>0.75649999999999995</v>
      </c>
      <c r="AZ39" s="145" t="s">
        <v>404</v>
      </c>
      <c r="BA39" s="134" t="s">
        <v>526</v>
      </c>
      <c r="BB39" s="134" t="s">
        <v>709</v>
      </c>
      <c r="BC39" s="137">
        <v>0.75139999999999996</v>
      </c>
      <c r="BD39" s="137">
        <v>0.74150000000000005</v>
      </c>
      <c r="BE39" s="137">
        <v>0.72460000000000002</v>
      </c>
      <c r="BF39" s="137">
        <v>0.76300000000000001</v>
      </c>
      <c r="BG39" s="137">
        <v>0.74409999999999998</v>
      </c>
      <c r="BH39" s="137">
        <v>0.745</v>
      </c>
      <c r="BI39" s="149" t="s">
        <v>404</v>
      </c>
      <c r="BJ39" s="152">
        <v>164</v>
      </c>
      <c r="BK39" s="152">
        <v>162</v>
      </c>
      <c r="BL39" s="137">
        <v>0.75419999999999998</v>
      </c>
      <c r="BM39" s="137">
        <v>0.72870000000000001</v>
      </c>
      <c r="BN39" s="137">
        <v>0.70440000000000003</v>
      </c>
      <c r="BO39" s="137">
        <v>0.76559999999999995</v>
      </c>
      <c r="BP39" s="137">
        <v>0.71250000000000002</v>
      </c>
      <c r="BQ39" s="137">
        <v>0.73619999999999997</v>
      </c>
      <c r="BR39" s="283" t="s">
        <v>404</v>
      </c>
      <c r="BS39" s="272">
        <v>135</v>
      </c>
      <c r="BT39" s="272">
        <v>135</v>
      </c>
      <c r="BU39" s="272">
        <v>0.75829999999999997</v>
      </c>
      <c r="BV39" s="272">
        <v>0.72640000000000005</v>
      </c>
      <c r="BW39" s="272">
        <v>0.70350000000000001</v>
      </c>
      <c r="BX39" s="272">
        <v>0.7641</v>
      </c>
      <c r="BY39" s="272">
        <v>0.71609999999999996</v>
      </c>
      <c r="BZ39" s="272">
        <v>0.73640000000000005</v>
      </c>
      <c r="CA39" s="366" t="s">
        <v>404</v>
      </c>
      <c r="CB39" s="357" t="s">
        <v>534</v>
      </c>
      <c r="CC39" s="357" t="s">
        <v>534</v>
      </c>
      <c r="CD39" s="357">
        <v>0.76780000000000004</v>
      </c>
      <c r="CE39" s="357">
        <v>0.73780000000000001</v>
      </c>
      <c r="CF39" s="357">
        <v>0.72860000000000003</v>
      </c>
      <c r="CG39" s="357">
        <v>0.78449999999999998</v>
      </c>
      <c r="CH39" s="357">
        <v>0.71379999999999999</v>
      </c>
      <c r="CI39" s="357">
        <v>0.75149999999999995</v>
      </c>
      <c r="CJ39" s="726" t="s">
        <v>403</v>
      </c>
      <c r="CK39" s="626">
        <v>128</v>
      </c>
      <c r="CL39" s="626">
        <v>128</v>
      </c>
      <c r="CM39" s="626">
        <v>0.78239999999999998</v>
      </c>
      <c r="CN39" s="626">
        <v>0.76219999999999999</v>
      </c>
      <c r="CO39" s="626">
        <v>0.748</v>
      </c>
      <c r="CP39" s="626">
        <v>0.79339999999999999</v>
      </c>
      <c r="CQ39" s="626">
        <v>0.76229999999999998</v>
      </c>
      <c r="CR39" s="721">
        <v>0.77080000000000004</v>
      </c>
      <c r="CS39" s="569" t="s">
        <v>403</v>
      </c>
      <c r="CT39" s="569">
        <v>145</v>
      </c>
      <c r="CU39" s="569">
        <v>144</v>
      </c>
      <c r="CV39" s="590">
        <v>0.8034</v>
      </c>
      <c r="CW39" s="590">
        <v>0.77559999999999996</v>
      </c>
      <c r="CX39" s="590">
        <v>0.75319999999999998</v>
      </c>
      <c r="CY39" s="590">
        <v>0.7964</v>
      </c>
      <c r="CZ39" s="590">
        <v>0.77090000000000003</v>
      </c>
      <c r="DA39" s="590">
        <v>0.78129999999999999</v>
      </c>
    </row>
    <row r="40" spans="1:105" x14ac:dyDescent="0.25">
      <c r="A40" s="36" t="s">
        <v>178</v>
      </c>
      <c r="B40" s="134" t="s">
        <v>177</v>
      </c>
      <c r="C40" s="134" t="s">
        <v>567</v>
      </c>
      <c r="D40" s="134" t="s">
        <v>417</v>
      </c>
      <c r="E40" s="134" t="s">
        <v>787</v>
      </c>
      <c r="F40" s="134" t="s">
        <v>221</v>
      </c>
      <c r="G40" s="165" t="s">
        <v>405</v>
      </c>
      <c r="H40" s="166">
        <v>399</v>
      </c>
      <c r="I40" s="166">
        <v>399</v>
      </c>
      <c r="J40" s="166">
        <v>0.71450000000000002</v>
      </c>
      <c r="K40" s="166">
        <v>0.71560000000000001</v>
      </c>
      <c r="L40" s="166">
        <v>0.70509999999999995</v>
      </c>
      <c r="M40" s="166">
        <v>0.70740000000000003</v>
      </c>
      <c r="N40" s="166">
        <v>0.69169999999999998</v>
      </c>
      <c r="O40" s="166">
        <v>0.70920000000000005</v>
      </c>
      <c r="P40" s="173" t="s">
        <v>405</v>
      </c>
      <c r="Q40" s="174" t="s">
        <v>811</v>
      </c>
      <c r="R40" s="174" t="s">
        <v>811</v>
      </c>
      <c r="S40" s="174">
        <v>0.72850000000000004</v>
      </c>
      <c r="T40" s="174">
        <v>0.72960000000000003</v>
      </c>
      <c r="U40" s="174">
        <v>0.70860000000000001</v>
      </c>
      <c r="V40" s="174">
        <v>0.71009999999999995</v>
      </c>
      <c r="W40" s="174">
        <v>0.70989999999999998</v>
      </c>
      <c r="X40" s="174">
        <v>0.71850000000000003</v>
      </c>
      <c r="Y40" s="145" t="s">
        <v>404</v>
      </c>
      <c r="Z40" s="134" t="s">
        <v>654</v>
      </c>
      <c r="AA40" s="134" t="s">
        <v>655</v>
      </c>
      <c r="AB40" s="137">
        <v>0.74070000000000003</v>
      </c>
      <c r="AC40" s="137">
        <v>0.7349</v>
      </c>
      <c r="AD40" s="137">
        <v>0.71299999999999997</v>
      </c>
      <c r="AE40" s="137">
        <v>0.7117</v>
      </c>
      <c r="AF40" s="137">
        <v>0.73170000000000002</v>
      </c>
      <c r="AG40" s="137">
        <v>0.72560000000000002</v>
      </c>
      <c r="AH40" s="158" t="s">
        <v>404</v>
      </c>
      <c r="AI40" s="134" t="s">
        <v>586</v>
      </c>
      <c r="AJ40" s="134" t="s">
        <v>587</v>
      </c>
      <c r="AK40" s="137">
        <v>0.75209999999999999</v>
      </c>
      <c r="AL40" s="137">
        <v>0.74380000000000002</v>
      </c>
      <c r="AM40" s="137">
        <v>0.71330000000000005</v>
      </c>
      <c r="AN40" s="137">
        <v>0.72440000000000004</v>
      </c>
      <c r="AO40" s="137">
        <v>0.747</v>
      </c>
      <c r="AP40" s="137">
        <v>0.73440000000000005</v>
      </c>
      <c r="AQ40" s="150" t="s">
        <v>404</v>
      </c>
      <c r="AR40" s="134" t="s">
        <v>455</v>
      </c>
      <c r="AS40" s="134" t="s">
        <v>456</v>
      </c>
      <c r="AT40" s="137">
        <v>0.75060000000000004</v>
      </c>
      <c r="AU40" s="137">
        <v>0.73870000000000002</v>
      </c>
      <c r="AV40" s="137">
        <v>0.70530000000000004</v>
      </c>
      <c r="AW40" s="137">
        <v>0.73650000000000004</v>
      </c>
      <c r="AX40" s="137">
        <v>0.76290000000000002</v>
      </c>
      <c r="AY40" s="137">
        <v>0.73509999999999998</v>
      </c>
      <c r="AZ40" s="145" t="s">
        <v>404</v>
      </c>
      <c r="BA40" s="134" t="s">
        <v>585</v>
      </c>
      <c r="BB40" s="134" t="s">
        <v>749</v>
      </c>
      <c r="BC40" s="137">
        <v>0.75449999999999995</v>
      </c>
      <c r="BD40" s="137">
        <v>0.72150000000000003</v>
      </c>
      <c r="BE40" s="137">
        <v>0.69030000000000002</v>
      </c>
      <c r="BF40" s="137">
        <v>0.74729999999999996</v>
      </c>
      <c r="BG40" s="137">
        <v>0.75409999999999999</v>
      </c>
      <c r="BH40" s="137">
        <v>0.73040000000000005</v>
      </c>
      <c r="BI40" s="149" t="s">
        <v>404</v>
      </c>
      <c r="BJ40" s="152">
        <v>296</v>
      </c>
      <c r="BK40" s="152">
        <v>292</v>
      </c>
      <c r="BL40" s="137">
        <v>0.75519999999999998</v>
      </c>
      <c r="BM40" s="137">
        <v>0.70450000000000002</v>
      </c>
      <c r="BN40" s="137">
        <v>0.69479999999999997</v>
      </c>
      <c r="BO40" s="137">
        <v>0.75280000000000002</v>
      </c>
      <c r="BP40" s="137">
        <v>0.73909999999999998</v>
      </c>
      <c r="BQ40" s="137">
        <v>0.72770000000000001</v>
      </c>
      <c r="BR40" s="283" t="s">
        <v>404</v>
      </c>
      <c r="BS40" s="272">
        <v>300</v>
      </c>
      <c r="BT40" s="272">
        <v>299</v>
      </c>
      <c r="BU40" s="272">
        <v>0.74309999999999998</v>
      </c>
      <c r="BV40" s="272">
        <v>0.69579999999999997</v>
      </c>
      <c r="BW40" s="272">
        <v>0.68769999999999998</v>
      </c>
      <c r="BX40" s="272">
        <v>0.75449999999999995</v>
      </c>
      <c r="BY40" s="272">
        <v>0.73070000000000002</v>
      </c>
      <c r="BZ40" s="272">
        <v>0.72109999999999996</v>
      </c>
      <c r="CA40" s="358" t="s">
        <v>405</v>
      </c>
      <c r="CB40" s="357" t="s">
        <v>456</v>
      </c>
      <c r="CC40" s="357" t="s">
        <v>943</v>
      </c>
      <c r="CD40" s="357">
        <v>0.73180000000000001</v>
      </c>
      <c r="CE40" s="357">
        <v>0.69520000000000004</v>
      </c>
      <c r="CF40" s="357">
        <v>0.69320000000000004</v>
      </c>
      <c r="CG40" s="357">
        <v>0.75429999999999997</v>
      </c>
      <c r="CH40" s="357">
        <v>0.73540000000000005</v>
      </c>
      <c r="CI40" s="357">
        <v>0.71989999999999998</v>
      </c>
      <c r="CJ40" s="727" t="s">
        <v>404</v>
      </c>
      <c r="CK40" s="626">
        <v>333</v>
      </c>
      <c r="CL40" s="626">
        <v>332</v>
      </c>
      <c r="CM40" s="626">
        <v>0.73089999999999999</v>
      </c>
      <c r="CN40" s="626">
        <v>0.70499999999999996</v>
      </c>
      <c r="CO40" s="626">
        <v>0.68720000000000003</v>
      </c>
      <c r="CP40" s="626">
        <v>0.75060000000000004</v>
      </c>
      <c r="CQ40" s="626">
        <v>0.74960000000000004</v>
      </c>
      <c r="CR40" s="721">
        <v>0.7208</v>
      </c>
      <c r="CS40" s="569" t="s">
        <v>404</v>
      </c>
      <c r="CT40" s="569">
        <v>294</v>
      </c>
      <c r="CU40" s="569">
        <v>293</v>
      </c>
      <c r="CV40" s="590">
        <v>0.73970000000000002</v>
      </c>
      <c r="CW40" s="590">
        <v>0.70760000000000001</v>
      </c>
      <c r="CX40" s="590">
        <v>0.69650000000000001</v>
      </c>
      <c r="CY40" s="590">
        <v>0.75629999999999997</v>
      </c>
      <c r="CZ40" s="590">
        <v>0.75480000000000003</v>
      </c>
      <c r="DA40" s="590">
        <v>0.72729999999999995</v>
      </c>
    </row>
    <row r="41" spans="1:105" x14ac:dyDescent="0.25">
      <c r="A41" s="36" t="s">
        <v>75</v>
      </c>
      <c r="B41" s="134" t="s">
        <v>74</v>
      </c>
      <c r="C41" s="134" t="s">
        <v>567</v>
      </c>
      <c r="D41" s="134" t="s">
        <v>417</v>
      </c>
      <c r="E41" s="134" t="s">
        <v>787</v>
      </c>
      <c r="F41" s="134" t="s">
        <v>221</v>
      </c>
      <c r="G41" s="165" t="s">
        <v>405</v>
      </c>
      <c r="H41" s="166">
        <v>90</v>
      </c>
      <c r="I41" s="166">
        <v>90</v>
      </c>
      <c r="J41" s="166">
        <v>0.66559999999999997</v>
      </c>
      <c r="K41" s="166">
        <v>0.68240000000000001</v>
      </c>
      <c r="L41" s="166">
        <v>0.69179999999999997</v>
      </c>
      <c r="M41" s="166">
        <v>0.68730000000000002</v>
      </c>
      <c r="N41" s="166">
        <v>0.65820000000000001</v>
      </c>
      <c r="O41" s="166">
        <v>0.68</v>
      </c>
      <c r="P41" s="173" t="s">
        <v>405</v>
      </c>
      <c r="Q41" s="174" t="s">
        <v>446</v>
      </c>
      <c r="R41" s="174" t="s">
        <v>446</v>
      </c>
      <c r="S41" s="174">
        <v>0.67310000000000003</v>
      </c>
      <c r="T41" s="174">
        <v>0.69179999999999997</v>
      </c>
      <c r="U41" s="174">
        <v>0.69299999999999995</v>
      </c>
      <c r="V41" s="174">
        <v>0.68600000000000005</v>
      </c>
      <c r="W41" s="174">
        <v>0.67520000000000002</v>
      </c>
      <c r="X41" s="174">
        <v>0.68520000000000003</v>
      </c>
      <c r="Y41" s="138" t="s">
        <v>405</v>
      </c>
      <c r="Z41" s="134" t="s">
        <v>434</v>
      </c>
      <c r="AA41" s="134" t="s">
        <v>434</v>
      </c>
      <c r="AB41" s="137">
        <v>0.67689999999999995</v>
      </c>
      <c r="AC41" s="137">
        <v>0.69779999999999998</v>
      </c>
      <c r="AD41" s="137">
        <v>0.67310000000000003</v>
      </c>
      <c r="AE41" s="137">
        <v>0.6835</v>
      </c>
      <c r="AF41" s="137">
        <v>0.69089999999999996</v>
      </c>
      <c r="AG41" s="137">
        <v>0.6835</v>
      </c>
      <c r="AH41" s="159" t="s">
        <v>405</v>
      </c>
      <c r="AI41" s="134" t="s">
        <v>500</v>
      </c>
      <c r="AJ41" s="134" t="s">
        <v>500</v>
      </c>
      <c r="AK41" s="137">
        <v>0.68110000000000004</v>
      </c>
      <c r="AL41" s="137">
        <v>0.69950000000000001</v>
      </c>
      <c r="AM41" s="137">
        <v>0.66320000000000001</v>
      </c>
      <c r="AN41" s="137">
        <v>0.69399999999999995</v>
      </c>
      <c r="AO41" s="137">
        <v>0.70850000000000002</v>
      </c>
      <c r="AP41" s="137">
        <v>0.68630000000000002</v>
      </c>
      <c r="AQ41" s="139" t="s">
        <v>405</v>
      </c>
      <c r="AR41" s="134" t="s">
        <v>500</v>
      </c>
      <c r="AS41" s="134" t="s">
        <v>500</v>
      </c>
      <c r="AT41" s="137">
        <v>0.69469999999999998</v>
      </c>
      <c r="AU41" s="137">
        <v>0.69899999999999995</v>
      </c>
      <c r="AV41" s="137">
        <v>0.66249999999999998</v>
      </c>
      <c r="AW41" s="137">
        <v>0.71079999999999999</v>
      </c>
      <c r="AX41" s="137">
        <v>0.70540000000000003</v>
      </c>
      <c r="AY41" s="137">
        <v>0.69279999999999997</v>
      </c>
      <c r="AZ41" s="138" t="s">
        <v>405</v>
      </c>
      <c r="BA41" s="134" t="s">
        <v>500</v>
      </c>
      <c r="BB41" s="134" t="s">
        <v>500</v>
      </c>
      <c r="BC41" s="137">
        <v>0.71279999999999999</v>
      </c>
      <c r="BD41" s="137">
        <v>0.68869999999999998</v>
      </c>
      <c r="BE41" s="137">
        <v>0.64959999999999996</v>
      </c>
      <c r="BF41" s="137">
        <v>0.71350000000000002</v>
      </c>
      <c r="BG41" s="137">
        <v>0.69010000000000005</v>
      </c>
      <c r="BH41" s="137">
        <v>0.69110000000000005</v>
      </c>
      <c r="BI41" s="135" t="s">
        <v>405</v>
      </c>
      <c r="BJ41" s="152">
        <v>98</v>
      </c>
      <c r="BK41" s="152">
        <v>98</v>
      </c>
      <c r="BL41" s="137">
        <v>0.72109999999999996</v>
      </c>
      <c r="BM41" s="137">
        <v>0.68340000000000001</v>
      </c>
      <c r="BN41" s="137">
        <v>0.6532</v>
      </c>
      <c r="BO41" s="137">
        <v>0.70889999999999997</v>
      </c>
      <c r="BP41" s="137">
        <v>0.67230000000000001</v>
      </c>
      <c r="BQ41" s="137">
        <v>0.69020000000000004</v>
      </c>
      <c r="BR41" s="701" t="s">
        <v>405</v>
      </c>
      <c r="BS41" s="272">
        <v>104</v>
      </c>
      <c r="BT41" s="272">
        <v>104</v>
      </c>
      <c r="BU41" s="272">
        <v>0.72819999999999996</v>
      </c>
      <c r="BV41" s="272">
        <v>0.68359999999999999</v>
      </c>
      <c r="BW41" s="272">
        <v>0.66120000000000001</v>
      </c>
      <c r="BX41" s="272">
        <v>0.7137</v>
      </c>
      <c r="BY41" s="272">
        <v>0.67589999999999995</v>
      </c>
      <c r="BZ41" s="272">
        <v>0.69510000000000005</v>
      </c>
      <c r="CA41" s="709" t="s">
        <v>405</v>
      </c>
      <c r="CB41" s="682" t="s">
        <v>472</v>
      </c>
      <c r="CC41" s="682" t="s">
        <v>472</v>
      </c>
      <c r="CD41" s="682">
        <v>0.7208</v>
      </c>
      <c r="CE41" s="682">
        <v>0.69430000000000003</v>
      </c>
      <c r="CF41" s="682">
        <v>0.67859999999999998</v>
      </c>
      <c r="CG41" s="682">
        <v>0.72250000000000003</v>
      </c>
      <c r="CH41" s="682">
        <v>0.68730000000000002</v>
      </c>
      <c r="CI41" s="682">
        <v>0.70269999999999999</v>
      </c>
      <c r="CJ41" s="714" t="s">
        <v>405</v>
      </c>
      <c r="CK41" s="626">
        <v>94</v>
      </c>
      <c r="CL41" s="626">
        <v>94</v>
      </c>
      <c r="CM41" s="626">
        <v>0.69950000000000001</v>
      </c>
      <c r="CN41" s="626">
        <v>0.68149999999999999</v>
      </c>
      <c r="CO41" s="626">
        <v>0.65790000000000004</v>
      </c>
      <c r="CP41" s="626">
        <v>0.71930000000000005</v>
      </c>
      <c r="CQ41" s="626">
        <v>0.69810000000000005</v>
      </c>
      <c r="CR41" s="721">
        <v>0.69020000000000004</v>
      </c>
      <c r="CS41" s="569" t="s">
        <v>405</v>
      </c>
      <c r="CT41" s="569">
        <v>106</v>
      </c>
      <c r="CU41" s="569">
        <v>106</v>
      </c>
      <c r="CV41" s="590">
        <v>0.70479999999999998</v>
      </c>
      <c r="CW41" s="590">
        <v>0.69710000000000005</v>
      </c>
      <c r="CX41" s="590">
        <v>0.66339999999999999</v>
      </c>
      <c r="CY41" s="590">
        <v>0.72060000000000002</v>
      </c>
      <c r="CZ41" s="590">
        <v>0.71499999999999997</v>
      </c>
      <c r="DA41" s="590">
        <v>0.69789999999999996</v>
      </c>
    </row>
    <row r="42" spans="1:105" x14ac:dyDescent="0.25">
      <c r="A42" s="36" t="s">
        <v>25</v>
      </c>
      <c r="B42" s="133" t="s">
        <v>24</v>
      </c>
      <c r="C42" s="134" t="s">
        <v>567</v>
      </c>
      <c r="D42" s="134" t="s">
        <v>417</v>
      </c>
      <c r="E42" s="134" t="s">
        <v>787</v>
      </c>
      <c r="F42" s="134" t="s">
        <v>221</v>
      </c>
      <c r="G42" s="681" t="s">
        <v>405</v>
      </c>
      <c r="H42" s="272">
        <v>214</v>
      </c>
      <c r="I42" s="272">
        <v>214</v>
      </c>
      <c r="J42" s="272">
        <v>0.68279999999999996</v>
      </c>
      <c r="K42" s="272">
        <v>0.69950000000000001</v>
      </c>
      <c r="L42" s="272">
        <v>0.70350000000000001</v>
      </c>
      <c r="M42" s="272">
        <v>0.70599999999999996</v>
      </c>
      <c r="N42" s="272">
        <v>0.67610000000000003</v>
      </c>
      <c r="O42" s="272">
        <v>0.69630000000000003</v>
      </c>
      <c r="P42" s="681" t="s">
        <v>405</v>
      </c>
      <c r="Q42" s="272" t="s">
        <v>572</v>
      </c>
      <c r="R42" s="272" t="s">
        <v>812</v>
      </c>
      <c r="S42" s="272">
        <v>0.68910000000000005</v>
      </c>
      <c r="T42" s="272">
        <v>0.69440000000000002</v>
      </c>
      <c r="U42" s="272">
        <v>0.70220000000000005</v>
      </c>
      <c r="V42" s="272">
        <v>0.7</v>
      </c>
      <c r="W42" s="272">
        <v>0.67030000000000001</v>
      </c>
      <c r="X42" s="272">
        <v>0.69440000000000002</v>
      </c>
      <c r="Y42" s="688" t="s">
        <v>405</v>
      </c>
      <c r="Z42" s="271" t="s">
        <v>668</v>
      </c>
      <c r="AA42" s="271" t="s">
        <v>669</v>
      </c>
      <c r="AB42" s="273">
        <v>0.7056</v>
      </c>
      <c r="AC42" s="273">
        <v>0.71140000000000003</v>
      </c>
      <c r="AD42" s="273">
        <v>0.70899999999999996</v>
      </c>
      <c r="AE42" s="273">
        <v>0.71350000000000002</v>
      </c>
      <c r="AF42" s="273">
        <v>0.68430000000000002</v>
      </c>
      <c r="AG42" s="273">
        <v>0.70789999999999997</v>
      </c>
      <c r="AH42" s="275" t="s">
        <v>405</v>
      </c>
      <c r="AI42" s="271" t="s">
        <v>486</v>
      </c>
      <c r="AJ42" s="271" t="s">
        <v>440</v>
      </c>
      <c r="AK42" s="273">
        <v>0.71260000000000001</v>
      </c>
      <c r="AL42" s="273">
        <v>0.7238</v>
      </c>
      <c r="AM42" s="273">
        <v>0.71679999999999999</v>
      </c>
      <c r="AN42" s="273">
        <v>0.72660000000000002</v>
      </c>
      <c r="AO42" s="273">
        <v>0.69089999999999996</v>
      </c>
      <c r="AP42" s="273">
        <v>0.7177</v>
      </c>
      <c r="AQ42" s="278" t="s">
        <v>404</v>
      </c>
      <c r="AR42" s="271" t="s">
        <v>471</v>
      </c>
      <c r="AS42" s="271" t="s">
        <v>472</v>
      </c>
      <c r="AT42" s="273">
        <v>0.71840000000000004</v>
      </c>
      <c r="AU42" s="273">
        <v>0.72430000000000005</v>
      </c>
      <c r="AV42" s="273">
        <v>0.70789999999999997</v>
      </c>
      <c r="AW42" s="273">
        <v>0.73829999999999996</v>
      </c>
      <c r="AX42" s="273">
        <v>0.70840000000000003</v>
      </c>
      <c r="AY42" s="273">
        <v>0.72119999999999995</v>
      </c>
      <c r="AZ42" s="688" t="s">
        <v>405</v>
      </c>
      <c r="BA42" s="271" t="s">
        <v>663</v>
      </c>
      <c r="BB42" s="271" t="s">
        <v>447</v>
      </c>
      <c r="BC42" s="273">
        <v>0.72240000000000004</v>
      </c>
      <c r="BD42" s="273">
        <v>0.70520000000000005</v>
      </c>
      <c r="BE42" s="273">
        <v>0.68240000000000001</v>
      </c>
      <c r="BF42" s="273">
        <v>0.74039999999999995</v>
      </c>
      <c r="BG42" s="273">
        <v>0.70050000000000001</v>
      </c>
      <c r="BH42" s="273">
        <v>0.7117</v>
      </c>
      <c r="BI42" s="702" t="s">
        <v>405</v>
      </c>
      <c r="BJ42" s="274">
        <v>122</v>
      </c>
      <c r="BK42" s="274">
        <v>121</v>
      </c>
      <c r="BL42" s="273">
        <v>0.73819999999999997</v>
      </c>
      <c r="BM42" s="273">
        <v>0.69259999999999999</v>
      </c>
      <c r="BN42" s="273">
        <v>0.69220000000000004</v>
      </c>
      <c r="BO42" s="273">
        <v>0.73970000000000002</v>
      </c>
      <c r="BP42" s="273">
        <v>0.68489999999999995</v>
      </c>
      <c r="BQ42" s="273">
        <v>0.71330000000000005</v>
      </c>
      <c r="BR42" s="279" t="s">
        <v>405</v>
      </c>
      <c r="BS42" s="272">
        <v>130</v>
      </c>
      <c r="BT42" s="272">
        <v>129</v>
      </c>
      <c r="BU42" s="272">
        <v>0.74219999999999997</v>
      </c>
      <c r="BV42" s="272">
        <v>0.69789999999999996</v>
      </c>
      <c r="BW42" s="272">
        <v>0.69640000000000002</v>
      </c>
      <c r="BX42" s="272">
        <v>0.75280000000000002</v>
      </c>
      <c r="BY42" s="272">
        <v>0.69159999999999999</v>
      </c>
      <c r="BZ42" s="272">
        <v>0.71989999999999998</v>
      </c>
      <c r="CA42" s="366" t="s">
        <v>404</v>
      </c>
      <c r="CB42" s="357" t="s">
        <v>516</v>
      </c>
      <c r="CC42" s="357" t="s">
        <v>693</v>
      </c>
      <c r="CD42" s="357">
        <v>0.73609999999999998</v>
      </c>
      <c r="CE42" s="357">
        <v>0.70440000000000003</v>
      </c>
      <c r="CF42" s="357">
        <v>0.70469999999999999</v>
      </c>
      <c r="CG42" s="357">
        <v>0.76349999999999996</v>
      </c>
      <c r="CH42" s="357">
        <v>0.70899999999999996</v>
      </c>
      <c r="CI42" s="357">
        <v>0.7258</v>
      </c>
      <c r="CJ42" s="713" t="s">
        <v>404</v>
      </c>
      <c r="CK42" s="626">
        <v>141</v>
      </c>
      <c r="CL42" s="626">
        <v>140</v>
      </c>
      <c r="CM42" s="626">
        <v>0.72809999999999997</v>
      </c>
      <c r="CN42" s="626">
        <v>0.70650000000000002</v>
      </c>
      <c r="CO42" s="626">
        <v>0.6996</v>
      </c>
      <c r="CP42" s="626">
        <v>0.76500000000000001</v>
      </c>
      <c r="CQ42" s="626">
        <v>0.73870000000000002</v>
      </c>
      <c r="CR42" s="721">
        <v>0.72589999999999999</v>
      </c>
      <c r="CS42" s="569" t="s">
        <v>404</v>
      </c>
      <c r="CT42" s="569">
        <v>171</v>
      </c>
      <c r="CU42" s="569">
        <v>171</v>
      </c>
      <c r="CV42" s="590">
        <v>0.74039999999999995</v>
      </c>
      <c r="CW42" s="590">
        <v>0.71960000000000002</v>
      </c>
      <c r="CX42" s="590">
        <v>0.71730000000000005</v>
      </c>
      <c r="CY42" s="590">
        <v>0.77229999999999999</v>
      </c>
      <c r="CZ42" s="590">
        <v>0.74519999999999997</v>
      </c>
      <c r="DA42" s="590">
        <v>0.73799999999999999</v>
      </c>
    </row>
    <row r="43" spans="1:105" x14ac:dyDescent="0.25">
      <c r="A43" s="36" t="s">
        <v>94</v>
      </c>
      <c r="B43" s="134" t="s">
        <v>93</v>
      </c>
      <c r="C43" s="134" t="s">
        <v>567</v>
      </c>
      <c r="D43" s="134" t="s">
        <v>417</v>
      </c>
      <c r="E43" s="134" t="s">
        <v>787</v>
      </c>
      <c r="F43" s="134" t="s">
        <v>221</v>
      </c>
      <c r="G43" s="167" t="s">
        <v>541</v>
      </c>
      <c r="H43" s="166">
        <v>34</v>
      </c>
      <c r="I43" s="166">
        <v>34</v>
      </c>
      <c r="J43" s="166">
        <v>0.64490000000000003</v>
      </c>
      <c r="K43" s="166">
        <v>0.63739999999999997</v>
      </c>
      <c r="L43" s="166">
        <v>0.65500000000000003</v>
      </c>
      <c r="M43" s="166">
        <v>0.64359999999999995</v>
      </c>
      <c r="N43" s="166">
        <v>0.63800000000000001</v>
      </c>
      <c r="O43" s="166">
        <v>0.64459999999999995</v>
      </c>
      <c r="P43" s="175" t="s">
        <v>541</v>
      </c>
      <c r="Q43" s="174" t="s">
        <v>479</v>
      </c>
      <c r="R43" s="174" t="s">
        <v>479</v>
      </c>
      <c r="S43" s="174">
        <v>0.64839999999999998</v>
      </c>
      <c r="T43" s="174">
        <v>0.63700000000000001</v>
      </c>
      <c r="U43" s="174">
        <v>0.64339999999999997</v>
      </c>
      <c r="V43" s="174">
        <v>0.6331</v>
      </c>
      <c r="W43" s="174">
        <v>0.63880000000000003</v>
      </c>
      <c r="X43" s="174">
        <v>0.64029999999999998</v>
      </c>
      <c r="Y43" s="134"/>
      <c r="Z43" s="134"/>
      <c r="AA43" s="134"/>
      <c r="AB43" s="137"/>
      <c r="AC43" s="137"/>
      <c r="AD43" s="137"/>
      <c r="AE43" s="137"/>
      <c r="AF43" s="137"/>
      <c r="AG43" s="137"/>
      <c r="AH43" s="159" t="s">
        <v>405</v>
      </c>
      <c r="AI43" s="134" t="s">
        <v>540</v>
      </c>
      <c r="AJ43" s="134" t="s">
        <v>540</v>
      </c>
      <c r="AK43" s="137">
        <v>0.67979999999999996</v>
      </c>
      <c r="AL43" s="137">
        <v>0.68840000000000001</v>
      </c>
      <c r="AM43" s="137">
        <v>0.66810000000000003</v>
      </c>
      <c r="AN43" s="137">
        <v>0.65110000000000001</v>
      </c>
      <c r="AO43" s="137">
        <v>0.65549999999999997</v>
      </c>
      <c r="AP43" s="137">
        <v>0.67059999999999997</v>
      </c>
      <c r="AQ43" s="139" t="s">
        <v>405</v>
      </c>
      <c r="AR43" s="134" t="s">
        <v>540</v>
      </c>
      <c r="AS43" s="134" t="s">
        <v>540</v>
      </c>
      <c r="AT43" s="137">
        <v>0.67979999999999996</v>
      </c>
      <c r="AU43" s="137">
        <v>0.68840000000000001</v>
      </c>
      <c r="AV43" s="137">
        <v>0.66810000000000003</v>
      </c>
      <c r="AW43" s="137">
        <v>0.65110000000000001</v>
      </c>
      <c r="AX43" s="137">
        <v>0.65549999999999997</v>
      </c>
      <c r="AY43" s="137">
        <v>0.67059999999999997</v>
      </c>
      <c r="AZ43" s="134"/>
      <c r="BA43" s="134"/>
      <c r="BB43" s="134"/>
      <c r="BC43" s="137"/>
      <c r="BD43" s="137"/>
      <c r="BE43" s="137"/>
      <c r="BF43" s="137"/>
      <c r="BG43" s="137"/>
      <c r="BH43" s="137"/>
      <c r="BI43" s="151" t="s">
        <v>557</v>
      </c>
      <c r="BJ43" s="152">
        <v>10</v>
      </c>
      <c r="BK43" s="152">
        <v>10</v>
      </c>
      <c r="BL43" s="137">
        <v>0.63959999999999995</v>
      </c>
      <c r="BM43" s="137">
        <v>0.59379999999999999</v>
      </c>
      <c r="BN43" s="137">
        <v>0.55489999999999995</v>
      </c>
      <c r="BO43" s="137">
        <v>0.62619999999999998</v>
      </c>
      <c r="BP43" s="137">
        <v>0.57950000000000002</v>
      </c>
      <c r="BQ43" s="137">
        <v>0.60170000000000001</v>
      </c>
      <c r="BR43" s="639"/>
      <c r="BS43" s="271"/>
      <c r="BT43" s="271"/>
      <c r="BU43" s="271"/>
      <c r="BV43" s="271"/>
      <c r="BW43" s="271"/>
      <c r="BX43" s="271"/>
      <c r="BY43" s="271"/>
      <c r="BZ43" s="271"/>
      <c r="CA43" s="346"/>
      <c r="CB43" s="346"/>
      <c r="CC43" s="346"/>
      <c r="CD43" s="346"/>
      <c r="CE43" s="346"/>
      <c r="CF43" s="346"/>
      <c r="CG43" s="346"/>
      <c r="CH43" s="346"/>
      <c r="CI43" s="346"/>
      <c r="CJ43" s="724"/>
      <c r="CK43" s="624"/>
      <c r="CL43" s="624"/>
      <c r="CM43" s="624"/>
      <c r="CN43" s="624"/>
      <c r="CO43" s="624"/>
      <c r="CP43" s="624"/>
      <c r="CQ43" s="624"/>
      <c r="CR43" s="628"/>
      <c r="CS43" s="569" t="s">
        <v>405</v>
      </c>
      <c r="CT43" s="569">
        <v>9</v>
      </c>
      <c r="CU43" s="569">
        <v>9</v>
      </c>
      <c r="CV43" s="590">
        <v>0.68600000000000005</v>
      </c>
      <c r="CW43" s="590">
        <v>0.62760000000000005</v>
      </c>
      <c r="CX43" s="590">
        <v>0.64800000000000002</v>
      </c>
      <c r="CY43" s="590">
        <v>0.72470000000000001</v>
      </c>
      <c r="CZ43" s="590">
        <v>0.68910000000000005</v>
      </c>
      <c r="DA43" s="590">
        <v>0.67290000000000005</v>
      </c>
    </row>
    <row r="44" spans="1:105" x14ac:dyDescent="0.25">
      <c r="A44" s="36" t="s">
        <v>878</v>
      </c>
      <c r="B44" s="166" t="s">
        <v>877</v>
      </c>
      <c r="C44" s="134" t="s">
        <v>567</v>
      </c>
      <c r="D44" s="134" t="s">
        <v>417</v>
      </c>
      <c r="E44" s="134" t="s">
        <v>787</v>
      </c>
      <c r="F44" s="134" t="s">
        <v>221</v>
      </c>
      <c r="G44" s="167"/>
      <c r="H44" s="166"/>
      <c r="I44" s="166"/>
      <c r="J44" s="166"/>
      <c r="K44" s="166"/>
      <c r="L44" s="166"/>
      <c r="M44" s="166"/>
      <c r="N44" s="166"/>
      <c r="O44" s="166"/>
      <c r="P44" s="175"/>
      <c r="Q44" s="174"/>
      <c r="R44" s="174"/>
      <c r="S44" s="174"/>
      <c r="T44" s="174"/>
      <c r="U44" s="174"/>
      <c r="V44" s="174"/>
      <c r="W44" s="174"/>
      <c r="X44" s="174"/>
      <c r="Y44" s="134"/>
      <c r="Z44" s="134"/>
      <c r="AA44" s="134"/>
      <c r="AB44" s="137"/>
      <c r="AC44" s="137"/>
      <c r="AD44" s="137"/>
      <c r="AE44" s="137"/>
      <c r="AF44" s="137"/>
      <c r="AG44" s="137"/>
      <c r="AH44" s="159"/>
      <c r="AI44" s="134"/>
      <c r="AJ44" s="134"/>
      <c r="AK44" s="137"/>
      <c r="AL44" s="137"/>
      <c r="AM44" s="137"/>
      <c r="AN44" s="137"/>
      <c r="AO44" s="137"/>
      <c r="AP44" s="137"/>
      <c r="AQ44" s="139"/>
      <c r="AR44" s="134"/>
      <c r="AS44" s="134"/>
      <c r="AT44" s="137"/>
      <c r="AU44" s="137"/>
      <c r="AV44" s="137"/>
      <c r="AW44" s="137"/>
      <c r="AX44" s="137"/>
      <c r="AY44" s="137"/>
      <c r="AZ44" s="134"/>
      <c r="BA44" s="134"/>
      <c r="BB44" s="134"/>
      <c r="BC44" s="137"/>
      <c r="BD44" s="137"/>
      <c r="BE44" s="137"/>
      <c r="BF44" s="137"/>
      <c r="BG44" s="137"/>
      <c r="BH44" s="137"/>
      <c r="BI44" s="151"/>
      <c r="BJ44" s="152"/>
      <c r="BK44" s="152"/>
      <c r="BL44" s="137"/>
      <c r="BM44" s="137"/>
      <c r="BN44" s="137"/>
      <c r="BO44" s="137"/>
      <c r="BP44" s="137"/>
      <c r="BQ44" s="137"/>
      <c r="BR44" s="281" t="s">
        <v>541</v>
      </c>
      <c r="BS44" s="272">
        <v>19</v>
      </c>
      <c r="BT44" s="272">
        <v>18</v>
      </c>
      <c r="BU44" s="272">
        <v>0.67879999999999996</v>
      </c>
      <c r="BV44" s="272">
        <v>0.64180000000000004</v>
      </c>
      <c r="BW44" s="272">
        <v>0.59750000000000003</v>
      </c>
      <c r="BX44" s="272">
        <v>0.72170000000000001</v>
      </c>
      <c r="BY44" s="272">
        <v>0.68359999999999999</v>
      </c>
      <c r="BZ44" s="272">
        <v>0.66180000000000005</v>
      </c>
      <c r="CA44" s="359" t="s">
        <v>541</v>
      </c>
      <c r="CB44" s="357" t="s">
        <v>544</v>
      </c>
      <c r="CC44" s="357" t="s">
        <v>545</v>
      </c>
      <c r="CD44" s="357">
        <v>0.68</v>
      </c>
      <c r="CE44" s="357">
        <v>0.65559999999999996</v>
      </c>
      <c r="CF44" s="357">
        <v>0.60209999999999997</v>
      </c>
      <c r="CG44" s="357">
        <v>0.71450000000000002</v>
      </c>
      <c r="CH44" s="357">
        <v>0.69430000000000003</v>
      </c>
      <c r="CI44" s="357">
        <v>0.66549999999999998</v>
      </c>
      <c r="CJ44" s="724"/>
      <c r="CK44" s="624"/>
      <c r="CL44" s="624"/>
      <c r="CM44" s="624"/>
      <c r="CN44" s="624"/>
      <c r="CO44" s="624"/>
      <c r="CP44" s="624"/>
      <c r="CQ44" s="624"/>
      <c r="CR44" s="628"/>
      <c r="CS44" s="569" t="s">
        <v>405</v>
      </c>
      <c r="CT44" s="569">
        <v>87</v>
      </c>
      <c r="CU44" s="569">
        <v>87</v>
      </c>
      <c r="CV44" s="590">
        <v>0.7218</v>
      </c>
      <c r="CW44" s="590">
        <v>0.68379999999999996</v>
      </c>
      <c r="CX44" s="590">
        <v>0.65639999999999998</v>
      </c>
      <c r="CY44" s="590">
        <v>0.73860000000000003</v>
      </c>
      <c r="CZ44" s="590">
        <v>0.72529999999999994</v>
      </c>
      <c r="DA44" s="590">
        <v>0.70209999999999995</v>
      </c>
    </row>
    <row r="45" spans="1:105" x14ac:dyDescent="0.25">
      <c r="A45" s="324" t="s">
        <v>166</v>
      </c>
      <c r="B45" s="346" t="s">
        <v>165</v>
      </c>
      <c r="C45" s="134" t="s">
        <v>567</v>
      </c>
      <c r="D45" s="134" t="s">
        <v>417</v>
      </c>
      <c r="E45" s="346" t="s">
        <v>787</v>
      </c>
      <c r="F45" s="134" t="s">
        <v>221</v>
      </c>
      <c r="G45" s="347" t="s">
        <v>541</v>
      </c>
      <c r="H45" s="348">
        <v>73</v>
      </c>
      <c r="I45" s="348">
        <v>72</v>
      </c>
      <c r="J45" s="348">
        <v>0.64400000000000002</v>
      </c>
      <c r="K45" s="348">
        <v>0.65639999999999998</v>
      </c>
      <c r="L45" s="348">
        <v>0.6462</v>
      </c>
      <c r="M45" s="348">
        <v>0.66820000000000002</v>
      </c>
      <c r="N45" s="348">
        <v>0.64780000000000004</v>
      </c>
      <c r="O45" s="348">
        <v>0.65329999999999999</v>
      </c>
      <c r="P45" s="367" t="s">
        <v>541</v>
      </c>
      <c r="Q45" s="348" t="s">
        <v>581</v>
      </c>
      <c r="R45" s="348" t="s">
        <v>439</v>
      </c>
      <c r="S45" s="348">
        <v>0.64249999999999996</v>
      </c>
      <c r="T45" s="348">
        <v>0.64980000000000004</v>
      </c>
      <c r="U45" s="348">
        <v>0.63900000000000001</v>
      </c>
      <c r="V45" s="348">
        <v>0.67120000000000002</v>
      </c>
      <c r="W45" s="348">
        <v>0.6482</v>
      </c>
      <c r="X45" s="348">
        <v>0.65039999999999998</v>
      </c>
      <c r="Y45" s="349" t="s">
        <v>541</v>
      </c>
      <c r="Z45" s="346" t="s">
        <v>470</v>
      </c>
      <c r="AA45" s="346" t="s">
        <v>634</v>
      </c>
      <c r="AB45" s="350">
        <v>0.62660000000000005</v>
      </c>
      <c r="AC45" s="350">
        <v>0.63590000000000002</v>
      </c>
      <c r="AD45" s="350">
        <v>0.628</v>
      </c>
      <c r="AE45" s="350">
        <v>0.66259999999999997</v>
      </c>
      <c r="AF45" s="350">
        <v>0.64270000000000005</v>
      </c>
      <c r="AG45" s="350">
        <v>0.63859999999999995</v>
      </c>
      <c r="AH45" s="351" t="s">
        <v>541</v>
      </c>
      <c r="AI45" s="346" t="s">
        <v>634</v>
      </c>
      <c r="AJ45" s="346" t="s">
        <v>634</v>
      </c>
      <c r="AK45" s="350">
        <v>0.64900000000000002</v>
      </c>
      <c r="AL45" s="350">
        <v>0.65069999999999995</v>
      </c>
      <c r="AM45" s="350">
        <v>0.65510000000000002</v>
      </c>
      <c r="AN45" s="350">
        <v>0.69450000000000001</v>
      </c>
      <c r="AO45" s="350">
        <v>0.63649999999999995</v>
      </c>
      <c r="AP45" s="350">
        <v>0.66039999999999999</v>
      </c>
      <c r="AQ45" s="369" t="s">
        <v>405</v>
      </c>
      <c r="AR45" s="346" t="s">
        <v>498</v>
      </c>
      <c r="AS45" s="346" t="s">
        <v>422</v>
      </c>
      <c r="AT45" s="350">
        <v>0.6825</v>
      </c>
      <c r="AU45" s="350">
        <v>0.69079999999999997</v>
      </c>
      <c r="AV45" s="350">
        <v>0.69540000000000002</v>
      </c>
      <c r="AW45" s="350">
        <v>0.73470000000000002</v>
      </c>
      <c r="AX45" s="350">
        <v>0.66300000000000003</v>
      </c>
      <c r="AY45" s="350">
        <v>0.69789999999999996</v>
      </c>
      <c r="AZ45" s="362" t="s">
        <v>405</v>
      </c>
      <c r="BA45" s="346" t="s">
        <v>424</v>
      </c>
      <c r="BB45" s="346" t="s">
        <v>575</v>
      </c>
      <c r="BC45" s="350">
        <v>0.70220000000000005</v>
      </c>
      <c r="BD45" s="350">
        <v>0.68330000000000002</v>
      </c>
      <c r="BE45" s="350">
        <v>0.70340000000000003</v>
      </c>
      <c r="BF45" s="350">
        <v>0.75009999999999999</v>
      </c>
      <c r="BG45" s="350">
        <v>0.6794</v>
      </c>
      <c r="BH45" s="350">
        <v>0.70740000000000003</v>
      </c>
      <c r="BI45" s="370" t="s">
        <v>405</v>
      </c>
      <c r="BJ45" s="354">
        <v>70</v>
      </c>
      <c r="BK45" s="354">
        <v>67</v>
      </c>
      <c r="BL45" s="350">
        <v>0.70040000000000002</v>
      </c>
      <c r="BM45" s="350">
        <v>0.67989999999999995</v>
      </c>
      <c r="BN45" s="350">
        <v>0.6865</v>
      </c>
      <c r="BO45" s="350">
        <v>0.75009999999999999</v>
      </c>
      <c r="BP45" s="350">
        <v>0.67759999999999998</v>
      </c>
      <c r="BQ45" s="350">
        <v>0.70220000000000005</v>
      </c>
      <c r="BR45" s="371" t="s">
        <v>405</v>
      </c>
      <c r="BS45" s="348">
        <v>63</v>
      </c>
      <c r="BT45" s="348">
        <v>61</v>
      </c>
      <c r="BU45" s="348">
        <v>0.68459999999999999</v>
      </c>
      <c r="BV45" s="348">
        <v>0.64949999999999997</v>
      </c>
      <c r="BW45" s="348">
        <v>0.64100000000000001</v>
      </c>
      <c r="BX45" s="348">
        <v>0.72709999999999997</v>
      </c>
      <c r="BY45" s="348">
        <v>0.64700000000000002</v>
      </c>
      <c r="BZ45" s="348">
        <v>0.67330000000000001</v>
      </c>
      <c r="CA45" s="358" t="s">
        <v>405</v>
      </c>
      <c r="CB45" s="357" t="s">
        <v>424</v>
      </c>
      <c r="CC45" s="357" t="s">
        <v>678</v>
      </c>
      <c r="CD45" s="357">
        <v>0.69199999999999995</v>
      </c>
      <c r="CE45" s="357">
        <v>0.65680000000000005</v>
      </c>
      <c r="CF45" s="357">
        <v>0.64829999999999999</v>
      </c>
      <c r="CG45" s="357">
        <v>0.73250000000000004</v>
      </c>
      <c r="CH45" s="357">
        <v>0.66239999999999999</v>
      </c>
      <c r="CI45" s="357">
        <v>0.68089999999999995</v>
      </c>
      <c r="CJ45" s="725" t="s">
        <v>405</v>
      </c>
      <c r="CK45" s="626">
        <v>65</v>
      </c>
      <c r="CL45" s="626">
        <v>65</v>
      </c>
      <c r="CM45" s="626">
        <v>0.72640000000000005</v>
      </c>
      <c r="CN45" s="626">
        <v>0.68340000000000001</v>
      </c>
      <c r="CO45" s="626">
        <v>0.69210000000000005</v>
      </c>
      <c r="CP45" s="626">
        <v>0.75880000000000003</v>
      </c>
      <c r="CQ45" s="626">
        <v>0.74119999999999997</v>
      </c>
      <c r="CR45" s="721">
        <v>0.71719999999999995</v>
      </c>
      <c r="CS45" s="569" t="s">
        <v>404</v>
      </c>
      <c r="CT45" s="569">
        <v>71</v>
      </c>
      <c r="CU45" s="569">
        <v>70</v>
      </c>
      <c r="CV45" s="590">
        <v>0.74339999999999995</v>
      </c>
      <c r="CW45" s="590">
        <v>0.71719999999999995</v>
      </c>
      <c r="CX45" s="590">
        <v>0.72270000000000001</v>
      </c>
      <c r="CY45" s="590">
        <v>0.77790000000000004</v>
      </c>
      <c r="CZ45" s="590">
        <v>0.77339999999999998</v>
      </c>
      <c r="DA45" s="590">
        <v>0.74280000000000002</v>
      </c>
    </row>
    <row r="46" spans="1:105" x14ac:dyDescent="0.25">
      <c r="A46" s="36" t="s">
        <v>203</v>
      </c>
      <c r="B46" s="134" t="s">
        <v>202</v>
      </c>
      <c r="C46" s="134" t="s">
        <v>567</v>
      </c>
      <c r="D46" s="134" t="s">
        <v>417</v>
      </c>
      <c r="E46" s="134" t="s">
        <v>787</v>
      </c>
      <c r="F46" s="134" t="s">
        <v>221</v>
      </c>
      <c r="G46" s="134"/>
      <c r="H46" s="134"/>
      <c r="I46" s="134"/>
      <c r="J46" s="134"/>
      <c r="K46" s="134"/>
      <c r="L46" s="134"/>
      <c r="M46" s="134"/>
      <c r="N46" s="134"/>
      <c r="O46" s="134"/>
      <c r="P46" s="635" t="s">
        <v>541</v>
      </c>
      <c r="Q46" s="166" t="s">
        <v>489</v>
      </c>
      <c r="R46" s="166" t="s">
        <v>540</v>
      </c>
      <c r="S46" s="166">
        <v>0.62090000000000001</v>
      </c>
      <c r="T46" s="166">
        <v>0.64239999999999997</v>
      </c>
      <c r="U46" s="166">
        <v>0.65510000000000002</v>
      </c>
      <c r="V46" s="166">
        <v>0.66149999999999998</v>
      </c>
      <c r="W46" s="166">
        <v>0.67259999999999998</v>
      </c>
      <c r="X46" s="166">
        <v>0.64710000000000001</v>
      </c>
      <c r="Y46" s="138" t="s">
        <v>405</v>
      </c>
      <c r="Z46" s="134" t="s">
        <v>552</v>
      </c>
      <c r="AA46" s="134" t="s">
        <v>601</v>
      </c>
      <c r="AB46" s="137">
        <v>0.65469999999999995</v>
      </c>
      <c r="AC46" s="137">
        <v>0.68710000000000004</v>
      </c>
      <c r="AD46" s="137">
        <v>0.6663</v>
      </c>
      <c r="AE46" s="137">
        <v>0.68130000000000002</v>
      </c>
      <c r="AF46" s="137">
        <v>0.68259999999999998</v>
      </c>
      <c r="AG46" s="137">
        <v>0.67310000000000003</v>
      </c>
      <c r="AH46" s="159" t="s">
        <v>405</v>
      </c>
      <c r="AI46" s="134" t="s">
        <v>607</v>
      </c>
      <c r="AJ46" s="134" t="s">
        <v>162</v>
      </c>
      <c r="AK46" s="137">
        <v>0.65939999999999999</v>
      </c>
      <c r="AL46" s="137">
        <v>0.6875</v>
      </c>
      <c r="AM46" s="137">
        <v>0.67120000000000002</v>
      </c>
      <c r="AN46" s="137">
        <v>0.67779999999999996</v>
      </c>
      <c r="AO46" s="137">
        <v>0.68200000000000005</v>
      </c>
      <c r="AP46" s="137">
        <v>0.67459999999999998</v>
      </c>
      <c r="AQ46" s="139" t="s">
        <v>405</v>
      </c>
      <c r="AR46" s="134" t="s">
        <v>433</v>
      </c>
      <c r="AS46" s="134" t="s">
        <v>533</v>
      </c>
      <c r="AT46" s="137">
        <v>0.6804</v>
      </c>
      <c r="AU46" s="137">
        <v>0.70420000000000005</v>
      </c>
      <c r="AV46" s="137">
        <v>0.66779999999999995</v>
      </c>
      <c r="AW46" s="137">
        <v>0.67969999999999997</v>
      </c>
      <c r="AX46" s="137">
        <v>0.68540000000000001</v>
      </c>
      <c r="AY46" s="137">
        <v>0.68320000000000003</v>
      </c>
      <c r="AZ46" s="138" t="s">
        <v>405</v>
      </c>
      <c r="BA46" s="134" t="s">
        <v>641</v>
      </c>
      <c r="BB46" s="134" t="s">
        <v>649</v>
      </c>
      <c r="BC46" s="137">
        <v>0.69130000000000003</v>
      </c>
      <c r="BD46" s="137">
        <v>0.66139999999999999</v>
      </c>
      <c r="BE46" s="137">
        <v>0.6603</v>
      </c>
      <c r="BF46" s="137">
        <v>0.68969999999999998</v>
      </c>
      <c r="BG46" s="137">
        <v>0.67210000000000003</v>
      </c>
      <c r="BH46" s="137">
        <v>0.6754</v>
      </c>
      <c r="BI46" s="135" t="s">
        <v>405</v>
      </c>
      <c r="BJ46" s="152">
        <v>26</v>
      </c>
      <c r="BK46" s="152">
        <v>25</v>
      </c>
      <c r="BL46" s="137">
        <v>0.70669999999999999</v>
      </c>
      <c r="BM46" s="137">
        <v>0.67230000000000001</v>
      </c>
      <c r="BN46" s="137">
        <v>0.6623</v>
      </c>
      <c r="BO46" s="137">
        <v>0.69620000000000004</v>
      </c>
      <c r="BP46" s="137">
        <v>0.66849999999999998</v>
      </c>
      <c r="BQ46" s="137">
        <v>0.68320000000000003</v>
      </c>
      <c r="BR46" s="279" t="s">
        <v>405</v>
      </c>
      <c r="BS46" s="272">
        <v>28</v>
      </c>
      <c r="BT46" s="272">
        <v>28</v>
      </c>
      <c r="BU46" s="272">
        <v>0.72019999999999995</v>
      </c>
      <c r="BV46" s="272">
        <v>0.68869999999999998</v>
      </c>
      <c r="BW46" s="272">
        <v>0.6885</v>
      </c>
      <c r="BX46" s="272">
        <v>0.7177</v>
      </c>
      <c r="BY46" s="272">
        <v>0.68430000000000002</v>
      </c>
      <c r="BZ46" s="272">
        <v>0.70230000000000004</v>
      </c>
      <c r="CA46" s="709" t="s">
        <v>405</v>
      </c>
      <c r="CB46" s="682" t="s">
        <v>478</v>
      </c>
      <c r="CC46" s="682" t="s">
        <v>478</v>
      </c>
      <c r="CD46" s="682">
        <v>0.71199999999999997</v>
      </c>
      <c r="CE46" s="682">
        <v>0.70379999999999998</v>
      </c>
      <c r="CF46" s="682">
        <v>0.68610000000000004</v>
      </c>
      <c r="CG46" s="682">
        <v>0.71440000000000003</v>
      </c>
      <c r="CH46" s="682">
        <v>0.70850000000000002</v>
      </c>
      <c r="CI46" s="682">
        <v>0.70440000000000003</v>
      </c>
      <c r="CJ46" s="714" t="s">
        <v>405</v>
      </c>
      <c r="CK46" s="626">
        <v>56</v>
      </c>
      <c r="CL46" s="626">
        <v>56</v>
      </c>
      <c r="CM46" s="626">
        <v>0.72519999999999996</v>
      </c>
      <c r="CN46" s="626">
        <v>0.69679999999999997</v>
      </c>
      <c r="CO46" s="626">
        <v>0.68359999999999999</v>
      </c>
      <c r="CP46" s="626">
        <v>0.72550000000000003</v>
      </c>
      <c r="CQ46" s="626">
        <v>0.73280000000000001</v>
      </c>
      <c r="CR46" s="721">
        <v>0.7097</v>
      </c>
      <c r="CS46" s="569" t="s">
        <v>405</v>
      </c>
      <c r="CT46" s="569">
        <v>65</v>
      </c>
      <c r="CU46" s="569">
        <v>64</v>
      </c>
      <c r="CV46" s="590">
        <v>0.73829999999999996</v>
      </c>
      <c r="CW46" s="590">
        <v>0.70689999999999997</v>
      </c>
      <c r="CX46" s="590">
        <v>0.69079999999999997</v>
      </c>
      <c r="CY46" s="590">
        <v>0.73240000000000005</v>
      </c>
      <c r="CZ46" s="590">
        <v>0.74350000000000005</v>
      </c>
      <c r="DA46" s="590">
        <v>0.71909999999999996</v>
      </c>
    </row>
    <row r="47" spans="1:105" x14ac:dyDescent="0.25">
      <c r="A47" s="126" t="s">
        <v>922</v>
      </c>
      <c r="B47" s="134" t="s">
        <v>921</v>
      </c>
      <c r="C47" s="134" t="s">
        <v>567</v>
      </c>
      <c r="D47" s="134" t="s">
        <v>417</v>
      </c>
      <c r="E47" s="134"/>
      <c r="F47" s="134" t="s">
        <v>221</v>
      </c>
      <c r="G47" s="134"/>
      <c r="H47" s="134"/>
      <c r="I47" s="134"/>
      <c r="J47" s="134"/>
      <c r="K47" s="134"/>
      <c r="L47" s="134"/>
      <c r="M47" s="134"/>
      <c r="N47" s="134"/>
      <c r="O47" s="134"/>
      <c r="P47" s="175"/>
      <c r="Q47" s="174"/>
      <c r="R47" s="174"/>
      <c r="S47" s="174"/>
      <c r="T47" s="174"/>
      <c r="U47" s="174"/>
      <c r="V47" s="174"/>
      <c r="W47" s="174"/>
      <c r="X47" s="174"/>
      <c r="Y47" s="138"/>
      <c r="Z47" s="134"/>
      <c r="AA47" s="134"/>
      <c r="AB47" s="137"/>
      <c r="AC47" s="137"/>
      <c r="AD47" s="137"/>
      <c r="AE47" s="137"/>
      <c r="AF47" s="137"/>
      <c r="AG47" s="137"/>
      <c r="AH47" s="159"/>
      <c r="AI47" s="134"/>
      <c r="AJ47" s="134"/>
      <c r="AK47" s="137"/>
      <c r="AL47" s="137"/>
      <c r="AM47" s="137"/>
      <c r="AN47" s="137"/>
      <c r="AO47" s="137"/>
      <c r="AP47" s="137"/>
      <c r="AQ47" s="139"/>
      <c r="AR47" s="134"/>
      <c r="AS47" s="134"/>
      <c r="AT47" s="137"/>
      <c r="AU47" s="137"/>
      <c r="AV47" s="137"/>
      <c r="AW47" s="137"/>
      <c r="AX47" s="137"/>
      <c r="AY47" s="137"/>
      <c r="AZ47" s="138"/>
      <c r="BA47" s="134"/>
      <c r="BB47" s="134"/>
      <c r="BC47" s="137"/>
      <c r="BD47" s="137"/>
      <c r="BE47" s="137"/>
      <c r="BF47" s="137"/>
      <c r="BG47" s="137"/>
      <c r="BH47" s="137"/>
      <c r="BI47" s="135"/>
      <c r="BJ47" s="152"/>
      <c r="BK47" s="152"/>
      <c r="BL47" s="137"/>
      <c r="BM47" s="137"/>
      <c r="BN47" s="137"/>
      <c r="BO47" s="137"/>
      <c r="BP47" s="137"/>
      <c r="BQ47" s="137"/>
      <c r="BR47" s="279"/>
      <c r="BS47" s="272"/>
      <c r="BT47" s="272"/>
      <c r="BU47" s="272"/>
      <c r="BV47" s="272"/>
      <c r="BW47" s="272"/>
      <c r="BX47" s="272"/>
      <c r="BY47" s="272"/>
      <c r="BZ47" s="272"/>
      <c r="CA47" s="358" t="s">
        <v>405</v>
      </c>
      <c r="CB47" s="357" t="s">
        <v>540</v>
      </c>
      <c r="CC47" s="357" t="s">
        <v>540</v>
      </c>
      <c r="CD47" s="357">
        <v>0.6925</v>
      </c>
      <c r="CE47" s="357">
        <v>0.70930000000000004</v>
      </c>
      <c r="CF47" s="357">
        <v>0.67259999999999998</v>
      </c>
      <c r="CG47" s="357">
        <v>0.7147</v>
      </c>
      <c r="CH47" s="357">
        <v>0.72529999999999994</v>
      </c>
      <c r="CI47" s="357">
        <v>0.69940000000000002</v>
      </c>
      <c r="CJ47" s="714" t="s">
        <v>405</v>
      </c>
      <c r="CK47" s="626">
        <v>36</v>
      </c>
      <c r="CL47" s="626">
        <v>36</v>
      </c>
      <c r="CM47" s="626">
        <v>0.69620000000000004</v>
      </c>
      <c r="CN47" s="626">
        <v>0.69769999999999999</v>
      </c>
      <c r="CO47" s="626">
        <v>0.66649999999999998</v>
      </c>
      <c r="CP47" s="626">
        <v>0.71440000000000003</v>
      </c>
      <c r="CQ47" s="626">
        <v>0.72340000000000004</v>
      </c>
      <c r="CR47" s="721">
        <v>0.69599999999999995</v>
      </c>
      <c r="CS47" s="569" t="s">
        <v>405</v>
      </c>
      <c r="CT47" s="569">
        <v>64</v>
      </c>
      <c r="CU47" s="569">
        <v>64</v>
      </c>
      <c r="CV47" s="590">
        <v>0.69699999999999995</v>
      </c>
      <c r="CW47" s="590">
        <v>0.68340000000000001</v>
      </c>
      <c r="CX47" s="590">
        <v>0.65669999999999995</v>
      </c>
      <c r="CY47" s="590">
        <v>0.71830000000000005</v>
      </c>
      <c r="CZ47" s="590">
        <v>0.70499999999999996</v>
      </c>
      <c r="DA47" s="590">
        <v>0.69010000000000005</v>
      </c>
    </row>
    <row r="48" spans="1:105" x14ac:dyDescent="0.25">
      <c r="A48" s="36" t="s">
        <v>81</v>
      </c>
      <c r="B48" s="134" t="s">
        <v>80</v>
      </c>
      <c r="C48" s="134" t="s">
        <v>567</v>
      </c>
      <c r="D48" s="134" t="s">
        <v>417</v>
      </c>
      <c r="E48" s="134" t="s">
        <v>787</v>
      </c>
      <c r="F48" s="134" t="s">
        <v>221</v>
      </c>
      <c r="G48" s="165" t="s">
        <v>405</v>
      </c>
      <c r="H48" s="166">
        <v>10</v>
      </c>
      <c r="I48" s="166">
        <v>10</v>
      </c>
      <c r="J48" s="166">
        <v>0.68240000000000001</v>
      </c>
      <c r="K48" s="166">
        <v>0.63170000000000004</v>
      </c>
      <c r="L48" s="166">
        <v>0.69679999999999997</v>
      </c>
      <c r="M48" s="166">
        <v>0.69469999999999998</v>
      </c>
      <c r="N48" s="166">
        <v>0.66600000000000004</v>
      </c>
      <c r="O48" s="166">
        <v>0.67559999999999998</v>
      </c>
      <c r="P48" s="164"/>
      <c r="Q48" s="134"/>
      <c r="R48" s="134"/>
      <c r="S48" s="134"/>
      <c r="T48" s="134"/>
      <c r="U48" s="134"/>
      <c r="V48" s="134"/>
      <c r="W48" s="134"/>
      <c r="X48" s="134"/>
      <c r="Y48" s="134"/>
      <c r="Z48" s="134"/>
      <c r="AA48" s="134"/>
      <c r="AB48" s="137"/>
      <c r="AC48" s="137"/>
      <c r="AD48" s="137"/>
      <c r="AE48" s="137"/>
      <c r="AF48" s="137"/>
      <c r="AG48" s="137"/>
      <c r="AH48" s="155" t="s">
        <v>541</v>
      </c>
      <c r="AI48" s="134" t="s">
        <v>489</v>
      </c>
      <c r="AJ48" s="134" t="s">
        <v>633</v>
      </c>
      <c r="AK48" s="137">
        <v>0.64080000000000004</v>
      </c>
      <c r="AL48" s="137">
        <v>0.66990000000000005</v>
      </c>
      <c r="AM48" s="137">
        <v>0.63519999999999999</v>
      </c>
      <c r="AN48" s="137">
        <v>0.73019999999999996</v>
      </c>
      <c r="AO48" s="137">
        <v>0.65620000000000001</v>
      </c>
      <c r="AP48" s="137">
        <v>0.66800000000000004</v>
      </c>
      <c r="AQ48" s="139" t="s">
        <v>405</v>
      </c>
      <c r="AR48" s="134" t="s">
        <v>529</v>
      </c>
      <c r="AS48" s="134" t="s">
        <v>530</v>
      </c>
      <c r="AT48" s="137">
        <v>0.66659999999999997</v>
      </c>
      <c r="AU48" s="137">
        <v>0.67659999999999998</v>
      </c>
      <c r="AV48" s="137">
        <v>0.65349999999999997</v>
      </c>
      <c r="AW48" s="137">
        <v>0.74560000000000004</v>
      </c>
      <c r="AX48" s="137">
        <v>0.6996</v>
      </c>
      <c r="AY48" s="137">
        <v>0.68659999999999999</v>
      </c>
      <c r="AZ48" s="141" t="s">
        <v>541</v>
      </c>
      <c r="BA48" s="134" t="s">
        <v>489</v>
      </c>
      <c r="BB48" s="134" t="s">
        <v>633</v>
      </c>
      <c r="BC48" s="137">
        <v>0.64080000000000004</v>
      </c>
      <c r="BD48" s="137">
        <v>0.66990000000000005</v>
      </c>
      <c r="BE48" s="137">
        <v>0.63519999999999999</v>
      </c>
      <c r="BF48" s="137">
        <v>0.73019999999999996</v>
      </c>
      <c r="BG48" s="137">
        <v>0.65620000000000001</v>
      </c>
      <c r="BH48" s="137">
        <v>0.66800000000000004</v>
      </c>
      <c r="BI48" s="140" t="s">
        <v>541</v>
      </c>
      <c r="BJ48" s="152">
        <v>17</v>
      </c>
      <c r="BK48" s="152">
        <v>16</v>
      </c>
      <c r="BL48" s="137">
        <v>0.64080000000000004</v>
      </c>
      <c r="BM48" s="137">
        <v>0.66990000000000005</v>
      </c>
      <c r="BN48" s="137">
        <v>0.63519999999999999</v>
      </c>
      <c r="BO48" s="137">
        <v>0.73019999999999996</v>
      </c>
      <c r="BP48" s="137">
        <v>0.65620000000000001</v>
      </c>
      <c r="BQ48" s="137">
        <v>0.66800000000000004</v>
      </c>
      <c r="BR48" s="281" t="s">
        <v>541</v>
      </c>
      <c r="BS48" s="272">
        <v>71</v>
      </c>
      <c r="BT48" s="272">
        <v>69</v>
      </c>
      <c r="BU48" s="272">
        <v>0.61539999999999995</v>
      </c>
      <c r="BV48" s="272">
        <v>0.61529999999999996</v>
      </c>
      <c r="BW48" s="272">
        <v>0.57840000000000003</v>
      </c>
      <c r="BX48" s="272">
        <v>0.67349999999999999</v>
      </c>
      <c r="BY48" s="272">
        <v>0.63129999999999997</v>
      </c>
      <c r="BZ48" s="272">
        <v>0.62150000000000005</v>
      </c>
      <c r="CA48" s="346"/>
      <c r="CB48" s="346"/>
      <c r="CC48" s="346"/>
      <c r="CD48" s="346"/>
      <c r="CE48" s="346"/>
      <c r="CF48" s="346"/>
      <c r="CG48" s="346"/>
      <c r="CH48" s="346"/>
      <c r="CI48" s="346"/>
      <c r="CJ48" s="724"/>
      <c r="CK48" s="624"/>
      <c r="CL48" s="624"/>
      <c r="CM48" s="624"/>
      <c r="CN48" s="624"/>
      <c r="CO48" s="624"/>
      <c r="CP48" s="624"/>
      <c r="CQ48" s="624"/>
      <c r="CR48" s="628"/>
      <c r="CS48" s="568"/>
      <c r="CT48" s="587"/>
      <c r="CU48" s="587"/>
      <c r="CV48" s="591"/>
      <c r="CW48" s="591"/>
      <c r="CX48" s="591"/>
      <c r="CY48" s="591"/>
      <c r="CZ48" s="591"/>
      <c r="DA48" s="591"/>
    </row>
    <row r="49" spans="1:105" x14ac:dyDescent="0.25">
      <c r="A49" s="36" t="s">
        <v>168</v>
      </c>
      <c r="B49" s="134" t="s">
        <v>167</v>
      </c>
      <c r="C49" s="134" t="s">
        <v>567</v>
      </c>
      <c r="D49" s="134" t="s">
        <v>417</v>
      </c>
      <c r="E49" s="134" t="s">
        <v>787</v>
      </c>
      <c r="F49" s="134" t="s">
        <v>221</v>
      </c>
      <c r="G49" s="169" t="s">
        <v>557</v>
      </c>
      <c r="H49" s="166">
        <v>29</v>
      </c>
      <c r="I49" s="166">
        <v>27</v>
      </c>
      <c r="J49" s="166">
        <v>0.61829999999999996</v>
      </c>
      <c r="K49" s="166">
        <v>0.60929999999999995</v>
      </c>
      <c r="L49" s="166">
        <v>0.61129999999999995</v>
      </c>
      <c r="M49" s="166">
        <v>0.58740000000000003</v>
      </c>
      <c r="N49" s="166">
        <v>0.62980000000000003</v>
      </c>
      <c r="O49" s="166">
        <v>0.60829999999999995</v>
      </c>
      <c r="P49" s="176" t="s">
        <v>557</v>
      </c>
      <c r="Q49" s="174" t="s">
        <v>433</v>
      </c>
      <c r="R49" s="174" t="s">
        <v>565</v>
      </c>
      <c r="S49" s="174">
        <v>0.61339999999999995</v>
      </c>
      <c r="T49" s="174">
        <v>0.61560000000000004</v>
      </c>
      <c r="U49" s="174">
        <v>0.61439999999999995</v>
      </c>
      <c r="V49" s="174">
        <v>0.60319999999999996</v>
      </c>
      <c r="W49" s="174">
        <v>0.64690000000000003</v>
      </c>
      <c r="X49" s="174">
        <v>0.61439999999999995</v>
      </c>
      <c r="Y49" s="134"/>
      <c r="Z49" s="134"/>
      <c r="AA49" s="134"/>
      <c r="AB49" s="137"/>
      <c r="AC49" s="137"/>
      <c r="AD49" s="137"/>
      <c r="AE49" s="137"/>
      <c r="AF49" s="137"/>
      <c r="AG49" s="137"/>
      <c r="AH49" s="157" t="s">
        <v>557</v>
      </c>
      <c r="AI49" s="134" t="s">
        <v>145</v>
      </c>
      <c r="AJ49" s="134" t="s">
        <v>601</v>
      </c>
      <c r="AK49" s="137">
        <v>0.59109999999999996</v>
      </c>
      <c r="AL49" s="137">
        <v>0.64349999999999996</v>
      </c>
      <c r="AM49" s="137">
        <v>0.61339999999999995</v>
      </c>
      <c r="AN49" s="137">
        <v>0.624</v>
      </c>
      <c r="AO49" s="137">
        <v>0.63739999999999997</v>
      </c>
      <c r="AP49" s="137">
        <v>0.61950000000000005</v>
      </c>
      <c r="AQ49" s="142" t="s">
        <v>541</v>
      </c>
      <c r="AR49" s="134" t="s">
        <v>556</v>
      </c>
      <c r="AS49" s="134" t="s">
        <v>513</v>
      </c>
      <c r="AT49" s="137">
        <v>0.60189999999999999</v>
      </c>
      <c r="AU49" s="137">
        <v>0.64449999999999996</v>
      </c>
      <c r="AV49" s="137">
        <v>0.6079</v>
      </c>
      <c r="AW49" s="137">
        <v>0.63029999999999997</v>
      </c>
      <c r="AX49" s="137">
        <v>0.62990000000000002</v>
      </c>
      <c r="AY49" s="137">
        <v>0.62180000000000002</v>
      </c>
      <c r="AZ49" s="141" t="s">
        <v>541</v>
      </c>
      <c r="BA49" s="134" t="s">
        <v>641</v>
      </c>
      <c r="BB49" s="134" t="s">
        <v>649</v>
      </c>
      <c r="BC49" s="137">
        <v>0.6502</v>
      </c>
      <c r="BD49" s="137">
        <v>0.65290000000000004</v>
      </c>
      <c r="BE49" s="137">
        <v>0.62329999999999997</v>
      </c>
      <c r="BF49" s="137">
        <v>0.68010000000000004</v>
      </c>
      <c r="BG49" s="137">
        <v>0.66359999999999997</v>
      </c>
      <c r="BH49" s="137">
        <v>0.65249999999999997</v>
      </c>
      <c r="BI49" s="140" t="s">
        <v>541</v>
      </c>
      <c r="BJ49" s="152">
        <v>35</v>
      </c>
      <c r="BK49" s="152">
        <v>30</v>
      </c>
      <c r="BL49" s="137">
        <v>0.62219999999999998</v>
      </c>
      <c r="BM49" s="137">
        <v>0.63570000000000004</v>
      </c>
      <c r="BN49" s="137">
        <v>0.59740000000000004</v>
      </c>
      <c r="BO49" s="137">
        <v>0.67420000000000002</v>
      </c>
      <c r="BP49" s="137">
        <v>0.62670000000000003</v>
      </c>
      <c r="BQ49" s="137">
        <v>0.63190000000000002</v>
      </c>
      <c r="BR49" s="281" t="s">
        <v>541</v>
      </c>
      <c r="BS49" s="272">
        <v>37</v>
      </c>
      <c r="BT49" s="272">
        <v>37</v>
      </c>
      <c r="BU49" s="272">
        <v>0.65849999999999997</v>
      </c>
      <c r="BV49" s="272">
        <v>0.65810000000000002</v>
      </c>
      <c r="BW49" s="272">
        <v>0.62819999999999998</v>
      </c>
      <c r="BX49" s="272">
        <v>0.70789999999999997</v>
      </c>
      <c r="BY49" s="272">
        <v>0.66859999999999997</v>
      </c>
      <c r="BZ49" s="272">
        <v>0.66359999999999997</v>
      </c>
      <c r="CA49" s="359" t="s">
        <v>541</v>
      </c>
      <c r="CB49" s="357" t="s">
        <v>569</v>
      </c>
      <c r="CC49" s="357" t="s">
        <v>569</v>
      </c>
      <c r="CD49" s="357">
        <v>0.65480000000000005</v>
      </c>
      <c r="CE49" s="357">
        <v>0.64339999999999997</v>
      </c>
      <c r="CF49" s="357">
        <v>0.63949999999999996</v>
      </c>
      <c r="CG49" s="357">
        <v>0.70179999999999998</v>
      </c>
      <c r="CH49" s="357">
        <v>0.66510000000000002</v>
      </c>
      <c r="CI49" s="357">
        <v>0.6603</v>
      </c>
      <c r="CJ49" s="724"/>
      <c r="CK49" s="624"/>
      <c r="CL49" s="624"/>
      <c r="CM49" s="624"/>
      <c r="CN49" s="624"/>
      <c r="CO49" s="624"/>
      <c r="CP49" s="624"/>
      <c r="CQ49" s="624"/>
      <c r="CR49" s="628"/>
      <c r="CS49" s="569" t="s">
        <v>541</v>
      </c>
      <c r="CT49" s="569">
        <v>63</v>
      </c>
      <c r="CU49" s="569">
        <v>60</v>
      </c>
      <c r="CV49" s="590">
        <v>0.62139999999999995</v>
      </c>
      <c r="CW49" s="590">
        <v>0.60029999999999994</v>
      </c>
      <c r="CX49" s="590">
        <v>0.60260000000000002</v>
      </c>
      <c r="CY49" s="590">
        <v>0.66710000000000003</v>
      </c>
      <c r="CZ49" s="590">
        <v>0.65769999999999995</v>
      </c>
      <c r="DA49" s="590">
        <v>0.62560000000000004</v>
      </c>
    </row>
    <row r="50" spans="1:105" x14ac:dyDescent="0.25">
      <c r="A50" s="324" t="s">
        <v>230</v>
      </c>
      <c r="B50" s="346" t="s">
        <v>432</v>
      </c>
      <c r="C50" s="134" t="s">
        <v>567</v>
      </c>
      <c r="D50" s="134" t="s">
        <v>417</v>
      </c>
      <c r="E50" s="346" t="s">
        <v>787</v>
      </c>
      <c r="F50" s="134" t="s">
        <v>221</v>
      </c>
      <c r="G50" s="346"/>
      <c r="H50" s="346"/>
      <c r="I50" s="346"/>
      <c r="J50" s="346"/>
      <c r="K50" s="346"/>
      <c r="L50" s="346"/>
      <c r="M50" s="346"/>
      <c r="N50" s="346"/>
      <c r="O50" s="346"/>
      <c r="P50" s="346"/>
      <c r="Q50" s="346"/>
      <c r="R50" s="346"/>
      <c r="S50" s="346"/>
      <c r="T50" s="346"/>
      <c r="U50" s="346"/>
      <c r="V50" s="346"/>
      <c r="W50" s="346"/>
      <c r="X50" s="346"/>
      <c r="Y50" s="346"/>
      <c r="Z50" s="346"/>
      <c r="AA50" s="346"/>
      <c r="AB50" s="350"/>
      <c r="AC50" s="350"/>
      <c r="AD50" s="350"/>
      <c r="AE50" s="350"/>
      <c r="AF50" s="350"/>
      <c r="AG50" s="350"/>
      <c r="AH50" s="696" t="s">
        <v>403</v>
      </c>
      <c r="AI50" s="346" t="s">
        <v>529</v>
      </c>
      <c r="AJ50" s="346" t="s">
        <v>529</v>
      </c>
      <c r="AK50" s="350">
        <v>0.74099999999999999</v>
      </c>
      <c r="AL50" s="350">
        <v>0.77029999999999998</v>
      </c>
      <c r="AM50" s="350">
        <v>0.77659999999999996</v>
      </c>
      <c r="AN50" s="350">
        <v>0.80769999999999997</v>
      </c>
      <c r="AO50" s="350">
        <v>0.78410000000000002</v>
      </c>
      <c r="AP50" s="350">
        <v>0.77470000000000006</v>
      </c>
      <c r="AQ50" s="364" t="s">
        <v>404</v>
      </c>
      <c r="AR50" s="346" t="s">
        <v>145</v>
      </c>
      <c r="AS50" s="346" t="s">
        <v>433</v>
      </c>
      <c r="AT50" s="350">
        <v>0.75160000000000005</v>
      </c>
      <c r="AU50" s="350">
        <v>0.76339999999999997</v>
      </c>
      <c r="AV50" s="350">
        <v>0.76649999999999996</v>
      </c>
      <c r="AW50" s="350">
        <v>0.79459999999999997</v>
      </c>
      <c r="AX50" s="350">
        <v>0.76790000000000003</v>
      </c>
      <c r="AY50" s="350">
        <v>0.76890000000000003</v>
      </c>
      <c r="AZ50" s="365" t="s">
        <v>404</v>
      </c>
      <c r="BA50" s="346" t="s">
        <v>82</v>
      </c>
      <c r="BB50" s="346" t="s">
        <v>658</v>
      </c>
      <c r="BC50" s="350">
        <v>0.75819999999999999</v>
      </c>
      <c r="BD50" s="350">
        <v>0.76629999999999998</v>
      </c>
      <c r="BE50" s="350">
        <v>0.76900000000000002</v>
      </c>
      <c r="BF50" s="350">
        <v>0.78310000000000002</v>
      </c>
      <c r="BG50" s="350">
        <v>0.77510000000000001</v>
      </c>
      <c r="BH50" s="350">
        <v>0.76959999999999995</v>
      </c>
      <c r="BI50" s="375" t="s">
        <v>403</v>
      </c>
      <c r="BJ50" s="354">
        <v>47</v>
      </c>
      <c r="BK50" s="354">
        <v>46</v>
      </c>
      <c r="BL50" s="350">
        <v>0.79149999999999998</v>
      </c>
      <c r="BM50" s="350">
        <v>0.77410000000000001</v>
      </c>
      <c r="BN50" s="350">
        <v>0.78569999999999995</v>
      </c>
      <c r="BO50" s="350">
        <v>0.78959999999999997</v>
      </c>
      <c r="BP50" s="350">
        <v>0.77529999999999999</v>
      </c>
      <c r="BQ50" s="350">
        <v>0.78439999999999999</v>
      </c>
      <c r="BR50" s="708" t="s">
        <v>403</v>
      </c>
      <c r="BS50" s="348">
        <v>52</v>
      </c>
      <c r="BT50" s="348">
        <v>52</v>
      </c>
      <c r="BU50" s="348">
        <v>0.81679999999999997</v>
      </c>
      <c r="BV50" s="348">
        <v>0.79349999999999998</v>
      </c>
      <c r="BW50" s="348">
        <v>0.8054</v>
      </c>
      <c r="BX50" s="348">
        <v>0.80989999999999995</v>
      </c>
      <c r="BY50" s="348">
        <v>0.81</v>
      </c>
      <c r="BZ50" s="348">
        <v>0.80669999999999997</v>
      </c>
      <c r="CA50" s="360" t="s">
        <v>403</v>
      </c>
      <c r="CB50" s="357" t="s">
        <v>470</v>
      </c>
      <c r="CC50" s="357" t="s">
        <v>470</v>
      </c>
      <c r="CD50" s="357">
        <v>0.82410000000000005</v>
      </c>
      <c r="CE50" s="357">
        <v>0.79949999999999999</v>
      </c>
      <c r="CF50" s="357">
        <v>0.80989999999999995</v>
      </c>
      <c r="CG50" s="357">
        <v>0.82340000000000002</v>
      </c>
      <c r="CH50" s="357">
        <v>0.82750000000000001</v>
      </c>
      <c r="CI50" s="357">
        <v>0.81520000000000004</v>
      </c>
      <c r="CJ50" s="726" t="s">
        <v>403</v>
      </c>
      <c r="CK50" s="626">
        <v>75</v>
      </c>
      <c r="CL50" s="626">
        <v>75</v>
      </c>
      <c r="CM50" s="626">
        <v>0.82479999999999998</v>
      </c>
      <c r="CN50" s="626">
        <v>0.7913</v>
      </c>
      <c r="CO50" s="626">
        <v>0.79710000000000003</v>
      </c>
      <c r="CP50" s="626">
        <v>0.81689999999999996</v>
      </c>
      <c r="CQ50" s="626">
        <v>0.84319999999999995</v>
      </c>
      <c r="CR50" s="721">
        <v>0.81030000000000002</v>
      </c>
      <c r="CS50" s="569" t="s">
        <v>403</v>
      </c>
      <c r="CT50" s="569">
        <v>74</v>
      </c>
      <c r="CU50" s="569">
        <v>74</v>
      </c>
      <c r="CV50" s="590">
        <v>0.83299999999999996</v>
      </c>
      <c r="CW50" s="590">
        <v>0.79090000000000005</v>
      </c>
      <c r="CX50" s="590">
        <v>0.79569999999999996</v>
      </c>
      <c r="CY50" s="590">
        <v>0.82150000000000001</v>
      </c>
      <c r="CZ50" s="590">
        <v>0.84709999999999996</v>
      </c>
      <c r="DA50" s="590">
        <v>0.81310000000000004</v>
      </c>
    </row>
    <row r="51" spans="1:105" x14ac:dyDescent="0.25">
      <c r="A51" s="36" t="s">
        <v>42</v>
      </c>
      <c r="B51" s="134" t="s">
        <v>41</v>
      </c>
      <c r="C51" s="134" t="s">
        <v>567</v>
      </c>
      <c r="D51" s="134" t="s">
        <v>417</v>
      </c>
      <c r="E51" s="134" t="s">
        <v>787</v>
      </c>
      <c r="F51" s="134" t="s">
        <v>221</v>
      </c>
      <c r="G51" s="165" t="s">
        <v>405</v>
      </c>
      <c r="H51" s="166">
        <v>85</v>
      </c>
      <c r="I51" s="166">
        <v>85</v>
      </c>
      <c r="J51" s="166">
        <v>0.69740000000000002</v>
      </c>
      <c r="K51" s="166">
        <v>0.72060000000000002</v>
      </c>
      <c r="L51" s="166">
        <v>0.70820000000000005</v>
      </c>
      <c r="M51" s="166">
        <v>0.71179999999999999</v>
      </c>
      <c r="N51" s="166">
        <v>0.67600000000000005</v>
      </c>
      <c r="O51" s="166">
        <v>0.70699999999999996</v>
      </c>
      <c r="P51" s="173" t="s">
        <v>405</v>
      </c>
      <c r="Q51" s="174" t="s">
        <v>600</v>
      </c>
      <c r="R51" s="174" t="s">
        <v>600</v>
      </c>
      <c r="S51" s="174">
        <v>0.6986</v>
      </c>
      <c r="T51" s="174">
        <v>0.72540000000000004</v>
      </c>
      <c r="U51" s="174">
        <v>0.70420000000000005</v>
      </c>
      <c r="V51" s="174">
        <v>0.70950000000000002</v>
      </c>
      <c r="W51" s="174">
        <v>0.69589999999999996</v>
      </c>
      <c r="X51" s="174">
        <v>0.70840000000000003</v>
      </c>
      <c r="Y51" s="145" t="s">
        <v>404</v>
      </c>
      <c r="Z51" s="134" t="s">
        <v>600</v>
      </c>
      <c r="AA51" s="134" t="s">
        <v>580</v>
      </c>
      <c r="AB51" s="137">
        <v>0.71930000000000005</v>
      </c>
      <c r="AC51" s="137">
        <v>0.73250000000000004</v>
      </c>
      <c r="AD51" s="137">
        <v>0.73080000000000001</v>
      </c>
      <c r="AE51" s="137">
        <v>0.73060000000000003</v>
      </c>
      <c r="AF51" s="137">
        <v>0.71479999999999999</v>
      </c>
      <c r="AG51" s="137">
        <v>0.72729999999999995</v>
      </c>
      <c r="AH51" s="158" t="s">
        <v>404</v>
      </c>
      <c r="AI51" s="134" t="s">
        <v>580</v>
      </c>
      <c r="AJ51" s="134" t="s">
        <v>581</v>
      </c>
      <c r="AK51" s="137">
        <v>0.73329999999999995</v>
      </c>
      <c r="AL51" s="137">
        <v>0.74150000000000005</v>
      </c>
      <c r="AM51" s="137">
        <v>0.74570000000000003</v>
      </c>
      <c r="AN51" s="137">
        <v>0.75470000000000004</v>
      </c>
      <c r="AO51" s="137">
        <v>0.73470000000000002</v>
      </c>
      <c r="AP51" s="137">
        <v>0.74309999999999998</v>
      </c>
      <c r="AQ51" s="150" t="s">
        <v>404</v>
      </c>
      <c r="AR51" s="134" t="s">
        <v>445</v>
      </c>
      <c r="AS51" s="134" t="s">
        <v>446</v>
      </c>
      <c r="AT51" s="137">
        <v>0.73660000000000003</v>
      </c>
      <c r="AU51" s="137">
        <v>0.7238</v>
      </c>
      <c r="AV51" s="137">
        <v>0.74609999999999999</v>
      </c>
      <c r="AW51" s="137">
        <v>0.76459999999999995</v>
      </c>
      <c r="AX51" s="137">
        <v>0.71360000000000001</v>
      </c>
      <c r="AY51" s="137">
        <v>0.74050000000000005</v>
      </c>
      <c r="AZ51" s="145" t="s">
        <v>404</v>
      </c>
      <c r="BA51" s="134" t="s">
        <v>446</v>
      </c>
      <c r="BB51" s="134" t="s">
        <v>663</v>
      </c>
      <c r="BC51" s="137">
        <v>0.73550000000000004</v>
      </c>
      <c r="BD51" s="137">
        <v>0.71450000000000002</v>
      </c>
      <c r="BE51" s="137">
        <v>0.73460000000000003</v>
      </c>
      <c r="BF51" s="137">
        <v>0.76359999999999995</v>
      </c>
      <c r="BG51" s="137">
        <v>0.71260000000000001</v>
      </c>
      <c r="BH51" s="137">
        <v>0.73519999999999996</v>
      </c>
      <c r="BI51" s="149" t="s">
        <v>404</v>
      </c>
      <c r="BJ51" s="152">
        <v>92</v>
      </c>
      <c r="BK51" s="152">
        <v>88</v>
      </c>
      <c r="BL51" s="137">
        <v>0.74790000000000001</v>
      </c>
      <c r="BM51" s="137">
        <v>0.70899999999999996</v>
      </c>
      <c r="BN51" s="137">
        <v>0.73560000000000003</v>
      </c>
      <c r="BO51" s="137">
        <v>0.76129999999999998</v>
      </c>
      <c r="BP51" s="137">
        <v>0.70089999999999997</v>
      </c>
      <c r="BQ51" s="137">
        <v>0.73560000000000003</v>
      </c>
      <c r="BR51" s="707" t="s">
        <v>404</v>
      </c>
      <c r="BS51" s="272">
        <v>101</v>
      </c>
      <c r="BT51" s="272">
        <v>100</v>
      </c>
      <c r="BU51" s="272">
        <v>0.75780000000000003</v>
      </c>
      <c r="BV51" s="272">
        <v>0.7147</v>
      </c>
      <c r="BW51" s="272">
        <v>0.72960000000000003</v>
      </c>
      <c r="BX51" s="272">
        <v>0.75639999999999996</v>
      </c>
      <c r="BY51" s="272">
        <v>0.7077</v>
      </c>
      <c r="BZ51" s="272">
        <v>0.73719999999999997</v>
      </c>
      <c r="CA51" s="710" t="s">
        <v>404</v>
      </c>
      <c r="CB51" s="682" t="s">
        <v>609</v>
      </c>
      <c r="CC51" s="682" t="s">
        <v>609</v>
      </c>
      <c r="CD51" s="682">
        <v>0.77159999999999995</v>
      </c>
      <c r="CE51" s="682">
        <v>0.73150000000000004</v>
      </c>
      <c r="CF51" s="682">
        <v>0.73870000000000002</v>
      </c>
      <c r="CG51" s="682">
        <v>0.76539999999999997</v>
      </c>
      <c r="CH51" s="682">
        <v>0.71779999999999999</v>
      </c>
      <c r="CI51" s="682">
        <v>0.74919999999999998</v>
      </c>
      <c r="CJ51" s="713" t="s">
        <v>404</v>
      </c>
      <c r="CK51" s="626">
        <v>110</v>
      </c>
      <c r="CL51" s="626">
        <v>109</v>
      </c>
      <c r="CM51" s="626">
        <v>0.78220000000000001</v>
      </c>
      <c r="CN51" s="626">
        <v>0.73650000000000004</v>
      </c>
      <c r="CO51" s="626">
        <v>0.74129999999999996</v>
      </c>
      <c r="CP51" s="626">
        <v>0.77190000000000003</v>
      </c>
      <c r="CQ51" s="626">
        <v>0.72799999999999998</v>
      </c>
      <c r="CR51" s="721">
        <v>0.75570000000000004</v>
      </c>
      <c r="CS51" s="569" t="s">
        <v>403</v>
      </c>
      <c r="CT51" s="569">
        <v>98</v>
      </c>
      <c r="CU51" s="569">
        <v>96</v>
      </c>
      <c r="CV51" s="590">
        <v>0.78910000000000002</v>
      </c>
      <c r="CW51" s="590">
        <v>0.75309999999999999</v>
      </c>
      <c r="CX51" s="590">
        <v>0.7611</v>
      </c>
      <c r="CY51" s="590">
        <v>0.79</v>
      </c>
      <c r="CZ51" s="590">
        <v>0.73850000000000005</v>
      </c>
      <c r="DA51" s="590">
        <v>0.77059999999999995</v>
      </c>
    </row>
    <row r="52" spans="1:105" ht="15" x14ac:dyDescent="0.25">
      <c r="A52" s="126" t="s">
        <v>924</v>
      </c>
      <c r="B52" s="134" t="s">
        <v>923</v>
      </c>
      <c r="C52" s="134" t="s">
        <v>567</v>
      </c>
      <c r="D52" s="134" t="s">
        <v>417</v>
      </c>
      <c r="E52" s="134"/>
      <c r="F52" s="134" t="s">
        <v>221</v>
      </c>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366" t="s">
        <v>404</v>
      </c>
      <c r="CB52" s="357" t="s">
        <v>662</v>
      </c>
      <c r="CC52" s="357" t="s">
        <v>662</v>
      </c>
      <c r="CD52" s="357">
        <v>0.75439999999999996</v>
      </c>
      <c r="CE52" s="357">
        <v>0.71319999999999995</v>
      </c>
      <c r="CF52" s="357">
        <v>0.71909999999999996</v>
      </c>
      <c r="CG52" s="357">
        <v>0.7621</v>
      </c>
      <c r="CH52" s="357">
        <v>0.81169999999999998</v>
      </c>
      <c r="CI52" s="357">
        <v>0.7429</v>
      </c>
      <c r="CJ52" s="714" t="s">
        <v>405</v>
      </c>
      <c r="CK52" s="626">
        <v>34</v>
      </c>
      <c r="CL52" s="626">
        <v>34</v>
      </c>
      <c r="CM52" s="626">
        <v>0.71530000000000005</v>
      </c>
      <c r="CN52" s="626">
        <v>0.67449999999999999</v>
      </c>
      <c r="CO52" s="626">
        <v>0.64839999999999998</v>
      </c>
      <c r="CP52" s="626">
        <v>0.70879999999999999</v>
      </c>
      <c r="CQ52" s="626">
        <v>0.75019999999999998</v>
      </c>
      <c r="CR52" s="721">
        <v>0.69159999999999999</v>
      </c>
      <c r="CS52" s="569" t="s">
        <v>405</v>
      </c>
      <c r="CT52" s="569">
        <v>54</v>
      </c>
      <c r="CU52" s="569">
        <v>54</v>
      </c>
      <c r="CV52" s="590">
        <v>0.71879999999999999</v>
      </c>
      <c r="CW52" s="590">
        <v>0.67710000000000004</v>
      </c>
      <c r="CX52" s="590">
        <v>0.6663</v>
      </c>
      <c r="CY52" s="590">
        <v>0.72740000000000005</v>
      </c>
      <c r="CZ52" s="590">
        <v>0.75229999999999997</v>
      </c>
      <c r="DA52" s="590">
        <v>0.7016</v>
      </c>
    </row>
    <row r="53" spans="1:105" x14ac:dyDescent="0.25">
      <c r="A53" s="126" t="s">
        <v>1099</v>
      </c>
      <c r="B53" s="806">
        <v>325754004927</v>
      </c>
      <c r="C53" s="134" t="s">
        <v>567</v>
      </c>
      <c r="D53" s="134" t="s">
        <v>417</v>
      </c>
      <c r="E53" s="134" t="s">
        <v>787</v>
      </c>
      <c r="F53" s="134" t="s">
        <v>221</v>
      </c>
      <c r="G53" s="134"/>
      <c r="H53" s="134"/>
      <c r="I53" s="134"/>
      <c r="J53" s="134"/>
      <c r="K53" s="134"/>
      <c r="L53" s="134"/>
      <c r="M53" s="134"/>
      <c r="N53" s="134"/>
      <c r="O53" s="134"/>
      <c r="P53" s="169" t="s">
        <v>557</v>
      </c>
      <c r="Q53" s="166" t="s">
        <v>561</v>
      </c>
      <c r="R53" s="166" t="s">
        <v>562</v>
      </c>
      <c r="S53" s="166">
        <v>0.54900000000000004</v>
      </c>
      <c r="T53" s="166">
        <v>0.61070000000000002</v>
      </c>
      <c r="U53" s="166">
        <v>0.59619999999999995</v>
      </c>
      <c r="V53" s="166">
        <v>0.61829999999999996</v>
      </c>
      <c r="W53" s="166">
        <v>0.64639999999999997</v>
      </c>
      <c r="X53" s="166">
        <v>0.59760000000000002</v>
      </c>
      <c r="Y53" s="143" t="s">
        <v>557</v>
      </c>
      <c r="Z53" s="134" t="s">
        <v>561</v>
      </c>
      <c r="AA53" s="134" t="s">
        <v>562</v>
      </c>
      <c r="AB53" s="137">
        <v>0.54900000000000004</v>
      </c>
      <c r="AC53" s="137">
        <v>0.61070000000000002</v>
      </c>
      <c r="AD53" s="137">
        <v>0.59619999999999995</v>
      </c>
      <c r="AE53" s="137">
        <v>0.61829999999999996</v>
      </c>
      <c r="AF53" s="137">
        <v>0.64639999999999997</v>
      </c>
      <c r="AG53" s="137">
        <v>0.59760000000000002</v>
      </c>
      <c r="AH53" s="157" t="s">
        <v>557</v>
      </c>
      <c r="AI53" s="134" t="s">
        <v>561</v>
      </c>
      <c r="AJ53" s="134" t="s">
        <v>562</v>
      </c>
      <c r="AK53" s="137">
        <v>0.54900000000000004</v>
      </c>
      <c r="AL53" s="137">
        <v>0.61070000000000002</v>
      </c>
      <c r="AM53" s="137">
        <v>0.59619999999999995</v>
      </c>
      <c r="AN53" s="137">
        <v>0.61829999999999996</v>
      </c>
      <c r="AO53" s="137">
        <v>0.64639999999999997</v>
      </c>
      <c r="AP53" s="137">
        <v>0.59760000000000002</v>
      </c>
      <c r="AQ53" s="144" t="s">
        <v>557</v>
      </c>
      <c r="AR53" s="134" t="s">
        <v>561</v>
      </c>
      <c r="AS53" s="134" t="s">
        <v>562</v>
      </c>
      <c r="AT53" s="137">
        <v>0.54900000000000004</v>
      </c>
      <c r="AU53" s="137">
        <v>0.61070000000000002</v>
      </c>
      <c r="AV53" s="137">
        <v>0.59619999999999995</v>
      </c>
      <c r="AW53" s="137">
        <v>0.61829999999999996</v>
      </c>
      <c r="AX53" s="137">
        <v>0.64639999999999997</v>
      </c>
      <c r="AY53" s="137">
        <v>0.59760000000000002</v>
      </c>
      <c r="AZ53" s="143" t="s">
        <v>557</v>
      </c>
      <c r="BA53" s="134" t="s">
        <v>561</v>
      </c>
      <c r="BB53" s="134" t="s">
        <v>562</v>
      </c>
      <c r="BC53" s="137">
        <v>0.54900000000000004</v>
      </c>
      <c r="BD53" s="137">
        <v>0.61070000000000002</v>
      </c>
      <c r="BE53" s="137">
        <v>0.59619999999999995</v>
      </c>
      <c r="BF53" s="137">
        <v>0.61829999999999996</v>
      </c>
      <c r="BG53" s="137">
        <v>0.64639999999999997</v>
      </c>
      <c r="BH53" s="137">
        <v>0.59760000000000002</v>
      </c>
      <c r="BI53" s="151" t="s">
        <v>557</v>
      </c>
      <c r="BJ53" s="152">
        <v>12</v>
      </c>
      <c r="BK53" s="152">
        <v>11</v>
      </c>
      <c r="BL53" s="137">
        <v>0.54900000000000004</v>
      </c>
      <c r="BM53" s="137">
        <v>0.61070000000000002</v>
      </c>
      <c r="BN53" s="137">
        <v>0.59619999999999995</v>
      </c>
      <c r="BO53" s="137">
        <v>0.61829999999999996</v>
      </c>
      <c r="BP53" s="137">
        <v>0.64639999999999997</v>
      </c>
      <c r="BQ53" s="137">
        <v>0.59760000000000002</v>
      </c>
      <c r="BR53" s="134"/>
      <c r="BS53" s="134"/>
      <c r="BT53" s="134"/>
      <c r="BU53" s="134"/>
      <c r="BV53" s="134"/>
      <c r="BW53" s="134"/>
      <c r="BX53" s="134"/>
      <c r="BY53" s="134"/>
      <c r="BZ53" s="134"/>
      <c r="CA53" s="134"/>
      <c r="CB53" s="134"/>
      <c r="CC53" s="134"/>
      <c r="CD53" s="134"/>
      <c r="CE53" s="134"/>
      <c r="CF53" s="134"/>
      <c r="CG53" s="134"/>
      <c r="CH53" s="134"/>
      <c r="CI53" s="134"/>
      <c r="CJ53" s="724"/>
      <c r="CK53" s="624"/>
      <c r="CL53" s="624"/>
      <c r="CM53" s="624"/>
      <c r="CN53" s="624"/>
      <c r="CO53" s="624"/>
      <c r="CP53" s="624"/>
      <c r="CQ53" s="624"/>
      <c r="CR53" s="628"/>
      <c r="CS53" s="568"/>
      <c r="CT53" s="587"/>
      <c r="CU53" s="587"/>
      <c r="CV53" s="591"/>
      <c r="CW53" s="591"/>
      <c r="CX53" s="591"/>
      <c r="CY53" s="591"/>
      <c r="CZ53" s="591"/>
      <c r="DA53" s="591"/>
    </row>
    <row r="54" spans="1:105" x14ac:dyDescent="0.25">
      <c r="A54" s="36" t="s">
        <v>108</v>
      </c>
      <c r="B54" s="134" t="s">
        <v>107</v>
      </c>
      <c r="C54" s="134" t="s">
        <v>567</v>
      </c>
      <c r="D54" s="134" t="s">
        <v>417</v>
      </c>
      <c r="E54" s="134" t="s">
        <v>787</v>
      </c>
      <c r="F54" s="134" t="s">
        <v>221</v>
      </c>
      <c r="G54" s="168" t="s">
        <v>404</v>
      </c>
      <c r="H54" s="166">
        <v>55</v>
      </c>
      <c r="I54" s="166">
        <v>54</v>
      </c>
      <c r="J54" s="166">
        <v>0.70179999999999998</v>
      </c>
      <c r="K54" s="166">
        <v>0.71609999999999996</v>
      </c>
      <c r="L54" s="166">
        <v>0.73980000000000001</v>
      </c>
      <c r="M54" s="166">
        <v>0.75060000000000004</v>
      </c>
      <c r="N54" s="166">
        <v>0.72260000000000002</v>
      </c>
      <c r="O54" s="166">
        <v>0.72670000000000001</v>
      </c>
      <c r="P54" s="173" t="s">
        <v>405</v>
      </c>
      <c r="Q54" s="174" t="s">
        <v>418</v>
      </c>
      <c r="R54" s="174" t="s">
        <v>569</v>
      </c>
      <c r="S54" s="174">
        <v>0.70760000000000001</v>
      </c>
      <c r="T54" s="174">
        <v>0.71279999999999999</v>
      </c>
      <c r="U54" s="174">
        <v>0.72319999999999995</v>
      </c>
      <c r="V54" s="174">
        <v>0.73019999999999996</v>
      </c>
      <c r="W54" s="174">
        <v>0.72040000000000004</v>
      </c>
      <c r="X54" s="174">
        <v>0.71860000000000002</v>
      </c>
      <c r="Y54" s="145" t="s">
        <v>404</v>
      </c>
      <c r="Z54" s="134" t="s">
        <v>607</v>
      </c>
      <c r="AA54" s="134" t="s">
        <v>480</v>
      </c>
      <c r="AB54" s="137">
        <v>0.71079999999999999</v>
      </c>
      <c r="AC54" s="137">
        <v>0.73839999999999995</v>
      </c>
      <c r="AD54" s="137">
        <v>0.74770000000000003</v>
      </c>
      <c r="AE54" s="137">
        <v>0.74199999999999999</v>
      </c>
      <c r="AF54" s="137">
        <v>0.72970000000000002</v>
      </c>
      <c r="AG54" s="137">
        <v>0.73429999999999995</v>
      </c>
      <c r="AH54" s="159" t="s">
        <v>405</v>
      </c>
      <c r="AI54" s="134" t="s">
        <v>545</v>
      </c>
      <c r="AJ54" s="134" t="s">
        <v>464</v>
      </c>
      <c r="AK54" s="137">
        <v>0.68879999999999997</v>
      </c>
      <c r="AL54" s="137">
        <v>0.70650000000000002</v>
      </c>
      <c r="AM54" s="137">
        <v>0.7097</v>
      </c>
      <c r="AN54" s="137">
        <v>0.72509999999999997</v>
      </c>
      <c r="AO54" s="137">
        <v>0.71809999999999996</v>
      </c>
      <c r="AP54" s="137">
        <v>0.70830000000000004</v>
      </c>
      <c r="AQ54" s="139" t="s">
        <v>405</v>
      </c>
      <c r="AR54" s="134" t="s">
        <v>480</v>
      </c>
      <c r="AS54" s="134" t="s">
        <v>481</v>
      </c>
      <c r="AT54" s="137">
        <v>0.68820000000000003</v>
      </c>
      <c r="AU54" s="137">
        <v>0.70089999999999997</v>
      </c>
      <c r="AV54" s="137">
        <v>0.70240000000000002</v>
      </c>
      <c r="AW54" s="137">
        <v>0.74239999999999995</v>
      </c>
      <c r="AX54" s="137">
        <v>0.73409999999999997</v>
      </c>
      <c r="AY54" s="137">
        <v>0.71050000000000002</v>
      </c>
      <c r="AZ54" s="138" t="s">
        <v>405</v>
      </c>
      <c r="BA54" s="134" t="s">
        <v>607</v>
      </c>
      <c r="BB54" s="134" t="s">
        <v>480</v>
      </c>
      <c r="BC54" s="137">
        <v>0.69799999999999995</v>
      </c>
      <c r="BD54" s="137">
        <v>0.68889999999999996</v>
      </c>
      <c r="BE54" s="137">
        <v>0.68740000000000001</v>
      </c>
      <c r="BF54" s="137">
        <v>0.74280000000000002</v>
      </c>
      <c r="BG54" s="137">
        <v>0.73229999999999995</v>
      </c>
      <c r="BH54" s="137">
        <v>0.70640000000000003</v>
      </c>
      <c r="BI54" s="135" t="s">
        <v>405</v>
      </c>
      <c r="BJ54" s="152">
        <v>46</v>
      </c>
      <c r="BK54" s="152">
        <v>46</v>
      </c>
      <c r="BL54" s="137">
        <v>0.71789999999999998</v>
      </c>
      <c r="BM54" s="137">
        <v>0.69940000000000002</v>
      </c>
      <c r="BN54" s="137">
        <v>0.70309999999999995</v>
      </c>
      <c r="BO54" s="137">
        <v>0.745</v>
      </c>
      <c r="BP54" s="137">
        <v>0.71340000000000003</v>
      </c>
      <c r="BQ54" s="137">
        <v>0.71619999999999995</v>
      </c>
      <c r="BR54" s="279" t="s">
        <v>405</v>
      </c>
      <c r="BS54" s="272">
        <v>48</v>
      </c>
      <c r="BT54" s="272">
        <v>48</v>
      </c>
      <c r="BU54" s="272">
        <v>0.72309999999999997</v>
      </c>
      <c r="BV54" s="272">
        <v>0.70350000000000001</v>
      </c>
      <c r="BW54" s="272">
        <v>0.69330000000000003</v>
      </c>
      <c r="BX54" s="272">
        <v>0.73529999999999995</v>
      </c>
      <c r="BY54" s="272">
        <v>0.71379999999999999</v>
      </c>
      <c r="BZ54" s="272">
        <v>0.71379999999999999</v>
      </c>
      <c r="CA54" s="358" t="s">
        <v>405</v>
      </c>
      <c r="CB54" s="357" t="s">
        <v>478</v>
      </c>
      <c r="CC54" s="357" t="s">
        <v>478</v>
      </c>
      <c r="CD54" s="357">
        <v>0.70240000000000002</v>
      </c>
      <c r="CE54" s="357">
        <v>0.67259999999999998</v>
      </c>
      <c r="CF54" s="357">
        <v>0.67200000000000004</v>
      </c>
      <c r="CG54" s="357">
        <v>0.71799999999999997</v>
      </c>
      <c r="CH54" s="357">
        <v>0.6986</v>
      </c>
      <c r="CI54" s="357">
        <v>0.69179999999999997</v>
      </c>
      <c r="CJ54" s="724"/>
      <c r="CK54" s="624"/>
      <c r="CL54" s="624"/>
      <c r="CM54" s="624"/>
      <c r="CN54" s="624"/>
      <c r="CO54" s="624"/>
      <c r="CP54" s="624"/>
      <c r="CQ54" s="624"/>
      <c r="CR54" s="628"/>
      <c r="CS54" s="568"/>
      <c r="CT54" s="587"/>
      <c r="CU54" s="587"/>
      <c r="CV54" s="591"/>
      <c r="CW54" s="591"/>
      <c r="CX54" s="591"/>
      <c r="CY54" s="591"/>
      <c r="CZ54" s="591"/>
      <c r="DA54" s="591"/>
    </row>
    <row r="55" spans="1:105" ht="15" x14ac:dyDescent="0.25">
      <c r="A55" s="126" t="s">
        <v>1081</v>
      </c>
      <c r="B55" s="134" t="s">
        <v>1083</v>
      </c>
      <c r="C55" s="134" t="s">
        <v>567</v>
      </c>
      <c r="D55" s="134" t="s">
        <v>417</v>
      </c>
      <c r="E55" s="134" t="s">
        <v>787</v>
      </c>
      <c r="F55" s="134" t="s">
        <v>221</v>
      </c>
      <c r="G55" s="166"/>
      <c r="H55" s="166"/>
      <c r="I55" s="166"/>
      <c r="J55" s="166"/>
      <c r="K55" s="166"/>
      <c r="L55" s="166"/>
      <c r="M55" s="166"/>
      <c r="N55" s="166"/>
      <c r="O55" s="166"/>
      <c r="P55" s="174"/>
      <c r="Q55" s="174"/>
      <c r="R55" s="174"/>
      <c r="S55" s="174"/>
      <c r="T55" s="174"/>
      <c r="U55" s="174"/>
      <c r="V55" s="174"/>
      <c r="W55" s="174"/>
      <c r="X55" s="174"/>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706"/>
      <c r="BS55" s="272"/>
      <c r="BT55" s="272"/>
      <c r="BU55" s="272"/>
      <c r="BV55" s="272"/>
      <c r="BW55" s="272"/>
      <c r="BX55" s="272"/>
      <c r="BY55" s="272"/>
      <c r="BZ55" s="272"/>
      <c r="CA55" s="348"/>
      <c r="CB55" s="348"/>
      <c r="CC55" s="348"/>
      <c r="CD55" s="348"/>
      <c r="CE55" s="348"/>
      <c r="CF55" s="348"/>
      <c r="CG55" s="348"/>
      <c r="CH55" s="348"/>
      <c r="CI55" s="348"/>
      <c r="CJ55" s="722"/>
      <c r="CK55" s="626"/>
      <c r="CL55" s="626"/>
      <c r="CM55" s="626"/>
      <c r="CN55" s="626"/>
      <c r="CO55" s="626"/>
      <c r="CP55" s="626"/>
      <c r="CQ55" s="626"/>
      <c r="CR55" s="626"/>
      <c r="CS55" s="569" t="s">
        <v>541</v>
      </c>
      <c r="CT55" s="569">
        <v>9</v>
      </c>
      <c r="CU55" s="569">
        <v>9</v>
      </c>
      <c r="CV55" s="590">
        <v>0.65159999999999996</v>
      </c>
      <c r="CW55" s="590">
        <v>0.61460000000000004</v>
      </c>
      <c r="CX55" s="590">
        <v>0.6008</v>
      </c>
      <c r="CY55" s="590">
        <v>0.68479999999999996</v>
      </c>
      <c r="CZ55" s="590">
        <v>0.65400000000000003</v>
      </c>
      <c r="DA55" s="590">
        <v>0.63919999999999999</v>
      </c>
    </row>
    <row r="56" spans="1:105" x14ac:dyDescent="0.25">
      <c r="A56" s="324" t="s">
        <v>38</v>
      </c>
      <c r="B56" s="133" t="s">
        <v>37</v>
      </c>
      <c r="C56" s="134" t="s">
        <v>567</v>
      </c>
      <c r="D56" s="134" t="s">
        <v>417</v>
      </c>
      <c r="E56" s="346" t="s">
        <v>787</v>
      </c>
      <c r="F56" s="134" t="s">
        <v>221</v>
      </c>
      <c r="G56" s="361" t="s">
        <v>405</v>
      </c>
      <c r="H56" s="348">
        <v>93</v>
      </c>
      <c r="I56" s="348">
        <v>92</v>
      </c>
      <c r="J56" s="348">
        <v>0.70230000000000004</v>
      </c>
      <c r="K56" s="348">
        <v>0.71340000000000003</v>
      </c>
      <c r="L56" s="348">
        <v>0.70009999999999994</v>
      </c>
      <c r="M56" s="348">
        <v>0.70540000000000003</v>
      </c>
      <c r="N56" s="348">
        <v>0.6895</v>
      </c>
      <c r="O56" s="348">
        <v>0.70409999999999995</v>
      </c>
      <c r="P56" s="686" t="s">
        <v>405</v>
      </c>
      <c r="Q56" s="348" t="s">
        <v>599</v>
      </c>
      <c r="R56" s="348" t="s">
        <v>472</v>
      </c>
      <c r="S56" s="348">
        <v>0.71550000000000002</v>
      </c>
      <c r="T56" s="348">
        <v>0.71960000000000002</v>
      </c>
      <c r="U56" s="348">
        <v>0.71750000000000003</v>
      </c>
      <c r="V56" s="348">
        <v>0.70760000000000001</v>
      </c>
      <c r="W56" s="348">
        <v>0.6946</v>
      </c>
      <c r="X56" s="348">
        <v>0.71350000000000002</v>
      </c>
      <c r="Y56" s="365" t="s">
        <v>404</v>
      </c>
      <c r="Z56" s="346" t="s">
        <v>523</v>
      </c>
      <c r="AA56" s="346" t="s">
        <v>599</v>
      </c>
      <c r="AB56" s="350">
        <v>0.72760000000000002</v>
      </c>
      <c r="AC56" s="350">
        <v>0.74470000000000003</v>
      </c>
      <c r="AD56" s="350">
        <v>0.72770000000000001</v>
      </c>
      <c r="AE56" s="350">
        <v>0.72450000000000003</v>
      </c>
      <c r="AF56" s="350">
        <v>0.71619999999999995</v>
      </c>
      <c r="AG56" s="350">
        <v>0.73</v>
      </c>
      <c r="AH56" s="368" t="s">
        <v>405</v>
      </c>
      <c r="AI56" s="346" t="s">
        <v>555</v>
      </c>
      <c r="AJ56" s="346" t="s">
        <v>599</v>
      </c>
      <c r="AK56" s="350">
        <v>0.70699999999999996</v>
      </c>
      <c r="AL56" s="350">
        <v>0.73780000000000001</v>
      </c>
      <c r="AM56" s="350">
        <v>0.71530000000000005</v>
      </c>
      <c r="AN56" s="350">
        <v>0.72089999999999999</v>
      </c>
      <c r="AO56" s="350">
        <v>0.70909999999999995</v>
      </c>
      <c r="AP56" s="350">
        <v>0.71940000000000004</v>
      </c>
      <c r="AQ56" s="369" t="s">
        <v>405</v>
      </c>
      <c r="AR56" s="346" t="s">
        <v>451</v>
      </c>
      <c r="AS56" s="346" t="s">
        <v>475</v>
      </c>
      <c r="AT56" s="350">
        <v>0.7087</v>
      </c>
      <c r="AU56" s="350">
        <v>0.72650000000000003</v>
      </c>
      <c r="AV56" s="350">
        <v>0.69510000000000005</v>
      </c>
      <c r="AW56" s="350">
        <v>0.73670000000000002</v>
      </c>
      <c r="AX56" s="350">
        <v>0.70920000000000005</v>
      </c>
      <c r="AY56" s="350">
        <v>0.71619999999999995</v>
      </c>
      <c r="AZ56" s="362" t="s">
        <v>405</v>
      </c>
      <c r="BA56" s="346" t="s">
        <v>714</v>
      </c>
      <c r="BB56" s="346" t="s">
        <v>714</v>
      </c>
      <c r="BC56" s="350">
        <v>0.71719999999999995</v>
      </c>
      <c r="BD56" s="350">
        <v>0.69930000000000003</v>
      </c>
      <c r="BE56" s="350">
        <v>0.67449999999999999</v>
      </c>
      <c r="BF56" s="350">
        <v>0.73719999999999997</v>
      </c>
      <c r="BG56" s="350">
        <v>0.71479999999999999</v>
      </c>
      <c r="BH56" s="350">
        <v>0.70760000000000001</v>
      </c>
      <c r="BI56" s="370" t="s">
        <v>405</v>
      </c>
      <c r="BJ56" s="354">
        <v>179</v>
      </c>
      <c r="BK56" s="354">
        <v>178</v>
      </c>
      <c r="BL56" s="350">
        <v>0.72130000000000005</v>
      </c>
      <c r="BM56" s="350">
        <v>0.67520000000000002</v>
      </c>
      <c r="BN56" s="350">
        <v>0.67669999999999997</v>
      </c>
      <c r="BO56" s="350">
        <v>0.74</v>
      </c>
      <c r="BP56" s="350">
        <v>0.68410000000000004</v>
      </c>
      <c r="BQ56" s="350">
        <v>0.70179999999999998</v>
      </c>
      <c r="BR56" s="371" t="s">
        <v>405</v>
      </c>
      <c r="BS56" s="348">
        <v>201</v>
      </c>
      <c r="BT56" s="348">
        <v>201</v>
      </c>
      <c r="BU56" s="348">
        <v>0.71240000000000003</v>
      </c>
      <c r="BV56" s="348">
        <v>0.66469999999999996</v>
      </c>
      <c r="BW56" s="348">
        <v>0.66710000000000003</v>
      </c>
      <c r="BX56" s="348">
        <v>0.73570000000000002</v>
      </c>
      <c r="BY56" s="348">
        <v>0.68259999999999998</v>
      </c>
      <c r="BZ56" s="348">
        <v>0.69399999999999995</v>
      </c>
      <c r="CA56" s="358" t="s">
        <v>405</v>
      </c>
      <c r="CB56" s="357" t="s">
        <v>453</v>
      </c>
      <c r="CC56" s="357" t="s">
        <v>944</v>
      </c>
      <c r="CD56" s="357">
        <v>0.70020000000000004</v>
      </c>
      <c r="CE56" s="357">
        <v>0.65769999999999995</v>
      </c>
      <c r="CF56" s="357">
        <v>0.6583</v>
      </c>
      <c r="CG56" s="357">
        <v>0.73040000000000005</v>
      </c>
      <c r="CH56" s="357">
        <v>0.67679999999999996</v>
      </c>
      <c r="CI56" s="357">
        <v>0.68589999999999995</v>
      </c>
      <c r="CJ56" s="714" t="s">
        <v>405</v>
      </c>
      <c r="CK56" s="626">
        <v>225</v>
      </c>
      <c r="CL56" s="626">
        <v>222</v>
      </c>
      <c r="CM56" s="626">
        <v>0.69699999999999995</v>
      </c>
      <c r="CN56" s="626">
        <v>0.66679999999999995</v>
      </c>
      <c r="CO56" s="626">
        <v>0.66420000000000001</v>
      </c>
      <c r="CP56" s="626">
        <v>0.73299999999999998</v>
      </c>
      <c r="CQ56" s="626">
        <v>0.70520000000000005</v>
      </c>
      <c r="CR56" s="721">
        <v>0.69140000000000001</v>
      </c>
      <c r="CS56" s="569" t="s">
        <v>405</v>
      </c>
      <c r="CT56" s="569">
        <v>210</v>
      </c>
      <c r="CU56" s="569">
        <v>207</v>
      </c>
      <c r="CV56" s="590">
        <v>0.69830000000000003</v>
      </c>
      <c r="CW56" s="590">
        <v>0.66910000000000003</v>
      </c>
      <c r="CX56" s="590">
        <v>0.67069999999999996</v>
      </c>
      <c r="CY56" s="590">
        <v>0.73850000000000005</v>
      </c>
      <c r="CZ56" s="590">
        <v>0.70430000000000004</v>
      </c>
      <c r="DA56" s="590">
        <v>0.69489999999999996</v>
      </c>
    </row>
    <row r="57" spans="1:105" x14ac:dyDescent="0.25">
      <c r="A57" s="36" t="s">
        <v>183</v>
      </c>
      <c r="B57" s="133" t="s">
        <v>182</v>
      </c>
      <c r="C57" s="134" t="s">
        <v>567</v>
      </c>
      <c r="D57" s="134" t="s">
        <v>417</v>
      </c>
      <c r="E57" s="134" t="s">
        <v>787</v>
      </c>
      <c r="F57" s="134" t="s">
        <v>221</v>
      </c>
      <c r="G57" s="681" t="s">
        <v>405</v>
      </c>
      <c r="H57" s="272">
        <v>22</v>
      </c>
      <c r="I57" s="272">
        <v>22</v>
      </c>
      <c r="J57" s="272">
        <v>0.65939999999999999</v>
      </c>
      <c r="K57" s="272">
        <v>0.69030000000000002</v>
      </c>
      <c r="L57" s="272">
        <v>0.68240000000000001</v>
      </c>
      <c r="M57" s="272">
        <v>0.68679999999999997</v>
      </c>
      <c r="N57" s="272">
        <v>0.67210000000000003</v>
      </c>
      <c r="O57" s="272">
        <v>0.67910000000000004</v>
      </c>
      <c r="P57" s="685" t="s">
        <v>405</v>
      </c>
      <c r="Q57" s="272" t="s">
        <v>481</v>
      </c>
      <c r="R57" s="272" t="s">
        <v>551</v>
      </c>
      <c r="S57" s="272">
        <v>0.65239999999999998</v>
      </c>
      <c r="T57" s="272">
        <v>0.68520000000000003</v>
      </c>
      <c r="U57" s="272">
        <v>0.67459999999999998</v>
      </c>
      <c r="V57" s="272">
        <v>0.66779999999999995</v>
      </c>
      <c r="W57" s="272">
        <v>0.67300000000000004</v>
      </c>
      <c r="X57" s="272">
        <v>0.67020000000000002</v>
      </c>
      <c r="Y57" s="688" t="s">
        <v>405</v>
      </c>
      <c r="Z57" s="271" t="s">
        <v>658</v>
      </c>
      <c r="AA57" s="271" t="s">
        <v>463</v>
      </c>
      <c r="AB57" s="273">
        <v>0.68110000000000004</v>
      </c>
      <c r="AC57" s="273">
        <v>0.71870000000000001</v>
      </c>
      <c r="AD57" s="273">
        <v>0.69679999999999997</v>
      </c>
      <c r="AE57" s="273">
        <v>0.69440000000000002</v>
      </c>
      <c r="AF57" s="273">
        <v>0.71409999999999996</v>
      </c>
      <c r="AG57" s="273">
        <v>0.69899999999999995</v>
      </c>
      <c r="AH57" s="275" t="s">
        <v>405</v>
      </c>
      <c r="AI57" s="271" t="s">
        <v>424</v>
      </c>
      <c r="AJ57" s="271" t="s">
        <v>575</v>
      </c>
      <c r="AK57" s="273">
        <v>0.68030000000000002</v>
      </c>
      <c r="AL57" s="273">
        <v>0.70979999999999999</v>
      </c>
      <c r="AM57" s="273">
        <v>0.68430000000000002</v>
      </c>
      <c r="AN57" s="273">
        <v>0.69910000000000005</v>
      </c>
      <c r="AO57" s="273">
        <v>0.69599999999999995</v>
      </c>
      <c r="AP57" s="273">
        <v>0.69359999999999999</v>
      </c>
      <c r="AQ57" s="276" t="s">
        <v>405</v>
      </c>
      <c r="AR57" s="271" t="s">
        <v>485</v>
      </c>
      <c r="AS57" s="271" t="s">
        <v>485</v>
      </c>
      <c r="AT57" s="273">
        <v>0.69079999999999997</v>
      </c>
      <c r="AU57" s="273">
        <v>0.71460000000000001</v>
      </c>
      <c r="AV57" s="273">
        <v>0.69099999999999995</v>
      </c>
      <c r="AW57" s="273">
        <v>0.72840000000000005</v>
      </c>
      <c r="AX57" s="273">
        <v>0.7077</v>
      </c>
      <c r="AY57" s="273">
        <v>0.70630000000000004</v>
      </c>
      <c r="AZ57" s="688" t="s">
        <v>405</v>
      </c>
      <c r="BA57" s="271" t="s">
        <v>634</v>
      </c>
      <c r="BB57" s="271" t="s">
        <v>596</v>
      </c>
      <c r="BC57" s="273">
        <v>0.67359999999999998</v>
      </c>
      <c r="BD57" s="273">
        <v>0.69330000000000003</v>
      </c>
      <c r="BE57" s="273">
        <v>0.66820000000000002</v>
      </c>
      <c r="BF57" s="273">
        <v>0.72440000000000004</v>
      </c>
      <c r="BG57" s="273">
        <v>0.68920000000000003</v>
      </c>
      <c r="BH57" s="273">
        <v>0.68979999999999997</v>
      </c>
      <c r="BI57" s="702" t="s">
        <v>405</v>
      </c>
      <c r="BJ57" s="274">
        <v>61</v>
      </c>
      <c r="BK57" s="274">
        <v>56</v>
      </c>
      <c r="BL57" s="273">
        <v>0.67879999999999996</v>
      </c>
      <c r="BM57" s="273">
        <v>0.69799999999999995</v>
      </c>
      <c r="BN57" s="273">
        <v>0.67869999999999997</v>
      </c>
      <c r="BO57" s="273">
        <v>0.7298</v>
      </c>
      <c r="BP57" s="273">
        <v>0.71819999999999995</v>
      </c>
      <c r="BQ57" s="273">
        <v>0.69799999999999995</v>
      </c>
      <c r="BR57" s="279" t="s">
        <v>405</v>
      </c>
      <c r="BS57" s="272">
        <v>70</v>
      </c>
      <c r="BT57" s="272">
        <v>70</v>
      </c>
      <c r="BU57" s="272">
        <v>0.69179999999999997</v>
      </c>
      <c r="BV57" s="272">
        <v>0.7026</v>
      </c>
      <c r="BW57" s="272">
        <v>0.67989999999999995</v>
      </c>
      <c r="BX57" s="272">
        <v>0.73399999999999999</v>
      </c>
      <c r="BY57" s="272">
        <v>0.74580000000000002</v>
      </c>
      <c r="BZ57" s="272">
        <v>0.70540000000000003</v>
      </c>
      <c r="CA57" s="358" t="s">
        <v>405</v>
      </c>
      <c r="CB57" s="357" t="s">
        <v>424</v>
      </c>
      <c r="CC57" s="357" t="s">
        <v>424</v>
      </c>
      <c r="CD57" s="357">
        <v>0.69479999999999997</v>
      </c>
      <c r="CE57" s="357">
        <v>0.69720000000000004</v>
      </c>
      <c r="CF57" s="357">
        <v>0.68579999999999997</v>
      </c>
      <c r="CG57" s="357">
        <v>0.73470000000000002</v>
      </c>
      <c r="CH57" s="357">
        <v>0.74099999999999999</v>
      </c>
      <c r="CI57" s="357">
        <v>0.70599999999999996</v>
      </c>
      <c r="CJ57" s="725" t="s">
        <v>405</v>
      </c>
      <c r="CK57" s="626">
        <v>61</v>
      </c>
      <c r="CL57" s="626">
        <v>61</v>
      </c>
      <c r="CM57" s="626">
        <v>0.6784</v>
      </c>
      <c r="CN57" s="626">
        <v>0.68230000000000002</v>
      </c>
      <c r="CO57" s="626">
        <v>0.66910000000000003</v>
      </c>
      <c r="CP57" s="626">
        <v>0.72330000000000005</v>
      </c>
      <c r="CQ57" s="626">
        <v>0.72840000000000005</v>
      </c>
      <c r="CR57" s="721">
        <v>0.69140000000000001</v>
      </c>
      <c r="CS57" s="569" t="s">
        <v>405</v>
      </c>
      <c r="CT57" s="569">
        <v>50</v>
      </c>
      <c r="CU57" s="569">
        <v>50</v>
      </c>
      <c r="CV57" s="590">
        <v>0.67989999999999995</v>
      </c>
      <c r="CW57" s="590">
        <v>0.67169999999999996</v>
      </c>
      <c r="CX57" s="590">
        <v>0.66610000000000003</v>
      </c>
      <c r="CY57" s="590">
        <v>0.72970000000000002</v>
      </c>
      <c r="CZ57" s="590">
        <v>0.72340000000000004</v>
      </c>
      <c r="DA57" s="590">
        <v>0.68969999999999998</v>
      </c>
    </row>
    <row r="58" spans="1:105" x14ac:dyDescent="0.25">
      <c r="A58" s="36" t="s">
        <v>110</v>
      </c>
      <c r="B58" s="806">
        <v>325754000046</v>
      </c>
      <c r="C58" s="134" t="s">
        <v>567</v>
      </c>
      <c r="D58" s="134" t="s">
        <v>417</v>
      </c>
      <c r="E58" s="134" t="s">
        <v>787</v>
      </c>
      <c r="F58" s="134" t="s">
        <v>221</v>
      </c>
      <c r="G58" s="168" t="s">
        <v>404</v>
      </c>
      <c r="H58" s="166">
        <v>230</v>
      </c>
      <c r="I58" s="166">
        <v>229</v>
      </c>
      <c r="J58" s="166">
        <v>0.74780000000000002</v>
      </c>
      <c r="K58" s="166">
        <v>0.76190000000000002</v>
      </c>
      <c r="L58" s="166">
        <v>0.77129999999999999</v>
      </c>
      <c r="M58" s="166">
        <v>0.78200000000000003</v>
      </c>
      <c r="N58" s="166">
        <v>0.79630000000000001</v>
      </c>
      <c r="O58" s="166">
        <v>0.7681</v>
      </c>
      <c r="P58" s="633" t="s">
        <v>404</v>
      </c>
      <c r="Q58" s="166" t="s">
        <v>611</v>
      </c>
      <c r="R58" s="166" t="s">
        <v>538</v>
      </c>
      <c r="S58" s="166">
        <v>0.74709999999999999</v>
      </c>
      <c r="T58" s="166">
        <v>0.76359999999999995</v>
      </c>
      <c r="U58" s="166">
        <v>0.76729999999999998</v>
      </c>
      <c r="V58" s="166">
        <v>0.76680000000000004</v>
      </c>
      <c r="W58" s="166">
        <v>0.80800000000000005</v>
      </c>
      <c r="X58" s="166">
        <v>0.76480000000000004</v>
      </c>
      <c r="Y58" s="147" t="s">
        <v>403</v>
      </c>
      <c r="Z58" s="134" t="s">
        <v>643</v>
      </c>
      <c r="AA58" s="134" t="s">
        <v>644</v>
      </c>
      <c r="AB58" s="137">
        <v>0.75690000000000002</v>
      </c>
      <c r="AC58" s="137">
        <v>0.77439999999999998</v>
      </c>
      <c r="AD58" s="137">
        <v>0.76819999999999999</v>
      </c>
      <c r="AE58" s="137">
        <v>0.7742</v>
      </c>
      <c r="AF58" s="137">
        <v>0.83020000000000005</v>
      </c>
      <c r="AG58" s="137">
        <v>0.7732</v>
      </c>
      <c r="AH58" s="160" t="s">
        <v>403</v>
      </c>
      <c r="AI58" s="134" t="s">
        <v>570</v>
      </c>
      <c r="AJ58" s="134" t="s">
        <v>482</v>
      </c>
      <c r="AK58" s="137">
        <v>0.76180000000000003</v>
      </c>
      <c r="AL58" s="137">
        <v>0.77459999999999996</v>
      </c>
      <c r="AM58" s="137">
        <v>0.76600000000000001</v>
      </c>
      <c r="AN58" s="137">
        <v>0.77569999999999995</v>
      </c>
      <c r="AO58" s="137">
        <v>0.83120000000000005</v>
      </c>
      <c r="AP58" s="137">
        <v>0.77429999999999999</v>
      </c>
      <c r="AQ58" s="148" t="s">
        <v>403</v>
      </c>
      <c r="AR58" s="134" t="s">
        <v>425</v>
      </c>
      <c r="AS58" s="134" t="s">
        <v>426</v>
      </c>
      <c r="AT58" s="137">
        <v>0.7661</v>
      </c>
      <c r="AU58" s="137">
        <v>0.77439999999999998</v>
      </c>
      <c r="AV58" s="137">
        <v>0.76390000000000002</v>
      </c>
      <c r="AW58" s="137">
        <v>0.79290000000000005</v>
      </c>
      <c r="AX58" s="137">
        <v>0.83099999999999996</v>
      </c>
      <c r="AY58" s="137">
        <v>0.77869999999999995</v>
      </c>
      <c r="AZ58" s="147" t="s">
        <v>403</v>
      </c>
      <c r="BA58" s="134" t="s">
        <v>467</v>
      </c>
      <c r="BB58" s="134" t="s">
        <v>597</v>
      </c>
      <c r="BC58" s="137">
        <v>0.77190000000000003</v>
      </c>
      <c r="BD58" s="137">
        <v>0.76700000000000002</v>
      </c>
      <c r="BE58" s="137">
        <v>0.76129999999999998</v>
      </c>
      <c r="BF58" s="137">
        <v>0.79349999999999998</v>
      </c>
      <c r="BG58" s="137">
        <v>0.82869999999999999</v>
      </c>
      <c r="BH58" s="137">
        <v>0.77769999999999995</v>
      </c>
      <c r="BI58" s="146" t="s">
        <v>403</v>
      </c>
      <c r="BJ58" s="152">
        <v>135</v>
      </c>
      <c r="BK58" s="152">
        <v>131</v>
      </c>
      <c r="BL58" s="137">
        <v>0.79320000000000002</v>
      </c>
      <c r="BM58" s="137">
        <v>0.76600000000000001</v>
      </c>
      <c r="BN58" s="137">
        <v>0.77239999999999998</v>
      </c>
      <c r="BO58" s="137">
        <v>0.79710000000000003</v>
      </c>
      <c r="BP58" s="137">
        <v>0.83240000000000003</v>
      </c>
      <c r="BQ58" s="137">
        <v>0.78600000000000003</v>
      </c>
      <c r="BR58" s="708" t="s">
        <v>403</v>
      </c>
      <c r="BS58" s="272">
        <v>120</v>
      </c>
      <c r="BT58" s="272">
        <v>120</v>
      </c>
      <c r="BU58" s="272">
        <v>0.80100000000000005</v>
      </c>
      <c r="BV58" s="272">
        <v>0.77259999999999995</v>
      </c>
      <c r="BW58" s="272">
        <v>0.77680000000000005</v>
      </c>
      <c r="BX58" s="272">
        <v>0.80689999999999995</v>
      </c>
      <c r="BY58" s="272">
        <v>0.84370000000000001</v>
      </c>
      <c r="BZ58" s="272">
        <v>0.79349999999999998</v>
      </c>
      <c r="CA58" s="712" t="s">
        <v>403</v>
      </c>
      <c r="CB58" s="682" t="s">
        <v>599</v>
      </c>
      <c r="CC58" s="682" t="s">
        <v>599</v>
      </c>
      <c r="CD58" s="682">
        <v>0.80510000000000004</v>
      </c>
      <c r="CE58" s="682">
        <v>0.77580000000000005</v>
      </c>
      <c r="CF58" s="682">
        <v>0.78339999999999999</v>
      </c>
      <c r="CG58" s="682">
        <v>0.81740000000000002</v>
      </c>
      <c r="CH58" s="682">
        <v>0.84899999999999998</v>
      </c>
      <c r="CI58" s="682">
        <v>0.79949999999999999</v>
      </c>
      <c r="CJ58" s="641" t="s">
        <v>403</v>
      </c>
      <c r="CK58" s="626">
        <v>78</v>
      </c>
      <c r="CL58" s="626">
        <v>78</v>
      </c>
      <c r="CM58" s="626">
        <v>0.80430000000000001</v>
      </c>
      <c r="CN58" s="626">
        <v>0.7843</v>
      </c>
      <c r="CO58" s="626">
        <v>0.78820000000000001</v>
      </c>
      <c r="CP58" s="626">
        <v>0.82899999999999996</v>
      </c>
      <c r="CQ58" s="626">
        <v>0.8659</v>
      </c>
      <c r="CR58" s="721">
        <v>0.80640000000000001</v>
      </c>
      <c r="CS58" s="569" t="s">
        <v>403</v>
      </c>
      <c r="CT58" s="569">
        <v>68</v>
      </c>
      <c r="CU58" s="569">
        <v>68</v>
      </c>
      <c r="CV58" s="590">
        <v>0.82310000000000005</v>
      </c>
      <c r="CW58" s="590">
        <v>0.81040000000000001</v>
      </c>
      <c r="CX58" s="590">
        <v>0.8044</v>
      </c>
      <c r="CY58" s="590">
        <v>0.83899999999999997</v>
      </c>
      <c r="CZ58" s="590">
        <v>0.88109999999999999</v>
      </c>
      <c r="DA58" s="590">
        <v>0.82399999999999995</v>
      </c>
    </row>
    <row r="59" spans="1:105" x14ac:dyDescent="0.25">
      <c r="A59" s="126" t="s">
        <v>926</v>
      </c>
      <c r="B59" s="134" t="s">
        <v>925</v>
      </c>
      <c r="C59" s="134" t="s">
        <v>567</v>
      </c>
      <c r="D59" s="134" t="s">
        <v>417</v>
      </c>
      <c r="E59" s="134"/>
      <c r="F59" s="134" t="s">
        <v>221</v>
      </c>
      <c r="G59" s="168"/>
      <c r="H59" s="166"/>
      <c r="I59" s="166"/>
      <c r="J59" s="166"/>
      <c r="K59" s="166"/>
      <c r="L59" s="166"/>
      <c r="M59" s="166"/>
      <c r="N59" s="166"/>
      <c r="O59" s="166"/>
      <c r="P59" s="177"/>
      <c r="Q59" s="174"/>
      <c r="R59" s="174"/>
      <c r="S59" s="174"/>
      <c r="T59" s="174"/>
      <c r="U59" s="174"/>
      <c r="V59" s="174"/>
      <c r="W59" s="174"/>
      <c r="X59" s="174"/>
      <c r="Y59" s="147"/>
      <c r="Z59" s="134"/>
      <c r="AA59" s="134"/>
      <c r="AB59" s="137"/>
      <c r="AC59" s="137"/>
      <c r="AD59" s="137"/>
      <c r="AE59" s="137"/>
      <c r="AF59" s="137"/>
      <c r="AG59" s="137"/>
      <c r="AH59" s="160"/>
      <c r="AI59" s="134"/>
      <c r="AJ59" s="134"/>
      <c r="AK59" s="137"/>
      <c r="AL59" s="137"/>
      <c r="AM59" s="137"/>
      <c r="AN59" s="137"/>
      <c r="AO59" s="137"/>
      <c r="AP59" s="137"/>
      <c r="AQ59" s="148"/>
      <c r="AR59" s="134"/>
      <c r="AS59" s="134"/>
      <c r="AT59" s="137"/>
      <c r="AU59" s="137"/>
      <c r="AV59" s="137"/>
      <c r="AW59" s="137"/>
      <c r="AX59" s="137"/>
      <c r="AY59" s="137"/>
      <c r="AZ59" s="147"/>
      <c r="BA59" s="134"/>
      <c r="BB59" s="134"/>
      <c r="BC59" s="137"/>
      <c r="BD59" s="137"/>
      <c r="BE59" s="137"/>
      <c r="BF59" s="137"/>
      <c r="BG59" s="137"/>
      <c r="BH59" s="137"/>
      <c r="BI59" s="146"/>
      <c r="BJ59" s="152"/>
      <c r="BK59" s="152"/>
      <c r="BL59" s="137"/>
      <c r="BM59" s="137"/>
      <c r="BN59" s="137"/>
      <c r="BO59" s="137"/>
      <c r="BP59" s="137"/>
      <c r="BQ59" s="137"/>
      <c r="BR59" s="282"/>
      <c r="BS59" s="272"/>
      <c r="BT59" s="272"/>
      <c r="BU59" s="272"/>
      <c r="BV59" s="272"/>
      <c r="BW59" s="272"/>
      <c r="BX59" s="272"/>
      <c r="BY59" s="272"/>
      <c r="BZ59" s="272"/>
      <c r="CA59" s="356" t="s">
        <v>557</v>
      </c>
      <c r="CB59" s="357" t="s">
        <v>491</v>
      </c>
      <c r="CC59" s="357" t="s">
        <v>489</v>
      </c>
      <c r="CD59" s="357">
        <v>0.57450000000000001</v>
      </c>
      <c r="CE59" s="357">
        <v>0.55610000000000004</v>
      </c>
      <c r="CF59" s="357">
        <v>0.5746</v>
      </c>
      <c r="CG59" s="357">
        <v>0.63500000000000001</v>
      </c>
      <c r="CH59" s="357">
        <v>0.60980000000000001</v>
      </c>
      <c r="CI59" s="357">
        <v>0.58699999999999997</v>
      </c>
      <c r="CJ59" s="724"/>
      <c r="CK59" s="624"/>
      <c r="CL59" s="624"/>
      <c r="CM59" s="624"/>
      <c r="CN59" s="624"/>
      <c r="CO59" s="624"/>
      <c r="CP59" s="624"/>
      <c r="CQ59" s="624"/>
      <c r="CR59" s="628"/>
      <c r="CS59" s="568"/>
      <c r="CT59" s="587"/>
      <c r="CU59" s="587"/>
      <c r="CV59" s="591"/>
      <c r="CW59" s="591"/>
      <c r="CX59" s="591"/>
      <c r="CY59" s="591"/>
      <c r="CZ59" s="591"/>
      <c r="DA59" s="591"/>
    </row>
    <row r="60" spans="1:105" x14ac:dyDescent="0.25">
      <c r="A60" s="36" t="s">
        <v>266</v>
      </c>
      <c r="B60" s="166" t="s">
        <v>276</v>
      </c>
      <c r="C60" s="134" t="s">
        <v>567</v>
      </c>
      <c r="D60" s="134" t="s">
        <v>417</v>
      </c>
      <c r="E60" s="134" t="s">
        <v>787</v>
      </c>
      <c r="F60" s="134" t="s">
        <v>221</v>
      </c>
      <c r="G60" s="168"/>
      <c r="H60" s="166"/>
      <c r="I60" s="166"/>
      <c r="J60" s="166"/>
      <c r="K60" s="166"/>
      <c r="L60" s="166"/>
      <c r="M60" s="166"/>
      <c r="N60" s="166"/>
      <c r="O60" s="166"/>
      <c r="P60" s="177"/>
      <c r="Q60" s="174"/>
      <c r="R60" s="174"/>
      <c r="S60" s="174"/>
      <c r="T60" s="174"/>
      <c r="U60" s="174"/>
      <c r="V60" s="174"/>
      <c r="W60" s="174"/>
      <c r="X60" s="174"/>
      <c r="Y60" s="147"/>
      <c r="Z60" s="134"/>
      <c r="AA60" s="134"/>
      <c r="AB60" s="137"/>
      <c r="AC60" s="137"/>
      <c r="AD60" s="137"/>
      <c r="AE60" s="137"/>
      <c r="AF60" s="137"/>
      <c r="AG60" s="137"/>
      <c r="AH60" s="160"/>
      <c r="AI60" s="134"/>
      <c r="AJ60" s="134"/>
      <c r="AK60" s="137"/>
      <c r="AL60" s="137"/>
      <c r="AM60" s="137"/>
      <c r="AN60" s="137"/>
      <c r="AO60" s="137"/>
      <c r="AP60" s="137"/>
      <c r="AQ60" s="148"/>
      <c r="AR60" s="134"/>
      <c r="AS60" s="134"/>
      <c r="AT60" s="137"/>
      <c r="AU60" s="137"/>
      <c r="AV60" s="137"/>
      <c r="AW60" s="137"/>
      <c r="AX60" s="137"/>
      <c r="AY60" s="137"/>
      <c r="AZ60" s="147"/>
      <c r="BA60" s="134"/>
      <c r="BB60" s="134"/>
      <c r="BC60" s="137"/>
      <c r="BD60" s="137"/>
      <c r="BE60" s="137"/>
      <c r="BF60" s="137"/>
      <c r="BG60" s="137"/>
      <c r="BH60" s="137"/>
      <c r="BI60" s="146"/>
      <c r="BJ60" s="152"/>
      <c r="BK60" s="152"/>
      <c r="BL60" s="137"/>
      <c r="BM60" s="137"/>
      <c r="BN60" s="137"/>
      <c r="BO60" s="137"/>
      <c r="BP60" s="137"/>
      <c r="BQ60" s="137"/>
      <c r="BR60" s="283" t="s">
        <v>404</v>
      </c>
      <c r="BS60" s="272">
        <v>18</v>
      </c>
      <c r="BT60" s="272">
        <v>17</v>
      </c>
      <c r="BU60" s="272">
        <v>0.79590000000000005</v>
      </c>
      <c r="BV60" s="272">
        <v>0.72340000000000004</v>
      </c>
      <c r="BW60" s="272">
        <v>0.71299999999999997</v>
      </c>
      <c r="BX60" s="272">
        <v>0.78559999999999997</v>
      </c>
      <c r="BY60" s="272">
        <v>0.73550000000000004</v>
      </c>
      <c r="BZ60" s="272">
        <v>0.753</v>
      </c>
      <c r="CA60" s="360" t="s">
        <v>403</v>
      </c>
      <c r="CB60" s="357" t="s">
        <v>552</v>
      </c>
      <c r="CC60" s="357" t="s">
        <v>444</v>
      </c>
      <c r="CD60" s="357">
        <v>0.78449999999999998</v>
      </c>
      <c r="CE60" s="357">
        <v>0.74299999999999999</v>
      </c>
      <c r="CF60" s="357">
        <v>0.75890000000000002</v>
      </c>
      <c r="CG60" s="357">
        <v>0.8075</v>
      </c>
      <c r="CH60" s="357">
        <v>0.80879999999999996</v>
      </c>
      <c r="CI60" s="357">
        <v>0.7762</v>
      </c>
      <c r="CJ60" s="726" t="s">
        <v>403</v>
      </c>
      <c r="CK60" s="626">
        <v>37</v>
      </c>
      <c r="CL60" s="626">
        <v>37</v>
      </c>
      <c r="CM60" s="626">
        <v>0.78739999999999999</v>
      </c>
      <c r="CN60" s="626">
        <v>0.76639999999999997</v>
      </c>
      <c r="CO60" s="626">
        <v>0.77259999999999995</v>
      </c>
      <c r="CP60" s="626">
        <v>0.8165</v>
      </c>
      <c r="CQ60" s="626">
        <v>0.84340000000000004</v>
      </c>
      <c r="CR60" s="721">
        <v>0.79020000000000001</v>
      </c>
      <c r="CS60" s="569" t="s">
        <v>403</v>
      </c>
      <c r="CT60" s="569">
        <v>46</v>
      </c>
      <c r="CU60" s="569">
        <v>46</v>
      </c>
      <c r="CV60" s="590">
        <v>0.77939999999999998</v>
      </c>
      <c r="CW60" s="590">
        <v>0.7732</v>
      </c>
      <c r="CX60" s="590">
        <v>0.7712</v>
      </c>
      <c r="CY60" s="590">
        <v>0.81310000000000004</v>
      </c>
      <c r="CZ60" s="590">
        <v>0.8448</v>
      </c>
      <c r="DA60" s="590">
        <v>0.78890000000000005</v>
      </c>
    </row>
    <row r="61" spans="1:105" x14ac:dyDescent="0.25">
      <c r="A61" s="36" t="s">
        <v>232</v>
      </c>
      <c r="B61" s="134" t="s">
        <v>234</v>
      </c>
      <c r="C61" s="134" t="s">
        <v>567</v>
      </c>
      <c r="D61" s="134" t="s">
        <v>417</v>
      </c>
      <c r="E61" s="134" t="s">
        <v>787</v>
      </c>
      <c r="F61" s="134" t="s">
        <v>221</v>
      </c>
      <c r="G61" s="134"/>
      <c r="H61" s="134"/>
      <c r="I61" s="134"/>
      <c r="J61" s="134"/>
      <c r="K61" s="134"/>
      <c r="L61" s="134"/>
      <c r="M61" s="134"/>
      <c r="N61" s="134"/>
      <c r="O61" s="134"/>
      <c r="P61" s="568"/>
      <c r="Q61" s="568"/>
      <c r="R61" s="568"/>
      <c r="S61" s="568"/>
      <c r="T61" s="568"/>
      <c r="U61" s="568"/>
      <c r="V61" s="568"/>
      <c r="W61" s="568"/>
      <c r="X61" s="568"/>
      <c r="Y61" s="134"/>
      <c r="Z61" s="134"/>
      <c r="AA61" s="134"/>
      <c r="AB61" s="137"/>
      <c r="AC61" s="137"/>
      <c r="AD61" s="137"/>
      <c r="AE61" s="137"/>
      <c r="AF61" s="137"/>
      <c r="AG61" s="137"/>
      <c r="AH61" s="156"/>
      <c r="AI61" s="134"/>
      <c r="AJ61" s="134"/>
      <c r="AK61" s="137"/>
      <c r="AL61" s="137"/>
      <c r="AM61" s="137"/>
      <c r="AN61" s="137"/>
      <c r="AO61" s="137"/>
      <c r="AP61" s="137"/>
      <c r="AQ61" s="134"/>
      <c r="AR61" s="134"/>
      <c r="AS61" s="134"/>
      <c r="AT61" s="137"/>
      <c r="AU61" s="137"/>
      <c r="AV61" s="137"/>
      <c r="AW61" s="137"/>
      <c r="AX61" s="137"/>
      <c r="AY61" s="137"/>
      <c r="AZ61" s="143" t="s">
        <v>557</v>
      </c>
      <c r="BA61" s="134" t="s">
        <v>662</v>
      </c>
      <c r="BB61" s="134" t="s">
        <v>561</v>
      </c>
      <c r="BC61" s="137">
        <v>0.61040000000000005</v>
      </c>
      <c r="BD61" s="137">
        <v>0.60529999999999995</v>
      </c>
      <c r="BE61" s="137">
        <v>0.57220000000000004</v>
      </c>
      <c r="BF61" s="137">
        <v>0.68520000000000003</v>
      </c>
      <c r="BG61" s="137">
        <v>0.61180000000000001</v>
      </c>
      <c r="BH61" s="137">
        <v>0.61780000000000002</v>
      </c>
      <c r="BI61" s="151" t="s">
        <v>557</v>
      </c>
      <c r="BJ61" s="152">
        <v>14</v>
      </c>
      <c r="BK61" s="152">
        <v>12</v>
      </c>
      <c r="BL61" s="137">
        <v>0.61040000000000005</v>
      </c>
      <c r="BM61" s="137">
        <v>0.60529999999999995</v>
      </c>
      <c r="BN61" s="137">
        <v>0.57220000000000004</v>
      </c>
      <c r="BO61" s="137">
        <v>0.68520000000000003</v>
      </c>
      <c r="BP61" s="137">
        <v>0.61180000000000001</v>
      </c>
      <c r="BQ61" s="137">
        <v>0.61780000000000002</v>
      </c>
      <c r="BR61" s="639"/>
      <c r="BS61" s="271"/>
      <c r="BT61" s="271"/>
      <c r="BU61" s="271"/>
      <c r="BV61" s="271"/>
      <c r="BW61" s="271"/>
      <c r="BX61" s="271"/>
      <c r="BY61" s="271"/>
      <c r="BZ61" s="271"/>
      <c r="CA61" s="346"/>
      <c r="CB61" s="346"/>
      <c r="CC61" s="346"/>
      <c r="CD61" s="346"/>
      <c r="CE61" s="346"/>
      <c r="CF61" s="346"/>
      <c r="CG61" s="346"/>
      <c r="CH61" s="346"/>
      <c r="CI61" s="346"/>
      <c r="CJ61" s="724"/>
      <c r="CK61" s="624"/>
      <c r="CL61" s="624"/>
      <c r="CM61" s="624"/>
      <c r="CN61" s="624"/>
      <c r="CO61" s="624"/>
      <c r="CP61" s="624"/>
      <c r="CQ61" s="624"/>
      <c r="CR61" s="628"/>
      <c r="CS61" s="568"/>
      <c r="CT61" s="587"/>
      <c r="CU61" s="587"/>
      <c r="CV61" s="591"/>
      <c r="CW61" s="591"/>
      <c r="CX61" s="591"/>
      <c r="CY61" s="591"/>
      <c r="CZ61" s="591"/>
      <c r="DA61" s="591"/>
    </row>
    <row r="62" spans="1:105" x14ac:dyDescent="0.25">
      <c r="A62" s="36" t="s">
        <v>153</v>
      </c>
      <c r="B62" s="134" t="s">
        <v>152</v>
      </c>
      <c r="C62" s="134" t="s">
        <v>567</v>
      </c>
      <c r="D62" s="134" t="s">
        <v>417</v>
      </c>
      <c r="E62" s="134" t="s">
        <v>787</v>
      </c>
      <c r="F62" s="134" t="s">
        <v>221</v>
      </c>
      <c r="G62" s="168" t="s">
        <v>404</v>
      </c>
      <c r="H62" s="166">
        <v>92</v>
      </c>
      <c r="I62" s="166">
        <v>91</v>
      </c>
      <c r="J62" s="166">
        <v>0.72060000000000002</v>
      </c>
      <c r="K62" s="166">
        <v>0.73209999999999997</v>
      </c>
      <c r="L62" s="166">
        <v>0.72030000000000005</v>
      </c>
      <c r="M62" s="166">
        <v>0.72570000000000001</v>
      </c>
      <c r="N62" s="166">
        <v>0.71730000000000005</v>
      </c>
      <c r="O62" s="166">
        <v>0.72409999999999997</v>
      </c>
      <c r="P62" s="173" t="s">
        <v>405</v>
      </c>
      <c r="Q62" s="174" t="s">
        <v>434</v>
      </c>
      <c r="R62" s="174" t="s">
        <v>446</v>
      </c>
      <c r="S62" s="174">
        <v>0.71240000000000003</v>
      </c>
      <c r="T62" s="174">
        <v>0.71279999999999999</v>
      </c>
      <c r="U62" s="174">
        <v>0.71109999999999995</v>
      </c>
      <c r="V62" s="174">
        <v>0.70430000000000004</v>
      </c>
      <c r="W62" s="174">
        <v>0.70660000000000001</v>
      </c>
      <c r="X62" s="174">
        <v>0.70989999999999998</v>
      </c>
      <c r="Y62" s="138" t="s">
        <v>405</v>
      </c>
      <c r="Z62" s="134" t="s">
        <v>638</v>
      </c>
      <c r="AA62" s="134" t="s">
        <v>448</v>
      </c>
      <c r="AB62" s="137">
        <v>0.72770000000000001</v>
      </c>
      <c r="AC62" s="137">
        <v>0.71540000000000004</v>
      </c>
      <c r="AD62" s="137">
        <v>0.7228</v>
      </c>
      <c r="AE62" s="137">
        <v>0.70589999999999997</v>
      </c>
      <c r="AF62" s="137">
        <v>0.71840000000000004</v>
      </c>
      <c r="AG62" s="137">
        <v>0.71799999999999997</v>
      </c>
      <c r="AH62" s="158" t="s">
        <v>404</v>
      </c>
      <c r="AI62" s="134" t="s">
        <v>447</v>
      </c>
      <c r="AJ62" s="134" t="s">
        <v>580</v>
      </c>
      <c r="AK62" s="137">
        <v>0.74560000000000004</v>
      </c>
      <c r="AL62" s="137">
        <v>0.72919999999999996</v>
      </c>
      <c r="AM62" s="137">
        <v>0.73360000000000003</v>
      </c>
      <c r="AN62" s="137">
        <v>0.72370000000000001</v>
      </c>
      <c r="AO62" s="137">
        <v>0.73350000000000004</v>
      </c>
      <c r="AP62" s="137">
        <v>0.73309999999999997</v>
      </c>
      <c r="AQ62" s="150" t="s">
        <v>404</v>
      </c>
      <c r="AR62" s="134" t="s">
        <v>447</v>
      </c>
      <c r="AS62" s="134" t="s">
        <v>448</v>
      </c>
      <c r="AT62" s="137">
        <v>0.75370000000000004</v>
      </c>
      <c r="AU62" s="137">
        <v>0.73160000000000003</v>
      </c>
      <c r="AV62" s="137">
        <v>0.72319999999999995</v>
      </c>
      <c r="AW62" s="137">
        <v>0.75180000000000002</v>
      </c>
      <c r="AX62" s="137">
        <v>0.74429999999999996</v>
      </c>
      <c r="AY62" s="137">
        <v>0.74039999999999995</v>
      </c>
      <c r="AZ62" s="145" t="s">
        <v>404</v>
      </c>
      <c r="BA62" s="134" t="s">
        <v>600</v>
      </c>
      <c r="BB62" s="134" t="s">
        <v>448</v>
      </c>
      <c r="BC62" s="137">
        <v>0.75009999999999999</v>
      </c>
      <c r="BD62" s="137">
        <v>0.72160000000000002</v>
      </c>
      <c r="BE62" s="137">
        <v>0.72260000000000002</v>
      </c>
      <c r="BF62" s="137">
        <v>0.76029999999999998</v>
      </c>
      <c r="BG62" s="137">
        <v>0.73319999999999996</v>
      </c>
      <c r="BH62" s="137">
        <v>0.73819999999999997</v>
      </c>
      <c r="BI62" s="149" t="s">
        <v>404</v>
      </c>
      <c r="BJ62" s="152">
        <v>95</v>
      </c>
      <c r="BK62" s="152">
        <v>93</v>
      </c>
      <c r="BL62" s="137">
        <v>0.73939999999999995</v>
      </c>
      <c r="BM62" s="137">
        <v>0.71379999999999999</v>
      </c>
      <c r="BN62" s="137">
        <v>0.72170000000000001</v>
      </c>
      <c r="BO62" s="137">
        <v>0.75890000000000002</v>
      </c>
      <c r="BP62" s="137">
        <v>0.71289999999999998</v>
      </c>
      <c r="BQ62" s="137">
        <v>0.7319</v>
      </c>
      <c r="BR62" s="283" t="s">
        <v>404</v>
      </c>
      <c r="BS62" s="272">
        <v>123</v>
      </c>
      <c r="BT62" s="272">
        <v>122</v>
      </c>
      <c r="BU62" s="272">
        <v>0.73099999999999998</v>
      </c>
      <c r="BV62" s="272">
        <v>0.70079999999999998</v>
      </c>
      <c r="BW62" s="272">
        <v>0.71340000000000003</v>
      </c>
      <c r="BX62" s="272">
        <v>0.75609999999999999</v>
      </c>
      <c r="BY62" s="272">
        <v>0.71930000000000005</v>
      </c>
      <c r="BZ62" s="272">
        <v>0.72489999999999999</v>
      </c>
      <c r="CA62" s="366" t="s">
        <v>404</v>
      </c>
      <c r="CB62" s="357" t="s">
        <v>792</v>
      </c>
      <c r="CC62" s="357" t="s">
        <v>669</v>
      </c>
      <c r="CD62" s="357">
        <v>0.72360000000000002</v>
      </c>
      <c r="CE62" s="357">
        <v>0.69750000000000001</v>
      </c>
      <c r="CF62" s="357">
        <v>0.70250000000000001</v>
      </c>
      <c r="CG62" s="357">
        <v>0.75609999999999999</v>
      </c>
      <c r="CH62" s="357">
        <v>0.72740000000000005</v>
      </c>
      <c r="CI62" s="357">
        <v>0.72050000000000003</v>
      </c>
      <c r="CJ62" s="727" t="s">
        <v>404</v>
      </c>
      <c r="CK62" s="626">
        <v>145</v>
      </c>
      <c r="CL62" s="626">
        <v>145</v>
      </c>
      <c r="CM62" s="626">
        <v>0.72919999999999996</v>
      </c>
      <c r="CN62" s="626">
        <v>0.69389999999999996</v>
      </c>
      <c r="CO62" s="626">
        <v>0.7026</v>
      </c>
      <c r="CP62" s="626">
        <v>0.76180000000000003</v>
      </c>
      <c r="CQ62" s="626">
        <v>0.73850000000000005</v>
      </c>
      <c r="CR62" s="721">
        <v>0.72319999999999995</v>
      </c>
      <c r="CS62" s="569" t="s">
        <v>404</v>
      </c>
      <c r="CT62" s="569">
        <v>122</v>
      </c>
      <c r="CU62" s="569">
        <v>122</v>
      </c>
      <c r="CV62" s="590">
        <v>0.73</v>
      </c>
      <c r="CW62" s="590">
        <v>0.69630000000000003</v>
      </c>
      <c r="CX62" s="590">
        <v>0.70550000000000002</v>
      </c>
      <c r="CY62" s="590">
        <v>0.76239999999999997</v>
      </c>
      <c r="CZ62" s="590">
        <v>0.7359</v>
      </c>
      <c r="DA62" s="590">
        <v>0.72450000000000003</v>
      </c>
    </row>
    <row r="63" spans="1:105" x14ac:dyDescent="0.25">
      <c r="A63" s="36" t="s">
        <v>136</v>
      </c>
      <c r="B63" s="134" t="s">
        <v>135</v>
      </c>
      <c r="C63" s="134" t="s">
        <v>567</v>
      </c>
      <c r="D63" s="134" t="s">
        <v>417</v>
      </c>
      <c r="E63" s="134" t="s">
        <v>787</v>
      </c>
      <c r="F63" s="134" t="s">
        <v>221</v>
      </c>
      <c r="G63" s="167" t="s">
        <v>541</v>
      </c>
      <c r="H63" s="166">
        <v>92</v>
      </c>
      <c r="I63" s="166">
        <v>91</v>
      </c>
      <c r="J63" s="166">
        <v>0.66810000000000003</v>
      </c>
      <c r="K63" s="166">
        <v>0.67020000000000002</v>
      </c>
      <c r="L63" s="166">
        <v>0.66790000000000005</v>
      </c>
      <c r="M63" s="166">
        <v>0.66390000000000005</v>
      </c>
      <c r="N63" s="166">
        <v>0.65039999999999998</v>
      </c>
      <c r="O63" s="166">
        <v>0.66620000000000001</v>
      </c>
      <c r="P63" s="175" t="s">
        <v>541</v>
      </c>
      <c r="Q63" s="174" t="s">
        <v>813</v>
      </c>
      <c r="R63" s="174" t="s">
        <v>499</v>
      </c>
      <c r="S63" s="174">
        <v>0.67049999999999998</v>
      </c>
      <c r="T63" s="174">
        <v>0.67769999999999997</v>
      </c>
      <c r="U63" s="174">
        <v>0.67030000000000001</v>
      </c>
      <c r="V63" s="174">
        <v>0.66449999999999998</v>
      </c>
      <c r="W63" s="174">
        <v>0.64829999999999999</v>
      </c>
      <c r="X63" s="166">
        <v>0.66900000000000004</v>
      </c>
      <c r="Y63" s="138" t="s">
        <v>405</v>
      </c>
      <c r="Z63" s="134" t="s">
        <v>446</v>
      </c>
      <c r="AA63" s="134" t="s">
        <v>511</v>
      </c>
      <c r="AB63" s="137">
        <v>0.66610000000000003</v>
      </c>
      <c r="AC63" s="137">
        <v>0.68020000000000003</v>
      </c>
      <c r="AD63" s="137">
        <v>0.66539999999999999</v>
      </c>
      <c r="AE63" s="137">
        <v>0.6704</v>
      </c>
      <c r="AF63" s="137">
        <v>0.66379999999999995</v>
      </c>
      <c r="AG63" s="137">
        <v>0.67</v>
      </c>
      <c r="AH63" s="159" t="s">
        <v>405</v>
      </c>
      <c r="AI63" s="134" t="s">
        <v>471</v>
      </c>
      <c r="AJ63" s="134" t="s">
        <v>472</v>
      </c>
      <c r="AK63" s="137">
        <v>0.68920000000000003</v>
      </c>
      <c r="AL63" s="137">
        <v>0.68589999999999995</v>
      </c>
      <c r="AM63" s="137">
        <v>0.67959999999999998</v>
      </c>
      <c r="AN63" s="137">
        <v>0.70609999999999995</v>
      </c>
      <c r="AO63" s="137">
        <v>0.66690000000000005</v>
      </c>
      <c r="AP63" s="137">
        <v>0.68840000000000001</v>
      </c>
      <c r="AQ63" s="139" t="s">
        <v>405</v>
      </c>
      <c r="AR63" s="134" t="s">
        <v>499</v>
      </c>
      <c r="AS63" s="134" t="s">
        <v>500</v>
      </c>
      <c r="AT63" s="137">
        <v>0.70040000000000002</v>
      </c>
      <c r="AU63" s="137">
        <v>0.69220000000000004</v>
      </c>
      <c r="AV63" s="137">
        <v>0.67910000000000004</v>
      </c>
      <c r="AW63" s="137">
        <v>0.72819999999999996</v>
      </c>
      <c r="AX63" s="137">
        <v>0.67</v>
      </c>
      <c r="AY63" s="137">
        <v>0.69769999999999999</v>
      </c>
      <c r="AZ63" s="138" t="s">
        <v>405</v>
      </c>
      <c r="BA63" s="134" t="s">
        <v>462</v>
      </c>
      <c r="BB63" s="134" t="s">
        <v>487</v>
      </c>
      <c r="BC63" s="137">
        <v>0.70620000000000005</v>
      </c>
      <c r="BD63" s="137">
        <v>0.67279999999999995</v>
      </c>
      <c r="BE63" s="137">
        <v>0.67349999999999999</v>
      </c>
      <c r="BF63" s="137">
        <v>0.73380000000000001</v>
      </c>
      <c r="BG63" s="137">
        <v>0.65880000000000005</v>
      </c>
      <c r="BH63" s="137">
        <v>0.69369999999999998</v>
      </c>
      <c r="BI63" s="135" t="s">
        <v>405</v>
      </c>
      <c r="BJ63" s="152">
        <v>127</v>
      </c>
      <c r="BK63" s="152">
        <v>124</v>
      </c>
      <c r="BL63" s="137">
        <v>0.7087</v>
      </c>
      <c r="BM63" s="137">
        <v>0.67120000000000002</v>
      </c>
      <c r="BN63" s="137">
        <v>0.67469999999999997</v>
      </c>
      <c r="BO63" s="137">
        <v>0.73129999999999995</v>
      </c>
      <c r="BP63" s="137">
        <v>0.65339999999999998</v>
      </c>
      <c r="BQ63" s="137">
        <v>0.69320000000000004</v>
      </c>
      <c r="BR63" s="279" t="s">
        <v>405</v>
      </c>
      <c r="BS63" s="272">
        <v>134</v>
      </c>
      <c r="BT63" s="272">
        <v>134</v>
      </c>
      <c r="BU63" s="272">
        <v>0.71330000000000005</v>
      </c>
      <c r="BV63" s="272">
        <v>0.67200000000000004</v>
      </c>
      <c r="BW63" s="272">
        <v>0.67390000000000005</v>
      </c>
      <c r="BX63" s="272">
        <v>0.73450000000000004</v>
      </c>
      <c r="BY63" s="272">
        <v>0.66610000000000003</v>
      </c>
      <c r="BZ63" s="272">
        <v>0.69589999999999996</v>
      </c>
      <c r="CA63" s="358" t="s">
        <v>405</v>
      </c>
      <c r="CB63" s="357" t="s">
        <v>794</v>
      </c>
      <c r="CC63" s="357" t="s">
        <v>794</v>
      </c>
      <c r="CD63" s="357">
        <v>0.72629999999999995</v>
      </c>
      <c r="CE63" s="357">
        <v>0.69920000000000004</v>
      </c>
      <c r="CF63" s="357">
        <v>0.69140000000000001</v>
      </c>
      <c r="CG63" s="357">
        <v>0.74850000000000005</v>
      </c>
      <c r="CH63" s="357">
        <v>0.68240000000000001</v>
      </c>
      <c r="CI63" s="357">
        <v>0.7137</v>
      </c>
      <c r="CJ63" s="725" t="s">
        <v>405</v>
      </c>
      <c r="CK63" s="626">
        <v>172</v>
      </c>
      <c r="CL63" s="626">
        <v>172</v>
      </c>
      <c r="CM63" s="626">
        <v>0.70520000000000005</v>
      </c>
      <c r="CN63" s="626">
        <v>0.67920000000000003</v>
      </c>
      <c r="CO63" s="626">
        <v>0.66690000000000005</v>
      </c>
      <c r="CP63" s="626">
        <v>0.73029999999999995</v>
      </c>
      <c r="CQ63" s="626">
        <v>0.68540000000000001</v>
      </c>
      <c r="CR63" s="721">
        <v>0.69469999999999998</v>
      </c>
      <c r="CS63" s="569" t="s">
        <v>405</v>
      </c>
      <c r="CT63" s="569">
        <v>207</v>
      </c>
      <c r="CU63" s="569">
        <v>207</v>
      </c>
      <c r="CV63" s="590">
        <v>0.72219999999999995</v>
      </c>
      <c r="CW63" s="590">
        <v>0.68410000000000004</v>
      </c>
      <c r="CX63" s="590">
        <v>0.67649999999999999</v>
      </c>
      <c r="CY63" s="590">
        <v>0.74919999999999998</v>
      </c>
      <c r="CZ63" s="590">
        <v>0.68740000000000001</v>
      </c>
      <c r="DA63" s="590">
        <v>0.70640000000000003</v>
      </c>
    </row>
    <row r="64" spans="1:105" x14ac:dyDescent="0.25">
      <c r="A64" s="36" t="s">
        <v>97</v>
      </c>
      <c r="B64" s="134" t="s">
        <v>96</v>
      </c>
      <c r="C64" s="134" t="s">
        <v>567</v>
      </c>
      <c r="D64" s="134" t="s">
        <v>417</v>
      </c>
      <c r="E64" s="134" t="s">
        <v>787</v>
      </c>
      <c r="F64" s="134" t="s">
        <v>221</v>
      </c>
      <c r="G64" s="165" t="s">
        <v>405</v>
      </c>
      <c r="H64" s="166">
        <v>22</v>
      </c>
      <c r="I64" s="166">
        <v>22</v>
      </c>
      <c r="J64" s="166">
        <v>0.67330000000000001</v>
      </c>
      <c r="K64" s="166">
        <v>0.68989999999999996</v>
      </c>
      <c r="L64" s="166">
        <v>0.67290000000000005</v>
      </c>
      <c r="M64" s="166">
        <v>0.71460000000000001</v>
      </c>
      <c r="N64" s="166">
        <v>0.68759999999999999</v>
      </c>
      <c r="O64" s="166">
        <v>0.68769999999999998</v>
      </c>
      <c r="P64" s="173" t="s">
        <v>405</v>
      </c>
      <c r="Q64" s="174" t="s">
        <v>561</v>
      </c>
      <c r="R64" s="174" t="s">
        <v>562</v>
      </c>
      <c r="S64" s="174">
        <v>0.66320000000000001</v>
      </c>
      <c r="T64" s="174">
        <v>0.7097</v>
      </c>
      <c r="U64" s="174">
        <v>0.68730000000000002</v>
      </c>
      <c r="V64" s="174">
        <v>0.69640000000000002</v>
      </c>
      <c r="W64" s="174">
        <v>0.66610000000000003</v>
      </c>
      <c r="X64" s="174">
        <v>0.68740000000000001</v>
      </c>
      <c r="Y64" s="145" t="s">
        <v>404</v>
      </c>
      <c r="Z64" s="134" t="s">
        <v>560</v>
      </c>
      <c r="AA64" s="134" t="s">
        <v>561</v>
      </c>
      <c r="AB64" s="137">
        <v>0.70840000000000003</v>
      </c>
      <c r="AC64" s="137">
        <v>0.75860000000000005</v>
      </c>
      <c r="AD64" s="137">
        <v>0.75939999999999996</v>
      </c>
      <c r="AE64" s="137">
        <v>0.74160000000000004</v>
      </c>
      <c r="AF64" s="137">
        <v>0.71319999999999995</v>
      </c>
      <c r="AG64" s="137">
        <v>0.73980000000000001</v>
      </c>
      <c r="AH64" s="159" t="s">
        <v>405</v>
      </c>
      <c r="AI64" s="134" t="s">
        <v>553</v>
      </c>
      <c r="AJ64" s="134" t="s">
        <v>543</v>
      </c>
      <c r="AK64" s="137">
        <v>0.66769999999999996</v>
      </c>
      <c r="AL64" s="137">
        <v>0.69550000000000001</v>
      </c>
      <c r="AM64" s="137">
        <v>0.6966</v>
      </c>
      <c r="AN64" s="137">
        <v>0.7036</v>
      </c>
      <c r="AO64" s="137">
        <v>0.68940000000000001</v>
      </c>
      <c r="AP64" s="137">
        <v>0.69069999999999998</v>
      </c>
      <c r="AQ64" s="142" t="s">
        <v>541</v>
      </c>
      <c r="AR64" s="134" t="s">
        <v>542</v>
      </c>
      <c r="AS64" s="134" t="s">
        <v>553</v>
      </c>
      <c r="AT64" s="137">
        <v>0.63229999999999997</v>
      </c>
      <c r="AU64" s="137">
        <v>0.65229999999999999</v>
      </c>
      <c r="AV64" s="137">
        <v>0.61990000000000001</v>
      </c>
      <c r="AW64" s="137">
        <v>0.66710000000000003</v>
      </c>
      <c r="AX64" s="137">
        <v>0.67910000000000004</v>
      </c>
      <c r="AY64" s="137">
        <v>0.64570000000000005</v>
      </c>
      <c r="AZ64" s="143" t="s">
        <v>557</v>
      </c>
      <c r="BA64" s="134" t="s">
        <v>512</v>
      </c>
      <c r="BB64" s="134" t="s">
        <v>513</v>
      </c>
      <c r="BC64" s="137">
        <v>0.62290000000000001</v>
      </c>
      <c r="BD64" s="137">
        <v>0.60519999999999996</v>
      </c>
      <c r="BE64" s="137">
        <v>0.56620000000000004</v>
      </c>
      <c r="BF64" s="137">
        <v>0.64829999999999999</v>
      </c>
      <c r="BG64" s="137">
        <v>0.66169999999999995</v>
      </c>
      <c r="BH64" s="137">
        <v>0.61460000000000004</v>
      </c>
      <c r="BI64" s="151" t="s">
        <v>557</v>
      </c>
      <c r="BJ64" s="152">
        <v>27</v>
      </c>
      <c r="BK64" s="152">
        <v>26</v>
      </c>
      <c r="BL64" s="137">
        <v>0.6381</v>
      </c>
      <c r="BM64" s="137">
        <v>0.61929999999999996</v>
      </c>
      <c r="BN64" s="137">
        <v>0.55810000000000004</v>
      </c>
      <c r="BO64" s="137">
        <v>0.65710000000000002</v>
      </c>
      <c r="BP64" s="137">
        <v>0.6381</v>
      </c>
      <c r="BQ64" s="137">
        <v>0.61970000000000003</v>
      </c>
      <c r="BR64" s="281" t="s">
        <v>541</v>
      </c>
      <c r="BS64" s="272">
        <v>26</v>
      </c>
      <c r="BT64" s="272">
        <v>26</v>
      </c>
      <c r="BU64" s="272">
        <v>0.66800000000000004</v>
      </c>
      <c r="BV64" s="272">
        <v>0.629</v>
      </c>
      <c r="BW64" s="272">
        <v>0.5655</v>
      </c>
      <c r="BX64" s="272">
        <v>0.67900000000000005</v>
      </c>
      <c r="BY64" s="272">
        <v>0.64200000000000002</v>
      </c>
      <c r="BZ64" s="272">
        <v>0.63590000000000002</v>
      </c>
      <c r="CA64" s="359" t="s">
        <v>541</v>
      </c>
      <c r="CB64" s="357" t="s">
        <v>553</v>
      </c>
      <c r="CC64" s="357" t="s">
        <v>553</v>
      </c>
      <c r="CD64" s="357">
        <v>0.66830000000000001</v>
      </c>
      <c r="CE64" s="357">
        <v>0.64349999999999996</v>
      </c>
      <c r="CF64" s="357">
        <v>0.55840000000000001</v>
      </c>
      <c r="CG64" s="357">
        <v>0.6845</v>
      </c>
      <c r="CH64" s="357">
        <v>0.62929999999999997</v>
      </c>
      <c r="CI64" s="357">
        <v>0.63800000000000001</v>
      </c>
      <c r="CJ64" s="714" t="s">
        <v>405</v>
      </c>
      <c r="CK64" s="626">
        <v>17</v>
      </c>
      <c r="CL64" s="626">
        <v>17</v>
      </c>
      <c r="CM64" s="626">
        <v>0.70830000000000004</v>
      </c>
      <c r="CN64" s="626">
        <v>0.66339999999999999</v>
      </c>
      <c r="CO64" s="626">
        <v>0.61819999999999997</v>
      </c>
      <c r="CP64" s="626">
        <v>0.72240000000000004</v>
      </c>
      <c r="CQ64" s="626">
        <v>0.71130000000000004</v>
      </c>
      <c r="CR64" s="721">
        <v>0.68059999999999998</v>
      </c>
      <c r="CS64" s="569" t="s">
        <v>405</v>
      </c>
      <c r="CT64" s="569">
        <v>18</v>
      </c>
      <c r="CU64" s="569">
        <v>17</v>
      </c>
      <c r="CV64" s="590">
        <v>0.72489999999999999</v>
      </c>
      <c r="CW64" s="590">
        <v>0.68189999999999995</v>
      </c>
      <c r="CX64" s="590">
        <v>0.67569999999999997</v>
      </c>
      <c r="CY64" s="590">
        <v>0.75990000000000002</v>
      </c>
      <c r="CZ64" s="590">
        <v>0.7379</v>
      </c>
      <c r="DA64" s="590">
        <v>0.7127</v>
      </c>
    </row>
    <row r="65" spans="1:105" x14ac:dyDescent="0.25">
      <c r="A65" s="36" t="s">
        <v>180</v>
      </c>
      <c r="B65" s="134" t="s">
        <v>179</v>
      </c>
      <c r="C65" s="134" t="s">
        <v>567</v>
      </c>
      <c r="D65" s="134" t="s">
        <v>417</v>
      </c>
      <c r="E65" s="134" t="s">
        <v>787</v>
      </c>
      <c r="F65" s="134" t="s">
        <v>221</v>
      </c>
      <c r="G65" s="168" t="s">
        <v>404</v>
      </c>
      <c r="H65" s="166">
        <v>74</v>
      </c>
      <c r="I65" s="166">
        <v>74</v>
      </c>
      <c r="J65" s="166">
        <v>0.73409999999999997</v>
      </c>
      <c r="K65" s="166">
        <v>0.74270000000000003</v>
      </c>
      <c r="L65" s="166">
        <v>0.73399999999999999</v>
      </c>
      <c r="M65" s="166">
        <v>0.74870000000000003</v>
      </c>
      <c r="N65" s="166">
        <v>0.72050000000000003</v>
      </c>
      <c r="O65" s="166">
        <v>0.73839999999999995</v>
      </c>
      <c r="P65" s="177" t="s">
        <v>404</v>
      </c>
      <c r="Q65" s="174" t="s">
        <v>439</v>
      </c>
      <c r="R65" s="174" t="s">
        <v>439</v>
      </c>
      <c r="S65" s="174">
        <v>0.74170000000000003</v>
      </c>
      <c r="T65" s="174">
        <v>0.75460000000000005</v>
      </c>
      <c r="U65" s="174">
        <v>0.74329999999999996</v>
      </c>
      <c r="V65" s="174">
        <v>0.74109999999999998</v>
      </c>
      <c r="W65" s="174">
        <v>0.71579999999999999</v>
      </c>
      <c r="X65" s="174">
        <v>0.7429</v>
      </c>
      <c r="Y65" s="145" t="s">
        <v>404</v>
      </c>
      <c r="Z65" s="134" t="s">
        <v>419</v>
      </c>
      <c r="AA65" s="134" t="s">
        <v>419</v>
      </c>
      <c r="AB65" s="137">
        <v>0.76519999999999999</v>
      </c>
      <c r="AC65" s="137">
        <v>0.77390000000000003</v>
      </c>
      <c r="AD65" s="137">
        <v>0.73709999999999998</v>
      </c>
      <c r="AE65" s="137">
        <v>0.75370000000000004</v>
      </c>
      <c r="AF65" s="137">
        <v>0.73799999999999999</v>
      </c>
      <c r="AG65" s="137">
        <v>0.75600000000000001</v>
      </c>
      <c r="AH65" s="158" t="s">
        <v>404</v>
      </c>
      <c r="AI65" s="134" t="s">
        <v>446</v>
      </c>
      <c r="AJ65" s="134" t="s">
        <v>446</v>
      </c>
      <c r="AK65" s="137">
        <v>0.76729999999999998</v>
      </c>
      <c r="AL65" s="137">
        <v>0.78169999999999995</v>
      </c>
      <c r="AM65" s="137">
        <v>0.74170000000000003</v>
      </c>
      <c r="AN65" s="137">
        <v>0.7671</v>
      </c>
      <c r="AO65" s="137">
        <v>0.73960000000000004</v>
      </c>
      <c r="AP65" s="137">
        <v>0.76249999999999996</v>
      </c>
      <c r="AQ65" s="150" t="s">
        <v>404</v>
      </c>
      <c r="AR65" s="134" t="s">
        <v>434</v>
      </c>
      <c r="AS65" s="134" t="s">
        <v>434</v>
      </c>
      <c r="AT65" s="137">
        <v>0.77610000000000001</v>
      </c>
      <c r="AU65" s="137">
        <v>0.77910000000000001</v>
      </c>
      <c r="AV65" s="137">
        <v>0.73350000000000004</v>
      </c>
      <c r="AW65" s="137">
        <v>0.77410000000000001</v>
      </c>
      <c r="AX65" s="137">
        <v>0.74929999999999997</v>
      </c>
      <c r="AY65" s="137">
        <v>0.76439999999999997</v>
      </c>
      <c r="AZ65" s="145" t="s">
        <v>404</v>
      </c>
      <c r="BA65" s="134" t="s">
        <v>451</v>
      </c>
      <c r="BB65" s="134" t="s">
        <v>452</v>
      </c>
      <c r="BC65" s="137">
        <v>0.75219999999999998</v>
      </c>
      <c r="BD65" s="137">
        <v>0.74339999999999995</v>
      </c>
      <c r="BE65" s="137">
        <v>0.71060000000000001</v>
      </c>
      <c r="BF65" s="137">
        <v>0.76190000000000002</v>
      </c>
      <c r="BG65" s="137">
        <v>0.73709999999999998</v>
      </c>
      <c r="BH65" s="137">
        <v>0.74170000000000003</v>
      </c>
      <c r="BI65" s="149" t="s">
        <v>404</v>
      </c>
      <c r="BJ65" s="152">
        <v>147</v>
      </c>
      <c r="BK65" s="152">
        <v>146</v>
      </c>
      <c r="BL65" s="137">
        <v>0.74039999999999995</v>
      </c>
      <c r="BM65" s="137">
        <v>0.72850000000000004</v>
      </c>
      <c r="BN65" s="137">
        <v>0.70709999999999995</v>
      </c>
      <c r="BO65" s="137">
        <v>0.75209999999999999</v>
      </c>
      <c r="BP65" s="137">
        <v>0.71930000000000005</v>
      </c>
      <c r="BQ65" s="137">
        <v>0.73109999999999997</v>
      </c>
      <c r="BR65" s="283" t="s">
        <v>404</v>
      </c>
      <c r="BS65" s="272">
        <v>189</v>
      </c>
      <c r="BT65" s="272">
        <v>188</v>
      </c>
      <c r="BU65" s="272">
        <v>0.74260000000000004</v>
      </c>
      <c r="BV65" s="272">
        <v>0.7198</v>
      </c>
      <c r="BW65" s="272">
        <v>0.71950000000000003</v>
      </c>
      <c r="BX65" s="272">
        <v>0.76529999999999998</v>
      </c>
      <c r="BY65" s="272">
        <v>0.73340000000000005</v>
      </c>
      <c r="BZ65" s="272">
        <v>0.73650000000000004</v>
      </c>
      <c r="CA65" s="366" t="s">
        <v>404</v>
      </c>
      <c r="CB65" s="357" t="s">
        <v>602</v>
      </c>
      <c r="CC65" s="357" t="s">
        <v>945</v>
      </c>
      <c r="CD65" s="357">
        <v>0.74060000000000004</v>
      </c>
      <c r="CE65" s="357">
        <v>0.72240000000000004</v>
      </c>
      <c r="CF65" s="357">
        <v>0.73370000000000002</v>
      </c>
      <c r="CG65" s="357">
        <v>0.77569999999999995</v>
      </c>
      <c r="CH65" s="357">
        <v>0.74419999999999997</v>
      </c>
      <c r="CI65" s="357">
        <v>0.74319999999999997</v>
      </c>
      <c r="CJ65" s="727" t="s">
        <v>404</v>
      </c>
      <c r="CK65" s="626">
        <v>233</v>
      </c>
      <c r="CL65" s="626">
        <v>232</v>
      </c>
      <c r="CM65" s="626">
        <v>0.74319999999999997</v>
      </c>
      <c r="CN65" s="626">
        <v>0.72540000000000004</v>
      </c>
      <c r="CO65" s="626">
        <v>0.73740000000000006</v>
      </c>
      <c r="CP65" s="626">
        <v>0.78210000000000002</v>
      </c>
      <c r="CQ65" s="626">
        <v>0.76619999999999999</v>
      </c>
      <c r="CR65" s="721">
        <v>0.74850000000000005</v>
      </c>
      <c r="CS65" s="569" t="s">
        <v>404</v>
      </c>
      <c r="CT65" s="569">
        <v>253</v>
      </c>
      <c r="CU65" s="569">
        <v>252</v>
      </c>
      <c r="CV65" s="590">
        <v>0.74029999999999996</v>
      </c>
      <c r="CW65" s="590">
        <v>0.72430000000000005</v>
      </c>
      <c r="CX65" s="590">
        <v>0.7228</v>
      </c>
      <c r="CY65" s="590">
        <v>0.77690000000000003</v>
      </c>
      <c r="CZ65" s="590">
        <v>0.76160000000000005</v>
      </c>
      <c r="DA65" s="590">
        <v>0.74270000000000003</v>
      </c>
    </row>
    <row r="66" spans="1:105" x14ac:dyDescent="0.25">
      <c r="A66" s="36" t="s">
        <v>170</v>
      </c>
      <c r="B66" s="134" t="s">
        <v>169</v>
      </c>
      <c r="C66" s="134" t="s">
        <v>567</v>
      </c>
      <c r="D66" s="134" t="s">
        <v>417</v>
      </c>
      <c r="E66" s="134" t="s">
        <v>787</v>
      </c>
      <c r="F66" s="134" t="s">
        <v>221</v>
      </c>
      <c r="G66" s="165" t="s">
        <v>405</v>
      </c>
      <c r="H66" s="166">
        <v>165</v>
      </c>
      <c r="I66" s="166">
        <v>163</v>
      </c>
      <c r="J66" s="166">
        <v>0.70599999999999996</v>
      </c>
      <c r="K66" s="166">
        <v>0.71440000000000003</v>
      </c>
      <c r="L66" s="166">
        <v>0.72799999999999998</v>
      </c>
      <c r="M66" s="166">
        <v>0.72260000000000002</v>
      </c>
      <c r="N66" s="166">
        <v>0.72470000000000001</v>
      </c>
      <c r="O66" s="166">
        <v>0.71830000000000005</v>
      </c>
      <c r="P66" s="174" t="s">
        <v>693</v>
      </c>
      <c r="Q66" s="174" t="s">
        <v>705</v>
      </c>
      <c r="R66" s="174">
        <v>0.70860000000000001</v>
      </c>
      <c r="S66" s="174">
        <v>0.71189999999999998</v>
      </c>
      <c r="T66" s="174">
        <v>0.7218</v>
      </c>
      <c r="U66" s="174">
        <v>0.71230000000000004</v>
      </c>
      <c r="V66" s="174">
        <v>0.73429999999999995</v>
      </c>
      <c r="W66" s="174">
        <v>0.71519999999999995</v>
      </c>
      <c r="X66" s="568"/>
      <c r="Y66" s="145" t="s">
        <v>404</v>
      </c>
      <c r="Z66" s="134" t="s">
        <v>650</v>
      </c>
      <c r="AA66" s="134" t="s">
        <v>651</v>
      </c>
      <c r="AB66" s="137">
        <v>0.72089999999999999</v>
      </c>
      <c r="AC66" s="137">
        <v>0.72850000000000004</v>
      </c>
      <c r="AD66" s="137">
        <v>0.72850000000000004</v>
      </c>
      <c r="AE66" s="137">
        <v>0.72470000000000001</v>
      </c>
      <c r="AF66" s="137">
        <v>0.76370000000000005</v>
      </c>
      <c r="AG66" s="137">
        <v>0.72860000000000003</v>
      </c>
      <c r="AH66" s="158" t="s">
        <v>404</v>
      </c>
      <c r="AI66" s="134" t="s">
        <v>451</v>
      </c>
      <c r="AJ66" s="134" t="s">
        <v>452</v>
      </c>
      <c r="AK66" s="137">
        <v>0.72960000000000003</v>
      </c>
      <c r="AL66" s="137">
        <v>0.73780000000000001</v>
      </c>
      <c r="AM66" s="137">
        <v>0.7288</v>
      </c>
      <c r="AN66" s="137">
        <v>0.73519999999999996</v>
      </c>
      <c r="AO66" s="137">
        <v>0.77539999999999998</v>
      </c>
      <c r="AP66" s="137">
        <v>0.73609999999999998</v>
      </c>
      <c r="AQ66" s="150" t="s">
        <v>404</v>
      </c>
      <c r="AR66" s="134" t="s">
        <v>457</v>
      </c>
      <c r="AS66" s="134" t="s">
        <v>458</v>
      </c>
      <c r="AT66" s="137">
        <v>0.72870000000000001</v>
      </c>
      <c r="AU66" s="137">
        <v>0.72970000000000002</v>
      </c>
      <c r="AV66" s="137">
        <v>0.71850000000000003</v>
      </c>
      <c r="AW66" s="137">
        <v>0.74609999999999999</v>
      </c>
      <c r="AX66" s="137">
        <v>0.78339999999999999</v>
      </c>
      <c r="AY66" s="137">
        <v>0.73480000000000001</v>
      </c>
      <c r="AZ66" s="138" t="s">
        <v>405</v>
      </c>
      <c r="BA66" s="134" t="s">
        <v>523</v>
      </c>
      <c r="BB66" s="134" t="s">
        <v>659</v>
      </c>
      <c r="BC66" s="137">
        <v>0.72089999999999999</v>
      </c>
      <c r="BD66" s="137">
        <v>0.71150000000000002</v>
      </c>
      <c r="BE66" s="137">
        <v>0.69099999999999995</v>
      </c>
      <c r="BF66" s="137">
        <v>0.74160000000000004</v>
      </c>
      <c r="BG66" s="137">
        <v>0.75460000000000005</v>
      </c>
      <c r="BH66" s="137">
        <v>0.71919999999999995</v>
      </c>
      <c r="BI66" s="135" t="s">
        <v>405</v>
      </c>
      <c r="BJ66" s="152">
        <v>132</v>
      </c>
      <c r="BK66" s="152">
        <v>126</v>
      </c>
      <c r="BL66" s="137">
        <v>0.72509999999999997</v>
      </c>
      <c r="BM66" s="137">
        <v>0.69579999999999997</v>
      </c>
      <c r="BN66" s="137">
        <v>0.68200000000000005</v>
      </c>
      <c r="BO66" s="137">
        <v>0.73780000000000001</v>
      </c>
      <c r="BP66" s="137">
        <v>0.73580000000000001</v>
      </c>
      <c r="BQ66" s="137">
        <v>0.71220000000000006</v>
      </c>
      <c r="BR66" s="283" t="s">
        <v>404</v>
      </c>
      <c r="BS66" s="272">
        <v>149</v>
      </c>
      <c r="BT66" s="272">
        <v>149</v>
      </c>
      <c r="BU66" s="272">
        <v>0.73880000000000001</v>
      </c>
      <c r="BV66" s="272">
        <v>0.7036</v>
      </c>
      <c r="BW66" s="272">
        <v>0.69789999999999996</v>
      </c>
      <c r="BX66" s="272">
        <v>0.75519999999999998</v>
      </c>
      <c r="BY66" s="272">
        <v>0.73960000000000004</v>
      </c>
      <c r="BZ66" s="272">
        <v>0.72509999999999997</v>
      </c>
      <c r="CA66" s="366" t="s">
        <v>404</v>
      </c>
      <c r="CB66" s="357" t="s">
        <v>705</v>
      </c>
      <c r="CC66" s="357" t="s">
        <v>705</v>
      </c>
      <c r="CD66" s="357">
        <v>0.74529999999999996</v>
      </c>
      <c r="CE66" s="357">
        <v>0.7087</v>
      </c>
      <c r="CF66" s="357">
        <v>0.71220000000000006</v>
      </c>
      <c r="CG66" s="357">
        <v>0.76680000000000004</v>
      </c>
      <c r="CH66" s="357">
        <v>0.75670000000000004</v>
      </c>
      <c r="CI66" s="357">
        <v>0.73499999999999999</v>
      </c>
      <c r="CJ66" s="727" t="s">
        <v>404</v>
      </c>
      <c r="CK66" s="626">
        <v>125</v>
      </c>
      <c r="CL66" s="626">
        <v>124</v>
      </c>
      <c r="CM66" s="626">
        <v>0.74409999999999998</v>
      </c>
      <c r="CN66" s="626">
        <v>0.7147</v>
      </c>
      <c r="CO66" s="626">
        <v>0.71789999999999998</v>
      </c>
      <c r="CP66" s="626">
        <v>0.77610000000000001</v>
      </c>
      <c r="CQ66" s="626">
        <v>0.77680000000000005</v>
      </c>
      <c r="CR66" s="721">
        <v>0.74119999999999997</v>
      </c>
      <c r="CS66" s="569" t="s">
        <v>404</v>
      </c>
      <c r="CT66" s="569">
        <v>109</v>
      </c>
      <c r="CU66" s="569">
        <v>107</v>
      </c>
      <c r="CV66" s="590">
        <v>0.73229999999999995</v>
      </c>
      <c r="CW66" s="590">
        <v>0.70860000000000001</v>
      </c>
      <c r="CX66" s="590">
        <v>0.71050000000000002</v>
      </c>
      <c r="CY66" s="590">
        <v>0.77249999999999996</v>
      </c>
      <c r="CZ66" s="590">
        <v>0.77729999999999999</v>
      </c>
      <c r="DA66" s="590">
        <v>0.73460000000000003</v>
      </c>
    </row>
    <row r="67" spans="1:105" x14ac:dyDescent="0.25">
      <c r="A67" s="36" t="s">
        <v>77</v>
      </c>
      <c r="B67" s="134" t="s">
        <v>76</v>
      </c>
      <c r="C67" s="134" t="s">
        <v>567</v>
      </c>
      <c r="D67" s="134" t="s">
        <v>417</v>
      </c>
      <c r="E67" s="134" t="s">
        <v>787</v>
      </c>
      <c r="F67" s="134" t="s">
        <v>221</v>
      </c>
      <c r="G67" s="165" t="s">
        <v>405</v>
      </c>
      <c r="H67" s="166">
        <v>55</v>
      </c>
      <c r="I67" s="166">
        <v>55</v>
      </c>
      <c r="J67" s="166">
        <v>0.67</v>
      </c>
      <c r="K67" s="166">
        <v>0.65410000000000001</v>
      </c>
      <c r="L67" s="166">
        <v>0.68640000000000001</v>
      </c>
      <c r="M67" s="166">
        <v>0.69599999999999995</v>
      </c>
      <c r="N67" s="166">
        <v>0.67500000000000004</v>
      </c>
      <c r="O67" s="166">
        <v>0.67649999999999999</v>
      </c>
      <c r="P67" s="173" t="s">
        <v>405</v>
      </c>
      <c r="Q67" s="174" t="s">
        <v>544</v>
      </c>
      <c r="R67" s="174" t="s">
        <v>544</v>
      </c>
      <c r="S67" s="174">
        <v>0.67090000000000005</v>
      </c>
      <c r="T67" s="174">
        <v>0.66959999999999997</v>
      </c>
      <c r="U67" s="174">
        <v>0.66820000000000002</v>
      </c>
      <c r="V67" s="174">
        <v>0.66979999999999995</v>
      </c>
      <c r="W67" s="174">
        <v>0.67620000000000002</v>
      </c>
      <c r="X67" s="174">
        <v>0.67010000000000003</v>
      </c>
      <c r="Y67" s="138" t="s">
        <v>405</v>
      </c>
      <c r="Z67" s="134" t="s">
        <v>544</v>
      </c>
      <c r="AA67" s="134" t="s">
        <v>545</v>
      </c>
      <c r="AB67" s="137">
        <v>0.67059999999999997</v>
      </c>
      <c r="AC67" s="137">
        <v>0.68640000000000001</v>
      </c>
      <c r="AD67" s="137">
        <v>0.66469999999999996</v>
      </c>
      <c r="AE67" s="137">
        <v>0.68459999999999999</v>
      </c>
      <c r="AF67" s="137">
        <v>0.67459999999999998</v>
      </c>
      <c r="AG67" s="137">
        <v>0.6764</v>
      </c>
      <c r="AH67" s="155" t="s">
        <v>541</v>
      </c>
      <c r="AI67" s="134" t="s">
        <v>544</v>
      </c>
      <c r="AJ67" s="134" t="s">
        <v>545</v>
      </c>
      <c r="AK67" s="137">
        <v>0.64339999999999997</v>
      </c>
      <c r="AL67" s="137">
        <v>0.67879999999999996</v>
      </c>
      <c r="AM67" s="137">
        <v>0.6452</v>
      </c>
      <c r="AN67" s="137">
        <v>0.68120000000000003</v>
      </c>
      <c r="AO67" s="137">
        <v>0.64270000000000005</v>
      </c>
      <c r="AP67" s="137">
        <v>0.66069999999999995</v>
      </c>
      <c r="AQ67" s="142" t="s">
        <v>541</v>
      </c>
      <c r="AR67" s="134" t="s">
        <v>544</v>
      </c>
      <c r="AS67" s="134" t="s">
        <v>545</v>
      </c>
      <c r="AT67" s="137">
        <v>0.64180000000000004</v>
      </c>
      <c r="AU67" s="137">
        <v>0.6764</v>
      </c>
      <c r="AV67" s="137">
        <v>0.65200000000000002</v>
      </c>
      <c r="AW67" s="137">
        <v>0.70450000000000002</v>
      </c>
      <c r="AX67" s="137">
        <v>0.64059999999999995</v>
      </c>
      <c r="AY67" s="137">
        <v>0.66649999999999998</v>
      </c>
      <c r="AZ67" s="141" t="s">
        <v>541</v>
      </c>
      <c r="BA67" s="134" t="s">
        <v>481</v>
      </c>
      <c r="BB67" s="134" t="s">
        <v>481</v>
      </c>
      <c r="BC67" s="137">
        <v>0.63529999999999998</v>
      </c>
      <c r="BD67" s="137">
        <v>0.66249999999999998</v>
      </c>
      <c r="BE67" s="137">
        <v>0.6341</v>
      </c>
      <c r="BF67" s="137">
        <v>0.69579999999999997</v>
      </c>
      <c r="BG67" s="137">
        <v>0.63149999999999995</v>
      </c>
      <c r="BH67" s="137">
        <v>0.65490000000000004</v>
      </c>
      <c r="BI67" s="135" t="s">
        <v>405</v>
      </c>
      <c r="BJ67" s="152">
        <v>42</v>
      </c>
      <c r="BK67" s="152">
        <v>40</v>
      </c>
      <c r="BL67" s="137">
        <v>0.68069999999999997</v>
      </c>
      <c r="BM67" s="137">
        <v>0.6694</v>
      </c>
      <c r="BN67" s="137">
        <v>0.65600000000000003</v>
      </c>
      <c r="BO67" s="137">
        <v>0.71740000000000004</v>
      </c>
      <c r="BP67" s="137">
        <v>0.64370000000000005</v>
      </c>
      <c r="BQ67" s="137">
        <v>0.67800000000000005</v>
      </c>
      <c r="BR67" s="279" t="s">
        <v>405</v>
      </c>
      <c r="BS67" s="272">
        <v>33</v>
      </c>
      <c r="BT67" s="272">
        <v>32</v>
      </c>
      <c r="BU67" s="272">
        <v>0.6925</v>
      </c>
      <c r="BV67" s="272">
        <v>0.66279999999999994</v>
      </c>
      <c r="BW67" s="272">
        <v>0.64880000000000004</v>
      </c>
      <c r="BX67" s="272">
        <v>0.71819999999999995</v>
      </c>
      <c r="BY67" s="272">
        <v>0.64770000000000005</v>
      </c>
      <c r="BZ67" s="272">
        <v>0.67810000000000004</v>
      </c>
      <c r="CA67" s="358" t="s">
        <v>405</v>
      </c>
      <c r="CB67" s="357" t="s">
        <v>565</v>
      </c>
      <c r="CC67" s="357" t="s">
        <v>601</v>
      </c>
      <c r="CD67" s="357">
        <v>0.70069999999999999</v>
      </c>
      <c r="CE67" s="357">
        <v>0.6573</v>
      </c>
      <c r="CF67" s="357">
        <v>0.66910000000000003</v>
      </c>
      <c r="CG67" s="357">
        <v>0.74099999999999999</v>
      </c>
      <c r="CH67" s="357">
        <v>0.65139999999999998</v>
      </c>
      <c r="CI67" s="357">
        <v>0.68889999999999996</v>
      </c>
      <c r="CJ67" s="724"/>
      <c r="CK67" s="624"/>
      <c r="CL67" s="624"/>
      <c r="CM67" s="624"/>
      <c r="CN67" s="624"/>
      <c r="CO67" s="624"/>
      <c r="CP67" s="624"/>
      <c r="CQ67" s="624"/>
      <c r="CR67" s="628"/>
      <c r="CS67" s="569" t="s">
        <v>405</v>
      </c>
      <c r="CT67" s="569">
        <v>24</v>
      </c>
      <c r="CU67" s="569">
        <v>23</v>
      </c>
      <c r="CV67" s="590">
        <v>0.68430000000000002</v>
      </c>
      <c r="CW67" s="590">
        <v>0.67630000000000001</v>
      </c>
      <c r="CX67" s="590">
        <v>0.67610000000000003</v>
      </c>
      <c r="CY67" s="590">
        <v>0.76129999999999998</v>
      </c>
      <c r="CZ67" s="590">
        <v>0.70879999999999999</v>
      </c>
      <c r="DA67" s="590">
        <v>0.70020000000000004</v>
      </c>
    </row>
    <row r="68" spans="1:105" x14ac:dyDescent="0.25">
      <c r="A68" s="36" t="s">
        <v>36</v>
      </c>
      <c r="B68" s="134" t="s">
        <v>35</v>
      </c>
      <c r="C68" s="134" t="s">
        <v>567</v>
      </c>
      <c r="D68" s="134" t="s">
        <v>417</v>
      </c>
      <c r="E68" s="134" t="s">
        <v>788</v>
      </c>
      <c r="F68" s="134" t="s">
        <v>219</v>
      </c>
      <c r="G68" s="167" t="s">
        <v>541</v>
      </c>
      <c r="H68" s="166">
        <v>140</v>
      </c>
      <c r="I68" s="166">
        <v>136</v>
      </c>
      <c r="J68" s="166">
        <v>0.65890000000000004</v>
      </c>
      <c r="K68" s="166">
        <v>0.65759999999999996</v>
      </c>
      <c r="L68" s="166">
        <v>0.64829999999999999</v>
      </c>
      <c r="M68" s="166">
        <v>0.64570000000000005</v>
      </c>
      <c r="N68" s="166">
        <v>0.6472</v>
      </c>
      <c r="O68" s="166">
        <v>0.6522</v>
      </c>
      <c r="P68" s="635" t="s">
        <v>541</v>
      </c>
      <c r="Q68" s="166" t="s">
        <v>440</v>
      </c>
      <c r="R68" s="166" t="s">
        <v>667</v>
      </c>
      <c r="S68" s="166">
        <v>0.66320000000000001</v>
      </c>
      <c r="T68" s="166">
        <v>0.66949999999999998</v>
      </c>
      <c r="U68" s="166">
        <v>0.65880000000000005</v>
      </c>
      <c r="V68" s="166">
        <v>0.64790000000000003</v>
      </c>
      <c r="W68" s="166">
        <v>0.63780000000000003</v>
      </c>
      <c r="X68" s="166">
        <v>0.65820000000000001</v>
      </c>
      <c r="Y68" s="138" t="s">
        <v>405</v>
      </c>
      <c r="Z68" s="134" t="s">
        <v>486</v>
      </c>
      <c r="AA68" s="134" t="s">
        <v>462</v>
      </c>
      <c r="AB68" s="137">
        <v>0.68020000000000003</v>
      </c>
      <c r="AC68" s="137">
        <v>0.68720000000000003</v>
      </c>
      <c r="AD68" s="137">
        <v>0.66159999999999997</v>
      </c>
      <c r="AE68" s="137">
        <v>0.67210000000000003</v>
      </c>
      <c r="AF68" s="137">
        <v>0.64659999999999995</v>
      </c>
      <c r="AG68" s="137">
        <v>0.67300000000000004</v>
      </c>
      <c r="AH68" s="159" t="s">
        <v>405</v>
      </c>
      <c r="AI68" s="134" t="s">
        <v>631</v>
      </c>
      <c r="AJ68" s="134" t="s">
        <v>462</v>
      </c>
      <c r="AK68" s="137">
        <v>0.68769999999999998</v>
      </c>
      <c r="AL68" s="137">
        <v>0.69930000000000003</v>
      </c>
      <c r="AM68" s="137">
        <v>0.66710000000000003</v>
      </c>
      <c r="AN68" s="137">
        <v>0.68120000000000003</v>
      </c>
      <c r="AO68" s="137">
        <v>0.62560000000000004</v>
      </c>
      <c r="AP68" s="137">
        <v>0.6794</v>
      </c>
      <c r="AQ68" s="139" t="s">
        <v>405</v>
      </c>
      <c r="AR68" s="134" t="s">
        <v>534</v>
      </c>
      <c r="AS68" s="134" t="s">
        <v>536</v>
      </c>
      <c r="AT68" s="137">
        <v>0.69430000000000003</v>
      </c>
      <c r="AU68" s="137">
        <v>0.69920000000000004</v>
      </c>
      <c r="AV68" s="137">
        <v>0.66049999999999998</v>
      </c>
      <c r="AW68" s="137">
        <v>0.69620000000000004</v>
      </c>
      <c r="AX68" s="137">
        <v>0.62429999999999997</v>
      </c>
      <c r="AY68" s="137">
        <v>0.68269999999999997</v>
      </c>
      <c r="AZ68" s="135" t="s">
        <v>405</v>
      </c>
      <c r="BA68" s="136" t="s">
        <v>708</v>
      </c>
      <c r="BB68" s="136" t="s">
        <v>486</v>
      </c>
      <c r="BC68" s="137">
        <v>0.70569999999999999</v>
      </c>
      <c r="BD68" s="137">
        <v>0.67620000000000002</v>
      </c>
      <c r="BE68" s="137">
        <v>0.64219999999999999</v>
      </c>
      <c r="BF68" s="137">
        <v>0.68769999999999998</v>
      </c>
      <c r="BG68" s="137">
        <v>0.61350000000000005</v>
      </c>
      <c r="BH68" s="137">
        <v>0.67300000000000004</v>
      </c>
      <c r="BI68" s="135" t="s">
        <v>405</v>
      </c>
      <c r="BJ68" s="152">
        <v>126</v>
      </c>
      <c r="BK68" s="152">
        <v>123</v>
      </c>
      <c r="BL68" s="137">
        <v>0.71640000000000004</v>
      </c>
      <c r="BM68" s="137">
        <v>0.65959999999999996</v>
      </c>
      <c r="BN68" s="137">
        <v>0.63519999999999999</v>
      </c>
      <c r="BO68" s="137">
        <v>0.69399999999999995</v>
      </c>
      <c r="BP68" s="137">
        <v>0.60429999999999995</v>
      </c>
      <c r="BQ68" s="137">
        <v>0.67079999999999995</v>
      </c>
      <c r="BR68" s="281" t="s">
        <v>541</v>
      </c>
      <c r="BS68" s="272">
        <v>137</v>
      </c>
      <c r="BT68" s="272">
        <v>133</v>
      </c>
      <c r="BU68" s="272">
        <v>0.71479999999999999</v>
      </c>
      <c r="BV68" s="272">
        <v>0.65139999999999998</v>
      </c>
      <c r="BW68" s="272">
        <v>0.63260000000000005</v>
      </c>
      <c r="BX68" s="272">
        <v>0.69499999999999995</v>
      </c>
      <c r="BY68" s="272">
        <v>0.59809999999999997</v>
      </c>
      <c r="BZ68" s="272">
        <v>0.66769999999999996</v>
      </c>
      <c r="CA68" s="359" t="s">
        <v>541</v>
      </c>
      <c r="CB68" s="357" t="s">
        <v>631</v>
      </c>
      <c r="CC68" s="357" t="s">
        <v>484</v>
      </c>
      <c r="CD68" s="357">
        <v>0.7</v>
      </c>
      <c r="CE68" s="357">
        <v>0.65490000000000004</v>
      </c>
      <c r="CF68" s="357">
        <v>0.6361</v>
      </c>
      <c r="CG68" s="357">
        <v>0.70020000000000004</v>
      </c>
      <c r="CH68" s="357">
        <v>0.60880000000000001</v>
      </c>
      <c r="CI68" s="357">
        <v>0.66790000000000005</v>
      </c>
      <c r="CJ68" s="728" t="s">
        <v>541</v>
      </c>
      <c r="CK68" s="626">
        <v>137</v>
      </c>
      <c r="CL68" s="626">
        <v>134</v>
      </c>
      <c r="CM68" s="626">
        <v>0.68910000000000005</v>
      </c>
      <c r="CN68" s="626">
        <v>0.64700000000000002</v>
      </c>
      <c r="CO68" s="626">
        <v>0.62529999999999997</v>
      </c>
      <c r="CP68" s="626">
        <v>0.69350000000000001</v>
      </c>
      <c r="CQ68" s="626">
        <v>0.63270000000000004</v>
      </c>
      <c r="CR68" s="721">
        <v>0.6613</v>
      </c>
      <c r="CS68" s="569" t="s">
        <v>541</v>
      </c>
      <c r="CT68" s="569">
        <v>140</v>
      </c>
      <c r="CU68" s="569">
        <v>137</v>
      </c>
      <c r="CV68" s="590">
        <v>0.68700000000000006</v>
      </c>
      <c r="CW68" s="590">
        <v>0.64070000000000005</v>
      </c>
      <c r="CX68" s="590">
        <v>0.61739999999999995</v>
      </c>
      <c r="CY68" s="590">
        <v>0.69979999999999998</v>
      </c>
      <c r="CZ68" s="590">
        <v>0.64680000000000004</v>
      </c>
      <c r="DA68" s="590">
        <v>0.66010000000000002</v>
      </c>
    </row>
    <row r="69" spans="1:105" ht="15" x14ac:dyDescent="0.25">
      <c r="A69" s="729" t="s">
        <v>225</v>
      </c>
      <c r="B69" s="134" t="s">
        <v>235</v>
      </c>
      <c r="C69" s="134" t="s">
        <v>567</v>
      </c>
      <c r="D69" s="134" t="s">
        <v>417</v>
      </c>
      <c r="E69" s="134" t="s">
        <v>787</v>
      </c>
      <c r="F69" s="134" t="s">
        <v>221</v>
      </c>
      <c r="G69" s="134"/>
      <c r="H69" s="134"/>
      <c r="I69" s="134"/>
      <c r="J69" s="134"/>
      <c r="K69" s="134"/>
      <c r="L69" s="134"/>
      <c r="M69" s="134"/>
      <c r="N69" s="134"/>
      <c r="O69" s="134"/>
      <c r="P69" s="568"/>
      <c r="Q69" s="568"/>
      <c r="R69" s="568"/>
      <c r="S69" s="568"/>
      <c r="T69" s="568"/>
      <c r="U69" s="568"/>
      <c r="V69" s="568"/>
      <c r="W69" s="568"/>
      <c r="X69" s="568"/>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639"/>
      <c r="BS69" s="271"/>
      <c r="BT69" s="271"/>
      <c r="BU69" s="271"/>
      <c r="BV69" s="271"/>
      <c r="BW69" s="271"/>
      <c r="BX69" s="271"/>
      <c r="BY69" s="271"/>
      <c r="BZ69" s="271"/>
      <c r="CA69" s="346"/>
      <c r="CB69" s="346"/>
      <c r="CC69" s="346"/>
      <c r="CD69" s="346"/>
      <c r="CE69" s="346"/>
      <c r="CF69" s="346"/>
      <c r="CG69" s="346"/>
      <c r="CH69" s="346"/>
      <c r="CI69" s="346"/>
      <c r="CJ69" s="724"/>
      <c r="CK69" s="624"/>
      <c r="CL69" s="624"/>
      <c r="CM69" s="624"/>
      <c r="CN69" s="624"/>
      <c r="CO69" s="624"/>
      <c r="CP69" s="624"/>
      <c r="CQ69" s="624"/>
      <c r="CR69" s="624"/>
      <c r="CS69" s="568"/>
      <c r="CT69" s="568"/>
      <c r="CU69" s="568"/>
      <c r="CV69" s="568"/>
      <c r="CW69" s="568"/>
      <c r="CX69" s="568"/>
      <c r="CY69" s="568"/>
      <c r="CZ69" s="568"/>
      <c r="DA69" s="568"/>
    </row>
    <row r="70" spans="1:105" x14ac:dyDescent="0.25">
      <c r="A70" s="36" t="s">
        <v>92</v>
      </c>
      <c r="B70" s="134" t="s">
        <v>91</v>
      </c>
      <c r="C70" s="134" t="s">
        <v>567</v>
      </c>
      <c r="D70" s="134" t="s">
        <v>417</v>
      </c>
      <c r="E70" s="134" t="s">
        <v>787</v>
      </c>
      <c r="F70" s="134" t="s">
        <v>219</v>
      </c>
      <c r="G70" s="167" t="s">
        <v>541</v>
      </c>
      <c r="H70" s="166">
        <v>626</v>
      </c>
      <c r="I70" s="166">
        <v>611</v>
      </c>
      <c r="J70" s="166">
        <v>0.66410000000000002</v>
      </c>
      <c r="K70" s="166">
        <v>0.66710000000000003</v>
      </c>
      <c r="L70" s="166">
        <v>0.67579999999999996</v>
      </c>
      <c r="M70" s="166">
        <v>0.67300000000000004</v>
      </c>
      <c r="N70" s="166">
        <v>0.64900000000000002</v>
      </c>
      <c r="O70" s="166">
        <v>0.66839999999999999</v>
      </c>
      <c r="P70" s="173" t="s">
        <v>405</v>
      </c>
      <c r="Q70" s="174" t="s">
        <v>814</v>
      </c>
      <c r="R70" s="174" t="s">
        <v>815</v>
      </c>
      <c r="S70" s="174">
        <v>0.6704</v>
      </c>
      <c r="T70" s="174">
        <v>0.67669999999999997</v>
      </c>
      <c r="U70" s="174">
        <v>0.67800000000000005</v>
      </c>
      <c r="V70" s="174">
        <v>0.67069999999999996</v>
      </c>
      <c r="W70" s="174">
        <v>0.6603</v>
      </c>
      <c r="X70" s="174">
        <v>0.67290000000000005</v>
      </c>
      <c r="Y70" s="138" t="s">
        <v>405</v>
      </c>
      <c r="Z70" s="134" t="s">
        <v>694</v>
      </c>
      <c r="AA70" s="134" t="s">
        <v>695</v>
      </c>
      <c r="AB70" s="137">
        <v>0.67589999999999995</v>
      </c>
      <c r="AC70" s="137">
        <v>0.68889999999999996</v>
      </c>
      <c r="AD70" s="137">
        <v>0.66920000000000002</v>
      </c>
      <c r="AE70" s="137">
        <v>0.67559999999999998</v>
      </c>
      <c r="AF70" s="137">
        <v>0.6724</v>
      </c>
      <c r="AG70" s="137">
        <v>0.67700000000000005</v>
      </c>
      <c r="AH70" s="159" t="s">
        <v>405</v>
      </c>
      <c r="AI70" s="134" t="s">
        <v>618</v>
      </c>
      <c r="AJ70" s="134" t="s">
        <v>619</v>
      </c>
      <c r="AK70" s="137">
        <v>0.68959999999999999</v>
      </c>
      <c r="AL70" s="137">
        <v>0.70199999999999996</v>
      </c>
      <c r="AM70" s="137">
        <v>0.67490000000000006</v>
      </c>
      <c r="AN70" s="137">
        <v>0.6976</v>
      </c>
      <c r="AO70" s="137">
        <v>0.67659999999999998</v>
      </c>
      <c r="AP70" s="137">
        <v>0.68989999999999996</v>
      </c>
      <c r="AQ70" s="139" t="s">
        <v>405</v>
      </c>
      <c r="AR70" s="134" t="s">
        <v>507</v>
      </c>
      <c r="AS70" s="134" t="s">
        <v>508</v>
      </c>
      <c r="AT70" s="137">
        <v>0.69969999999999999</v>
      </c>
      <c r="AU70" s="137">
        <v>0.70069999999999999</v>
      </c>
      <c r="AV70" s="137">
        <v>0.66790000000000005</v>
      </c>
      <c r="AW70" s="137">
        <v>0.71650000000000003</v>
      </c>
      <c r="AX70" s="137">
        <v>0.6744</v>
      </c>
      <c r="AY70" s="137">
        <v>0.69450000000000001</v>
      </c>
      <c r="AZ70" s="138" t="s">
        <v>405</v>
      </c>
      <c r="BA70" s="134" t="s">
        <v>762</v>
      </c>
      <c r="BB70" s="134" t="s">
        <v>763</v>
      </c>
      <c r="BC70" s="137">
        <v>0.7016</v>
      </c>
      <c r="BD70" s="137">
        <v>0.68540000000000001</v>
      </c>
      <c r="BE70" s="137">
        <v>0.66100000000000003</v>
      </c>
      <c r="BF70" s="137">
        <v>0.72909999999999997</v>
      </c>
      <c r="BG70" s="137">
        <v>0.66749999999999998</v>
      </c>
      <c r="BH70" s="137">
        <v>0.69220000000000004</v>
      </c>
      <c r="BI70" s="135" t="s">
        <v>405</v>
      </c>
      <c r="BJ70" s="152">
        <v>565</v>
      </c>
      <c r="BK70" s="152">
        <v>554</v>
      </c>
      <c r="BL70" s="137">
        <v>0.70430000000000004</v>
      </c>
      <c r="BM70" s="137">
        <v>0.67330000000000001</v>
      </c>
      <c r="BN70" s="137">
        <v>0.65439999999999998</v>
      </c>
      <c r="BO70" s="137">
        <v>0.7228</v>
      </c>
      <c r="BP70" s="137">
        <v>0.66100000000000003</v>
      </c>
      <c r="BQ70" s="137">
        <v>0.68659999999999999</v>
      </c>
      <c r="BR70" s="279" t="s">
        <v>405</v>
      </c>
      <c r="BS70" s="272">
        <v>573</v>
      </c>
      <c r="BT70" s="272">
        <v>570</v>
      </c>
      <c r="BU70" s="272">
        <v>0.7056</v>
      </c>
      <c r="BV70" s="272">
        <v>0.67030000000000001</v>
      </c>
      <c r="BW70" s="272">
        <v>0.65959999999999996</v>
      </c>
      <c r="BX70" s="272">
        <v>0.72850000000000004</v>
      </c>
      <c r="BY70" s="272">
        <v>0.66290000000000004</v>
      </c>
      <c r="BZ70" s="272">
        <v>0.68879999999999997</v>
      </c>
      <c r="CA70" s="358" t="s">
        <v>405</v>
      </c>
      <c r="CB70" s="357" t="s">
        <v>946</v>
      </c>
      <c r="CC70" s="357" t="s">
        <v>789</v>
      </c>
      <c r="CD70" s="357">
        <v>0.69979999999999998</v>
      </c>
      <c r="CE70" s="357">
        <v>0.66620000000000001</v>
      </c>
      <c r="CF70" s="357">
        <v>0.65439999999999998</v>
      </c>
      <c r="CG70" s="357">
        <v>0.72160000000000002</v>
      </c>
      <c r="CH70" s="357">
        <v>0.65610000000000002</v>
      </c>
      <c r="CI70" s="357">
        <v>0.68320000000000003</v>
      </c>
      <c r="CJ70" s="725" t="s">
        <v>405</v>
      </c>
      <c r="CK70" s="626">
        <v>607</v>
      </c>
      <c r="CL70" s="626">
        <v>598</v>
      </c>
      <c r="CM70" s="626">
        <v>0.68930000000000002</v>
      </c>
      <c r="CN70" s="626">
        <v>0.66049999999999998</v>
      </c>
      <c r="CO70" s="626">
        <v>0.64229999999999998</v>
      </c>
      <c r="CP70" s="626">
        <v>0.71399999999999997</v>
      </c>
      <c r="CQ70" s="626">
        <v>0.66020000000000001</v>
      </c>
      <c r="CR70" s="721">
        <v>0.67530000000000001</v>
      </c>
      <c r="CS70" s="569" t="s">
        <v>405</v>
      </c>
      <c r="CT70" s="569">
        <v>615</v>
      </c>
      <c r="CU70" s="569">
        <v>606</v>
      </c>
      <c r="CV70" s="590">
        <v>0.68679999999999997</v>
      </c>
      <c r="CW70" s="590">
        <v>0.6643</v>
      </c>
      <c r="CX70" s="590">
        <v>0.63900000000000001</v>
      </c>
      <c r="CY70" s="590">
        <v>0.71309999999999996</v>
      </c>
      <c r="CZ70" s="590">
        <v>0.66500000000000004</v>
      </c>
      <c r="DA70" s="590">
        <v>0.67500000000000004</v>
      </c>
    </row>
    <row r="71" spans="1:105" x14ac:dyDescent="0.25">
      <c r="A71" s="744" t="s">
        <v>27</v>
      </c>
      <c r="B71" s="133" t="s">
        <v>26</v>
      </c>
      <c r="C71" s="134" t="s">
        <v>567</v>
      </c>
      <c r="D71" s="134" t="s">
        <v>417</v>
      </c>
      <c r="E71" s="134" t="s">
        <v>787</v>
      </c>
      <c r="F71" s="134" t="s">
        <v>219</v>
      </c>
      <c r="G71" s="681" t="s">
        <v>405</v>
      </c>
      <c r="H71" s="272">
        <v>396</v>
      </c>
      <c r="I71" s="272">
        <v>372</v>
      </c>
      <c r="J71" s="272">
        <v>0.66869999999999996</v>
      </c>
      <c r="K71" s="272">
        <v>0.67430000000000001</v>
      </c>
      <c r="L71" s="272">
        <v>0.67230000000000001</v>
      </c>
      <c r="M71" s="272">
        <v>0.67569999999999997</v>
      </c>
      <c r="N71" s="272">
        <v>0.65890000000000004</v>
      </c>
      <c r="O71" s="272">
        <v>0.67169999999999996</v>
      </c>
      <c r="P71" s="681" t="s">
        <v>405</v>
      </c>
      <c r="Q71" s="272" t="s">
        <v>816</v>
      </c>
      <c r="R71" s="272" t="s">
        <v>817</v>
      </c>
      <c r="S71" s="272">
        <v>0.66869999999999996</v>
      </c>
      <c r="T71" s="272">
        <v>0.67630000000000001</v>
      </c>
      <c r="U71" s="272">
        <v>0.67459999999999998</v>
      </c>
      <c r="V71" s="272">
        <v>0.67530000000000001</v>
      </c>
      <c r="W71" s="272">
        <v>0.66510000000000002</v>
      </c>
      <c r="X71" s="272">
        <v>0.67300000000000004</v>
      </c>
      <c r="Y71" s="688" t="s">
        <v>405</v>
      </c>
      <c r="Z71" s="271" t="s">
        <v>461</v>
      </c>
      <c r="AA71" s="271" t="s">
        <v>685</v>
      </c>
      <c r="AB71" s="273">
        <v>0.67879999999999996</v>
      </c>
      <c r="AC71" s="273">
        <v>0.69199999999999995</v>
      </c>
      <c r="AD71" s="273">
        <v>0.67669999999999997</v>
      </c>
      <c r="AE71" s="273">
        <v>0.68640000000000001</v>
      </c>
      <c r="AF71" s="273">
        <v>0.68799999999999994</v>
      </c>
      <c r="AG71" s="273">
        <v>0.68379999999999996</v>
      </c>
      <c r="AH71" s="156"/>
      <c r="AI71" s="271"/>
      <c r="AJ71" s="271"/>
      <c r="AK71" s="273"/>
      <c r="AL71" s="273"/>
      <c r="AM71" s="273"/>
      <c r="AN71" s="273"/>
      <c r="AO71" s="273"/>
      <c r="AP71" s="273"/>
      <c r="AQ71" s="134"/>
      <c r="AZ71" s="271"/>
      <c r="BA71" s="271"/>
      <c r="BB71" s="271"/>
      <c r="BC71" s="273"/>
      <c r="BD71" s="273"/>
      <c r="BE71" s="273"/>
      <c r="BF71" s="273"/>
      <c r="BG71" s="273"/>
      <c r="BH71" s="273"/>
      <c r="BI71" s="277" t="s">
        <v>541</v>
      </c>
      <c r="BJ71" s="274">
        <v>384</v>
      </c>
      <c r="BK71" s="274">
        <v>354</v>
      </c>
      <c r="BL71" s="273">
        <v>0.67369999999999997</v>
      </c>
      <c r="BM71" s="273">
        <v>0.64429999999999998</v>
      </c>
      <c r="BN71" s="273">
        <v>0.622</v>
      </c>
      <c r="BO71" s="273">
        <v>0.68930000000000002</v>
      </c>
      <c r="BP71" s="273">
        <v>0.66369999999999996</v>
      </c>
      <c r="BQ71" s="273">
        <v>0.65780000000000005</v>
      </c>
      <c r="BR71" s="281" t="s">
        <v>541</v>
      </c>
      <c r="BS71" s="272">
        <v>348</v>
      </c>
      <c r="BT71" s="272">
        <v>339</v>
      </c>
      <c r="BU71" s="272">
        <v>0.68899999999999995</v>
      </c>
      <c r="BV71" s="272">
        <v>0.6462</v>
      </c>
      <c r="BW71" s="272">
        <v>0.63619999999999999</v>
      </c>
      <c r="BX71" s="272">
        <v>0.70430000000000004</v>
      </c>
      <c r="BY71" s="272">
        <v>0.67149999999999999</v>
      </c>
      <c r="BZ71" s="272">
        <v>0.66910000000000003</v>
      </c>
      <c r="CA71" s="359" t="s">
        <v>541</v>
      </c>
      <c r="CB71" s="357" t="s">
        <v>589</v>
      </c>
      <c r="CC71" s="357" t="s">
        <v>520</v>
      </c>
      <c r="CD71" s="357">
        <v>0.68489999999999995</v>
      </c>
      <c r="CE71" s="357">
        <v>0.64949999999999997</v>
      </c>
      <c r="CF71" s="357">
        <v>0.6341</v>
      </c>
      <c r="CG71" s="357">
        <v>0.70079999999999998</v>
      </c>
      <c r="CH71" s="357">
        <v>0.67059999999999997</v>
      </c>
      <c r="CI71" s="357">
        <v>0.66759999999999997</v>
      </c>
      <c r="CJ71" s="728" t="s">
        <v>541</v>
      </c>
      <c r="CK71" s="626">
        <v>352</v>
      </c>
      <c r="CL71" s="626">
        <v>345</v>
      </c>
      <c r="CM71" s="626">
        <v>0.67549999999999999</v>
      </c>
      <c r="CN71" s="626">
        <v>0.65169999999999995</v>
      </c>
      <c r="CO71" s="626">
        <v>0.63100000000000001</v>
      </c>
      <c r="CP71" s="626">
        <v>0.70069999999999999</v>
      </c>
      <c r="CQ71" s="626">
        <v>0.68030000000000002</v>
      </c>
      <c r="CR71" s="721">
        <v>0.66590000000000005</v>
      </c>
      <c r="CS71" s="569" t="s">
        <v>541</v>
      </c>
      <c r="CT71" s="569">
        <v>401</v>
      </c>
      <c r="CU71" s="569">
        <v>389</v>
      </c>
      <c r="CV71" s="590">
        <v>0.67820000000000003</v>
      </c>
      <c r="CW71" s="590">
        <v>0.65480000000000005</v>
      </c>
      <c r="CX71" s="590">
        <v>0.63319999999999999</v>
      </c>
      <c r="CY71" s="590">
        <v>0.70220000000000005</v>
      </c>
      <c r="CZ71" s="590">
        <v>0.67779999999999996</v>
      </c>
      <c r="DA71" s="590">
        <v>0.66790000000000005</v>
      </c>
    </row>
    <row r="72" spans="1:105" x14ac:dyDescent="0.25">
      <c r="A72" s="36" t="s">
        <v>147</v>
      </c>
      <c r="B72" s="134" t="s">
        <v>146</v>
      </c>
      <c r="C72" s="134" t="s">
        <v>567</v>
      </c>
      <c r="D72" s="134" t="s">
        <v>417</v>
      </c>
      <c r="E72" s="134" t="s">
        <v>787</v>
      </c>
      <c r="F72" s="134" t="s">
        <v>219</v>
      </c>
      <c r="G72" s="165" t="s">
        <v>405</v>
      </c>
      <c r="H72" s="166">
        <v>928</v>
      </c>
      <c r="I72" s="166">
        <v>852</v>
      </c>
      <c r="J72" s="166">
        <v>0.68540000000000001</v>
      </c>
      <c r="K72" s="166">
        <v>0.69679999999999997</v>
      </c>
      <c r="L72" s="166">
        <v>0.69499999999999995</v>
      </c>
      <c r="M72" s="166">
        <v>0.69930000000000003</v>
      </c>
      <c r="N72" s="166">
        <v>0.66069999999999995</v>
      </c>
      <c r="O72" s="166">
        <v>0.69159999999999999</v>
      </c>
      <c r="P72" s="568"/>
      <c r="Q72" s="568"/>
      <c r="R72" s="568"/>
      <c r="S72" s="568"/>
      <c r="T72" s="568"/>
      <c r="U72" s="568"/>
      <c r="V72" s="568"/>
      <c r="W72" s="568"/>
      <c r="X72" s="568"/>
      <c r="Y72" s="134"/>
      <c r="Z72" s="134"/>
      <c r="AA72" s="134"/>
      <c r="AB72" s="137"/>
      <c r="AC72" s="137"/>
      <c r="AD72" s="137"/>
      <c r="AE72" s="137"/>
      <c r="AF72" s="137"/>
      <c r="AG72" s="137"/>
      <c r="AH72" s="156"/>
      <c r="AI72" s="134"/>
      <c r="AJ72" s="134"/>
      <c r="AK72" s="137"/>
      <c r="AL72" s="137"/>
      <c r="AM72" s="137"/>
      <c r="AN72" s="137"/>
      <c r="AO72" s="137"/>
      <c r="AP72" s="137"/>
      <c r="AQ72" s="139" t="s">
        <v>405</v>
      </c>
      <c r="AR72" s="134" t="s">
        <v>503</v>
      </c>
      <c r="AS72" s="134" t="s">
        <v>504</v>
      </c>
      <c r="AT72" s="137">
        <v>0.69540000000000002</v>
      </c>
      <c r="AU72" s="137">
        <v>0.70150000000000001</v>
      </c>
      <c r="AV72" s="137">
        <v>0.6774</v>
      </c>
      <c r="AW72" s="137">
        <v>0.72</v>
      </c>
      <c r="AX72" s="137">
        <v>0.68020000000000003</v>
      </c>
      <c r="AY72" s="137">
        <v>0.69720000000000004</v>
      </c>
      <c r="AZ72" s="138" t="s">
        <v>405</v>
      </c>
      <c r="BA72" s="134" t="s">
        <v>711</v>
      </c>
      <c r="BB72" s="134" t="s">
        <v>767</v>
      </c>
      <c r="BC72" s="137">
        <v>0.69769999999999999</v>
      </c>
      <c r="BD72" s="137">
        <v>0.67959999999999998</v>
      </c>
      <c r="BE72" s="137">
        <v>0.65890000000000004</v>
      </c>
      <c r="BF72" s="137">
        <v>0.71930000000000005</v>
      </c>
      <c r="BG72" s="137">
        <v>0.66379999999999995</v>
      </c>
      <c r="BH72" s="137">
        <v>0.68689999999999996</v>
      </c>
      <c r="BI72" s="135" t="s">
        <v>405</v>
      </c>
      <c r="BJ72" s="152">
        <v>847</v>
      </c>
      <c r="BK72" s="152">
        <v>782</v>
      </c>
      <c r="BL72" s="137">
        <v>0.6976</v>
      </c>
      <c r="BM72" s="137">
        <v>0.66539999999999999</v>
      </c>
      <c r="BN72" s="137">
        <v>0.65110000000000001</v>
      </c>
      <c r="BO72" s="137">
        <v>0.7167</v>
      </c>
      <c r="BP72" s="137">
        <v>0.65080000000000005</v>
      </c>
      <c r="BQ72" s="137">
        <v>0.68020000000000003</v>
      </c>
      <c r="BR72" s="279" t="s">
        <v>405</v>
      </c>
      <c r="BS72" s="272">
        <v>743</v>
      </c>
      <c r="BT72" s="272">
        <v>735</v>
      </c>
      <c r="BU72" s="272">
        <v>0.71140000000000003</v>
      </c>
      <c r="BV72" s="272">
        <v>0.67030000000000001</v>
      </c>
      <c r="BW72" s="272">
        <v>0.66569999999999996</v>
      </c>
      <c r="BX72" s="272">
        <v>0.72629999999999995</v>
      </c>
      <c r="BY72" s="272">
        <v>0.66069999999999995</v>
      </c>
      <c r="BZ72" s="272">
        <v>0.69089999999999996</v>
      </c>
      <c r="CA72" s="358" t="s">
        <v>405</v>
      </c>
      <c r="CB72" s="357" t="s">
        <v>947</v>
      </c>
      <c r="CC72" s="357" t="s">
        <v>948</v>
      </c>
      <c r="CD72" s="357">
        <v>0.70509999999999995</v>
      </c>
      <c r="CE72" s="357">
        <v>0.6744</v>
      </c>
      <c r="CF72" s="357">
        <v>0.67430000000000001</v>
      </c>
      <c r="CG72" s="357">
        <v>0.7278</v>
      </c>
      <c r="CH72" s="357">
        <v>0.6613</v>
      </c>
      <c r="CI72" s="357">
        <v>0.69279999999999997</v>
      </c>
      <c r="CJ72" s="725" t="s">
        <v>405</v>
      </c>
      <c r="CK72" s="626">
        <v>640</v>
      </c>
      <c r="CL72" s="626">
        <v>626</v>
      </c>
      <c r="CM72" s="626">
        <v>0.7046</v>
      </c>
      <c r="CN72" s="626">
        <v>0.68569999999999998</v>
      </c>
      <c r="CO72" s="626">
        <v>0.67800000000000005</v>
      </c>
      <c r="CP72" s="626">
        <v>0.73180000000000001</v>
      </c>
      <c r="CQ72" s="626">
        <v>0.68989999999999996</v>
      </c>
      <c r="CR72" s="721">
        <v>0.69920000000000004</v>
      </c>
      <c r="CS72" s="569" t="s">
        <v>405</v>
      </c>
      <c r="CT72" s="569">
        <v>581</v>
      </c>
      <c r="CU72" s="569">
        <v>570</v>
      </c>
      <c r="CV72" s="590">
        <v>0.72</v>
      </c>
      <c r="CW72" s="590">
        <v>0.69479999999999997</v>
      </c>
      <c r="CX72" s="590">
        <v>0.68389999999999995</v>
      </c>
      <c r="CY72" s="590">
        <v>0.74209999999999998</v>
      </c>
      <c r="CZ72" s="590">
        <v>0.70379999999999998</v>
      </c>
      <c r="DA72" s="590">
        <v>0.7097</v>
      </c>
    </row>
    <row r="73" spans="1:105" x14ac:dyDescent="0.25">
      <c r="A73" s="36" t="s">
        <v>112</v>
      </c>
      <c r="B73" s="134" t="s">
        <v>111</v>
      </c>
      <c r="C73" s="134" t="s">
        <v>567</v>
      </c>
      <c r="D73" s="134" t="s">
        <v>417</v>
      </c>
      <c r="E73" s="134" t="s">
        <v>787</v>
      </c>
      <c r="F73" s="134" t="s">
        <v>219</v>
      </c>
      <c r="G73" s="165" t="s">
        <v>405</v>
      </c>
      <c r="H73" s="166">
        <v>282</v>
      </c>
      <c r="I73" s="166">
        <v>279</v>
      </c>
      <c r="J73" s="166">
        <v>0.66539999999999999</v>
      </c>
      <c r="K73" s="166">
        <v>0.6774</v>
      </c>
      <c r="L73" s="166">
        <v>0.68130000000000002</v>
      </c>
      <c r="M73" s="166">
        <v>0.66820000000000002</v>
      </c>
      <c r="N73" s="166">
        <v>0.64870000000000005</v>
      </c>
      <c r="O73" s="166">
        <v>0.67120000000000002</v>
      </c>
      <c r="P73" s="635" t="s">
        <v>541</v>
      </c>
      <c r="Q73" s="166" t="s">
        <v>712</v>
      </c>
      <c r="R73" s="166" t="s">
        <v>801</v>
      </c>
      <c r="S73" s="166">
        <v>0.65410000000000001</v>
      </c>
      <c r="T73" s="166">
        <v>0.66990000000000005</v>
      </c>
      <c r="U73" s="166">
        <v>0.67649999999999999</v>
      </c>
      <c r="V73" s="166">
        <v>0.65720000000000001</v>
      </c>
      <c r="W73" s="166">
        <v>0.64229999999999998</v>
      </c>
      <c r="X73" s="166">
        <v>0.66269999999999996</v>
      </c>
      <c r="Y73" s="141" t="s">
        <v>541</v>
      </c>
      <c r="Z73" s="134" t="s">
        <v>701</v>
      </c>
      <c r="AA73" s="134" t="s">
        <v>449</v>
      </c>
      <c r="AB73" s="137">
        <v>0.64839999999999998</v>
      </c>
      <c r="AC73" s="137">
        <v>0.66190000000000004</v>
      </c>
      <c r="AD73" s="137">
        <v>0.65510000000000002</v>
      </c>
      <c r="AE73" s="137">
        <v>0.65739999999999998</v>
      </c>
      <c r="AF73" s="137">
        <v>0.63649999999999995</v>
      </c>
      <c r="AG73" s="137">
        <v>0.6542</v>
      </c>
      <c r="AH73" s="155" t="s">
        <v>541</v>
      </c>
      <c r="AI73" s="134" t="s">
        <v>449</v>
      </c>
      <c r="AJ73" s="134" t="s">
        <v>450</v>
      </c>
      <c r="AK73" s="137">
        <v>0.6573</v>
      </c>
      <c r="AL73" s="137">
        <v>0.67100000000000004</v>
      </c>
      <c r="AM73" s="137">
        <v>0.65090000000000003</v>
      </c>
      <c r="AN73" s="137">
        <v>0.67079999999999995</v>
      </c>
      <c r="AO73" s="137">
        <v>0.629</v>
      </c>
      <c r="AP73" s="137">
        <v>0.65990000000000004</v>
      </c>
      <c r="AQ73" s="142" t="s">
        <v>541</v>
      </c>
      <c r="AR73" s="134" t="s">
        <v>519</v>
      </c>
      <c r="AS73" s="134" t="s">
        <v>519</v>
      </c>
      <c r="AT73" s="137">
        <v>0.66390000000000005</v>
      </c>
      <c r="AU73" s="137">
        <v>0.66110000000000002</v>
      </c>
      <c r="AV73" s="137">
        <v>0.62590000000000001</v>
      </c>
      <c r="AW73" s="137">
        <v>0.67559999999999998</v>
      </c>
      <c r="AX73" s="137">
        <v>0.63519999999999999</v>
      </c>
      <c r="AY73" s="137">
        <v>0.65500000000000003</v>
      </c>
      <c r="AZ73" s="141" t="s">
        <v>541</v>
      </c>
      <c r="BA73" s="134" t="s">
        <v>715</v>
      </c>
      <c r="BB73" s="134" t="s">
        <v>778</v>
      </c>
      <c r="BC73" s="137">
        <v>0.65580000000000005</v>
      </c>
      <c r="BD73" s="137">
        <v>0.64349999999999996</v>
      </c>
      <c r="BE73" s="137">
        <v>0.5958</v>
      </c>
      <c r="BF73" s="137">
        <v>0.66839999999999999</v>
      </c>
      <c r="BG73" s="137">
        <v>0.62209999999999999</v>
      </c>
      <c r="BH73" s="137">
        <v>0.63939999999999997</v>
      </c>
      <c r="BI73" s="140" t="s">
        <v>541</v>
      </c>
      <c r="BJ73" s="152">
        <v>335</v>
      </c>
      <c r="BK73" s="152">
        <v>329</v>
      </c>
      <c r="BL73" s="137">
        <v>0.64800000000000002</v>
      </c>
      <c r="BM73" s="137">
        <v>0.62390000000000001</v>
      </c>
      <c r="BN73" s="137">
        <v>0.58760000000000001</v>
      </c>
      <c r="BO73" s="137">
        <v>0.66</v>
      </c>
      <c r="BP73" s="137">
        <v>0.6079</v>
      </c>
      <c r="BQ73" s="137">
        <v>0.62819999999999998</v>
      </c>
      <c r="BR73" s="281" t="s">
        <v>541</v>
      </c>
      <c r="BS73" s="272">
        <v>323</v>
      </c>
      <c r="BT73" s="272">
        <v>317</v>
      </c>
      <c r="BU73" s="272">
        <v>0.63180000000000003</v>
      </c>
      <c r="BV73" s="272">
        <v>0.61509999999999998</v>
      </c>
      <c r="BW73" s="272">
        <v>0.5847</v>
      </c>
      <c r="BX73" s="272">
        <v>0.66190000000000004</v>
      </c>
      <c r="BY73" s="272">
        <v>0.60350000000000004</v>
      </c>
      <c r="BZ73" s="272">
        <v>0.62180000000000002</v>
      </c>
      <c r="CA73" s="359" t="s">
        <v>541</v>
      </c>
      <c r="CB73" s="357" t="s">
        <v>949</v>
      </c>
      <c r="CC73" s="357" t="s">
        <v>748</v>
      </c>
      <c r="CD73" s="357">
        <v>0.63619999999999999</v>
      </c>
      <c r="CE73" s="357">
        <v>0.61380000000000001</v>
      </c>
      <c r="CF73" s="357">
        <v>0.60209999999999997</v>
      </c>
      <c r="CG73" s="357">
        <v>0.67730000000000001</v>
      </c>
      <c r="CH73" s="357">
        <v>0.6099</v>
      </c>
      <c r="CI73" s="357">
        <v>0.63060000000000005</v>
      </c>
      <c r="CJ73" s="728" t="s">
        <v>541</v>
      </c>
      <c r="CK73" s="626">
        <v>316</v>
      </c>
      <c r="CL73" s="626">
        <v>309</v>
      </c>
      <c r="CM73" s="626">
        <v>0.63060000000000005</v>
      </c>
      <c r="CN73" s="626">
        <v>0.60729999999999995</v>
      </c>
      <c r="CO73" s="626">
        <v>0.59099999999999997</v>
      </c>
      <c r="CP73" s="626">
        <v>0.67369999999999997</v>
      </c>
      <c r="CQ73" s="626">
        <v>0.61809999999999998</v>
      </c>
      <c r="CR73" s="721">
        <v>0.625</v>
      </c>
      <c r="CS73" s="569" t="s">
        <v>541</v>
      </c>
      <c r="CT73" s="569">
        <v>308</v>
      </c>
      <c r="CU73" s="569">
        <v>303</v>
      </c>
      <c r="CV73" s="590">
        <v>0.63970000000000005</v>
      </c>
      <c r="CW73" s="590">
        <v>0.61209999999999998</v>
      </c>
      <c r="CX73" s="590">
        <v>0.59030000000000005</v>
      </c>
      <c r="CY73" s="590">
        <v>0.67830000000000001</v>
      </c>
      <c r="CZ73" s="590">
        <v>0.62450000000000006</v>
      </c>
      <c r="DA73" s="590">
        <v>0.62970000000000004</v>
      </c>
    </row>
    <row r="74" spans="1:105" x14ac:dyDescent="0.25">
      <c r="A74" s="36" t="s">
        <v>48</v>
      </c>
      <c r="B74" s="134" t="s">
        <v>47</v>
      </c>
      <c r="C74" s="134" t="s">
        <v>567</v>
      </c>
      <c r="D74" s="134" t="s">
        <v>417</v>
      </c>
      <c r="E74" s="134" t="s">
        <v>787</v>
      </c>
      <c r="F74" s="134" t="s">
        <v>219</v>
      </c>
      <c r="G74" s="167" t="s">
        <v>541</v>
      </c>
      <c r="H74" s="166">
        <v>64</v>
      </c>
      <c r="I74" s="166">
        <v>62</v>
      </c>
      <c r="J74" s="166">
        <v>0.64149999999999996</v>
      </c>
      <c r="K74" s="166">
        <v>0.6653</v>
      </c>
      <c r="L74" s="166">
        <v>0.64190000000000003</v>
      </c>
      <c r="M74" s="166">
        <v>0.62270000000000003</v>
      </c>
      <c r="N74" s="166">
        <v>0.65510000000000002</v>
      </c>
      <c r="O74" s="166">
        <v>0.64380000000000004</v>
      </c>
      <c r="P74" s="175" t="s">
        <v>541</v>
      </c>
      <c r="Q74" s="174" t="s">
        <v>579</v>
      </c>
      <c r="R74" s="174" t="s">
        <v>421</v>
      </c>
      <c r="S74" s="174">
        <v>0.61580000000000001</v>
      </c>
      <c r="T74" s="174">
        <v>0.65200000000000002</v>
      </c>
      <c r="U74" s="174">
        <v>0.63660000000000005</v>
      </c>
      <c r="V74" s="174">
        <v>0.62080000000000002</v>
      </c>
      <c r="W74" s="174">
        <v>0.64700000000000002</v>
      </c>
      <c r="X74" s="174">
        <v>0.63249999999999995</v>
      </c>
      <c r="Y74" s="141" t="s">
        <v>541</v>
      </c>
      <c r="Z74" s="134" t="s">
        <v>575</v>
      </c>
      <c r="AA74" s="134" t="s">
        <v>596</v>
      </c>
      <c r="AB74" s="137">
        <v>0.62409999999999999</v>
      </c>
      <c r="AC74" s="137">
        <v>0.67169999999999996</v>
      </c>
      <c r="AD74" s="137">
        <v>0.64149999999999996</v>
      </c>
      <c r="AE74" s="137">
        <v>0.64480000000000004</v>
      </c>
      <c r="AF74" s="137">
        <v>0.64800000000000002</v>
      </c>
      <c r="AG74" s="137">
        <v>0.64570000000000005</v>
      </c>
      <c r="AH74" s="155" t="s">
        <v>541</v>
      </c>
      <c r="AI74" s="134" t="s">
        <v>439</v>
      </c>
      <c r="AJ74" s="134" t="s">
        <v>637</v>
      </c>
      <c r="AK74" s="137">
        <v>0.62949999999999995</v>
      </c>
      <c r="AL74" s="137">
        <v>0.66930000000000001</v>
      </c>
      <c r="AM74" s="137">
        <v>0.63539999999999996</v>
      </c>
      <c r="AN74" s="137">
        <v>0.65459999999999996</v>
      </c>
      <c r="AO74" s="137">
        <v>0.63859999999999995</v>
      </c>
      <c r="AP74" s="137">
        <v>0.64649999999999996</v>
      </c>
      <c r="AQ74" s="142" t="s">
        <v>541</v>
      </c>
      <c r="AR74" s="134" t="s">
        <v>419</v>
      </c>
      <c r="AS74" s="134" t="s">
        <v>548</v>
      </c>
      <c r="AT74" s="137">
        <v>0.65269999999999995</v>
      </c>
      <c r="AU74" s="137">
        <v>0.66859999999999997</v>
      </c>
      <c r="AV74" s="137">
        <v>0.63519999999999999</v>
      </c>
      <c r="AW74" s="137">
        <v>0.67379999999999995</v>
      </c>
      <c r="AX74" s="137">
        <v>0.6593</v>
      </c>
      <c r="AY74" s="137">
        <v>0.65769999999999995</v>
      </c>
      <c r="AZ74" s="141" t="s">
        <v>541</v>
      </c>
      <c r="BA74" s="134" t="s">
        <v>547</v>
      </c>
      <c r="BB74" s="134" t="s">
        <v>663</v>
      </c>
      <c r="BC74" s="137">
        <v>0.65310000000000001</v>
      </c>
      <c r="BD74" s="137">
        <v>0.64970000000000006</v>
      </c>
      <c r="BE74" s="137">
        <v>0.62570000000000003</v>
      </c>
      <c r="BF74" s="137">
        <v>0.68100000000000005</v>
      </c>
      <c r="BG74" s="137">
        <v>0.6522</v>
      </c>
      <c r="BH74" s="137">
        <v>0.65239999999999998</v>
      </c>
      <c r="BI74" s="140"/>
      <c r="BJ74" s="152"/>
      <c r="BK74" s="152"/>
      <c r="BL74" s="137"/>
      <c r="BM74" s="137"/>
      <c r="BN74" s="137"/>
      <c r="BO74" s="137"/>
      <c r="BP74" s="137"/>
      <c r="BQ74" s="137"/>
      <c r="BR74" s="281" t="s">
        <v>541</v>
      </c>
      <c r="BS74" s="272">
        <v>65</v>
      </c>
      <c r="BT74" s="272">
        <v>65</v>
      </c>
      <c r="BU74" s="272">
        <v>0.65300000000000002</v>
      </c>
      <c r="BV74" s="272">
        <v>0.63339999999999996</v>
      </c>
      <c r="BW74" s="272">
        <v>0.59860000000000002</v>
      </c>
      <c r="BX74" s="272">
        <v>0.68869999999999998</v>
      </c>
      <c r="BY74" s="272">
        <v>0.6411</v>
      </c>
      <c r="BZ74" s="272">
        <v>0.64329999999999998</v>
      </c>
      <c r="CA74" s="359" t="s">
        <v>541</v>
      </c>
      <c r="CB74" s="357" t="s">
        <v>471</v>
      </c>
      <c r="CC74" s="357" t="s">
        <v>813</v>
      </c>
      <c r="CD74" s="357">
        <v>0.65159999999999996</v>
      </c>
      <c r="CE74" s="357">
        <v>0.60860000000000003</v>
      </c>
      <c r="CF74" s="357">
        <v>0.59130000000000005</v>
      </c>
      <c r="CG74" s="357">
        <v>0.68730000000000002</v>
      </c>
      <c r="CH74" s="357">
        <v>0.61370000000000002</v>
      </c>
      <c r="CI74" s="357">
        <v>0.6331</v>
      </c>
      <c r="CJ74" s="728" t="s">
        <v>541</v>
      </c>
      <c r="CK74" s="626">
        <v>96</v>
      </c>
      <c r="CL74" s="626">
        <v>95</v>
      </c>
      <c r="CM74" s="626">
        <v>0.65580000000000005</v>
      </c>
      <c r="CN74" s="626">
        <v>0.62660000000000005</v>
      </c>
      <c r="CO74" s="626">
        <v>0.60260000000000002</v>
      </c>
      <c r="CP74" s="626">
        <v>0.69530000000000003</v>
      </c>
      <c r="CQ74" s="626">
        <v>0.63349999999999995</v>
      </c>
      <c r="CR74" s="721">
        <v>0.64419999999999999</v>
      </c>
      <c r="CS74" s="569" t="s">
        <v>541</v>
      </c>
      <c r="CT74" s="569">
        <v>97</v>
      </c>
      <c r="CU74" s="569">
        <v>95</v>
      </c>
      <c r="CV74" s="590">
        <v>0.67290000000000005</v>
      </c>
      <c r="CW74" s="590">
        <v>0.64159999999999995</v>
      </c>
      <c r="CX74" s="590">
        <v>0.628</v>
      </c>
      <c r="CY74" s="590">
        <v>0.69740000000000002</v>
      </c>
      <c r="CZ74" s="590">
        <v>0.6472</v>
      </c>
      <c r="DA74" s="590">
        <v>0.65900000000000003</v>
      </c>
    </row>
    <row r="75" spans="1:105" x14ac:dyDescent="0.25">
      <c r="A75" s="126" t="s">
        <v>890</v>
      </c>
      <c r="B75" s="166" t="s">
        <v>891</v>
      </c>
      <c r="C75" s="134" t="s">
        <v>567</v>
      </c>
      <c r="D75" s="134" t="s">
        <v>417</v>
      </c>
      <c r="E75" s="134" t="s">
        <v>787</v>
      </c>
      <c r="F75" s="134" t="s">
        <v>219</v>
      </c>
      <c r="G75" s="167"/>
      <c r="H75" s="166"/>
      <c r="I75" s="166"/>
      <c r="J75" s="166"/>
      <c r="K75" s="166"/>
      <c r="L75" s="166"/>
      <c r="M75" s="166"/>
      <c r="N75" s="166"/>
      <c r="O75" s="166"/>
      <c r="P75" s="175"/>
      <c r="Q75" s="174"/>
      <c r="R75" s="174"/>
      <c r="S75" s="174"/>
      <c r="T75" s="174"/>
      <c r="U75" s="174"/>
      <c r="V75" s="174"/>
      <c r="W75" s="174"/>
      <c r="X75" s="174"/>
      <c r="Y75" s="141"/>
      <c r="Z75" s="134"/>
      <c r="AA75" s="134"/>
      <c r="AB75" s="137"/>
      <c r="AC75" s="137"/>
      <c r="AD75" s="137"/>
      <c r="AE75" s="137"/>
      <c r="AF75" s="137"/>
      <c r="AG75" s="137"/>
      <c r="AH75" s="159" t="s">
        <v>405</v>
      </c>
      <c r="AI75" s="166" t="s">
        <v>443</v>
      </c>
      <c r="AJ75" s="166" t="s">
        <v>796</v>
      </c>
      <c r="AK75" s="166">
        <v>0.69499999999999995</v>
      </c>
      <c r="AL75" s="166">
        <v>0.7026</v>
      </c>
      <c r="AM75" s="166">
        <v>0.70930000000000004</v>
      </c>
      <c r="AN75" s="166">
        <v>0.74219999999999997</v>
      </c>
      <c r="AO75" s="166">
        <v>0.69410000000000005</v>
      </c>
      <c r="AP75" s="166">
        <v>0.71089999999999998</v>
      </c>
      <c r="AQ75" s="139" t="s">
        <v>405</v>
      </c>
      <c r="AR75" s="166" t="s">
        <v>894</v>
      </c>
      <c r="AS75" s="166" t="s">
        <v>431</v>
      </c>
      <c r="AT75" s="166">
        <v>0.69910000000000005</v>
      </c>
      <c r="AU75" s="166">
        <v>0.6905</v>
      </c>
      <c r="AV75" s="166">
        <v>0.68700000000000006</v>
      </c>
      <c r="AW75" s="166">
        <v>0.73309999999999997</v>
      </c>
      <c r="AX75" s="166">
        <v>0.70630000000000004</v>
      </c>
      <c r="AY75" s="166">
        <v>0.70269999999999999</v>
      </c>
      <c r="AZ75" s="165" t="s">
        <v>405</v>
      </c>
      <c r="BA75" s="166" t="s">
        <v>713</v>
      </c>
      <c r="BB75" s="166" t="s">
        <v>456</v>
      </c>
      <c r="BC75" s="166">
        <v>0.68469999999999998</v>
      </c>
      <c r="BD75" s="166">
        <v>0.67449999999999999</v>
      </c>
      <c r="BE75" s="166">
        <v>0.6663</v>
      </c>
      <c r="BF75" s="166">
        <v>0.71950000000000003</v>
      </c>
      <c r="BG75" s="166">
        <v>0.69220000000000004</v>
      </c>
      <c r="BH75" s="166">
        <v>0.68669999999999998</v>
      </c>
      <c r="BI75" s="140"/>
      <c r="BJ75" s="152"/>
      <c r="BK75" s="152"/>
      <c r="BL75" s="137"/>
      <c r="BM75" s="137"/>
      <c r="BN75" s="137"/>
      <c r="BO75" s="137"/>
      <c r="BP75" s="137"/>
      <c r="BQ75" s="137"/>
      <c r="BR75" s="279" t="s">
        <v>405</v>
      </c>
      <c r="BS75" s="272">
        <v>378</v>
      </c>
      <c r="BT75" s="272">
        <v>374</v>
      </c>
      <c r="BU75" s="272">
        <v>0.70289999999999997</v>
      </c>
      <c r="BV75" s="272">
        <v>0.67800000000000005</v>
      </c>
      <c r="BW75" s="272">
        <v>0.67600000000000005</v>
      </c>
      <c r="BX75" s="272">
        <v>0.73109999999999997</v>
      </c>
      <c r="BY75" s="272">
        <v>0.66100000000000003</v>
      </c>
      <c r="BZ75" s="272">
        <v>0.69420000000000004</v>
      </c>
      <c r="CA75" s="358" t="s">
        <v>405</v>
      </c>
      <c r="CB75" s="357" t="s">
        <v>950</v>
      </c>
      <c r="CC75" s="357" t="s">
        <v>951</v>
      </c>
      <c r="CD75" s="357">
        <v>0.7107</v>
      </c>
      <c r="CE75" s="357">
        <v>0.68069999999999997</v>
      </c>
      <c r="CF75" s="357">
        <v>0.68049999999999999</v>
      </c>
      <c r="CG75" s="357">
        <v>0.7339</v>
      </c>
      <c r="CH75" s="357">
        <v>0.6784</v>
      </c>
      <c r="CI75" s="357">
        <v>0.69969999999999999</v>
      </c>
      <c r="CJ75" s="725" t="s">
        <v>405</v>
      </c>
      <c r="CK75" s="626">
        <v>613</v>
      </c>
      <c r="CL75" s="626">
        <v>603</v>
      </c>
      <c r="CM75" s="626">
        <v>0.70730000000000004</v>
      </c>
      <c r="CN75" s="626">
        <v>0.68910000000000005</v>
      </c>
      <c r="CO75" s="626">
        <v>0.68</v>
      </c>
      <c r="CP75" s="626">
        <v>0.73799999999999999</v>
      </c>
      <c r="CQ75" s="626">
        <v>0.69720000000000004</v>
      </c>
      <c r="CR75" s="721">
        <v>0.70309999999999995</v>
      </c>
      <c r="CS75" s="569" t="s">
        <v>405</v>
      </c>
      <c r="CT75" s="569">
        <v>634</v>
      </c>
      <c r="CU75" s="569">
        <v>616</v>
      </c>
      <c r="CV75" s="590">
        <v>0.72050000000000003</v>
      </c>
      <c r="CW75" s="590">
        <v>0.70379999999999998</v>
      </c>
      <c r="CX75" s="590">
        <v>0.68720000000000003</v>
      </c>
      <c r="CY75" s="590">
        <v>0.73850000000000005</v>
      </c>
      <c r="CZ75" s="590">
        <v>0.71089999999999998</v>
      </c>
      <c r="DA75" s="590">
        <v>0.71240000000000003</v>
      </c>
    </row>
    <row r="76" spans="1:105" x14ac:dyDescent="0.25">
      <c r="A76" s="36" t="s">
        <v>138</v>
      </c>
      <c r="B76" s="134" t="s">
        <v>137</v>
      </c>
      <c r="C76" s="134" t="s">
        <v>567</v>
      </c>
      <c r="D76" s="134" t="s">
        <v>417</v>
      </c>
      <c r="E76" s="134" t="s">
        <v>787</v>
      </c>
      <c r="F76" s="134" t="s">
        <v>219</v>
      </c>
      <c r="G76" s="165" t="s">
        <v>405</v>
      </c>
      <c r="H76" s="166">
        <v>279</v>
      </c>
      <c r="I76" s="166">
        <v>271</v>
      </c>
      <c r="J76" s="166">
        <v>0.66290000000000004</v>
      </c>
      <c r="K76" s="166">
        <v>0.66080000000000005</v>
      </c>
      <c r="L76" s="166">
        <v>0.68879999999999997</v>
      </c>
      <c r="M76" s="166">
        <v>0.68289999999999995</v>
      </c>
      <c r="N76" s="166">
        <v>0.66300000000000003</v>
      </c>
      <c r="O76" s="166">
        <v>0.67300000000000004</v>
      </c>
      <c r="P76" s="175" t="s">
        <v>541</v>
      </c>
      <c r="Q76" s="174" t="s">
        <v>700</v>
      </c>
      <c r="R76" s="174" t="s">
        <v>679</v>
      </c>
      <c r="S76" s="174">
        <v>0.65969999999999995</v>
      </c>
      <c r="T76" s="174">
        <v>0.66339999999999999</v>
      </c>
      <c r="U76" s="174">
        <v>0.67910000000000004</v>
      </c>
      <c r="V76" s="174">
        <v>0.6724</v>
      </c>
      <c r="W76" s="174">
        <v>0.65329999999999999</v>
      </c>
      <c r="X76" s="174">
        <v>0.66749999999999998</v>
      </c>
      <c r="Y76" s="138" t="s">
        <v>405</v>
      </c>
      <c r="Z76" s="134" t="s">
        <v>688</v>
      </c>
      <c r="AA76" s="134" t="s">
        <v>689</v>
      </c>
      <c r="AB76" s="137">
        <v>0.67989999999999995</v>
      </c>
      <c r="AC76" s="137">
        <v>0.68510000000000004</v>
      </c>
      <c r="AD76" s="137">
        <v>0.6784</v>
      </c>
      <c r="AE76" s="137">
        <v>0.68700000000000006</v>
      </c>
      <c r="AF76" s="137">
        <v>0.67130000000000001</v>
      </c>
      <c r="AG76" s="137">
        <v>0.68169999999999997</v>
      </c>
      <c r="AH76" s="159" t="s">
        <v>405</v>
      </c>
      <c r="AI76" s="134" t="s">
        <v>614</v>
      </c>
      <c r="AJ76" s="134" t="s">
        <v>615</v>
      </c>
      <c r="AK76" s="137">
        <v>0.68540000000000001</v>
      </c>
      <c r="AL76" s="137">
        <v>0.70040000000000002</v>
      </c>
      <c r="AM76" s="137">
        <v>0.6764</v>
      </c>
      <c r="AN76" s="137">
        <v>0.70789999999999997</v>
      </c>
      <c r="AO76" s="137">
        <v>0.67400000000000004</v>
      </c>
      <c r="AP76" s="137">
        <v>0.69110000000000005</v>
      </c>
      <c r="AQ76" s="139" t="s">
        <v>405</v>
      </c>
      <c r="AR76" s="134" t="s">
        <v>517</v>
      </c>
      <c r="AS76" s="134" t="s">
        <v>518</v>
      </c>
      <c r="AT76" s="137">
        <v>0.68610000000000004</v>
      </c>
      <c r="AU76" s="137">
        <v>0.69799999999999995</v>
      </c>
      <c r="AV76" s="137">
        <v>0.66490000000000005</v>
      </c>
      <c r="AW76" s="137">
        <v>0.71809999999999996</v>
      </c>
      <c r="AX76" s="137">
        <v>0.68740000000000001</v>
      </c>
      <c r="AY76" s="137">
        <v>0.69140000000000001</v>
      </c>
      <c r="AZ76" s="138" t="s">
        <v>405</v>
      </c>
      <c r="BA76" s="134" t="s">
        <v>773</v>
      </c>
      <c r="BB76" s="134" t="s">
        <v>774</v>
      </c>
      <c r="BC76" s="137">
        <v>0.68610000000000004</v>
      </c>
      <c r="BD76" s="137">
        <v>0.67449999999999999</v>
      </c>
      <c r="BE76" s="137">
        <v>0.64649999999999996</v>
      </c>
      <c r="BF76" s="137">
        <v>0.71679999999999999</v>
      </c>
      <c r="BG76" s="137">
        <v>0.67649999999999999</v>
      </c>
      <c r="BH76" s="137">
        <v>0.68059999999999998</v>
      </c>
      <c r="BI76" s="135" t="s">
        <v>405</v>
      </c>
      <c r="BJ76" s="152">
        <v>335</v>
      </c>
      <c r="BK76" s="152">
        <v>325</v>
      </c>
      <c r="BL76" s="137">
        <v>0.68889999999999996</v>
      </c>
      <c r="BM76" s="137">
        <v>0.65910000000000002</v>
      </c>
      <c r="BN76" s="137">
        <v>0.63959999999999995</v>
      </c>
      <c r="BO76" s="137">
        <v>0.71009999999999995</v>
      </c>
      <c r="BP76" s="137">
        <v>0.6643</v>
      </c>
      <c r="BQ76" s="137">
        <v>0.67359999999999998</v>
      </c>
      <c r="BR76" s="279" t="s">
        <v>405</v>
      </c>
      <c r="BS76" s="272">
        <v>340</v>
      </c>
      <c r="BT76" s="272">
        <v>336</v>
      </c>
      <c r="BU76" s="272">
        <v>0.70030000000000003</v>
      </c>
      <c r="BV76" s="272">
        <v>0.66210000000000002</v>
      </c>
      <c r="BW76" s="272">
        <v>0.64739999999999998</v>
      </c>
      <c r="BX76" s="272">
        <v>0.71619999999999995</v>
      </c>
      <c r="BY76" s="272">
        <v>0.66349999999999998</v>
      </c>
      <c r="BZ76" s="272">
        <v>0.68010000000000004</v>
      </c>
      <c r="CA76" s="709" t="s">
        <v>405</v>
      </c>
      <c r="CB76" s="682" t="s">
        <v>459</v>
      </c>
      <c r="CC76" s="682" t="s">
        <v>636</v>
      </c>
      <c r="CD76" s="682">
        <v>0.69289999999999996</v>
      </c>
      <c r="CE76" s="682">
        <v>0.66339999999999999</v>
      </c>
      <c r="CF76" s="682">
        <v>0.65880000000000005</v>
      </c>
      <c r="CG76" s="682">
        <v>0.72319999999999995</v>
      </c>
      <c r="CH76" s="682">
        <v>0.65449999999999997</v>
      </c>
      <c r="CI76" s="682">
        <v>0.68220000000000003</v>
      </c>
      <c r="CJ76" s="714" t="s">
        <v>405</v>
      </c>
      <c r="CK76" s="626">
        <v>347</v>
      </c>
      <c r="CL76" s="626">
        <v>337</v>
      </c>
      <c r="CM76" s="626">
        <v>0.69450000000000001</v>
      </c>
      <c r="CN76" s="626">
        <v>0.65659999999999996</v>
      </c>
      <c r="CO76" s="626">
        <v>0.64649999999999996</v>
      </c>
      <c r="CP76" s="626">
        <v>0.71750000000000003</v>
      </c>
      <c r="CQ76" s="626">
        <v>0.66569999999999996</v>
      </c>
      <c r="CR76" s="721">
        <v>0.67779999999999996</v>
      </c>
      <c r="CS76" s="569" t="s">
        <v>405</v>
      </c>
      <c r="CT76" s="569">
        <v>339</v>
      </c>
      <c r="CU76" s="569">
        <v>328</v>
      </c>
      <c r="CV76" s="590">
        <v>0.69710000000000005</v>
      </c>
      <c r="CW76" s="590">
        <v>0.65300000000000002</v>
      </c>
      <c r="CX76" s="590">
        <v>0.63959999999999995</v>
      </c>
      <c r="CY76" s="590">
        <v>0.71840000000000004</v>
      </c>
      <c r="CZ76" s="590">
        <v>0.65800000000000003</v>
      </c>
      <c r="DA76" s="590">
        <v>0.67559999999999998</v>
      </c>
    </row>
    <row r="77" spans="1:105" x14ac:dyDescent="0.25">
      <c r="A77" s="36" t="s">
        <v>287</v>
      </c>
      <c r="B77" s="134" t="s">
        <v>277</v>
      </c>
      <c r="C77" s="134" t="s">
        <v>567</v>
      </c>
      <c r="D77" s="134" t="s">
        <v>417</v>
      </c>
      <c r="E77" s="134" t="s">
        <v>787</v>
      </c>
      <c r="F77" s="134" t="s">
        <v>219</v>
      </c>
      <c r="G77" s="134"/>
      <c r="H77" s="134"/>
      <c r="I77" s="134"/>
      <c r="J77" s="134"/>
      <c r="K77" s="134"/>
      <c r="L77" s="134"/>
      <c r="M77" s="134"/>
      <c r="N77" s="134"/>
      <c r="O77" s="134"/>
      <c r="P77" s="568"/>
      <c r="Q77" s="568"/>
      <c r="R77" s="568"/>
      <c r="S77" s="568"/>
      <c r="T77" s="568"/>
      <c r="U77" s="568"/>
      <c r="V77" s="568"/>
      <c r="W77" s="568"/>
      <c r="X77" s="568"/>
      <c r="Y77" s="138" t="s">
        <v>405</v>
      </c>
      <c r="Z77" s="134" t="s">
        <v>581</v>
      </c>
      <c r="AA77" s="134" t="s">
        <v>581</v>
      </c>
      <c r="AB77" s="137">
        <v>0.66420000000000001</v>
      </c>
      <c r="AC77" s="137">
        <v>0.71730000000000005</v>
      </c>
      <c r="AD77" s="137">
        <v>0.66359999999999997</v>
      </c>
      <c r="AE77" s="137">
        <v>0.69230000000000003</v>
      </c>
      <c r="AF77" s="137">
        <v>0.70289999999999997</v>
      </c>
      <c r="AG77" s="137">
        <v>0.68579999999999997</v>
      </c>
      <c r="AH77" s="159" t="s">
        <v>405</v>
      </c>
      <c r="AI77" s="134" t="s">
        <v>712</v>
      </c>
      <c r="AJ77" s="134" t="s">
        <v>706</v>
      </c>
      <c r="AK77" s="137">
        <v>0.68089999999999995</v>
      </c>
      <c r="AL77" s="137">
        <v>0.71309999999999996</v>
      </c>
      <c r="AM77" s="137">
        <v>0.68169999999999997</v>
      </c>
      <c r="AN77" s="137">
        <v>0.71619999999999995</v>
      </c>
      <c r="AO77" s="137">
        <v>0.6905</v>
      </c>
      <c r="AP77" s="137">
        <v>0.69740000000000002</v>
      </c>
      <c r="AQ77" s="139" t="s">
        <v>405</v>
      </c>
      <c r="AR77" s="134" t="s">
        <v>790</v>
      </c>
      <c r="AS77" s="134" t="s">
        <v>573</v>
      </c>
      <c r="AT77" s="137">
        <v>0.68269999999999997</v>
      </c>
      <c r="AU77" s="137">
        <v>0.70489999999999997</v>
      </c>
      <c r="AV77" s="137">
        <v>0.68279999999999996</v>
      </c>
      <c r="AW77" s="137">
        <v>0.72799999999999998</v>
      </c>
      <c r="AX77" s="137">
        <v>0.69550000000000001</v>
      </c>
      <c r="AY77" s="137">
        <v>0.69930000000000003</v>
      </c>
      <c r="AZ77" s="138" t="s">
        <v>405</v>
      </c>
      <c r="BA77" s="134" t="s">
        <v>681</v>
      </c>
      <c r="BB77" s="134" t="s">
        <v>789</v>
      </c>
      <c r="BC77" s="137">
        <v>0.68799999999999994</v>
      </c>
      <c r="BD77" s="137">
        <v>0.69410000000000005</v>
      </c>
      <c r="BE77" s="137">
        <v>0.67520000000000002</v>
      </c>
      <c r="BF77" s="137">
        <v>0.73250000000000004</v>
      </c>
      <c r="BG77" s="137">
        <v>0.6855</v>
      </c>
      <c r="BH77" s="137">
        <v>0.69650000000000001</v>
      </c>
      <c r="BI77" s="135" t="s">
        <v>405</v>
      </c>
      <c r="BJ77" s="152">
        <v>205</v>
      </c>
      <c r="BK77" s="152">
        <v>202</v>
      </c>
      <c r="BL77" s="137">
        <v>0.72829999999999995</v>
      </c>
      <c r="BM77" s="137">
        <v>0.70120000000000005</v>
      </c>
      <c r="BN77" s="137">
        <v>0.69769999999999999</v>
      </c>
      <c r="BO77" s="137">
        <v>0.74770000000000003</v>
      </c>
      <c r="BP77" s="137">
        <v>0.6512</v>
      </c>
      <c r="BQ77" s="137">
        <v>0.71350000000000002</v>
      </c>
      <c r="BR77" s="279" t="s">
        <v>405</v>
      </c>
      <c r="BS77" s="272">
        <v>724</v>
      </c>
      <c r="BT77" s="272">
        <v>716</v>
      </c>
      <c r="BU77" s="272">
        <v>0.69410000000000005</v>
      </c>
      <c r="BV77" s="272">
        <v>0.67400000000000004</v>
      </c>
      <c r="BW77" s="272">
        <v>0.6552</v>
      </c>
      <c r="BX77" s="272">
        <v>0.72589999999999999</v>
      </c>
      <c r="BY77" s="272">
        <v>0.65569999999999995</v>
      </c>
      <c r="BZ77" s="272">
        <v>0.68489999999999995</v>
      </c>
      <c r="CA77" s="358" t="s">
        <v>405</v>
      </c>
      <c r="CB77" s="357" t="s">
        <v>952</v>
      </c>
      <c r="CC77" s="357" t="s">
        <v>953</v>
      </c>
      <c r="CD77" s="357">
        <v>0.72060000000000002</v>
      </c>
      <c r="CE77" s="357">
        <v>0.69410000000000005</v>
      </c>
      <c r="CF77" s="357">
        <v>0.68589999999999995</v>
      </c>
      <c r="CG77" s="357">
        <v>0.74860000000000004</v>
      </c>
      <c r="CH77" s="357">
        <v>0.68559999999999999</v>
      </c>
      <c r="CI77" s="357">
        <v>0.71020000000000005</v>
      </c>
      <c r="CJ77" s="725" t="s">
        <v>405</v>
      </c>
      <c r="CK77" s="626">
        <v>715</v>
      </c>
      <c r="CL77" s="626">
        <v>708</v>
      </c>
      <c r="CM77" s="626">
        <v>0.71640000000000004</v>
      </c>
      <c r="CN77" s="626">
        <v>0.69430000000000003</v>
      </c>
      <c r="CO77" s="626">
        <v>0.68330000000000002</v>
      </c>
      <c r="CP77" s="626">
        <v>0.74980000000000002</v>
      </c>
      <c r="CQ77" s="626">
        <v>0.69989999999999997</v>
      </c>
      <c r="CR77" s="721">
        <v>0.71009999999999995</v>
      </c>
      <c r="CS77" s="569" t="s">
        <v>405</v>
      </c>
      <c r="CT77" s="569">
        <v>692</v>
      </c>
      <c r="CU77" s="569">
        <v>682</v>
      </c>
      <c r="CV77" s="590">
        <v>0.72660000000000002</v>
      </c>
      <c r="CW77" s="590">
        <v>0.70099999999999996</v>
      </c>
      <c r="CX77" s="590">
        <v>0.68910000000000005</v>
      </c>
      <c r="CY77" s="590">
        <v>0.75280000000000002</v>
      </c>
      <c r="CZ77" s="590">
        <v>0.70220000000000005</v>
      </c>
      <c r="DA77" s="590">
        <v>0.71619999999999995</v>
      </c>
    </row>
    <row r="78" spans="1:105" x14ac:dyDescent="0.25">
      <c r="A78" s="36" t="s">
        <v>103</v>
      </c>
      <c r="B78" s="134" t="s">
        <v>102</v>
      </c>
      <c r="C78" s="134" t="s">
        <v>567</v>
      </c>
      <c r="D78" s="134" t="s">
        <v>417</v>
      </c>
      <c r="E78" s="134" t="s">
        <v>787</v>
      </c>
      <c r="F78" s="134" t="s">
        <v>219</v>
      </c>
      <c r="G78" s="167" t="s">
        <v>541</v>
      </c>
      <c r="H78" s="166">
        <v>372</v>
      </c>
      <c r="I78" s="166">
        <v>365</v>
      </c>
      <c r="J78" s="166">
        <v>0.65580000000000005</v>
      </c>
      <c r="K78" s="166">
        <v>0.65959999999999996</v>
      </c>
      <c r="L78" s="166">
        <v>0.65190000000000003</v>
      </c>
      <c r="M78" s="166">
        <v>0.64839999999999998</v>
      </c>
      <c r="N78" s="166">
        <v>0.63660000000000005</v>
      </c>
      <c r="O78" s="166">
        <v>0.65259999999999996</v>
      </c>
      <c r="P78" s="175" t="s">
        <v>541</v>
      </c>
      <c r="Q78" s="174" t="s">
        <v>800</v>
      </c>
      <c r="R78" s="174" t="s">
        <v>807</v>
      </c>
      <c r="S78" s="174">
        <v>0.64600000000000002</v>
      </c>
      <c r="T78" s="174">
        <v>0.6603</v>
      </c>
      <c r="U78" s="174">
        <v>0.64549999999999996</v>
      </c>
      <c r="V78" s="174">
        <v>0.64700000000000002</v>
      </c>
      <c r="W78" s="174">
        <v>0.63849999999999996</v>
      </c>
      <c r="X78" s="174">
        <v>0.64880000000000004</v>
      </c>
      <c r="Y78" s="141" t="s">
        <v>541</v>
      </c>
      <c r="Z78" s="134" t="s">
        <v>702</v>
      </c>
      <c r="AA78" s="134" t="s">
        <v>703</v>
      </c>
      <c r="AB78" s="137">
        <v>0.6482</v>
      </c>
      <c r="AC78" s="137">
        <v>0.6643</v>
      </c>
      <c r="AD78" s="137">
        <v>0.64370000000000005</v>
      </c>
      <c r="AE78" s="137">
        <v>0.65949999999999998</v>
      </c>
      <c r="AF78" s="137">
        <v>0.64949999999999997</v>
      </c>
      <c r="AG78" s="137">
        <v>0.65359999999999996</v>
      </c>
      <c r="AH78" s="155" t="s">
        <v>541</v>
      </c>
      <c r="AI78" s="134" t="s">
        <v>635</v>
      </c>
      <c r="AJ78" s="134" t="s">
        <v>636</v>
      </c>
      <c r="AK78" s="137">
        <v>0.64629999999999999</v>
      </c>
      <c r="AL78" s="137">
        <v>0.66659999999999997</v>
      </c>
      <c r="AM78" s="137">
        <v>0.63239999999999996</v>
      </c>
      <c r="AN78" s="137">
        <v>0.66849999999999998</v>
      </c>
      <c r="AO78" s="137">
        <v>0.63739999999999997</v>
      </c>
      <c r="AP78" s="137">
        <v>0.6522</v>
      </c>
      <c r="AQ78" s="142" t="s">
        <v>541</v>
      </c>
      <c r="AR78" s="134" t="s">
        <v>550</v>
      </c>
      <c r="AS78" s="134" t="s">
        <v>442</v>
      </c>
      <c r="AT78" s="137">
        <v>0.65500000000000003</v>
      </c>
      <c r="AU78" s="137">
        <v>0.66020000000000001</v>
      </c>
      <c r="AV78" s="137">
        <v>0.62460000000000004</v>
      </c>
      <c r="AW78" s="137">
        <v>0.67659999999999998</v>
      </c>
      <c r="AX78" s="137">
        <v>0.63560000000000005</v>
      </c>
      <c r="AY78" s="137">
        <v>0.65269999999999995</v>
      </c>
      <c r="AZ78" s="141" t="s">
        <v>541</v>
      </c>
      <c r="BA78" s="134" t="s">
        <v>717</v>
      </c>
      <c r="BB78" s="134" t="s">
        <v>748</v>
      </c>
      <c r="BC78" s="137">
        <v>0.64200000000000002</v>
      </c>
      <c r="BD78" s="137">
        <v>0.63239999999999996</v>
      </c>
      <c r="BE78" s="137">
        <v>0.59399999999999997</v>
      </c>
      <c r="BF78" s="137">
        <v>0.67110000000000003</v>
      </c>
      <c r="BG78" s="137">
        <v>0.61460000000000004</v>
      </c>
      <c r="BH78" s="137">
        <v>0.63329999999999997</v>
      </c>
      <c r="BI78" s="140" t="s">
        <v>541</v>
      </c>
      <c r="BJ78" s="152">
        <v>340</v>
      </c>
      <c r="BK78" s="152">
        <v>319</v>
      </c>
      <c r="BL78" s="137">
        <v>0.6452</v>
      </c>
      <c r="BM78" s="137">
        <v>0.61509999999999998</v>
      </c>
      <c r="BN78" s="137">
        <v>0.58789999999999998</v>
      </c>
      <c r="BO78" s="137">
        <v>0.66990000000000005</v>
      </c>
      <c r="BP78" s="137">
        <v>0.60370000000000001</v>
      </c>
      <c r="BQ78" s="137">
        <v>0.62749999999999995</v>
      </c>
      <c r="BR78" s="280" t="s">
        <v>557</v>
      </c>
      <c r="BS78" s="272">
        <v>365</v>
      </c>
      <c r="BT78" s="272">
        <v>346</v>
      </c>
      <c r="BU78" s="272">
        <v>0.63090000000000002</v>
      </c>
      <c r="BV78" s="272">
        <v>0.59640000000000004</v>
      </c>
      <c r="BW78" s="272">
        <v>0.57310000000000005</v>
      </c>
      <c r="BX78" s="272">
        <v>0.65600000000000003</v>
      </c>
      <c r="BY78" s="272">
        <v>0.58169999999999999</v>
      </c>
      <c r="BZ78" s="272">
        <v>0.61160000000000003</v>
      </c>
      <c r="CA78" s="359" t="s">
        <v>541</v>
      </c>
      <c r="CB78" s="357" t="s">
        <v>752</v>
      </c>
      <c r="CC78" s="357" t="s">
        <v>954</v>
      </c>
      <c r="CD78" s="357">
        <v>0.6522</v>
      </c>
      <c r="CE78" s="357">
        <v>0.61660000000000004</v>
      </c>
      <c r="CF78" s="357">
        <v>0.60580000000000001</v>
      </c>
      <c r="CG78" s="357">
        <v>0.67320000000000002</v>
      </c>
      <c r="CH78" s="357">
        <v>0.60629999999999995</v>
      </c>
      <c r="CI78" s="357">
        <v>0.63460000000000005</v>
      </c>
      <c r="CJ78" s="728" t="s">
        <v>541</v>
      </c>
      <c r="CK78" s="626">
        <v>354</v>
      </c>
      <c r="CL78" s="626">
        <v>345</v>
      </c>
      <c r="CM78" s="626">
        <v>0.63970000000000005</v>
      </c>
      <c r="CN78" s="626">
        <v>0.61019999999999996</v>
      </c>
      <c r="CO78" s="626">
        <v>0.59930000000000005</v>
      </c>
      <c r="CP78" s="626">
        <v>0.66549999999999998</v>
      </c>
      <c r="CQ78" s="626">
        <v>0.61339999999999995</v>
      </c>
      <c r="CR78" s="721">
        <v>0.62749999999999995</v>
      </c>
      <c r="CS78" s="569" t="s">
        <v>541</v>
      </c>
      <c r="CT78" s="569">
        <v>356</v>
      </c>
      <c r="CU78" s="569">
        <v>350</v>
      </c>
      <c r="CV78" s="590">
        <v>0.64259999999999995</v>
      </c>
      <c r="CW78" s="590">
        <v>0.61560000000000004</v>
      </c>
      <c r="CX78" s="590">
        <v>0.60629999999999995</v>
      </c>
      <c r="CY78" s="590">
        <v>0.67290000000000005</v>
      </c>
      <c r="CZ78" s="590">
        <v>0.62070000000000003</v>
      </c>
      <c r="DA78" s="590">
        <v>0.63329999999999997</v>
      </c>
    </row>
    <row r="79" spans="1:105" x14ac:dyDescent="0.25">
      <c r="A79" s="36" t="s">
        <v>86</v>
      </c>
      <c r="B79" s="134" t="s">
        <v>85</v>
      </c>
      <c r="C79" s="134" t="s">
        <v>567</v>
      </c>
      <c r="D79" s="134" t="s">
        <v>417</v>
      </c>
      <c r="E79" s="134" t="s">
        <v>787</v>
      </c>
      <c r="F79" s="134" t="s">
        <v>219</v>
      </c>
      <c r="G79" s="167" t="s">
        <v>541</v>
      </c>
      <c r="H79" s="166">
        <v>829</v>
      </c>
      <c r="I79" s="166">
        <v>805</v>
      </c>
      <c r="J79" s="166">
        <v>0.67010000000000003</v>
      </c>
      <c r="K79" s="166">
        <v>0.66659999999999997</v>
      </c>
      <c r="L79" s="166">
        <v>0.66890000000000005</v>
      </c>
      <c r="M79" s="166">
        <v>0.67969999999999997</v>
      </c>
      <c r="N79" s="166">
        <v>0.64990000000000003</v>
      </c>
      <c r="O79" s="166">
        <v>0.66969999999999996</v>
      </c>
      <c r="P79" s="173" t="s">
        <v>405</v>
      </c>
      <c r="Q79" s="174" t="s">
        <v>818</v>
      </c>
      <c r="R79" s="174" t="s">
        <v>819</v>
      </c>
      <c r="S79" s="174">
        <v>0.66869999999999996</v>
      </c>
      <c r="T79" s="174">
        <v>0.67190000000000005</v>
      </c>
      <c r="U79" s="174">
        <v>0.67200000000000004</v>
      </c>
      <c r="V79" s="174">
        <v>0.68100000000000005</v>
      </c>
      <c r="W79" s="174">
        <v>0.65790000000000004</v>
      </c>
      <c r="X79" s="174">
        <v>0.67220000000000002</v>
      </c>
      <c r="Y79" s="138" t="s">
        <v>405</v>
      </c>
      <c r="Z79" s="134" t="s">
        <v>477</v>
      </c>
      <c r="AA79" s="134" t="s">
        <v>682</v>
      </c>
      <c r="AB79" s="137">
        <v>0.68179999999999996</v>
      </c>
      <c r="AC79" s="137">
        <v>0.69389999999999996</v>
      </c>
      <c r="AD79" s="137">
        <v>0.67910000000000004</v>
      </c>
      <c r="AE79" s="137">
        <v>0.69569999999999999</v>
      </c>
      <c r="AF79" s="137">
        <v>0.67259999999999998</v>
      </c>
      <c r="AG79" s="137">
        <v>0.6865</v>
      </c>
      <c r="AH79" s="159" t="s">
        <v>405</v>
      </c>
      <c r="AI79" s="134" t="s">
        <v>623</v>
      </c>
      <c r="AJ79" s="134" t="s">
        <v>624</v>
      </c>
      <c r="AK79" s="137">
        <v>0.6825</v>
      </c>
      <c r="AL79" s="137">
        <v>0.70189999999999997</v>
      </c>
      <c r="AM79" s="137">
        <v>0.67730000000000001</v>
      </c>
      <c r="AN79" s="137">
        <v>0.69899999999999995</v>
      </c>
      <c r="AO79" s="137">
        <v>0.66869999999999996</v>
      </c>
      <c r="AP79" s="137">
        <v>0.6885</v>
      </c>
      <c r="AQ79" s="139" t="s">
        <v>405</v>
      </c>
      <c r="AR79" s="134" t="s">
        <v>531</v>
      </c>
      <c r="AS79" s="134" t="s">
        <v>532</v>
      </c>
      <c r="AT79" s="137">
        <v>0.68179999999999996</v>
      </c>
      <c r="AU79" s="137">
        <v>0.69520000000000004</v>
      </c>
      <c r="AV79" s="137">
        <v>0.66500000000000004</v>
      </c>
      <c r="AW79" s="137">
        <v>0.70730000000000004</v>
      </c>
      <c r="AX79" s="137">
        <v>0.66759999999999997</v>
      </c>
      <c r="AY79" s="137">
        <v>0.68579999999999997</v>
      </c>
      <c r="AZ79" s="138" t="s">
        <v>405</v>
      </c>
      <c r="BA79" s="134" t="s">
        <v>776</v>
      </c>
      <c r="BB79" s="134" t="s">
        <v>777</v>
      </c>
      <c r="BC79" s="137">
        <v>0.67710000000000004</v>
      </c>
      <c r="BD79" s="137">
        <v>0.67330000000000001</v>
      </c>
      <c r="BE79" s="137">
        <v>0.6512</v>
      </c>
      <c r="BF79" s="137">
        <v>0.70740000000000003</v>
      </c>
      <c r="BG79" s="137">
        <v>0.65710000000000002</v>
      </c>
      <c r="BH79" s="137">
        <v>0.67569999999999997</v>
      </c>
      <c r="BI79" s="140" t="s">
        <v>541</v>
      </c>
      <c r="BJ79" s="152">
        <v>815</v>
      </c>
      <c r="BK79" s="152">
        <v>776</v>
      </c>
      <c r="BL79" s="137">
        <v>0.68110000000000004</v>
      </c>
      <c r="BM79" s="137">
        <v>0.65410000000000001</v>
      </c>
      <c r="BN79" s="137">
        <v>0.64039999999999997</v>
      </c>
      <c r="BO79" s="137">
        <v>0.70469999999999999</v>
      </c>
      <c r="BP79" s="137">
        <v>0.64219999999999999</v>
      </c>
      <c r="BQ79" s="137">
        <v>0.66790000000000005</v>
      </c>
      <c r="BR79" s="281" t="s">
        <v>541</v>
      </c>
      <c r="BS79" s="272">
        <v>708</v>
      </c>
      <c r="BT79" s="272">
        <v>694</v>
      </c>
      <c r="BU79" s="272">
        <v>0.68600000000000005</v>
      </c>
      <c r="BV79" s="272">
        <v>0.64370000000000005</v>
      </c>
      <c r="BW79" s="272">
        <v>0.63790000000000002</v>
      </c>
      <c r="BX79" s="272">
        <v>0.70689999999999997</v>
      </c>
      <c r="BY79" s="272">
        <v>0.63629999999999998</v>
      </c>
      <c r="BZ79" s="272">
        <v>0.66610000000000003</v>
      </c>
      <c r="CA79" s="358" t="s">
        <v>405</v>
      </c>
      <c r="CB79" s="357" t="s">
        <v>955</v>
      </c>
      <c r="CC79" s="357" t="s">
        <v>956</v>
      </c>
      <c r="CD79" s="357">
        <v>0.68740000000000001</v>
      </c>
      <c r="CE79" s="357">
        <v>0.64890000000000003</v>
      </c>
      <c r="CF79" s="357">
        <v>0.64539999999999997</v>
      </c>
      <c r="CG79" s="357">
        <v>0.71</v>
      </c>
      <c r="CH79" s="357">
        <v>0.64249999999999996</v>
      </c>
      <c r="CI79" s="357">
        <v>0.67059999999999997</v>
      </c>
      <c r="CJ79" s="725" t="s">
        <v>405</v>
      </c>
      <c r="CK79" s="626">
        <v>713</v>
      </c>
      <c r="CL79" s="626">
        <v>696</v>
      </c>
      <c r="CM79" s="626">
        <v>0.69379999999999997</v>
      </c>
      <c r="CN79" s="626">
        <v>0.6603</v>
      </c>
      <c r="CO79" s="626">
        <v>0.64639999999999997</v>
      </c>
      <c r="CP79" s="626">
        <v>0.71450000000000002</v>
      </c>
      <c r="CQ79" s="626">
        <v>0.67010000000000003</v>
      </c>
      <c r="CR79" s="721">
        <v>0.67810000000000004</v>
      </c>
      <c r="CS79" s="569" t="s">
        <v>405</v>
      </c>
      <c r="CT79" s="569">
        <v>788</v>
      </c>
      <c r="CU79" s="569">
        <v>773</v>
      </c>
      <c r="CV79" s="590">
        <v>0.70499999999999996</v>
      </c>
      <c r="CW79" s="590">
        <v>0.67969999999999997</v>
      </c>
      <c r="CX79" s="590">
        <v>0.65669999999999995</v>
      </c>
      <c r="CY79" s="590">
        <v>0.72450000000000003</v>
      </c>
      <c r="CZ79" s="590">
        <v>0.68240000000000001</v>
      </c>
      <c r="DA79" s="590">
        <v>0.69079999999999997</v>
      </c>
    </row>
    <row r="80" spans="1:105" x14ac:dyDescent="0.25">
      <c r="A80" s="36" t="s">
        <v>46</v>
      </c>
      <c r="B80" s="134" t="s">
        <v>45</v>
      </c>
      <c r="C80" s="134" t="s">
        <v>567</v>
      </c>
      <c r="D80" s="134" t="s">
        <v>417</v>
      </c>
      <c r="E80" s="134" t="s">
        <v>787</v>
      </c>
      <c r="F80" s="134" t="s">
        <v>221</v>
      </c>
      <c r="G80" s="165" t="s">
        <v>405</v>
      </c>
      <c r="H80" s="166">
        <v>132</v>
      </c>
      <c r="I80" s="166">
        <v>131</v>
      </c>
      <c r="J80" s="166">
        <v>0.70050000000000001</v>
      </c>
      <c r="K80" s="166">
        <v>0.70479999999999998</v>
      </c>
      <c r="L80" s="166">
        <v>0.7097</v>
      </c>
      <c r="M80" s="166">
        <v>0.72019999999999995</v>
      </c>
      <c r="N80" s="166">
        <v>0.70909999999999995</v>
      </c>
      <c r="O80" s="166">
        <v>0.70879999999999999</v>
      </c>
      <c r="P80" s="173" t="s">
        <v>405</v>
      </c>
      <c r="Q80" s="174" t="s">
        <v>704</v>
      </c>
      <c r="R80" s="174" t="s">
        <v>708</v>
      </c>
      <c r="S80" s="174">
        <v>0.69899999999999995</v>
      </c>
      <c r="T80" s="174">
        <v>0.70630000000000004</v>
      </c>
      <c r="U80" s="174">
        <v>0.70520000000000005</v>
      </c>
      <c r="V80" s="174">
        <v>0.71319999999999995</v>
      </c>
      <c r="W80" s="174">
        <v>0.69979999999999998</v>
      </c>
      <c r="X80" s="174">
        <v>0.70550000000000002</v>
      </c>
      <c r="Y80" s="138" t="s">
        <v>405</v>
      </c>
      <c r="Z80" s="134" t="s">
        <v>524</v>
      </c>
      <c r="AA80" s="134" t="s">
        <v>659</v>
      </c>
      <c r="AB80" s="137">
        <v>0.71289999999999998</v>
      </c>
      <c r="AC80" s="137">
        <v>0.71930000000000005</v>
      </c>
      <c r="AD80" s="137">
        <v>0.72030000000000005</v>
      </c>
      <c r="AE80" s="137">
        <v>0.72440000000000004</v>
      </c>
      <c r="AF80" s="137">
        <v>0.71309999999999996</v>
      </c>
      <c r="AG80" s="137">
        <v>0.71870000000000001</v>
      </c>
      <c r="AH80" s="159" t="s">
        <v>405</v>
      </c>
      <c r="AI80" s="134" t="s">
        <v>600</v>
      </c>
      <c r="AJ80" s="134" t="s">
        <v>448</v>
      </c>
      <c r="AK80" s="137">
        <v>0.69330000000000003</v>
      </c>
      <c r="AL80" s="137">
        <v>0.69730000000000003</v>
      </c>
      <c r="AM80" s="137">
        <v>0.6996</v>
      </c>
      <c r="AN80" s="137">
        <v>0.72170000000000001</v>
      </c>
      <c r="AO80" s="137">
        <v>0.70389999999999997</v>
      </c>
      <c r="AP80" s="137">
        <v>0.70299999999999996</v>
      </c>
      <c r="AQ80" s="139" t="s">
        <v>405</v>
      </c>
      <c r="AR80" s="134" t="s">
        <v>439</v>
      </c>
      <c r="AS80" s="134" t="s">
        <v>439</v>
      </c>
      <c r="AT80" s="137">
        <v>0.69230000000000003</v>
      </c>
      <c r="AU80" s="137">
        <v>0.69120000000000004</v>
      </c>
      <c r="AV80" s="137">
        <v>0.68500000000000005</v>
      </c>
      <c r="AW80" s="137">
        <v>0.73109999999999997</v>
      </c>
      <c r="AX80" s="137">
        <v>0.72289999999999999</v>
      </c>
      <c r="AY80" s="137">
        <v>0.70169999999999999</v>
      </c>
      <c r="AZ80" s="138" t="s">
        <v>405</v>
      </c>
      <c r="BA80" s="134" t="s">
        <v>500</v>
      </c>
      <c r="BB80" s="134" t="s">
        <v>429</v>
      </c>
      <c r="BC80" s="137">
        <v>0.68540000000000001</v>
      </c>
      <c r="BD80" s="137">
        <v>0.6663</v>
      </c>
      <c r="BE80" s="137">
        <v>0.66749999999999998</v>
      </c>
      <c r="BF80" s="137">
        <v>0.73529999999999995</v>
      </c>
      <c r="BG80" s="137">
        <v>0.71640000000000004</v>
      </c>
      <c r="BH80" s="137">
        <v>0.69079999999999997</v>
      </c>
      <c r="BI80" s="135" t="s">
        <v>405</v>
      </c>
      <c r="BJ80" s="152">
        <v>84</v>
      </c>
      <c r="BK80" s="152">
        <v>82</v>
      </c>
      <c r="BL80" s="137">
        <v>0.70640000000000003</v>
      </c>
      <c r="BM80" s="137">
        <v>0.65859999999999996</v>
      </c>
      <c r="BN80" s="137">
        <v>0.66</v>
      </c>
      <c r="BO80" s="137">
        <v>0.72799999999999998</v>
      </c>
      <c r="BP80" s="137">
        <v>0.71679999999999999</v>
      </c>
      <c r="BQ80" s="137">
        <v>0.69040000000000001</v>
      </c>
      <c r="BR80" s="279" t="s">
        <v>405</v>
      </c>
      <c r="BS80" s="272">
        <v>80</v>
      </c>
      <c r="BT80" s="272">
        <v>80</v>
      </c>
      <c r="BU80" s="272">
        <v>0.71540000000000004</v>
      </c>
      <c r="BV80" s="272">
        <v>0.68</v>
      </c>
      <c r="BW80" s="272">
        <v>0.69010000000000005</v>
      </c>
      <c r="BX80" s="272">
        <v>0.74639999999999995</v>
      </c>
      <c r="BY80" s="272">
        <v>0.72950000000000004</v>
      </c>
      <c r="BZ80" s="272">
        <v>0.7097</v>
      </c>
      <c r="CA80" s="346"/>
      <c r="CB80" s="346"/>
      <c r="CC80" s="346"/>
      <c r="CD80" s="346"/>
      <c r="CE80" s="346"/>
      <c r="CF80" s="346"/>
      <c r="CG80" s="346"/>
      <c r="CH80" s="346"/>
      <c r="CI80" s="346"/>
      <c r="CJ80" s="724"/>
      <c r="CK80" s="624"/>
      <c r="CL80" s="624"/>
      <c r="CM80" s="624"/>
      <c r="CN80" s="624"/>
      <c r="CO80" s="624"/>
      <c r="CP80" s="624"/>
      <c r="CQ80" s="624"/>
      <c r="CR80" s="628"/>
      <c r="CS80" s="568"/>
      <c r="CT80" s="587"/>
      <c r="CU80" s="587"/>
      <c r="CV80" s="591"/>
      <c r="CW80" s="591"/>
      <c r="CX80" s="591"/>
      <c r="CY80" s="591"/>
      <c r="CZ80" s="591"/>
      <c r="DA80" s="591"/>
    </row>
    <row r="81" spans="1:105" x14ac:dyDescent="0.25">
      <c r="A81" s="36" t="s">
        <v>61</v>
      </c>
      <c r="B81" s="134" t="s">
        <v>60</v>
      </c>
      <c r="C81" s="134" t="s">
        <v>567</v>
      </c>
      <c r="D81" s="134" t="s">
        <v>417</v>
      </c>
      <c r="E81" s="134" t="s">
        <v>787</v>
      </c>
      <c r="F81" s="134" t="s">
        <v>219</v>
      </c>
      <c r="G81" s="167" t="s">
        <v>541</v>
      </c>
      <c r="H81" s="166">
        <v>313</v>
      </c>
      <c r="I81" s="166">
        <v>308</v>
      </c>
      <c r="J81" s="166">
        <v>0.65490000000000004</v>
      </c>
      <c r="K81" s="166">
        <v>0.6522</v>
      </c>
      <c r="L81" s="166">
        <v>0.66979999999999995</v>
      </c>
      <c r="M81" s="166">
        <v>0.67490000000000006</v>
      </c>
      <c r="N81" s="166">
        <v>0.65869999999999995</v>
      </c>
      <c r="O81" s="166">
        <v>0.66269999999999996</v>
      </c>
      <c r="P81" s="175" t="s">
        <v>541</v>
      </c>
      <c r="Q81" s="174" t="s">
        <v>820</v>
      </c>
      <c r="R81" s="174" t="s">
        <v>821</v>
      </c>
      <c r="S81" s="174">
        <v>0.65559999999999996</v>
      </c>
      <c r="T81" s="174">
        <v>0.65600000000000003</v>
      </c>
      <c r="U81" s="174">
        <v>0.66559999999999997</v>
      </c>
      <c r="V81" s="174">
        <v>0.6704</v>
      </c>
      <c r="W81" s="174">
        <v>0.65029999999999999</v>
      </c>
      <c r="X81" s="174">
        <v>0.66100000000000003</v>
      </c>
      <c r="Y81" s="138" t="s">
        <v>405</v>
      </c>
      <c r="Z81" s="134" t="s">
        <v>592</v>
      </c>
      <c r="AA81" s="134" t="s">
        <v>700</v>
      </c>
      <c r="AB81" s="137">
        <v>0.66090000000000004</v>
      </c>
      <c r="AC81" s="137">
        <v>0.67910000000000004</v>
      </c>
      <c r="AD81" s="137">
        <v>0.67110000000000003</v>
      </c>
      <c r="AE81" s="137">
        <v>0.67820000000000003</v>
      </c>
      <c r="AF81" s="137">
        <v>0.66710000000000003</v>
      </c>
      <c r="AG81" s="137">
        <v>0.67190000000000005</v>
      </c>
      <c r="AH81" s="159" t="s">
        <v>405</v>
      </c>
      <c r="AI81" s="134" t="s">
        <v>585</v>
      </c>
      <c r="AJ81" s="134" t="s">
        <v>626</v>
      </c>
      <c r="AK81" s="137">
        <v>0.67530000000000001</v>
      </c>
      <c r="AL81" s="137">
        <v>0.69599999999999995</v>
      </c>
      <c r="AM81" s="137">
        <v>0.67930000000000001</v>
      </c>
      <c r="AN81" s="137">
        <v>0.69640000000000002</v>
      </c>
      <c r="AO81" s="137">
        <v>0.66769999999999996</v>
      </c>
      <c r="AP81" s="137">
        <v>0.68530000000000002</v>
      </c>
      <c r="AQ81" s="139" t="s">
        <v>405</v>
      </c>
      <c r="AR81" s="134" t="s">
        <v>527</v>
      </c>
      <c r="AS81" s="134" t="s">
        <v>528</v>
      </c>
      <c r="AT81" s="137">
        <v>0.68149999999999999</v>
      </c>
      <c r="AU81" s="137">
        <v>0.69469999999999998</v>
      </c>
      <c r="AV81" s="137">
        <v>0.66779999999999995</v>
      </c>
      <c r="AW81" s="137">
        <v>0.7087</v>
      </c>
      <c r="AX81" s="137">
        <v>0.67490000000000006</v>
      </c>
      <c r="AY81" s="137">
        <v>0.68720000000000003</v>
      </c>
      <c r="AZ81" s="138" t="s">
        <v>405</v>
      </c>
      <c r="BA81" s="134" t="s">
        <v>772</v>
      </c>
      <c r="BB81" s="134" t="s">
        <v>713</v>
      </c>
      <c r="BC81" s="137">
        <v>0.69159999999999999</v>
      </c>
      <c r="BD81" s="137">
        <v>0.67549999999999999</v>
      </c>
      <c r="BE81" s="137">
        <v>0.65149999999999997</v>
      </c>
      <c r="BF81" s="137">
        <v>0.7127</v>
      </c>
      <c r="BG81" s="137">
        <v>0.66200000000000003</v>
      </c>
      <c r="BH81" s="137">
        <v>0.68120000000000003</v>
      </c>
      <c r="BI81" s="135" t="s">
        <v>405</v>
      </c>
      <c r="BJ81" s="152">
        <v>370</v>
      </c>
      <c r="BK81" s="152">
        <v>349</v>
      </c>
      <c r="BL81" s="137">
        <v>0.69389999999999996</v>
      </c>
      <c r="BM81" s="137">
        <v>0.65539999999999998</v>
      </c>
      <c r="BN81" s="137">
        <v>0.63739999999999997</v>
      </c>
      <c r="BO81" s="137">
        <v>0.70699999999999996</v>
      </c>
      <c r="BP81" s="137">
        <v>0.64939999999999998</v>
      </c>
      <c r="BQ81" s="137">
        <v>0.67159999999999997</v>
      </c>
      <c r="BR81" s="279" t="s">
        <v>405</v>
      </c>
      <c r="BS81" s="272">
        <v>334</v>
      </c>
      <c r="BT81" s="272">
        <v>331</v>
      </c>
      <c r="BU81" s="272">
        <v>0.70379999999999998</v>
      </c>
      <c r="BV81" s="272">
        <v>0.65269999999999995</v>
      </c>
      <c r="BW81" s="272">
        <v>0.64670000000000005</v>
      </c>
      <c r="BX81" s="272">
        <v>0.71220000000000006</v>
      </c>
      <c r="BY81" s="272">
        <v>0.65800000000000003</v>
      </c>
      <c r="BZ81" s="272">
        <v>0.67720000000000002</v>
      </c>
      <c r="CA81" s="358" t="s">
        <v>405</v>
      </c>
      <c r="CB81" s="357" t="s">
        <v>834</v>
      </c>
      <c r="CC81" s="357" t="s">
        <v>665</v>
      </c>
      <c r="CD81" s="357">
        <v>0.70730000000000004</v>
      </c>
      <c r="CE81" s="357">
        <v>0.6542</v>
      </c>
      <c r="CF81" s="357">
        <v>0.65339999999999998</v>
      </c>
      <c r="CG81" s="357">
        <v>0.7167</v>
      </c>
      <c r="CH81" s="357">
        <v>0.67049999999999998</v>
      </c>
      <c r="CI81" s="357">
        <v>0.68200000000000005</v>
      </c>
      <c r="CJ81" s="725" t="s">
        <v>405</v>
      </c>
      <c r="CK81" s="626">
        <v>321</v>
      </c>
      <c r="CL81" s="626">
        <v>316</v>
      </c>
      <c r="CM81" s="626">
        <v>0.70899999999999996</v>
      </c>
      <c r="CN81" s="626">
        <v>0.65900000000000003</v>
      </c>
      <c r="CO81" s="626">
        <v>0.65210000000000001</v>
      </c>
      <c r="CP81" s="626">
        <v>0.71550000000000002</v>
      </c>
      <c r="CQ81" s="626">
        <v>0.68640000000000001</v>
      </c>
      <c r="CR81" s="721">
        <v>0.68410000000000004</v>
      </c>
      <c r="CS81" s="569" t="s">
        <v>405</v>
      </c>
      <c r="CT81" s="569">
        <v>361</v>
      </c>
      <c r="CU81" s="569">
        <v>349</v>
      </c>
      <c r="CV81" s="590">
        <v>0.71089999999999998</v>
      </c>
      <c r="CW81" s="590">
        <v>0.66600000000000004</v>
      </c>
      <c r="CX81" s="590">
        <v>0.65369999999999995</v>
      </c>
      <c r="CY81" s="590">
        <v>0.7218</v>
      </c>
      <c r="CZ81" s="590">
        <v>0.69359999999999999</v>
      </c>
      <c r="DA81" s="590">
        <v>0.6885</v>
      </c>
    </row>
    <row r="82" spans="1:105" x14ac:dyDescent="0.25">
      <c r="A82" s="36" t="s">
        <v>21</v>
      </c>
      <c r="B82" s="134" t="s">
        <v>20</v>
      </c>
      <c r="C82" s="134" t="s">
        <v>567</v>
      </c>
      <c r="D82" s="134" t="s">
        <v>417</v>
      </c>
      <c r="E82" s="134" t="s">
        <v>787</v>
      </c>
      <c r="F82" s="134" t="s">
        <v>219</v>
      </c>
      <c r="G82" s="165" t="s">
        <v>405</v>
      </c>
      <c r="H82" s="166">
        <v>599</v>
      </c>
      <c r="I82" s="166">
        <v>595</v>
      </c>
      <c r="J82" s="166">
        <v>0.67490000000000006</v>
      </c>
      <c r="K82" s="166">
        <v>0.68140000000000001</v>
      </c>
      <c r="L82" s="166">
        <v>0.68389999999999995</v>
      </c>
      <c r="M82" s="166">
        <v>0.68440000000000001</v>
      </c>
      <c r="N82" s="166">
        <v>0.67949999999999999</v>
      </c>
      <c r="O82" s="166">
        <v>0.68100000000000005</v>
      </c>
      <c r="P82" s="173" t="s">
        <v>405</v>
      </c>
      <c r="Q82" s="174" t="s">
        <v>822</v>
      </c>
      <c r="R82" s="174" t="s">
        <v>823</v>
      </c>
      <c r="S82" s="174">
        <v>0.67279999999999995</v>
      </c>
      <c r="T82" s="174">
        <v>0.68300000000000005</v>
      </c>
      <c r="U82" s="174">
        <v>0.68379999999999996</v>
      </c>
      <c r="V82" s="174">
        <v>0.67730000000000001</v>
      </c>
      <c r="W82" s="174">
        <v>0.68210000000000004</v>
      </c>
      <c r="X82" s="174">
        <v>0.6794</v>
      </c>
      <c r="Y82" s="138" t="s">
        <v>405</v>
      </c>
      <c r="Z82" s="134" t="s">
        <v>683</v>
      </c>
      <c r="AA82" s="134" t="s">
        <v>684</v>
      </c>
      <c r="AB82" s="137">
        <v>0.67610000000000003</v>
      </c>
      <c r="AC82" s="137">
        <v>0.69589999999999996</v>
      </c>
      <c r="AD82" s="137">
        <v>0.68179999999999996</v>
      </c>
      <c r="AE82" s="137">
        <v>0.68420000000000003</v>
      </c>
      <c r="AF82" s="137">
        <v>0.69120000000000004</v>
      </c>
      <c r="AG82" s="137">
        <v>0.68500000000000005</v>
      </c>
      <c r="AH82" s="156"/>
      <c r="AI82" s="134"/>
      <c r="AJ82" s="134"/>
      <c r="AK82" s="137"/>
      <c r="AL82" s="137"/>
      <c r="AM82" s="137"/>
      <c r="AN82" s="137"/>
      <c r="AO82" s="137"/>
      <c r="AP82" s="137"/>
      <c r="AQ82" s="134"/>
      <c r="AR82" s="134"/>
      <c r="AS82" s="134"/>
      <c r="AT82" s="137"/>
      <c r="AU82" s="137"/>
      <c r="AV82" s="137"/>
      <c r="AW82" s="137"/>
      <c r="AX82" s="137"/>
      <c r="AY82" s="137"/>
      <c r="AZ82" s="134"/>
      <c r="BA82" s="134"/>
      <c r="BB82" s="134"/>
      <c r="BC82" s="137"/>
      <c r="BD82" s="137"/>
      <c r="BE82" s="137"/>
      <c r="BF82" s="137"/>
      <c r="BG82" s="137"/>
      <c r="BH82" s="137"/>
      <c r="BI82" s="140" t="s">
        <v>541</v>
      </c>
      <c r="BJ82" s="152">
        <v>638</v>
      </c>
      <c r="BK82" s="152">
        <v>585</v>
      </c>
      <c r="BL82" s="137">
        <v>0.67059999999999997</v>
      </c>
      <c r="BM82" s="137">
        <v>0.65310000000000001</v>
      </c>
      <c r="BN82" s="137">
        <v>0.63139999999999996</v>
      </c>
      <c r="BO82" s="137">
        <v>0.69630000000000003</v>
      </c>
      <c r="BP82" s="137">
        <v>0.65249999999999997</v>
      </c>
      <c r="BQ82" s="137">
        <v>0.66200000000000003</v>
      </c>
      <c r="BR82" s="281" t="s">
        <v>541</v>
      </c>
      <c r="BS82" s="272">
        <v>573</v>
      </c>
      <c r="BT82" s="272">
        <v>557</v>
      </c>
      <c r="BU82" s="272">
        <v>0.67720000000000002</v>
      </c>
      <c r="BV82" s="272">
        <v>0.65410000000000001</v>
      </c>
      <c r="BW82" s="272">
        <v>0.64029999999999998</v>
      </c>
      <c r="BX82" s="272">
        <v>0.7127</v>
      </c>
      <c r="BY82" s="272">
        <v>0.65610000000000002</v>
      </c>
      <c r="BZ82" s="272">
        <v>0.66990000000000005</v>
      </c>
      <c r="CA82" s="358" t="s">
        <v>405</v>
      </c>
      <c r="CB82" s="357" t="s">
        <v>957</v>
      </c>
      <c r="CC82" s="357" t="s">
        <v>699</v>
      </c>
      <c r="CD82" s="357">
        <v>0.69750000000000001</v>
      </c>
      <c r="CE82" s="357">
        <v>0.66379999999999995</v>
      </c>
      <c r="CF82" s="357">
        <v>0.66110000000000002</v>
      </c>
      <c r="CG82" s="357">
        <v>0.72460000000000002</v>
      </c>
      <c r="CH82" s="357">
        <v>0.67130000000000001</v>
      </c>
      <c r="CI82" s="357">
        <v>0.68559999999999999</v>
      </c>
      <c r="CJ82" s="725" t="s">
        <v>405</v>
      </c>
      <c r="CK82" s="626">
        <v>547</v>
      </c>
      <c r="CL82" s="626">
        <v>535</v>
      </c>
      <c r="CM82" s="626">
        <v>0.69010000000000005</v>
      </c>
      <c r="CN82" s="626">
        <v>0.65910000000000002</v>
      </c>
      <c r="CO82" s="626">
        <v>0.65629999999999999</v>
      </c>
      <c r="CP82" s="626">
        <v>0.71640000000000004</v>
      </c>
      <c r="CQ82" s="626">
        <v>0.6865</v>
      </c>
      <c r="CR82" s="721">
        <v>0.68089999999999995</v>
      </c>
      <c r="CS82" s="569" t="s">
        <v>405</v>
      </c>
      <c r="CT82" s="569">
        <v>568</v>
      </c>
      <c r="CU82" s="569">
        <v>551</v>
      </c>
      <c r="CV82" s="590">
        <v>0.69779999999999998</v>
      </c>
      <c r="CW82" s="590">
        <v>0.66920000000000002</v>
      </c>
      <c r="CX82" s="590">
        <v>0.6623</v>
      </c>
      <c r="CY82" s="590">
        <v>0.71409999999999996</v>
      </c>
      <c r="CZ82" s="590">
        <v>0.6925</v>
      </c>
      <c r="DA82" s="590">
        <v>0.68640000000000001</v>
      </c>
    </row>
    <row r="83" spans="1:105" x14ac:dyDescent="0.25">
      <c r="A83" s="36" t="s">
        <v>124</v>
      </c>
      <c r="B83" s="134" t="s">
        <v>123</v>
      </c>
      <c r="C83" s="134" t="s">
        <v>567</v>
      </c>
      <c r="D83" s="134" t="s">
        <v>417</v>
      </c>
      <c r="E83" s="134" t="s">
        <v>787</v>
      </c>
      <c r="F83" s="134" t="s">
        <v>219</v>
      </c>
      <c r="G83" s="167" t="s">
        <v>541</v>
      </c>
      <c r="H83" s="166">
        <v>129</v>
      </c>
      <c r="I83" s="166">
        <v>129</v>
      </c>
      <c r="J83" s="166">
        <v>0.64329999999999998</v>
      </c>
      <c r="K83" s="166">
        <v>0.64700000000000002</v>
      </c>
      <c r="L83" s="166">
        <v>0.65639999999999998</v>
      </c>
      <c r="M83" s="166">
        <v>0.65329999999999999</v>
      </c>
      <c r="N83" s="166">
        <v>0.66759999999999997</v>
      </c>
      <c r="O83" s="166">
        <v>0.65129999999999999</v>
      </c>
      <c r="P83" s="175" t="s">
        <v>541</v>
      </c>
      <c r="Q83" s="174" t="s">
        <v>810</v>
      </c>
      <c r="R83" s="174" t="s">
        <v>824</v>
      </c>
      <c r="S83" s="174">
        <v>0.63939999999999997</v>
      </c>
      <c r="T83" s="174">
        <v>0.64810000000000001</v>
      </c>
      <c r="U83" s="174">
        <v>0.64380000000000004</v>
      </c>
      <c r="V83" s="174">
        <v>0.64900000000000002</v>
      </c>
      <c r="W83" s="174">
        <v>0.66949999999999998</v>
      </c>
      <c r="X83" s="174">
        <v>0.64700000000000002</v>
      </c>
      <c r="Y83" s="141" t="s">
        <v>541</v>
      </c>
      <c r="Z83" s="134" t="s">
        <v>693</v>
      </c>
      <c r="AA83" s="134" t="s">
        <v>669</v>
      </c>
      <c r="AB83" s="137">
        <v>0.62339999999999995</v>
      </c>
      <c r="AC83" s="137">
        <v>0.66210000000000002</v>
      </c>
      <c r="AD83" s="137">
        <v>0.63039999999999996</v>
      </c>
      <c r="AE83" s="137">
        <v>0.65239999999999998</v>
      </c>
      <c r="AF83" s="137">
        <v>0.66969999999999996</v>
      </c>
      <c r="AG83" s="137">
        <v>0.64419999999999999</v>
      </c>
      <c r="AH83" s="155" t="s">
        <v>541</v>
      </c>
      <c r="AI83" s="134" t="s">
        <v>642</v>
      </c>
      <c r="AJ83" s="134" t="s">
        <v>516</v>
      </c>
      <c r="AK83" s="137">
        <v>0.60829999999999995</v>
      </c>
      <c r="AL83" s="137">
        <v>0.65290000000000004</v>
      </c>
      <c r="AM83" s="137">
        <v>0.60740000000000005</v>
      </c>
      <c r="AN83" s="137">
        <v>0.64459999999999995</v>
      </c>
      <c r="AO83" s="137">
        <v>0.66449999999999998</v>
      </c>
      <c r="AP83" s="137">
        <v>0.63109999999999999</v>
      </c>
      <c r="AQ83" s="144" t="s">
        <v>557</v>
      </c>
      <c r="AR83" s="134" t="s">
        <v>558</v>
      </c>
      <c r="AS83" s="134" t="s">
        <v>559</v>
      </c>
      <c r="AT83" s="137">
        <v>0.58979999999999999</v>
      </c>
      <c r="AU83" s="137">
        <v>0.63080000000000003</v>
      </c>
      <c r="AV83" s="137">
        <v>0.58220000000000005</v>
      </c>
      <c r="AW83" s="137">
        <v>0.64139999999999997</v>
      </c>
      <c r="AX83" s="137">
        <v>0.65920000000000001</v>
      </c>
      <c r="AY83" s="137">
        <v>0.61470000000000002</v>
      </c>
      <c r="AZ83" s="143" t="s">
        <v>557</v>
      </c>
      <c r="BA83" s="134" t="s">
        <v>670</v>
      </c>
      <c r="BB83" s="134" t="s">
        <v>705</v>
      </c>
      <c r="BC83" s="137">
        <v>0.60040000000000004</v>
      </c>
      <c r="BD83" s="137">
        <v>0.60870000000000002</v>
      </c>
      <c r="BE83" s="137">
        <v>0.57379999999999998</v>
      </c>
      <c r="BF83" s="137">
        <v>0.65239999999999998</v>
      </c>
      <c r="BG83" s="137">
        <v>0.65090000000000003</v>
      </c>
      <c r="BH83" s="137">
        <v>0.61199999999999999</v>
      </c>
      <c r="BI83" s="151" t="s">
        <v>557</v>
      </c>
      <c r="BJ83" s="152">
        <v>164</v>
      </c>
      <c r="BK83" s="152">
        <v>148</v>
      </c>
      <c r="BL83" s="137">
        <v>0.60340000000000005</v>
      </c>
      <c r="BM83" s="137">
        <v>0.58740000000000003</v>
      </c>
      <c r="BN83" s="137">
        <v>0.55410000000000004</v>
      </c>
      <c r="BO83" s="137">
        <v>0.64149999999999996</v>
      </c>
      <c r="BP83" s="137">
        <v>0.61739999999999995</v>
      </c>
      <c r="BQ83" s="137">
        <v>0.59819999999999995</v>
      </c>
      <c r="BR83" s="280" t="s">
        <v>557</v>
      </c>
      <c r="BS83" s="272">
        <v>186</v>
      </c>
      <c r="BT83" s="272">
        <v>181</v>
      </c>
      <c r="BU83" s="272">
        <v>0.63160000000000005</v>
      </c>
      <c r="BV83" s="272">
        <v>0.60440000000000005</v>
      </c>
      <c r="BW83" s="272">
        <v>0.57840000000000003</v>
      </c>
      <c r="BX83" s="272">
        <v>0.66159999999999997</v>
      </c>
      <c r="BY83" s="272">
        <v>0.61240000000000006</v>
      </c>
      <c r="BZ83" s="272">
        <v>0.61850000000000005</v>
      </c>
      <c r="CA83" s="359" t="s">
        <v>541</v>
      </c>
      <c r="CB83" s="357" t="s">
        <v>669</v>
      </c>
      <c r="CC83" s="357" t="s">
        <v>650</v>
      </c>
      <c r="CD83" s="357">
        <v>0.63790000000000002</v>
      </c>
      <c r="CE83" s="357">
        <v>0.61670000000000003</v>
      </c>
      <c r="CF83" s="357">
        <v>0.58699999999999997</v>
      </c>
      <c r="CG83" s="357">
        <v>0.66679999999999995</v>
      </c>
      <c r="CH83" s="357">
        <v>0.62960000000000005</v>
      </c>
      <c r="CI83" s="357">
        <v>0.62729999999999997</v>
      </c>
      <c r="CJ83" s="728" t="s">
        <v>541</v>
      </c>
      <c r="CK83" s="626">
        <v>164</v>
      </c>
      <c r="CL83" s="626">
        <v>160</v>
      </c>
      <c r="CM83" s="626">
        <v>0.6472</v>
      </c>
      <c r="CN83" s="626">
        <v>0.62190000000000001</v>
      </c>
      <c r="CO83" s="626">
        <v>0.59179999999999999</v>
      </c>
      <c r="CP83" s="626">
        <v>0.67</v>
      </c>
      <c r="CQ83" s="626">
        <v>0.65190000000000003</v>
      </c>
      <c r="CR83" s="721">
        <v>0.63419999999999999</v>
      </c>
      <c r="CS83" s="569" t="s">
        <v>541</v>
      </c>
      <c r="CT83" s="569">
        <v>176</v>
      </c>
      <c r="CU83" s="569">
        <v>172</v>
      </c>
      <c r="CV83" s="590">
        <v>0.64970000000000006</v>
      </c>
      <c r="CW83" s="590">
        <v>0.6149</v>
      </c>
      <c r="CX83" s="590">
        <v>0.58789999999999998</v>
      </c>
      <c r="CY83" s="590">
        <v>0.66759999999999997</v>
      </c>
      <c r="CZ83" s="590">
        <v>0.65269999999999995</v>
      </c>
      <c r="DA83" s="590">
        <v>0.63180000000000003</v>
      </c>
    </row>
    <row r="84" spans="1:105" x14ac:dyDescent="0.25">
      <c r="A84" s="36" t="s">
        <v>23</v>
      </c>
      <c r="B84" s="134" t="s">
        <v>22</v>
      </c>
      <c r="C84" s="134" t="s">
        <v>567</v>
      </c>
      <c r="D84" s="134" t="s">
        <v>417</v>
      </c>
      <c r="E84" s="134" t="s">
        <v>787</v>
      </c>
      <c r="F84" s="134" t="s">
        <v>219</v>
      </c>
      <c r="G84" s="165" t="s">
        <v>405</v>
      </c>
      <c r="H84" s="166">
        <v>903</v>
      </c>
      <c r="I84" s="166">
        <v>893</v>
      </c>
      <c r="J84" s="166">
        <v>0.6865</v>
      </c>
      <c r="K84" s="166">
        <v>0.6996</v>
      </c>
      <c r="L84" s="166">
        <v>0.69079999999999997</v>
      </c>
      <c r="M84" s="166">
        <v>0.69650000000000001</v>
      </c>
      <c r="N84" s="166">
        <v>0.66469999999999996</v>
      </c>
      <c r="O84" s="166">
        <v>0.69110000000000005</v>
      </c>
      <c r="P84" s="173" t="s">
        <v>405</v>
      </c>
      <c r="Q84" s="174" t="s">
        <v>825</v>
      </c>
      <c r="R84" s="174" t="s">
        <v>802</v>
      </c>
      <c r="S84" s="174">
        <v>0.68420000000000003</v>
      </c>
      <c r="T84" s="174">
        <v>0.69479999999999997</v>
      </c>
      <c r="U84" s="174">
        <v>0.68769999999999998</v>
      </c>
      <c r="V84" s="174">
        <v>0.69220000000000004</v>
      </c>
      <c r="W84" s="174">
        <v>0.66190000000000004</v>
      </c>
      <c r="X84" s="174">
        <v>0.68759999999999999</v>
      </c>
      <c r="Y84" s="138" t="s">
        <v>405</v>
      </c>
      <c r="Z84" s="134" t="s">
        <v>672</v>
      </c>
      <c r="AA84" s="134" t="s">
        <v>673</v>
      </c>
      <c r="AB84" s="137">
        <v>0.69589999999999996</v>
      </c>
      <c r="AC84" s="137">
        <v>0.70899999999999996</v>
      </c>
      <c r="AD84" s="137">
        <v>0.69340000000000002</v>
      </c>
      <c r="AE84" s="137">
        <v>0.70389999999999997</v>
      </c>
      <c r="AF84" s="137">
        <v>0.67530000000000001</v>
      </c>
      <c r="AG84" s="137">
        <v>0.6986</v>
      </c>
      <c r="AH84" s="159" t="s">
        <v>405</v>
      </c>
      <c r="AI84" s="134" t="s">
        <v>605</v>
      </c>
      <c r="AJ84" s="134" t="s">
        <v>505</v>
      </c>
      <c r="AK84" s="137">
        <v>0.70509999999999995</v>
      </c>
      <c r="AL84" s="137">
        <v>0.71779999999999999</v>
      </c>
      <c r="AM84" s="137">
        <v>0.69379999999999997</v>
      </c>
      <c r="AN84" s="137">
        <v>0.71440000000000003</v>
      </c>
      <c r="AO84" s="137">
        <v>0.68740000000000001</v>
      </c>
      <c r="AP84" s="137">
        <v>0.70620000000000005</v>
      </c>
      <c r="AQ84" s="139" t="s">
        <v>405</v>
      </c>
      <c r="AR84" s="134" t="s">
        <v>476</v>
      </c>
      <c r="AS84" s="134" t="s">
        <v>477</v>
      </c>
      <c r="AT84" s="137">
        <v>0.70960000000000001</v>
      </c>
      <c r="AU84" s="137">
        <v>0.71940000000000004</v>
      </c>
      <c r="AV84" s="137">
        <v>0.68889999999999996</v>
      </c>
      <c r="AW84" s="137">
        <v>0.72970000000000002</v>
      </c>
      <c r="AX84" s="137">
        <v>0.70050000000000001</v>
      </c>
      <c r="AY84" s="137">
        <v>0.71099999999999997</v>
      </c>
      <c r="AZ84" s="138" t="s">
        <v>405</v>
      </c>
      <c r="BA84" s="134" t="s">
        <v>477</v>
      </c>
      <c r="BB84" s="134" t="s">
        <v>759</v>
      </c>
      <c r="BC84" s="137">
        <v>0.70340000000000003</v>
      </c>
      <c r="BD84" s="137">
        <v>0.69610000000000005</v>
      </c>
      <c r="BE84" s="137">
        <v>0.66590000000000005</v>
      </c>
      <c r="BF84" s="137">
        <v>0.72719999999999996</v>
      </c>
      <c r="BG84" s="137">
        <v>0.69089999999999996</v>
      </c>
      <c r="BH84" s="137">
        <v>0.6976</v>
      </c>
      <c r="BI84" s="135" t="s">
        <v>405</v>
      </c>
      <c r="BJ84" s="152">
        <v>834</v>
      </c>
      <c r="BK84" s="152">
        <v>782</v>
      </c>
      <c r="BL84" s="137">
        <v>0.69969999999999999</v>
      </c>
      <c r="BM84" s="137">
        <v>0.67320000000000002</v>
      </c>
      <c r="BN84" s="137">
        <v>0.66169999999999995</v>
      </c>
      <c r="BO84" s="137">
        <v>0.71819999999999995</v>
      </c>
      <c r="BP84" s="137">
        <v>0.66549999999999998</v>
      </c>
      <c r="BQ84" s="137">
        <v>0.68640000000000001</v>
      </c>
      <c r="BR84" s="279" t="s">
        <v>405</v>
      </c>
      <c r="BS84" s="272">
        <v>892</v>
      </c>
      <c r="BT84" s="272">
        <v>883</v>
      </c>
      <c r="BU84" s="272">
        <v>0.69950000000000001</v>
      </c>
      <c r="BV84" s="272">
        <v>0.67310000000000003</v>
      </c>
      <c r="BW84" s="272">
        <v>0.66859999999999997</v>
      </c>
      <c r="BX84" s="272">
        <v>0.72270000000000001</v>
      </c>
      <c r="BY84" s="272">
        <v>0.66790000000000005</v>
      </c>
      <c r="BZ84" s="272">
        <v>0.68920000000000003</v>
      </c>
      <c r="CA84" s="358" t="s">
        <v>405</v>
      </c>
      <c r="CB84" s="357" t="s">
        <v>958</v>
      </c>
      <c r="CC84" s="357" t="s">
        <v>686</v>
      </c>
      <c r="CD84" s="357">
        <v>0.70120000000000005</v>
      </c>
      <c r="CE84" s="357">
        <v>0.67810000000000004</v>
      </c>
      <c r="CF84" s="357">
        <v>0.67969999999999997</v>
      </c>
      <c r="CG84" s="357">
        <v>0.7238</v>
      </c>
      <c r="CH84" s="357">
        <v>0.67379999999999995</v>
      </c>
      <c r="CI84" s="357">
        <v>0.69399999999999995</v>
      </c>
      <c r="CJ84" s="725" t="s">
        <v>405</v>
      </c>
      <c r="CK84" s="626">
        <v>904</v>
      </c>
      <c r="CL84" s="626">
        <v>896</v>
      </c>
      <c r="CM84" s="626">
        <v>0.70320000000000005</v>
      </c>
      <c r="CN84" s="626">
        <v>0.6835</v>
      </c>
      <c r="CO84" s="626">
        <v>0.6734</v>
      </c>
      <c r="CP84" s="626">
        <v>0.72670000000000001</v>
      </c>
      <c r="CQ84" s="626">
        <v>0.69930000000000003</v>
      </c>
      <c r="CR84" s="721">
        <v>0.69689999999999996</v>
      </c>
      <c r="CS84" s="569" t="s">
        <v>405</v>
      </c>
      <c r="CT84" s="569">
        <v>853</v>
      </c>
      <c r="CU84" s="569">
        <v>845</v>
      </c>
      <c r="CV84" s="590">
        <v>0.71389999999999998</v>
      </c>
      <c r="CW84" s="590">
        <v>0.69269999999999998</v>
      </c>
      <c r="CX84" s="590">
        <v>0.67500000000000004</v>
      </c>
      <c r="CY84" s="590">
        <v>0.73070000000000002</v>
      </c>
      <c r="CZ84" s="590">
        <v>0.70699999999999996</v>
      </c>
      <c r="DA84" s="590">
        <v>0.70340000000000003</v>
      </c>
    </row>
    <row r="85" spans="1:105" x14ac:dyDescent="0.25">
      <c r="A85" s="36" t="s">
        <v>222</v>
      </c>
      <c r="B85" s="134" t="s">
        <v>193</v>
      </c>
      <c r="C85" s="134" t="s">
        <v>567</v>
      </c>
      <c r="D85" s="134" t="s">
        <v>417</v>
      </c>
      <c r="E85" s="134" t="s">
        <v>787</v>
      </c>
      <c r="F85" s="134" t="s">
        <v>221</v>
      </c>
      <c r="G85" s="167" t="s">
        <v>541</v>
      </c>
      <c r="H85" s="166">
        <v>14</v>
      </c>
      <c r="I85" s="166">
        <v>13</v>
      </c>
      <c r="J85" s="166">
        <v>0.66739999999999999</v>
      </c>
      <c r="K85" s="166">
        <v>0.60599999999999998</v>
      </c>
      <c r="L85" s="166">
        <v>0.65200000000000002</v>
      </c>
      <c r="M85" s="166">
        <v>0.63239999999999996</v>
      </c>
      <c r="N85" s="166">
        <v>0.65590000000000004</v>
      </c>
      <c r="O85" s="166">
        <v>0.64070000000000005</v>
      </c>
      <c r="P85" s="173" t="s">
        <v>405</v>
      </c>
      <c r="Q85" s="174" t="s">
        <v>481</v>
      </c>
      <c r="R85" s="174" t="s">
        <v>551</v>
      </c>
      <c r="S85" s="174">
        <v>0.67249999999999999</v>
      </c>
      <c r="T85" s="174">
        <v>0.66490000000000005</v>
      </c>
      <c r="U85" s="174">
        <v>0.68359999999999999</v>
      </c>
      <c r="V85" s="174">
        <v>0.67359999999999998</v>
      </c>
      <c r="W85" s="174">
        <v>0.65369999999999995</v>
      </c>
      <c r="X85" s="174">
        <v>0.67210000000000003</v>
      </c>
      <c r="Y85" s="138" t="s">
        <v>405</v>
      </c>
      <c r="Z85" s="134" t="s">
        <v>547</v>
      </c>
      <c r="AA85" s="134" t="s">
        <v>447</v>
      </c>
      <c r="AB85" s="137">
        <v>0.66779999999999995</v>
      </c>
      <c r="AC85" s="137">
        <v>0.67889999999999995</v>
      </c>
      <c r="AD85" s="137">
        <v>0.67110000000000003</v>
      </c>
      <c r="AE85" s="137">
        <v>0.68379999999999996</v>
      </c>
      <c r="AF85" s="137">
        <v>0.67120000000000002</v>
      </c>
      <c r="AG85" s="137">
        <v>0.67510000000000003</v>
      </c>
      <c r="AH85" s="159" t="s">
        <v>405</v>
      </c>
      <c r="AI85" s="134" t="s">
        <v>535</v>
      </c>
      <c r="AJ85" s="134" t="s">
        <v>554</v>
      </c>
      <c r="AK85" s="137">
        <v>0.69069999999999998</v>
      </c>
      <c r="AL85" s="137">
        <v>0.70099999999999996</v>
      </c>
      <c r="AM85" s="137">
        <v>0.68689999999999996</v>
      </c>
      <c r="AN85" s="137">
        <v>0.71479999999999999</v>
      </c>
      <c r="AO85" s="137">
        <v>0.6794</v>
      </c>
      <c r="AP85" s="137">
        <v>0.69689999999999996</v>
      </c>
      <c r="AQ85" s="139" t="s">
        <v>405</v>
      </c>
      <c r="AR85" s="134" t="s">
        <v>486</v>
      </c>
      <c r="AS85" s="134" t="s">
        <v>487</v>
      </c>
      <c r="AT85" s="137">
        <v>0.71099999999999997</v>
      </c>
      <c r="AU85" s="137">
        <v>0.70799999999999996</v>
      </c>
      <c r="AV85" s="137">
        <v>0.68179999999999996</v>
      </c>
      <c r="AW85" s="137">
        <v>0.72550000000000003</v>
      </c>
      <c r="AX85" s="137">
        <v>0.70150000000000001</v>
      </c>
      <c r="AY85" s="137">
        <v>0.70620000000000005</v>
      </c>
      <c r="AZ85" s="145" t="s">
        <v>404</v>
      </c>
      <c r="BA85" s="134" t="s">
        <v>451</v>
      </c>
      <c r="BB85" s="134" t="s">
        <v>657</v>
      </c>
      <c r="BC85" s="137">
        <v>0.74519999999999997</v>
      </c>
      <c r="BD85" s="137">
        <v>0.7167</v>
      </c>
      <c r="BE85" s="137">
        <v>0.6845</v>
      </c>
      <c r="BF85" s="137">
        <v>0.74990000000000001</v>
      </c>
      <c r="BG85" s="137">
        <v>0.71730000000000005</v>
      </c>
      <c r="BH85" s="137">
        <v>0.72360000000000002</v>
      </c>
      <c r="BI85" s="149" t="s">
        <v>404</v>
      </c>
      <c r="BJ85" s="152">
        <v>122</v>
      </c>
      <c r="BK85" s="152">
        <v>119</v>
      </c>
      <c r="BL85" s="137">
        <v>0.75329999999999997</v>
      </c>
      <c r="BM85" s="137">
        <v>0.70920000000000005</v>
      </c>
      <c r="BN85" s="137">
        <v>0.68489999999999995</v>
      </c>
      <c r="BO85" s="137">
        <v>0.74790000000000001</v>
      </c>
      <c r="BP85" s="137">
        <v>0.71350000000000002</v>
      </c>
      <c r="BQ85" s="137">
        <v>0.72299999999999998</v>
      </c>
      <c r="BR85" s="283" t="s">
        <v>404</v>
      </c>
      <c r="BS85" s="272">
        <v>141</v>
      </c>
      <c r="BT85" s="272">
        <v>140</v>
      </c>
      <c r="BU85" s="272">
        <v>0.75249999999999995</v>
      </c>
      <c r="BV85" s="272">
        <v>0.70909999999999995</v>
      </c>
      <c r="BW85" s="272">
        <v>0.69779999999999998</v>
      </c>
      <c r="BX85" s="272">
        <v>0.76890000000000003</v>
      </c>
      <c r="BY85" s="272">
        <v>0.72829999999999995</v>
      </c>
      <c r="BZ85" s="272">
        <v>0.73180000000000001</v>
      </c>
      <c r="CA85" s="366" t="s">
        <v>404</v>
      </c>
      <c r="CB85" s="357" t="s">
        <v>841</v>
      </c>
      <c r="CC85" s="357" t="s">
        <v>526</v>
      </c>
      <c r="CD85" s="357">
        <v>0.747</v>
      </c>
      <c r="CE85" s="357">
        <v>0.7046</v>
      </c>
      <c r="CF85" s="357">
        <v>0.69730000000000003</v>
      </c>
      <c r="CG85" s="357">
        <v>0.75939999999999996</v>
      </c>
      <c r="CH85" s="357">
        <v>0.72270000000000001</v>
      </c>
      <c r="CI85" s="357">
        <v>0.72670000000000001</v>
      </c>
      <c r="CJ85" s="727" t="s">
        <v>404</v>
      </c>
      <c r="CK85" s="626">
        <v>180</v>
      </c>
      <c r="CL85" s="626">
        <v>180</v>
      </c>
      <c r="CM85" s="626">
        <v>0.75429999999999997</v>
      </c>
      <c r="CN85" s="626">
        <v>0.71809999999999996</v>
      </c>
      <c r="CO85" s="626">
        <v>0.70040000000000002</v>
      </c>
      <c r="CP85" s="626">
        <v>0.76329999999999998</v>
      </c>
      <c r="CQ85" s="626">
        <v>0.74970000000000003</v>
      </c>
      <c r="CR85" s="721">
        <v>0.73519999999999996</v>
      </c>
      <c r="CS85" s="569" t="s">
        <v>404</v>
      </c>
      <c r="CT85" s="569">
        <v>175</v>
      </c>
      <c r="CU85" s="569">
        <v>175</v>
      </c>
      <c r="CV85" s="590">
        <v>0.75960000000000005</v>
      </c>
      <c r="CW85" s="590">
        <v>0.71319999999999995</v>
      </c>
      <c r="CX85" s="590">
        <v>0.69620000000000004</v>
      </c>
      <c r="CY85" s="590">
        <v>0.75280000000000002</v>
      </c>
      <c r="CZ85" s="590">
        <v>0.74680000000000002</v>
      </c>
      <c r="DA85" s="590">
        <v>0.73170000000000002</v>
      </c>
    </row>
    <row r="86" spans="1:105" x14ac:dyDescent="0.25">
      <c r="A86" s="36" t="s">
        <v>88</v>
      </c>
      <c r="B86" s="134" t="s">
        <v>87</v>
      </c>
      <c r="C86" s="134" t="s">
        <v>567</v>
      </c>
      <c r="D86" s="134" t="s">
        <v>417</v>
      </c>
      <c r="E86" s="134" t="s">
        <v>787</v>
      </c>
      <c r="F86" s="134" t="s">
        <v>219</v>
      </c>
      <c r="G86" s="165" t="s">
        <v>405</v>
      </c>
      <c r="H86" s="166">
        <v>893</v>
      </c>
      <c r="I86" s="166">
        <v>862</v>
      </c>
      <c r="J86" s="166">
        <v>0.67669999999999997</v>
      </c>
      <c r="K86" s="166">
        <v>0.66969999999999996</v>
      </c>
      <c r="L86" s="166">
        <v>0.67549999999999999</v>
      </c>
      <c r="M86" s="166">
        <v>0.68049999999999999</v>
      </c>
      <c r="N86" s="166">
        <v>0.66559999999999997</v>
      </c>
      <c r="O86" s="166">
        <v>0.67479999999999996</v>
      </c>
      <c r="P86" s="173" t="s">
        <v>405</v>
      </c>
      <c r="Q86" s="174" t="s">
        <v>711</v>
      </c>
      <c r="R86" s="174" t="s">
        <v>826</v>
      </c>
      <c r="S86" s="174">
        <v>0.67149999999999999</v>
      </c>
      <c r="T86" s="174">
        <v>0.67510000000000003</v>
      </c>
      <c r="U86" s="174">
        <v>0.67420000000000002</v>
      </c>
      <c r="V86" s="174">
        <v>0.67569999999999997</v>
      </c>
      <c r="W86" s="174">
        <v>0.66220000000000001</v>
      </c>
      <c r="X86" s="174">
        <v>0.67320000000000002</v>
      </c>
      <c r="Y86" s="138" t="s">
        <v>405</v>
      </c>
      <c r="Z86" s="134" t="s">
        <v>686</v>
      </c>
      <c r="AA86" s="134" t="s">
        <v>687</v>
      </c>
      <c r="AB86" s="137">
        <v>0.67330000000000001</v>
      </c>
      <c r="AC86" s="137">
        <v>0.68840000000000001</v>
      </c>
      <c r="AD86" s="137">
        <v>0.68140000000000001</v>
      </c>
      <c r="AE86" s="137">
        <v>0.68759999999999999</v>
      </c>
      <c r="AF86" s="137">
        <v>0.6714</v>
      </c>
      <c r="AG86" s="137">
        <v>0.68179999999999996</v>
      </c>
      <c r="AH86" s="159" t="s">
        <v>405</v>
      </c>
      <c r="AI86" s="134" t="s">
        <v>620</v>
      </c>
      <c r="AJ86" s="134" t="s">
        <v>621</v>
      </c>
      <c r="AK86" s="137">
        <v>0.67759999999999998</v>
      </c>
      <c r="AL86" s="137">
        <v>0.70250000000000001</v>
      </c>
      <c r="AM86" s="137">
        <v>0.68579999999999997</v>
      </c>
      <c r="AN86" s="137">
        <v>0.69950000000000001</v>
      </c>
      <c r="AO86" s="137">
        <v>0.66579999999999995</v>
      </c>
      <c r="AP86" s="137">
        <v>0.68940000000000001</v>
      </c>
      <c r="AQ86" s="139" t="s">
        <v>405</v>
      </c>
      <c r="AR86" s="134" t="s">
        <v>505</v>
      </c>
      <c r="AS86" s="134" t="s">
        <v>506</v>
      </c>
      <c r="AT86" s="137">
        <v>0.68810000000000004</v>
      </c>
      <c r="AU86" s="137">
        <v>0.70389999999999997</v>
      </c>
      <c r="AV86" s="137">
        <v>0.68430000000000002</v>
      </c>
      <c r="AW86" s="137">
        <v>0.71489999999999998</v>
      </c>
      <c r="AX86" s="137">
        <v>0.67920000000000003</v>
      </c>
      <c r="AY86" s="137">
        <v>0.69640000000000002</v>
      </c>
      <c r="AZ86" s="138" t="s">
        <v>405</v>
      </c>
      <c r="BA86" s="134" t="s">
        <v>764</v>
      </c>
      <c r="BB86" s="134" t="s">
        <v>765</v>
      </c>
      <c r="BC86" s="137">
        <v>0.69230000000000003</v>
      </c>
      <c r="BD86" s="137">
        <v>0.6845</v>
      </c>
      <c r="BE86" s="137">
        <v>0.66839999999999999</v>
      </c>
      <c r="BF86" s="137">
        <v>0.71989999999999998</v>
      </c>
      <c r="BG86" s="137">
        <v>0.67659999999999998</v>
      </c>
      <c r="BH86" s="137">
        <v>0.69010000000000005</v>
      </c>
      <c r="BI86" s="135" t="s">
        <v>405</v>
      </c>
      <c r="BJ86" s="152">
        <v>850</v>
      </c>
      <c r="BK86" s="152">
        <v>816</v>
      </c>
      <c r="BL86" s="137">
        <v>0.69950000000000001</v>
      </c>
      <c r="BM86" s="137">
        <v>0.66259999999999997</v>
      </c>
      <c r="BN86" s="137">
        <v>0.65690000000000004</v>
      </c>
      <c r="BO86" s="137">
        <v>0.71830000000000005</v>
      </c>
      <c r="BP86" s="137">
        <v>0.66259999999999997</v>
      </c>
      <c r="BQ86" s="137">
        <v>0.68269999999999997</v>
      </c>
      <c r="BR86" s="279" t="s">
        <v>405</v>
      </c>
      <c r="BS86" s="272">
        <v>821</v>
      </c>
      <c r="BT86" s="272">
        <v>811</v>
      </c>
      <c r="BU86" s="272">
        <v>0.69740000000000002</v>
      </c>
      <c r="BV86" s="272">
        <v>0.65990000000000004</v>
      </c>
      <c r="BW86" s="272">
        <v>0.65720000000000001</v>
      </c>
      <c r="BX86" s="272">
        <v>0.72240000000000004</v>
      </c>
      <c r="BY86" s="272">
        <v>0.66290000000000004</v>
      </c>
      <c r="BZ86" s="272">
        <v>0.68259999999999998</v>
      </c>
      <c r="CA86" s="358" t="s">
        <v>405</v>
      </c>
      <c r="CB86" s="357" t="s">
        <v>605</v>
      </c>
      <c r="CC86" s="357" t="s">
        <v>959</v>
      </c>
      <c r="CD86" s="357">
        <v>0.6865</v>
      </c>
      <c r="CE86" s="357">
        <v>0.65529999999999999</v>
      </c>
      <c r="CF86" s="357">
        <v>0.6502</v>
      </c>
      <c r="CG86" s="357">
        <v>0.71550000000000002</v>
      </c>
      <c r="CH86" s="357">
        <v>0.65310000000000001</v>
      </c>
      <c r="CI86" s="357">
        <v>0.67500000000000004</v>
      </c>
      <c r="CJ86" s="725" t="s">
        <v>405</v>
      </c>
      <c r="CK86" s="626">
        <v>894</v>
      </c>
      <c r="CL86" s="626">
        <v>870</v>
      </c>
      <c r="CM86" s="626">
        <v>0.68269999999999997</v>
      </c>
      <c r="CN86" s="626">
        <v>0.65890000000000004</v>
      </c>
      <c r="CO86" s="626">
        <v>0.64910000000000001</v>
      </c>
      <c r="CP86" s="626">
        <v>0.71650000000000003</v>
      </c>
      <c r="CQ86" s="626">
        <v>0.67159999999999997</v>
      </c>
      <c r="CR86" s="721">
        <v>0.6764</v>
      </c>
      <c r="CS86" s="569" t="s">
        <v>405</v>
      </c>
      <c r="CT86" s="569">
        <v>988</v>
      </c>
      <c r="CU86" s="569">
        <v>963</v>
      </c>
      <c r="CV86" s="590">
        <v>0.6976</v>
      </c>
      <c r="CW86" s="590">
        <v>0.67200000000000004</v>
      </c>
      <c r="CX86" s="590">
        <v>0.66090000000000004</v>
      </c>
      <c r="CY86" s="590">
        <v>0.72599999999999998</v>
      </c>
      <c r="CZ86" s="590">
        <v>0.6845</v>
      </c>
      <c r="DA86" s="590">
        <v>0.68879999999999997</v>
      </c>
    </row>
    <row r="87" spans="1:105" x14ac:dyDescent="0.25">
      <c r="A87" s="126" t="s">
        <v>1096</v>
      </c>
      <c r="B87" s="134" t="s">
        <v>104</v>
      </c>
      <c r="C87" s="134" t="s">
        <v>567</v>
      </c>
      <c r="D87" s="134" t="s">
        <v>417</v>
      </c>
      <c r="E87" s="134" t="s">
        <v>787</v>
      </c>
      <c r="F87" s="134" t="s">
        <v>219</v>
      </c>
      <c r="G87" s="165" t="s">
        <v>405</v>
      </c>
      <c r="H87" s="166">
        <v>343</v>
      </c>
      <c r="I87" s="166">
        <v>339</v>
      </c>
      <c r="J87" s="166">
        <v>0.68089999999999995</v>
      </c>
      <c r="K87" s="166">
        <v>0.67610000000000003</v>
      </c>
      <c r="L87" s="166">
        <v>0.67920000000000003</v>
      </c>
      <c r="M87" s="166">
        <v>0.68010000000000004</v>
      </c>
      <c r="N87" s="166">
        <v>0.66090000000000004</v>
      </c>
      <c r="O87" s="166">
        <v>0.67769999999999997</v>
      </c>
      <c r="P87" s="173" t="s">
        <v>405</v>
      </c>
      <c r="Q87" s="174" t="s">
        <v>501</v>
      </c>
      <c r="R87" s="174" t="s">
        <v>803</v>
      </c>
      <c r="S87" s="174">
        <v>0.69169999999999998</v>
      </c>
      <c r="T87" s="174">
        <v>0.6925</v>
      </c>
      <c r="U87" s="174">
        <v>0.69130000000000003</v>
      </c>
      <c r="V87" s="174">
        <v>0.68500000000000005</v>
      </c>
      <c r="W87" s="174">
        <v>0.67</v>
      </c>
      <c r="X87" s="174">
        <v>0.68859999999999999</v>
      </c>
      <c r="Y87" s="138" t="s">
        <v>405</v>
      </c>
      <c r="Z87" s="134" t="s">
        <v>437</v>
      </c>
      <c r="AA87" s="134" t="s">
        <v>671</v>
      </c>
      <c r="AB87" s="137">
        <v>0.69679999999999997</v>
      </c>
      <c r="AC87" s="137">
        <v>0.71050000000000002</v>
      </c>
      <c r="AD87" s="137">
        <v>0.69930000000000003</v>
      </c>
      <c r="AE87" s="137">
        <v>0.70379999999999998</v>
      </c>
      <c r="AF87" s="137">
        <v>0.69179999999999997</v>
      </c>
      <c r="AG87" s="137">
        <v>0.70179999999999998</v>
      </c>
      <c r="AH87" s="159" t="s">
        <v>405</v>
      </c>
      <c r="AI87" s="134" t="s">
        <v>604</v>
      </c>
      <c r="AJ87" s="134" t="s">
        <v>437</v>
      </c>
      <c r="AK87" s="137">
        <v>0.7036</v>
      </c>
      <c r="AL87" s="137">
        <v>0.71889999999999998</v>
      </c>
      <c r="AM87" s="137">
        <v>0.70309999999999995</v>
      </c>
      <c r="AN87" s="137">
        <v>0.72309999999999997</v>
      </c>
      <c r="AO87" s="137">
        <v>0.69489999999999996</v>
      </c>
      <c r="AP87" s="137">
        <v>0.71079999999999999</v>
      </c>
      <c r="AQ87" s="139" t="s">
        <v>405</v>
      </c>
      <c r="AR87" s="134" t="s">
        <v>492</v>
      </c>
      <c r="AS87" s="134" t="s">
        <v>493</v>
      </c>
      <c r="AT87" s="137">
        <v>0.69489999999999996</v>
      </c>
      <c r="AU87" s="137">
        <v>0.69550000000000001</v>
      </c>
      <c r="AV87" s="137">
        <v>0.68689999999999996</v>
      </c>
      <c r="AW87" s="137">
        <v>0.73</v>
      </c>
      <c r="AX87" s="137">
        <v>0.69650000000000001</v>
      </c>
      <c r="AY87" s="137">
        <v>0.70140000000000002</v>
      </c>
      <c r="AZ87" s="135" t="s">
        <v>405</v>
      </c>
      <c r="BA87" s="136" t="s">
        <v>771</v>
      </c>
      <c r="BB87" s="136" t="s">
        <v>761</v>
      </c>
      <c r="BC87" s="137">
        <v>0.68179999999999996</v>
      </c>
      <c r="BD87" s="137">
        <v>0.66779999999999995</v>
      </c>
      <c r="BE87" s="137">
        <v>0.66439999999999999</v>
      </c>
      <c r="BF87" s="137">
        <v>0.7238</v>
      </c>
      <c r="BG87" s="137">
        <v>0.67630000000000001</v>
      </c>
      <c r="BH87" s="137">
        <v>0.68379999999999996</v>
      </c>
      <c r="BI87" s="140" t="s">
        <v>541</v>
      </c>
      <c r="BJ87" s="152">
        <v>490</v>
      </c>
      <c r="BK87" s="152">
        <v>474</v>
      </c>
      <c r="BL87" s="137">
        <v>0.67320000000000002</v>
      </c>
      <c r="BM87" s="137">
        <v>0.64319999999999999</v>
      </c>
      <c r="BN87" s="137">
        <v>0.64829999999999999</v>
      </c>
      <c r="BO87" s="137">
        <v>0.71350000000000002</v>
      </c>
      <c r="BP87" s="137">
        <v>0.65500000000000003</v>
      </c>
      <c r="BQ87" s="137">
        <v>0.66839999999999999</v>
      </c>
      <c r="BR87" s="281" t="s">
        <v>541</v>
      </c>
      <c r="BS87" s="272">
        <v>456</v>
      </c>
      <c r="BT87" s="272">
        <v>448</v>
      </c>
      <c r="BU87" s="272">
        <v>0.67269999999999996</v>
      </c>
      <c r="BV87" s="272">
        <v>0.64410000000000001</v>
      </c>
      <c r="BW87" s="272">
        <v>0.6421</v>
      </c>
      <c r="BX87" s="272">
        <v>0.71750000000000003</v>
      </c>
      <c r="BY87" s="272">
        <v>0.64290000000000003</v>
      </c>
      <c r="BZ87" s="272">
        <v>0.66710000000000003</v>
      </c>
      <c r="CA87" s="359" t="s">
        <v>541</v>
      </c>
      <c r="CB87" s="357" t="s">
        <v>940</v>
      </c>
      <c r="CC87" s="357" t="s">
        <v>437</v>
      </c>
      <c r="CD87" s="357">
        <v>0.6764</v>
      </c>
      <c r="CE87" s="357">
        <v>0.63839999999999997</v>
      </c>
      <c r="CF87" s="357">
        <v>0.63900000000000001</v>
      </c>
      <c r="CG87" s="357">
        <v>0.7137</v>
      </c>
      <c r="CH87" s="357">
        <v>0.65269999999999995</v>
      </c>
      <c r="CI87" s="357">
        <v>0.66579999999999995</v>
      </c>
      <c r="CJ87" s="728" t="s">
        <v>541</v>
      </c>
      <c r="CK87" s="626">
        <v>447</v>
      </c>
      <c r="CL87" s="626">
        <v>439</v>
      </c>
      <c r="CM87" s="626">
        <v>0.67779999999999996</v>
      </c>
      <c r="CN87" s="626">
        <v>0.64710000000000001</v>
      </c>
      <c r="CO87" s="626">
        <v>0.63570000000000004</v>
      </c>
      <c r="CP87" s="626">
        <v>0.71179999999999999</v>
      </c>
      <c r="CQ87" s="626">
        <v>0.68340000000000001</v>
      </c>
      <c r="CR87" s="721">
        <v>0.66930000000000001</v>
      </c>
      <c r="CS87" s="569" t="s">
        <v>405</v>
      </c>
      <c r="CT87" s="569">
        <v>440</v>
      </c>
      <c r="CU87" s="569">
        <v>431</v>
      </c>
      <c r="CV87" s="590">
        <v>0.68489999999999995</v>
      </c>
      <c r="CW87" s="590">
        <v>0.65200000000000002</v>
      </c>
      <c r="CX87" s="590">
        <v>0.64259999999999995</v>
      </c>
      <c r="CY87" s="590">
        <v>0.71360000000000001</v>
      </c>
      <c r="CZ87" s="590">
        <v>0.69569999999999999</v>
      </c>
      <c r="DA87" s="590">
        <v>0.67500000000000004</v>
      </c>
    </row>
    <row r="88" spans="1:105" x14ac:dyDescent="0.25">
      <c r="A88" s="126" t="s">
        <v>1097</v>
      </c>
      <c r="B88" s="134" t="s">
        <v>188</v>
      </c>
      <c r="C88" s="134" t="s">
        <v>567</v>
      </c>
      <c r="D88" s="134" t="s">
        <v>417</v>
      </c>
      <c r="E88" s="134" t="s">
        <v>787</v>
      </c>
      <c r="F88" s="134" t="s">
        <v>221</v>
      </c>
      <c r="G88" s="167" t="s">
        <v>541</v>
      </c>
      <c r="H88" s="166">
        <v>67</v>
      </c>
      <c r="I88" s="166">
        <v>67</v>
      </c>
      <c r="J88" s="166">
        <v>0.65239999999999998</v>
      </c>
      <c r="K88" s="166">
        <v>0.65039999999999998</v>
      </c>
      <c r="L88" s="166">
        <v>0.63780000000000003</v>
      </c>
      <c r="M88" s="166">
        <v>0.65129999999999999</v>
      </c>
      <c r="N88" s="166">
        <v>0.64459999999999995</v>
      </c>
      <c r="O88" s="166">
        <v>0.64770000000000005</v>
      </c>
      <c r="P88" s="175" t="s">
        <v>541</v>
      </c>
      <c r="Q88" s="174" t="s">
        <v>546</v>
      </c>
      <c r="R88" s="174" t="s">
        <v>423</v>
      </c>
      <c r="S88" s="174">
        <v>0.63770000000000004</v>
      </c>
      <c r="T88" s="174">
        <v>0.65969999999999995</v>
      </c>
      <c r="U88" s="174">
        <v>0.63719999999999999</v>
      </c>
      <c r="V88" s="174">
        <v>0.6462</v>
      </c>
      <c r="W88" s="174">
        <v>0.64290000000000003</v>
      </c>
      <c r="X88" s="174">
        <v>0.64500000000000002</v>
      </c>
      <c r="Y88" s="141" t="s">
        <v>541</v>
      </c>
      <c r="Z88" s="134" t="s">
        <v>647</v>
      </c>
      <c r="AA88" s="134" t="s">
        <v>447</v>
      </c>
      <c r="AB88" s="137">
        <v>0.63600000000000001</v>
      </c>
      <c r="AC88" s="137">
        <v>0.67279999999999995</v>
      </c>
      <c r="AD88" s="137">
        <v>0.63529999999999998</v>
      </c>
      <c r="AE88" s="137">
        <v>0.65269999999999995</v>
      </c>
      <c r="AF88" s="137">
        <v>0.65100000000000002</v>
      </c>
      <c r="AG88" s="137">
        <v>0.64939999999999998</v>
      </c>
      <c r="AH88" s="155" t="s">
        <v>541</v>
      </c>
      <c r="AI88" s="134" t="s">
        <v>638</v>
      </c>
      <c r="AJ88" s="134" t="s">
        <v>639</v>
      </c>
      <c r="AK88" s="137">
        <v>0.62970000000000004</v>
      </c>
      <c r="AL88" s="137">
        <v>0.66159999999999997</v>
      </c>
      <c r="AM88" s="137">
        <v>0.621</v>
      </c>
      <c r="AN88" s="137">
        <v>0.65290000000000004</v>
      </c>
      <c r="AO88" s="137">
        <v>0.64239999999999997</v>
      </c>
      <c r="AP88" s="137">
        <v>0.64139999999999997</v>
      </c>
      <c r="AQ88" s="142" t="s">
        <v>541</v>
      </c>
      <c r="AR88" s="134" t="s">
        <v>443</v>
      </c>
      <c r="AS88" s="134" t="s">
        <v>495</v>
      </c>
      <c r="AT88" s="137">
        <v>0.62739999999999996</v>
      </c>
      <c r="AU88" s="137">
        <v>0.65339999999999998</v>
      </c>
      <c r="AV88" s="137">
        <v>0.61080000000000001</v>
      </c>
      <c r="AW88" s="137">
        <v>0.66239999999999999</v>
      </c>
      <c r="AX88" s="137">
        <v>0.6482</v>
      </c>
      <c r="AY88" s="137">
        <v>0.63919999999999999</v>
      </c>
      <c r="AZ88" s="143" t="s">
        <v>557</v>
      </c>
      <c r="BA88" s="134" t="s">
        <v>421</v>
      </c>
      <c r="BB88" s="134" t="s">
        <v>82</v>
      </c>
      <c r="BC88" s="137">
        <v>0.61040000000000005</v>
      </c>
      <c r="BD88" s="137">
        <v>0.61960000000000004</v>
      </c>
      <c r="BE88" s="137">
        <v>0.58279999999999998</v>
      </c>
      <c r="BF88" s="137">
        <v>0.66390000000000005</v>
      </c>
      <c r="BG88" s="137">
        <v>0.61499999999999999</v>
      </c>
      <c r="BH88" s="137">
        <v>0.61890000000000001</v>
      </c>
      <c r="BI88" s="140" t="s">
        <v>541</v>
      </c>
      <c r="BJ88" s="152">
        <v>67</v>
      </c>
      <c r="BK88" s="152">
        <v>63</v>
      </c>
      <c r="BL88" s="137">
        <v>0.65990000000000004</v>
      </c>
      <c r="BM88" s="137">
        <v>0.63200000000000001</v>
      </c>
      <c r="BN88" s="137">
        <v>0.62260000000000004</v>
      </c>
      <c r="BO88" s="137">
        <v>0.68789999999999996</v>
      </c>
      <c r="BP88" s="137">
        <v>0.61180000000000001</v>
      </c>
      <c r="BQ88" s="137">
        <v>0.64759999999999995</v>
      </c>
      <c r="BR88" s="279" t="s">
        <v>405</v>
      </c>
      <c r="BS88" s="272">
        <v>71</v>
      </c>
      <c r="BT88" s="272">
        <v>71</v>
      </c>
      <c r="BU88" s="272">
        <v>0.69020000000000004</v>
      </c>
      <c r="BV88" s="272">
        <v>0.65949999999999998</v>
      </c>
      <c r="BW88" s="272">
        <v>0.65569999999999995</v>
      </c>
      <c r="BX88" s="272">
        <v>0.71950000000000003</v>
      </c>
      <c r="BY88" s="272">
        <v>0.6381</v>
      </c>
      <c r="BZ88" s="272">
        <v>0.67789999999999995</v>
      </c>
      <c r="CA88" s="358" t="s">
        <v>405</v>
      </c>
      <c r="CB88" s="357" t="s">
        <v>424</v>
      </c>
      <c r="CC88" s="357" t="s">
        <v>424</v>
      </c>
      <c r="CD88" s="357">
        <v>0.70720000000000005</v>
      </c>
      <c r="CE88" s="357">
        <v>0.67049999999999998</v>
      </c>
      <c r="CF88" s="357">
        <v>0.67700000000000005</v>
      </c>
      <c r="CG88" s="357">
        <v>0.73</v>
      </c>
      <c r="CH88" s="357">
        <v>0.66100000000000003</v>
      </c>
      <c r="CI88" s="357">
        <v>0.69350000000000001</v>
      </c>
      <c r="CJ88" s="725" t="s">
        <v>405</v>
      </c>
      <c r="CK88" s="626">
        <v>67</v>
      </c>
      <c r="CL88" s="626">
        <v>67</v>
      </c>
      <c r="CM88" s="626">
        <v>0.71340000000000003</v>
      </c>
      <c r="CN88" s="626">
        <v>0.67679999999999996</v>
      </c>
      <c r="CO88" s="626">
        <v>0.67710000000000004</v>
      </c>
      <c r="CP88" s="626">
        <v>0.73580000000000001</v>
      </c>
      <c r="CQ88" s="626">
        <v>0.69479999999999997</v>
      </c>
      <c r="CR88" s="721">
        <v>0.70030000000000003</v>
      </c>
      <c r="CS88" s="569" t="s">
        <v>405</v>
      </c>
      <c r="CT88" s="569">
        <v>65</v>
      </c>
      <c r="CU88" s="569">
        <v>65</v>
      </c>
      <c r="CV88" s="590">
        <v>0.73919999999999997</v>
      </c>
      <c r="CW88" s="590">
        <v>0.69059999999999999</v>
      </c>
      <c r="CX88" s="590">
        <v>0.69430000000000003</v>
      </c>
      <c r="CY88" s="590">
        <v>0.74050000000000005</v>
      </c>
      <c r="CZ88" s="590">
        <v>0.71209999999999996</v>
      </c>
      <c r="DA88" s="590">
        <v>0.71579999999999999</v>
      </c>
    </row>
    <row r="89" spans="1:105" x14ac:dyDescent="0.25">
      <c r="A89" s="36" t="s">
        <v>172</v>
      </c>
      <c r="B89" s="134" t="s">
        <v>171</v>
      </c>
      <c r="C89" s="134" t="s">
        <v>567</v>
      </c>
      <c r="D89" s="134" t="s">
        <v>417</v>
      </c>
      <c r="E89" s="134" t="s">
        <v>787</v>
      </c>
      <c r="F89" s="134" t="s">
        <v>219</v>
      </c>
      <c r="G89" s="165" t="s">
        <v>405</v>
      </c>
      <c r="H89" s="166">
        <v>382</v>
      </c>
      <c r="I89" s="166">
        <v>379</v>
      </c>
      <c r="J89" s="166">
        <v>0.6734</v>
      </c>
      <c r="K89" s="166">
        <v>0.67610000000000003</v>
      </c>
      <c r="L89" s="166">
        <v>0.67910000000000004</v>
      </c>
      <c r="M89" s="166">
        <v>0.68899999999999995</v>
      </c>
      <c r="N89" s="166">
        <v>0.6653</v>
      </c>
      <c r="O89" s="166">
        <v>0.67830000000000001</v>
      </c>
      <c r="P89" s="173" t="s">
        <v>405</v>
      </c>
      <c r="Q89" s="174" t="s">
        <v>827</v>
      </c>
      <c r="R89" s="174" t="s">
        <v>828</v>
      </c>
      <c r="S89" s="174">
        <v>0.66620000000000001</v>
      </c>
      <c r="T89" s="174">
        <v>0.68200000000000005</v>
      </c>
      <c r="U89" s="174">
        <v>0.67549999999999999</v>
      </c>
      <c r="V89" s="174">
        <v>0.68330000000000002</v>
      </c>
      <c r="W89" s="174">
        <v>0.66110000000000002</v>
      </c>
      <c r="X89" s="174">
        <v>0.67549999999999999</v>
      </c>
      <c r="Y89" s="138" t="s">
        <v>405</v>
      </c>
      <c r="Z89" s="134" t="s">
        <v>691</v>
      </c>
      <c r="AA89" s="134" t="s">
        <v>692</v>
      </c>
      <c r="AB89" s="137">
        <v>0.66339999999999999</v>
      </c>
      <c r="AC89" s="137">
        <v>0.69599999999999995</v>
      </c>
      <c r="AD89" s="137">
        <v>0.67410000000000003</v>
      </c>
      <c r="AE89" s="137">
        <v>0.69059999999999999</v>
      </c>
      <c r="AF89" s="137">
        <v>0.67049999999999998</v>
      </c>
      <c r="AG89" s="137">
        <v>0.68020000000000003</v>
      </c>
      <c r="AH89" s="159" t="s">
        <v>405</v>
      </c>
      <c r="AI89" s="134" t="s">
        <v>629</v>
      </c>
      <c r="AJ89" s="134" t="s">
        <v>630</v>
      </c>
      <c r="AK89" s="137">
        <v>0.66869999999999996</v>
      </c>
      <c r="AL89" s="137">
        <v>0.69789999999999996</v>
      </c>
      <c r="AM89" s="137">
        <v>0.67300000000000004</v>
      </c>
      <c r="AN89" s="137">
        <v>0.69820000000000004</v>
      </c>
      <c r="AO89" s="137">
        <v>0.67100000000000004</v>
      </c>
      <c r="AP89" s="137">
        <v>0.68340000000000001</v>
      </c>
      <c r="AQ89" s="139" t="s">
        <v>405</v>
      </c>
      <c r="AR89" s="134" t="s">
        <v>521</v>
      </c>
      <c r="AS89" s="134" t="s">
        <v>522</v>
      </c>
      <c r="AT89" s="137">
        <v>0.67720000000000002</v>
      </c>
      <c r="AU89" s="137">
        <v>0.69710000000000005</v>
      </c>
      <c r="AV89" s="137">
        <v>0.67449999999999999</v>
      </c>
      <c r="AW89" s="137">
        <v>0.71560000000000001</v>
      </c>
      <c r="AX89" s="137">
        <v>0.68120000000000003</v>
      </c>
      <c r="AY89" s="137">
        <v>0.69030000000000002</v>
      </c>
      <c r="AZ89" s="138" t="s">
        <v>405</v>
      </c>
      <c r="BA89" s="134" t="s">
        <v>768</v>
      </c>
      <c r="BB89" s="134" t="s">
        <v>769</v>
      </c>
      <c r="BC89" s="137">
        <v>0.6835</v>
      </c>
      <c r="BD89" s="137">
        <v>0.68179999999999996</v>
      </c>
      <c r="BE89" s="137">
        <v>0.66259999999999997</v>
      </c>
      <c r="BF89" s="137">
        <v>0.72160000000000002</v>
      </c>
      <c r="BG89" s="137">
        <v>0.67320000000000002</v>
      </c>
      <c r="BH89" s="137">
        <v>0.68630000000000002</v>
      </c>
      <c r="BI89" s="135" t="s">
        <v>405</v>
      </c>
      <c r="BJ89" s="152">
        <v>769</v>
      </c>
      <c r="BK89" s="152">
        <v>750</v>
      </c>
      <c r="BL89" s="137">
        <v>0.68230000000000002</v>
      </c>
      <c r="BM89" s="137">
        <v>0.6694</v>
      </c>
      <c r="BN89" s="137">
        <v>0.65210000000000001</v>
      </c>
      <c r="BO89" s="137">
        <v>0.7208</v>
      </c>
      <c r="BP89" s="137">
        <v>0.66359999999999997</v>
      </c>
      <c r="BQ89" s="137">
        <v>0.67979999999999996</v>
      </c>
      <c r="BR89" s="281" t="s">
        <v>541</v>
      </c>
      <c r="BS89" s="272">
        <v>346</v>
      </c>
      <c r="BT89" s="272">
        <v>334</v>
      </c>
      <c r="BU89" s="272">
        <v>0.67390000000000005</v>
      </c>
      <c r="BV89" s="272">
        <v>0.64200000000000002</v>
      </c>
      <c r="BW89" s="272">
        <v>0.63139999999999996</v>
      </c>
      <c r="BX89" s="272">
        <v>0.70689999999999997</v>
      </c>
      <c r="BY89" s="272">
        <v>0.62480000000000002</v>
      </c>
      <c r="BZ89" s="272">
        <v>0.66059999999999997</v>
      </c>
      <c r="CA89" s="359" t="s">
        <v>541</v>
      </c>
      <c r="CB89" s="357" t="s">
        <v>960</v>
      </c>
      <c r="CC89" s="357" t="s">
        <v>442</v>
      </c>
      <c r="CD89" s="357">
        <v>0.67149999999999999</v>
      </c>
      <c r="CE89" s="357">
        <v>0.64829999999999999</v>
      </c>
      <c r="CF89" s="357">
        <v>0.64400000000000002</v>
      </c>
      <c r="CG89" s="357">
        <v>0.70720000000000005</v>
      </c>
      <c r="CH89" s="357">
        <v>0.63349999999999995</v>
      </c>
      <c r="CI89" s="357">
        <v>0.66510000000000002</v>
      </c>
      <c r="CJ89" s="728" t="s">
        <v>541</v>
      </c>
      <c r="CK89" s="626">
        <v>359</v>
      </c>
      <c r="CL89" s="626">
        <v>342</v>
      </c>
      <c r="CM89" s="626">
        <v>0.6724</v>
      </c>
      <c r="CN89" s="626">
        <v>0.64939999999999998</v>
      </c>
      <c r="CO89" s="626">
        <v>0.64410000000000001</v>
      </c>
      <c r="CP89" s="626">
        <v>0.70589999999999997</v>
      </c>
      <c r="CQ89" s="626">
        <v>0.64449999999999996</v>
      </c>
      <c r="CR89" s="721">
        <v>0.66620000000000001</v>
      </c>
      <c r="CS89" s="569" t="s">
        <v>405</v>
      </c>
      <c r="CT89" s="569">
        <v>318</v>
      </c>
      <c r="CU89" s="569">
        <v>311</v>
      </c>
      <c r="CV89" s="590">
        <v>0.68269999999999997</v>
      </c>
      <c r="CW89" s="590">
        <v>0.65890000000000004</v>
      </c>
      <c r="CX89" s="590">
        <v>0.65259999999999996</v>
      </c>
      <c r="CY89" s="590">
        <v>0.70789999999999997</v>
      </c>
      <c r="CZ89" s="590">
        <v>0.66290000000000004</v>
      </c>
      <c r="DA89" s="590">
        <v>0.67449999999999999</v>
      </c>
    </row>
    <row r="90" spans="1:105" x14ac:dyDescent="0.25">
      <c r="A90" s="324" t="s">
        <v>33</v>
      </c>
      <c r="B90" s="346" t="s">
        <v>32</v>
      </c>
      <c r="C90" s="134" t="s">
        <v>567</v>
      </c>
      <c r="D90" s="134" t="s">
        <v>417</v>
      </c>
      <c r="E90" s="346" t="s">
        <v>787</v>
      </c>
      <c r="F90" s="134" t="s">
        <v>219</v>
      </c>
      <c r="G90" s="347" t="s">
        <v>541</v>
      </c>
      <c r="H90" s="348">
        <v>573</v>
      </c>
      <c r="I90" s="348">
        <v>561</v>
      </c>
      <c r="J90" s="348">
        <v>0.6613</v>
      </c>
      <c r="K90" s="348">
        <v>0.66320000000000001</v>
      </c>
      <c r="L90" s="348">
        <v>0.66710000000000003</v>
      </c>
      <c r="M90" s="348">
        <v>0.67159999999999997</v>
      </c>
      <c r="N90" s="348">
        <v>0.65680000000000005</v>
      </c>
      <c r="O90" s="348">
        <v>0.66510000000000002</v>
      </c>
      <c r="P90" s="347" t="s">
        <v>541</v>
      </c>
      <c r="Q90" s="348" t="s">
        <v>646</v>
      </c>
      <c r="R90" s="348" t="s">
        <v>829</v>
      </c>
      <c r="S90" s="348">
        <v>0.66959999999999997</v>
      </c>
      <c r="T90" s="348">
        <v>0.67589999999999995</v>
      </c>
      <c r="U90" s="348">
        <v>0.66749999999999998</v>
      </c>
      <c r="V90" s="348">
        <v>0.66949999999999998</v>
      </c>
      <c r="W90" s="348">
        <v>0.6462</v>
      </c>
      <c r="X90" s="348">
        <v>0.66869999999999996</v>
      </c>
      <c r="Y90" s="362" t="s">
        <v>405</v>
      </c>
      <c r="Z90" s="346" t="s">
        <v>698</v>
      </c>
      <c r="AA90" s="346" t="s">
        <v>699</v>
      </c>
      <c r="AB90" s="350">
        <v>0.67030000000000001</v>
      </c>
      <c r="AC90" s="350">
        <v>0.68769999999999998</v>
      </c>
      <c r="AD90" s="350">
        <v>0.6694</v>
      </c>
      <c r="AE90" s="350">
        <v>0.67979999999999996</v>
      </c>
      <c r="AF90" s="350">
        <v>0.65259999999999996</v>
      </c>
      <c r="AG90" s="350">
        <v>0.67490000000000006</v>
      </c>
      <c r="AH90" s="368" t="s">
        <v>405</v>
      </c>
      <c r="AI90" s="346" t="s">
        <v>627</v>
      </c>
      <c r="AJ90" s="346" t="s">
        <v>628</v>
      </c>
      <c r="AK90" s="350">
        <v>0.6865</v>
      </c>
      <c r="AL90" s="350">
        <v>0.69520000000000004</v>
      </c>
      <c r="AM90" s="350">
        <v>0.67669999999999997</v>
      </c>
      <c r="AN90" s="350">
        <v>0.69159999999999999</v>
      </c>
      <c r="AO90" s="350">
        <v>0.65239999999999998</v>
      </c>
      <c r="AP90" s="350">
        <v>0.68479999999999996</v>
      </c>
      <c r="AQ90" s="369" t="s">
        <v>405</v>
      </c>
      <c r="AR90" s="346" t="s">
        <v>496</v>
      </c>
      <c r="AS90" s="346" t="s">
        <v>497</v>
      </c>
      <c r="AT90" s="350">
        <v>0.70489999999999997</v>
      </c>
      <c r="AU90" s="350">
        <v>0.7046</v>
      </c>
      <c r="AV90" s="350">
        <v>0.68340000000000001</v>
      </c>
      <c r="AW90" s="350">
        <v>0.71389999999999998</v>
      </c>
      <c r="AX90" s="350">
        <v>0.67920000000000003</v>
      </c>
      <c r="AY90" s="350">
        <v>0.7</v>
      </c>
      <c r="AZ90" s="362" t="s">
        <v>405</v>
      </c>
      <c r="BA90" s="346" t="s">
        <v>760</v>
      </c>
      <c r="BB90" s="346" t="s">
        <v>761</v>
      </c>
      <c r="BC90" s="350">
        <v>0.71450000000000002</v>
      </c>
      <c r="BD90" s="350">
        <v>0.69010000000000005</v>
      </c>
      <c r="BE90" s="350">
        <v>0.66310000000000002</v>
      </c>
      <c r="BF90" s="350">
        <v>0.71599999999999997</v>
      </c>
      <c r="BG90" s="350">
        <v>0.67949999999999999</v>
      </c>
      <c r="BH90" s="350">
        <v>0.69469999999999998</v>
      </c>
      <c r="BI90" s="370" t="s">
        <v>405</v>
      </c>
      <c r="BJ90" s="354">
        <v>532</v>
      </c>
      <c r="BK90" s="354">
        <v>505</v>
      </c>
      <c r="BL90" s="350">
        <v>0.71279999999999999</v>
      </c>
      <c r="BM90" s="350">
        <v>0.67259999999999998</v>
      </c>
      <c r="BN90" s="350">
        <v>0.65469999999999995</v>
      </c>
      <c r="BO90" s="350">
        <v>0.71819999999999995</v>
      </c>
      <c r="BP90" s="350">
        <v>0.66449999999999998</v>
      </c>
      <c r="BQ90" s="350">
        <v>0.68759999999999999</v>
      </c>
      <c r="BR90" s="371" t="s">
        <v>405</v>
      </c>
      <c r="BS90" s="348">
        <v>560</v>
      </c>
      <c r="BT90" s="348">
        <v>551</v>
      </c>
      <c r="BU90" s="348">
        <v>0.69950000000000001</v>
      </c>
      <c r="BV90" s="348">
        <v>0.65749999999999997</v>
      </c>
      <c r="BW90" s="348">
        <v>0.64559999999999995</v>
      </c>
      <c r="BX90" s="348">
        <v>0.7147</v>
      </c>
      <c r="BY90" s="348">
        <v>0.66</v>
      </c>
      <c r="BZ90" s="348">
        <v>0.67779999999999996</v>
      </c>
      <c r="CA90" s="358" t="s">
        <v>405</v>
      </c>
      <c r="CB90" s="357" t="s">
        <v>961</v>
      </c>
      <c r="CC90" s="357" t="s">
        <v>691</v>
      </c>
      <c r="CD90" s="357">
        <v>0.69279999999999997</v>
      </c>
      <c r="CE90" s="357">
        <v>0.65680000000000005</v>
      </c>
      <c r="CF90" s="357">
        <v>0.64639999999999997</v>
      </c>
      <c r="CG90" s="357">
        <v>0.71560000000000001</v>
      </c>
      <c r="CH90" s="357">
        <v>0.67300000000000004</v>
      </c>
      <c r="CI90" s="357">
        <v>0.67749999999999999</v>
      </c>
      <c r="CJ90" s="725" t="s">
        <v>405</v>
      </c>
      <c r="CK90" s="626">
        <v>577</v>
      </c>
      <c r="CL90" s="626">
        <v>559</v>
      </c>
      <c r="CM90" s="626">
        <v>0.67930000000000001</v>
      </c>
      <c r="CN90" s="626">
        <v>0.6573</v>
      </c>
      <c r="CO90" s="626">
        <v>0.63470000000000004</v>
      </c>
      <c r="CP90" s="626">
        <v>0.70589999999999997</v>
      </c>
      <c r="CQ90" s="626">
        <v>0.69020000000000004</v>
      </c>
      <c r="CR90" s="721">
        <v>0.67090000000000005</v>
      </c>
      <c r="CS90" s="569" t="s">
        <v>541</v>
      </c>
      <c r="CT90" s="569">
        <v>567</v>
      </c>
      <c r="CU90" s="569">
        <v>550</v>
      </c>
      <c r="CV90" s="590">
        <v>0.67500000000000004</v>
      </c>
      <c r="CW90" s="590">
        <v>0.65580000000000005</v>
      </c>
      <c r="CX90" s="590">
        <v>0.63090000000000002</v>
      </c>
      <c r="CY90" s="590">
        <v>0.70789999999999997</v>
      </c>
      <c r="CZ90" s="590">
        <v>0.69930000000000003</v>
      </c>
      <c r="DA90" s="590">
        <v>0.66979999999999995</v>
      </c>
    </row>
    <row r="91" spans="1:105" x14ac:dyDescent="0.25">
      <c r="A91" s="36" t="s">
        <v>65</v>
      </c>
      <c r="B91" s="134" t="s">
        <v>64</v>
      </c>
      <c r="C91" s="134" t="s">
        <v>567</v>
      </c>
      <c r="D91" s="134" t="s">
        <v>417</v>
      </c>
      <c r="E91" s="134" t="s">
        <v>787</v>
      </c>
      <c r="F91" s="134" t="s">
        <v>219</v>
      </c>
      <c r="G91" s="165" t="s">
        <v>405</v>
      </c>
      <c r="H91" s="166">
        <v>715</v>
      </c>
      <c r="I91" s="166">
        <v>709</v>
      </c>
      <c r="J91" s="166">
        <v>0.68030000000000002</v>
      </c>
      <c r="K91" s="166">
        <v>0.67430000000000001</v>
      </c>
      <c r="L91" s="166">
        <v>0.67649999999999999</v>
      </c>
      <c r="M91" s="166">
        <v>0.6845</v>
      </c>
      <c r="N91" s="166">
        <v>0.65029999999999999</v>
      </c>
      <c r="O91" s="166">
        <v>0.67669999999999997</v>
      </c>
      <c r="P91" s="173" t="s">
        <v>405</v>
      </c>
      <c r="Q91" s="174" t="s">
        <v>830</v>
      </c>
      <c r="R91" s="174" t="s">
        <v>831</v>
      </c>
      <c r="S91" s="174">
        <v>0.68179999999999996</v>
      </c>
      <c r="T91" s="174">
        <v>0.67689999999999995</v>
      </c>
      <c r="U91" s="174">
        <v>0.67720000000000002</v>
      </c>
      <c r="V91" s="174">
        <v>0.68620000000000003</v>
      </c>
      <c r="W91" s="174">
        <v>0.65459999999999996</v>
      </c>
      <c r="X91" s="174">
        <v>0.67849999999999999</v>
      </c>
      <c r="Y91" s="138" t="s">
        <v>405</v>
      </c>
      <c r="Z91" s="134" t="s">
        <v>680</v>
      </c>
      <c r="AA91" s="134" t="s">
        <v>681</v>
      </c>
      <c r="AB91" s="137">
        <v>0.68520000000000003</v>
      </c>
      <c r="AC91" s="137">
        <v>0.69169999999999998</v>
      </c>
      <c r="AD91" s="137">
        <v>0.68610000000000004</v>
      </c>
      <c r="AE91" s="137">
        <v>0.69910000000000005</v>
      </c>
      <c r="AF91" s="137">
        <v>0.66790000000000005</v>
      </c>
      <c r="AG91" s="137">
        <v>0.68879999999999997</v>
      </c>
      <c r="AH91" s="159" t="s">
        <v>405</v>
      </c>
      <c r="AI91" s="134" t="s">
        <v>616</v>
      </c>
      <c r="AJ91" s="134" t="s">
        <v>617</v>
      </c>
      <c r="AK91" s="137">
        <v>0.68120000000000003</v>
      </c>
      <c r="AL91" s="137">
        <v>0.69399999999999995</v>
      </c>
      <c r="AM91" s="137">
        <v>0.68730000000000002</v>
      </c>
      <c r="AN91" s="137">
        <v>0.70879999999999999</v>
      </c>
      <c r="AO91" s="137">
        <v>0.66900000000000004</v>
      </c>
      <c r="AP91" s="137">
        <v>0.69099999999999995</v>
      </c>
      <c r="AQ91" s="139" t="s">
        <v>405</v>
      </c>
      <c r="AR91" s="134" t="s">
        <v>509</v>
      </c>
      <c r="AS91" s="134" t="s">
        <v>510</v>
      </c>
      <c r="AT91" s="137">
        <v>0.68820000000000003</v>
      </c>
      <c r="AU91" s="137">
        <v>0.68959999999999999</v>
      </c>
      <c r="AV91" s="137">
        <v>0.67969999999999997</v>
      </c>
      <c r="AW91" s="137">
        <v>0.72170000000000001</v>
      </c>
      <c r="AX91" s="137">
        <v>0.68230000000000002</v>
      </c>
      <c r="AY91" s="137">
        <v>0.69379999999999997</v>
      </c>
      <c r="AZ91" s="138" t="s">
        <v>405</v>
      </c>
      <c r="BA91" s="134" t="s">
        <v>775</v>
      </c>
      <c r="BB91" s="134" t="s">
        <v>504</v>
      </c>
      <c r="BC91" s="137">
        <v>0.68020000000000003</v>
      </c>
      <c r="BD91" s="137">
        <v>0.66710000000000003</v>
      </c>
      <c r="BE91" s="137">
        <v>0.6583</v>
      </c>
      <c r="BF91" s="137">
        <v>0.71789999999999998</v>
      </c>
      <c r="BG91" s="137">
        <v>0.67210000000000003</v>
      </c>
      <c r="BH91" s="137">
        <v>0.68020000000000003</v>
      </c>
      <c r="BI91" s="135" t="s">
        <v>405</v>
      </c>
      <c r="BJ91" s="152">
        <v>863</v>
      </c>
      <c r="BK91" s="152">
        <v>790</v>
      </c>
      <c r="BL91" s="137">
        <v>0.68030000000000002</v>
      </c>
      <c r="BM91" s="137">
        <v>0.65329999999999999</v>
      </c>
      <c r="BN91" s="137">
        <v>0.64419999999999999</v>
      </c>
      <c r="BO91" s="137">
        <v>0.71309999999999996</v>
      </c>
      <c r="BP91" s="137">
        <v>0.66169999999999995</v>
      </c>
      <c r="BQ91" s="137">
        <v>0.67190000000000005</v>
      </c>
      <c r="BR91" s="279" t="s">
        <v>405</v>
      </c>
      <c r="BS91" s="272">
        <v>682</v>
      </c>
      <c r="BT91" s="272">
        <v>671</v>
      </c>
      <c r="BU91" s="272">
        <v>0.68740000000000001</v>
      </c>
      <c r="BV91" s="272">
        <v>0.65569999999999995</v>
      </c>
      <c r="BW91" s="272">
        <v>0.65039999999999998</v>
      </c>
      <c r="BX91" s="272">
        <v>0.72309999999999997</v>
      </c>
      <c r="BY91" s="272">
        <v>0.66110000000000002</v>
      </c>
      <c r="BZ91" s="272">
        <v>0.67779999999999996</v>
      </c>
      <c r="CA91" s="358" t="s">
        <v>405</v>
      </c>
      <c r="CB91" s="357" t="s">
        <v>804</v>
      </c>
      <c r="CC91" s="357" t="s">
        <v>695</v>
      </c>
      <c r="CD91" s="357">
        <v>0.68489999999999995</v>
      </c>
      <c r="CE91" s="357">
        <v>0.64990000000000003</v>
      </c>
      <c r="CF91" s="357">
        <v>0.64319999999999999</v>
      </c>
      <c r="CG91" s="357">
        <v>0.71609999999999996</v>
      </c>
      <c r="CH91" s="357">
        <v>0.65169999999999995</v>
      </c>
      <c r="CI91" s="357">
        <v>0.67190000000000005</v>
      </c>
      <c r="CJ91" s="728" t="s">
        <v>541</v>
      </c>
      <c r="CK91" s="626">
        <v>639</v>
      </c>
      <c r="CL91" s="626">
        <v>622</v>
      </c>
      <c r="CM91" s="626">
        <v>0.66910000000000003</v>
      </c>
      <c r="CN91" s="626">
        <v>0.64539999999999997</v>
      </c>
      <c r="CO91" s="626">
        <v>0.63260000000000005</v>
      </c>
      <c r="CP91" s="626">
        <v>0.71</v>
      </c>
      <c r="CQ91" s="626">
        <v>0.66749999999999998</v>
      </c>
      <c r="CR91" s="721">
        <v>0.66449999999999998</v>
      </c>
      <c r="CS91" s="569" t="s">
        <v>405</v>
      </c>
      <c r="CT91" s="569">
        <v>677</v>
      </c>
      <c r="CU91" s="569">
        <v>659</v>
      </c>
      <c r="CV91" s="590">
        <v>0.67820000000000003</v>
      </c>
      <c r="CW91" s="590">
        <v>0.65059999999999996</v>
      </c>
      <c r="CX91" s="590">
        <v>0.6431</v>
      </c>
      <c r="CY91" s="590">
        <v>0.71830000000000005</v>
      </c>
      <c r="CZ91" s="590">
        <v>0.68120000000000003</v>
      </c>
      <c r="DA91" s="590">
        <v>0.67320000000000002</v>
      </c>
    </row>
    <row r="92" spans="1:105" x14ac:dyDescent="0.25">
      <c r="A92" s="324" t="s">
        <v>106</v>
      </c>
      <c r="B92" s="346" t="s">
        <v>105</v>
      </c>
      <c r="C92" s="134" t="s">
        <v>567</v>
      </c>
      <c r="D92" s="134" t="s">
        <v>417</v>
      </c>
      <c r="E92" s="346" t="s">
        <v>787</v>
      </c>
      <c r="F92" s="134" t="s">
        <v>221</v>
      </c>
      <c r="G92" s="361" t="s">
        <v>405</v>
      </c>
      <c r="H92" s="348">
        <v>114</v>
      </c>
      <c r="I92" s="348">
        <v>114</v>
      </c>
      <c r="J92" s="348">
        <v>0.73350000000000004</v>
      </c>
      <c r="K92" s="348">
        <v>0.7006</v>
      </c>
      <c r="L92" s="348">
        <v>0.72140000000000004</v>
      </c>
      <c r="M92" s="348">
        <v>0.71360000000000001</v>
      </c>
      <c r="N92" s="348">
        <v>0.66500000000000004</v>
      </c>
      <c r="O92" s="348">
        <v>0.71319999999999995</v>
      </c>
      <c r="P92" s="372" t="s">
        <v>404</v>
      </c>
      <c r="Q92" s="348" t="s">
        <v>554</v>
      </c>
      <c r="R92" s="348" t="s">
        <v>554</v>
      </c>
      <c r="S92" s="348">
        <v>0.74229999999999996</v>
      </c>
      <c r="T92" s="348">
        <v>0.71509999999999996</v>
      </c>
      <c r="U92" s="348">
        <v>0.72870000000000001</v>
      </c>
      <c r="V92" s="348">
        <v>0.72340000000000004</v>
      </c>
      <c r="W92" s="348">
        <v>0.66579999999999995</v>
      </c>
      <c r="X92" s="348">
        <v>0.72270000000000001</v>
      </c>
      <c r="Y92" s="365" t="s">
        <v>404</v>
      </c>
      <c r="Z92" s="346" t="s">
        <v>599</v>
      </c>
      <c r="AA92" s="346" t="s">
        <v>599</v>
      </c>
      <c r="AB92" s="350">
        <v>0.74670000000000003</v>
      </c>
      <c r="AC92" s="350">
        <v>0.74470000000000003</v>
      </c>
      <c r="AD92" s="350">
        <v>0.74160000000000004</v>
      </c>
      <c r="AE92" s="350">
        <v>0.73799999999999999</v>
      </c>
      <c r="AF92" s="350">
        <v>0.68720000000000003</v>
      </c>
      <c r="AG92" s="350">
        <v>0.73850000000000005</v>
      </c>
      <c r="AH92" s="363" t="s">
        <v>404</v>
      </c>
      <c r="AI92" s="346" t="s">
        <v>472</v>
      </c>
      <c r="AJ92" s="346" t="s">
        <v>472</v>
      </c>
      <c r="AK92" s="350">
        <v>0.74929999999999997</v>
      </c>
      <c r="AL92" s="350">
        <v>0.76559999999999995</v>
      </c>
      <c r="AM92" s="350">
        <v>0.74670000000000003</v>
      </c>
      <c r="AN92" s="350">
        <v>0.75260000000000005</v>
      </c>
      <c r="AO92" s="350">
        <v>0.69979999999999998</v>
      </c>
      <c r="AP92" s="350">
        <v>0.74939999999999996</v>
      </c>
      <c r="AQ92" s="364" t="s">
        <v>404</v>
      </c>
      <c r="AR92" s="346" t="s">
        <v>451</v>
      </c>
      <c r="AS92" s="346" t="s">
        <v>452</v>
      </c>
      <c r="AT92" s="350">
        <v>0.73319999999999996</v>
      </c>
      <c r="AU92" s="350">
        <v>0.751</v>
      </c>
      <c r="AV92" s="350">
        <v>0.71950000000000003</v>
      </c>
      <c r="AW92" s="350">
        <v>0.75360000000000005</v>
      </c>
      <c r="AX92" s="350">
        <v>0.7097</v>
      </c>
      <c r="AY92" s="350">
        <v>0.73699999999999999</v>
      </c>
      <c r="AZ92" s="362" t="s">
        <v>405</v>
      </c>
      <c r="BA92" s="346" t="s">
        <v>484</v>
      </c>
      <c r="BB92" s="346" t="s">
        <v>487</v>
      </c>
      <c r="BC92" s="350">
        <v>0.72350000000000003</v>
      </c>
      <c r="BD92" s="350">
        <v>0.71279999999999999</v>
      </c>
      <c r="BE92" s="350">
        <v>0.67200000000000004</v>
      </c>
      <c r="BF92" s="350">
        <v>0.74139999999999995</v>
      </c>
      <c r="BG92" s="350">
        <v>0.68010000000000004</v>
      </c>
      <c r="BH92" s="350">
        <v>0.70989999999999998</v>
      </c>
      <c r="BI92" s="370" t="s">
        <v>405</v>
      </c>
      <c r="BJ92" s="354">
        <v>106</v>
      </c>
      <c r="BK92" s="354">
        <v>105</v>
      </c>
      <c r="BL92" s="350">
        <v>0.71919999999999995</v>
      </c>
      <c r="BM92" s="350">
        <v>0.68820000000000003</v>
      </c>
      <c r="BN92" s="350">
        <v>0.64910000000000001</v>
      </c>
      <c r="BO92" s="350">
        <v>0.73150000000000004</v>
      </c>
      <c r="BP92" s="350">
        <v>0.66710000000000003</v>
      </c>
      <c r="BQ92" s="350">
        <v>0.69469999999999998</v>
      </c>
      <c r="BR92" s="371" t="s">
        <v>405</v>
      </c>
      <c r="BS92" s="348">
        <v>96</v>
      </c>
      <c r="BT92" s="348">
        <v>96</v>
      </c>
      <c r="BU92" s="348">
        <v>0.71689999999999998</v>
      </c>
      <c r="BV92" s="348">
        <v>0.67320000000000002</v>
      </c>
      <c r="BW92" s="348">
        <v>0.64319999999999999</v>
      </c>
      <c r="BX92" s="348">
        <v>0.73350000000000004</v>
      </c>
      <c r="BY92" s="348">
        <v>0.65880000000000005</v>
      </c>
      <c r="BZ92" s="348">
        <v>0.68920000000000003</v>
      </c>
      <c r="CA92" s="358" t="s">
        <v>405</v>
      </c>
      <c r="CB92" s="357" t="s">
        <v>582</v>
      </c>
      <c r="CC92" s="357" t="s">
        <v>582</v>
      </c>
      <c r="CD92" s="357">
        <v>0.73450000000000004</v>
      </c>
      <c r="CE92" s="357">
        <v>0.70730000000000004</v>
      </c>
      <c r="CF92" s="357">
        <v>0.68669999999999998</v>
      </c>
      <c r="CG92" s="357">
        <v>0.74980000000000002</v>
      </c>
      <c r="CH92" s="357">
        <v>0.69540000000000002</v>
      </c>
      <c r="CI92" s="357">
        <v>0.7177</v>
      </c>
      <c r="CJ92" s="727" t="s">
        <v>404</v>
      </c>
      <c r="CK92" s="626">
        <v>129</v>
      </c>
      <c r="CL92" s="626">
        <v>129</v>
      </c>
      <c r="CM92" s="626">
        <v>0.746</v>
      </c>
      <c r="CN92" s="626">
        <v>0.72960000000000003</v>
      </c>
      <c r="CO92" s="626">
        <v>0.70640000000000003</v>
      </c>
      <c r="CP92" s="626">
        <v>0.76949999999999996</v>
      </c>
      <c r="CQ92" s="626">
        <v>0.72299999999999998</v>
      </c>
      <c r="CR92" s="721">
        <v>0.73670000000000002</v>
      </c>
      <c r="CS92" s="569" t="s">
        <v>404</v>
      </c>
      <c r="CT92" s="569">
        <v>140</v>
      </c>
      <c r="CU92" s="569">
        <v>140</v>
      </c>
      <c r="CV92" s="590">
        <v>0.76229999999999998</v>
      </c>
      <c r="CW92" s="590">
        <v>0.73939999999999995</v>
      </c>
      <c r="CX92" s="590">
        <v>0.70540000000000003</v>
      </c>
      <c r="CY92" s="590">
        <v>0.77359999999999995</v>
      </c>
      <c r="CZ92" s="590">
        <v>0.73770000000000002</v>
      </c>
      <c r="DA92" s="590">
        <v>0.74460000000000004</v>
      </c>
    </row>
    <row r="93" spans="1:105" x14ac:dyDescent="0.25">
      <c r="A93" s="36" t="s">
        <v>187</v>
      </c>
      <c r="B93" s="134" t="s">
        <v>186</v>
      </c>
      <c r="C93" s="134" t="s">
        <v>567</v>
      </c>
      <c r="D93" s="134" t="s">
        <v>417</v>
      </c>
      <c r="E93" s="134" t="s">
        <v>787</v>
      </c>
      <c r="F93" s="134" t="s">
        <v>219</v>
      </c>
      <c r="G93" s="167" t="s">
        <v>541</v>
      </c>
      <c r="H93" s="166">
        <v>96</v>
      </c>
      <c r="I93" s="166">
        <v>93</v>
      </c>
      <c r="J93" s="166">
        <v>0.65110000000000001</v>
      </c>
      <c r="K93" s="166">
        <v>0.65490000000000004</v>
      </c>
      <c r="L93" s="166">
        <v>0.64990000000000003</v>
      </c>
      <c r="M93" s="166">
        <v>0.64139999999999997</v>
      </c>
      <c r="N93" s="166">
        <v>0.65310000000000001</v>
      </c>
      <c r="O93" s="166">
        <v>0.64959999999999996</v>
      </c>
      <c r="P93" s="175" t="s">
        <v>541</v>
      </c>
      <c r="Q93" s="174" t="s">
        <v>457</v>
      </c>
      <c r="R93" s="174" t="s">
        <v>524</v>
      </c>
      <c r="S93" s="174">
        <v>0.64059999999999995</v>
      </c>
      <c r="T93" s="174">
        <v>0.64319999999999999</v>
      </c>
      <c r="U93" s="174">
        <v>0.63629999999999998</v>
      </c>
      <c r="V93" s="174">
        <v>0.64139999999999997</v>
      </c>
      <c r="W93" s="174">
        <v>0.64700000000000002</v>
      </c>
      <c r="X93" s="174">
        <v>0.64090000000000003</v>
      </c>
      <c r="Y93" s="141" t="s">
        <v>541</v>
      </c>
      <c r="Z93" s="134" t="s">
        <v>451</v>
      </c>
      <c r="AA93" s="134" t="s">
        <v>578</v>
      </c>
      <c r="AB93" s="137">
        <v>0.62439999999999996</v>
      </c>
      <c r="AC93" s="137">
        <v>0.65049999999999997</v>
      </c>
      <c r="AD93" s="137">
        <v>0.63900000000000001</v>
      </c>
      <c r="AE93" s="137">
        <v>0.64429999999999998</v>
      </c>
      <c r="AF93" s="137">
        <v>0.64590000000000003</v>
      </c>
      <c r="AG93" s="137">
        <v>0.64</v>
      </c>
      <c r="AH93" s="155" t="s">
        <v>541</v>
      </c>
      <c r="AI93" s="134" t="s">
        <v>534</v>
      </c>
      <c r="AJ93" s="134" t="s">
        <v>554</v>
      </c>
      <c r="AK93" s="137">
        <v>0.61739999999999995</v>
      </c>
      <c r="AL93" s="137">
        <v>0.6532</v>
      </c>
      <c r="AM93" s="137">
        <v>0.63619999999999999</v>
      </c>
      <c r="AN93" s="137">
        <v>0.66220000000000001</v>
      </c>
      <c r="AO93" s="137">
        <v>0.6411</v>
      </c>
      <c r="AP93" s="137">
        <v>0.64219999999999999</v>
      </c>
      <c r="AQ93" s="142" t="s">
        <v>541</v>
      </c>
      <c r="AR93" s="134" t="s">
        <v>554</v>
      </c>
      <c r="AS93" s="134" t="s">
        <v>555</v>
      </c>
      <c r="AT93" s="137">
        <v>0.59460000000000002</v>
      </c>
      <c r="AU93" s="137">
        <v>0.64610000000000001</v>
      </c>
      <c r="AV93" s="137">
        <v>0.62719999999999998</v>
      </c>
      <c r="AW93" s="137">
        <v>0.66810000000000003</v>
      </c>
      <c r="AX93" s="137">
        <v>0.63749999999999996</v>
      </c>
      <c r="AY93" s="137">
        <v>0.63429999999999997</v>
      </c>
      <c r="AZ93" s="141" t="s">
        <v>541</v>
      </c>
      <c r="BA93" s="134" t="s">
        <v>535</v>
      </c>
      <c r="BB93" s="134" t="s">
        <v>657</v>
      </c>
      <c r="BC93" s="137">
        <v>0.6079</v>
      </c>
      <c r="BD93" s="137">
        <v>0.62350000000000005</v>
      </c>
      <c r="BE93" s="137">
        <v>0.60660000000000003</v>
      </c>
      <c r="BF93" s="137">
        <v>0.67749999999999999</v>
      </c>
      <c r="BG93" s="137">
        <v>0.63429999999999997</v>
      </c>
      <c r="BH93" s="137">
        <v>0.62929999999999997</v>
      </c>
      <c r="BI93" s="151" t="s">
        <v>557</v>
      </c>
      <c r="BJ93" s="152">
        <v>113</v>
      </c>
      <c r="BK93" s="152">
        <v>106</v>
      </c>
      <c r="BL93" s="137">
        <v>0.60199999999999998</v>
      </c>
      <c r="BM93" s="137">
        <v>0.60770000000000002</v>
      </c>
      <c r="BN93" s="137">
        <v>0.59330000000000005</v>
      </c>
      <c r="BO93" s="137">
        <v>0.66620000000000001</v>
      </c>
      <c r="BP93" s="137">
        <v>0.62539999999999996</v>
      </c>
      <c r="BQ93" s="137">
        <v>0.6179</v>
      </c>
      <c r="BR93" s="281" t="s">
        <v>541</v>
      </c>
      <c r="BS93" s="272">
        <v>104</v>
      </c>
      <c r="BT93" s="272">
        <v>103</v>
      </c>
      <c r="BU93" s="272">
        <v>0.63660000000000005</v>
      </c>
      <c r="BV93" s="272">
        <v>0.61919999999999997</v>
      </c>
      <c r="BW93" s="272">
        <v>0.61129999999999995</v>
      </c>
      <c r="BX93" s="272">
        <v>0.67849999999999999</v>
      </c>
      <c r="BY93" s="272">
        <v>0.61919999999999997</v>
      </c>
      <c r="BZ93" s="272">
        <v>0.6351</v>
      </c>
      <c r="CA93" s="359" t="s">
        <v>541</v>
      </c>
      <c r="CB93" s="357" t="s">
        <v>609</v>
      </c>
      <c r="CC93" s="357" t="s">
        <v>499</v>
      </c>
      <c r="CD93" s="357">
        <v>0.64419999999999999</v>
      </c>
      <c r="CE93" s="357">
        <v>0.62309999999999999</v>
      </c>
      <c r="CF93" s="357">
        <v>0.63429999999999997</v>
      </c>
      <c r="CG93" s="357">
        <v>0.66820000000000002</v>
      </c>
      <c r="CH93" s="357">
        <v>0.62909999999999999</v>
      </c>
      <c r="CI93" s="357">
        <v>0.64139999999999997</v>
      </c>
      <c r="CJ93" s="728" t="s">
        <v>541</v>
      </c>
      <c r="CK93" s="626">
        <v>99</v>
      </c>
      <c r="CL93" s="626">
        <v>98</v>
      </c>
      <c r="CM93" s="626">
        <v>0.65620000000000001</v>
      </c>
      <c r="CN93" s="626">
        <v>0.62549999999999994</v>
      </c>
      <c r="CO93" s="626">
        <v>0.63670000000000004</v>
      </c>
      <c r="CP93" s="626">
        <v>0.66559999999999997</v>
      </c>
      <c r="CQ93" s="626">
        <v>0.64729999999999999</v>
      </c>
      <c r="CR93" s="721">
        <v>0.64610000000000001</v>
      </c>
      <c r="CS93" s="569" t="s">
        <v>541</v>
      </c>
      <c r="CT93" s="569">
        <v>98</v>
      </c>
      <c r="CU93" s="569">
        <v>98</v>
      </c>
      <c r="CV93" s="590">
        <v>0.64349999999999996</v>
      </c>
      <c r="CW93" s="590">
        <v>0.63239999999999996</v>
      </c>
      <c r="CX93" s="590">
        <v>0.63549999999999995</v>
      </c>
      <c r="CY93" s="590">
        <v>0.6633</v>
      </c>
      <c r="CZ93" s="590">
        <v>0.65890000000000004</v>
      </c>
      <c r="DA93" s="590">
        <v>0.64480000000000004</v>
      </c>
    </row>
    <row r="94" spans="1:105" x14ac:dyDescent="0.25">
      <c r="A94" s="126" t="s">
        <v>928</v>
      </c>
      <c r="B94" s="134" t="s">
        <v>927</v>
      </c>
      <c r="C94" s="134" t="s">
        <v>567</v>
      </c>
      <c r="D94" s="134" t="s">
        <v>417</v>
      </c>
      <c r="E94" s="134"/>
      <c r="F94" s="134" t="s">
        <v>219</v>
      </c>
      <c r="G94" s="167"/>
      <c r="H94" s="166"/>
      <c r="I94" s="166"/>
      <c r="J94" s="166"/>
      <c r="K94" s="166"/>
      <c r="L94" s="166"/>
      <c r="M94" s="166"/>
      <c r="N94" s="166"/>
      <c r="O94" s="166"/>
      <c r="P94" s="175"/>
      <c r="Q94" s="174"/>
      <c r="R94" s="174"/>
      <c r="S94" s="174"/>
      <c r="T94" s="174"/>
      <c r="U94" s="174"/>
      <c r="V94" s="174"/>
      <c r="W94" s="174"/>
      <c r="X94" s="174"/>
      <c r="Y94" s="141"/>
      <c r="Z94" s="134"/>
      <c r="AA94" s="134"/>
      <c r="AB94" s="137"/>
      <c r="AC94" s="137"/>
      <c r="AD94" s="137"/>
      <c r="AE94" s="137"/>
      <c r="AF94" s="137"/>
      <c r="AG94" s="137"/>
      <c r="AH94" s="155"/>
      <c r="AI94" s="134"/>
      <c r="AJ94" s="134"/>
      <c r="AK94" s="137"/>
      <c r="AL94" s="137"/>
      <c r="AM94" s="137"/>
      <c r="AN94" s="137"/>
      <c r="AO94" s="137"/>
      <c r="AP94" s="137"/>
      <c r="AQ94" s="142"/>
      <c r="AR94" s="134"/>
      <c r="AS94" s="134"/>
      <c r="AT94" s="137"/>
      <c r="AU94" s="137"/>
      <c r="AV94" s="137"/>
      <c r="AW94" s="137"/>
      <c r="AX94" s="137"/>
      <c r="AY94" s="137"/>
      <c r="AZ94" s="141"/>
      <c r="BA94" s="134"/>
      <c r="BB94" s="134"/>
      <c r="BC94" s="137"/>
      <c r="BD94" s="137"/>
      <c r="BE94" s="137"/>
      <c r="BF94" s="137"/>
      <c r="BG94" s="137"/>
      <c r="BH94" s="137"/>
      <c r="BI94" s="151"/>
      <c r="BJ94" s="152"/>
      <c r="BK94" s="152"/>
      <c r="BL94" s="137"/>
      <c r="BM94" s="137"/>
      <c r="BN94" s="137"/>
      <c r="BO94" s="137"/>
      <c r="BP94" s="137"/>
      <c r="BQ94" s="137"/>
      <c r="BR94" s="281"/>
      <c r="BS94" s="272"/>
      <c r="BT94" s="272"/>
      <c r="BU94" s="272"/>
      <c r="BV94" s="272"/>
      <c r="BW94" s="272"/>
      <c r="BX94" s="272"/>
      <c r="BY94" s="272"/>
      <c r="BZ94" s="272"/>
      <c r="CA94" s="358" t="s">
        <v>405</v>
      </c>
      <c r="CB94" s="357" t="s">
        <v>145</v>
      </c>
      <c r="CC94" s="357" t="s">
        <v>145</v>
      </c>
      <c r="CD94" s="357">
        <v>0.71640000000000004</v>
      </c>
      <c r="CE94" s="357">
        <v>0.69189999999999996</v>
      </c>
      <c r="CF94" s="357">
        <v>0.68459999999999999</v>
      </c>
      <c r="CG94" s="357">
        <v>0.7369</v>
      </c>
      <c r="CH94" s="357">
        <v>0.70620000000000005</v>
      </c>
      <c r="CI94" s="357">
        <v>0.70730000000000004</v>
      </c>
      <c r="CJ94" s="714" t="s">
        <v>405</v>
      </c>
      <c r="CK94" s="626">
        <v>115</v>
      </c>
      <c r="CL94" s="626">
        <v>115</v>
      </c>
      <c r="CM94" s="626">
        <v>0.70209999999999995</v>
      </c>
      <c r="CN94" s="626">
        <v>0.6784</v>
      </c>
      <c r="CO94" s="626">
        <v>0.67479999999999996</v>
      </c>
      <c r="CP94" s="626">
        <v>0.73550000000000004</v>
      </c>
      <c r="CQ94" s="626">
        <v>0.69550000000000001</v>
      </c>
      <c r="CR94" s="721">
        <v>0.69750000000000001</v>
      </c>
      <c r="CS94" s="569" t="s">
        <v>405</v>
      </c>
      <c r="CT94" s="569">
        <v>222</v>
      </c>
      <c r="CU94" s="569">
        <v>220</v>
      </c>
      <c r="CV94" s="590">
        <v>0.70540000000000003</v>
      </c>
      <c r="CW94" s="590">
        <v>0.67610000000000003</v>
      </c>
      <c r="CX94" s="590">
        <v>0.66020000000000001</v>
      </c>
      <c r="CY94" s="590">
        <v>0.7268</v>
      </c>
      <c r="CZ94" s="590">
        <v>0.69030000000000002</v>
      </c>
      <c r="DA94" s="590">
        <v>0.69199999999999995</v>
      </c>
    </row>
    <row r="95" spans="1:105" x14ac:dyDescent="0.25">
      <c r="A95" s="324" t="s">
        <v>130</v>
      </c>
      <c r="B95" s="346" t="s">
        <v>129</v>
      </c>
      <c r="C95" s="134" t="s">
        <v>567</v>
      </c>
      <c r="D95" s="134" t="s">
        <v>417</v>
      </c>
      <c r="E95" s="346" t="s">
        <v>787</v>
      </c>
      <c r="F95" s="134" t="s">
        <v>219</v>
      </c>
      <c r="G95" s="347" t="s">
        <v>541</v>
      </c>
      <c r="H95" s="348">
        <v>420</v>
      </c>
      <c r="I95" s="348">
        <v>415</v>
      </c>
      <c r="J95" s="348">
        <v>0.65780000000000005</v>
      </c>
      <c r="K95" s="348">
        <v>0.66600000000000004</v>
      </c>
      <c r="L95" s="348">
        <v>0.67169999999999996</v>
      </c>
      <c r="M95" s="348">
        <v>0.66639999999999999</v>
      </c>
      <c r="N95" s="348">
        <v>0.64029999999999998</v>
      </c>
      <c r="O95" s="348">
        <v>0.66349999999999998</v>
      </c>
      <c r="P95" s="347" t="s">
        <v>541</v>
      </c>
      <c r="Q95" s="348" t="s">
        <v>832</v>
      </c>
      <c r="R95" s="348" t="s">
        <v>833</v>
      </c>
      <c r="S95" s="348">
        <v>0.66080000000000005</v>
      </c>
      <c r="T95" s="348">
        <v>0.66979999999999995</v>
      </c>
      <c r="U95" s="348">
        <v>0.67400000000000004</v>
      </c>
      <c r="V95" s="348">
        <v>0.66410000000000002</v>
      </c>
      <c r="W95" s="348">
        <v>0.64459999999999995</v>
      </c>
      <c r="X95" s="348">
        <v>0.66539999999999999</v>
      </c>
      <c r="Y95" s="362" t="s">
        <v>405</v>
      </c>
      <c r="Z95" s="346" t="s">
        <v>690</v>
      </c>
      <c r="AA95" s="346" t="s">
        <v>501</v>
      </c>
      <c r="AB95" s="350">
        <v>0.66969999999999996</v>
      </c>
      <c r="AC95" s="350">
        <v>0.6875</v>
      </c>
      <c r="AD95" s="350">
        <v>0.68059999999999998</v>
      </c>
      <c r="AE95" s="350">
        <v>0.68759999999999999</v>
      </c>
      <c r="AF95" s="350">
        <v>0.66920000000000002</v>
      </c>
      <c r="AG95" s="350">
        <v>0.6804</v>
      </c>
      <c r="AH95" s="368" t="s">
        <v>405</v>
      </c>
      <c r="AI95" s="346" t="s">
        <v>622</v>
      </c>
      <c r="AJ95" s="346" t="s">
        <v>501</v>
      </c>
      <c r="AK95" s="350">
        <v>0.67649999999999999</v>
      </c>
      <c r="AL95" s="350">
        <v>0.69350000000000001</v>
      </c>
      <c r="AM95" s="350">
        <v>0.68140000000000001</v>
      </c>
      <c r="AN95" s="350">
        <v>0.7077</v>
      </c>
      <c r="AO95" s="350">
        <v>0.67549999999999999</v>
      </c>
      <c r="AP95" s="350">
        <v>0.68869999999999998</v>
      </c>
      <c r="AQ95" s="369" t="s">
        <v>405</v>
      </c>
      <c r="AR95" s="346" t="s">
        <v>501</v>
      </c>
      <c r="AS95" s="346" t="s">
        <v>502</v>
      </c>
      <c r="AT95" s="350">
        <v>0.68310000000000004</v>
      </c>
      <c r="AU95" s="350">
        <v>0.70089999999999997</v>
      </c>
      <c r="AV95" s="350">
        <v>0.68330000000000002</v>
      </c>
      <c r="AW95" s="350">
        <v>0.72860000000000003</v>
      </c>
      <c r="AX95" s="350">
        <v>0.68130000000000002</v>
      </c>
      <c r="AY95" s="350">
        <v>0.6976</v>
      </c>
      <c r="AZ95" s="362" t="s">
        <v>405</v>
      </c>
      <c r="BA95" s="346" t="s">
        <v>772</v>
      </c>
      <c r="BB95" s="346" t="s">
        <v>702</v>
      </c>
      <c r="BC95" s="350">
        <v>0.6835</v>
      </c>
      <c r="BD95" s="350">
        <v>0.67979999999999996</v>
      </c>
      <c r="BE95" s="350">
        <v>0.65629999999999999</v>
      </c>
      <c r="BF95" s="350">
        <v>0.71960000000000002</v>
      </c>
      <c r="BG95" s="350">
        <v>0.66569999999999996</v>
      </c>
      <c r="BH95" s="350">
        <v>0.68330000000000002</v>
      </c>
      <c r="BI95" s="370" t="s">
        <v>405</v>
      </c>
      <c r="BJ95" s="354">
        <v>321</v>
      </c>
      <c r="BK95" s="354">
        <v>308</v>
      </c>
      <c r="BL95" s="350">
        <v>0.68569999999999998</v>
      </c>
      <c r="BM95" s="350">
        <v>0.66439999999999999</v>
      </c>
      <c r="BN95" s="350">
        <v>0.64170000000000005</v>
      </c>
      <c r="BO95" s="350">
        <v>0.70530000000000004</v>
      </c>
      <c r="BP95" s="350">
        <v>0.65380000000000005</v>
      </c>
      <c r="BQ95" s="350">
        <v>0.67269999999999996</v>
      </c>
      <c r="BR95" s="377" t="s">
        <v>541</v>
      </c>
      <c r="BS95" s="348">
        <v>313</v>
      </c>
      <c r="BT95" s="348">
        <v>308</v>
      </c>
      <c r="BU95" s="348">
        <v>0.68530000000000002</v>
      </c>
      <c r="BV95" s="348">
        <v>0.65869999999999995</v>
      </c>
      <c r="BW95" s="348">
        <v>0.63290000000000002</v>
      </c>
      <c r="BX95" s="348">
        <v>0.70409999999999995</v>
      </c>
      <c r="BY95" s="348">
        <v>0.65429999999999999</v>
      </c>
      <c r="BZ95" s="348">
        <v>0.66900000000000004</v>
      </c>
      <c r="CA95" s="358" t="s">
        <v>405</v>
      </c>
      <c r="CB95" s="357" t="s">
        <v>962</v>
      </c>
      <c r="CC95" s="357" t="s">
        <v>712</v>
      </c>
      <c r="CD95" s="357">
        <v>0.69</v>
      </c>
      <c r="CE95" s="357">
        <v>0.66310000000000002</v>
      </c>
      <c r="CF95" s="357">
        <v>0.65629999999999999</v>
      </c>
      <c r="CG95" s="357">
        <v>0.71179999999999999</v>
      </c>
      <c r="CH95" s="357">
        <v>0.66600000000000004</v>
      </c>
      <c r="CI95" s="357">
        <v>0.67920000000000003</v>
      </c>
      <c r="CJ95" s="725" t="s">
        <v>405</v>
      </c>
      <c r="CK95" s="626">
        <v>325</v>
      </c>
      <c r="CL95" s="626">
        <v>313</v>
      </c>
      <c r="CM95" s="626">
        <v>0.69469999999999998</v>
      </c>
      <c r="CN95" s="626">
        <v>0.67179999999999995</v>
      </c>
      <c r="CO95" s="626">
        <v>0.65759999999999996</v>
      </c>
      <c r="CP95" s="626">
        <v>0.72099999999999997</v>
      </c>
      <c r="CQ95" s="626">
        <v>0.67500000000000004</v>
      </c>
      <c r="CR95" s="721">
        <v>0.68540000000000001</v>
      </c>
      <c r="CS95" s="569" t="s">
        <v>405</v>
      </c>
      <c r="CT95" s="569">
        <v>309</v>
      </c>
      <c r="CU95" s="569">
        <v>300</v>
      </c>
      <c r="CV95" s="590">
        <v>0.70679999999999998</v>
      </c>
      <c r="CW95" s="590">
        <v>0.67720000000000002</v>
      </c>
      <c r="CX95" s="590">
        <v>0.65429999999999999</v>
      </c>
      <c r="CY95" s="590">
        <v>0.7248</v>
      </c>
      <c r="CZ95" s="590">
        <v>0.68440000000000001</v>
      </c>
      <c r="DA95" s="590">
        <v>0.69030000000000002</v>
      </c>
    </row>
    <row r="96" spans="1:105" x14ac:dyDescent="0.25">
      <c r="A96" s="126" t="s">
        <v>930</v>
      </c>
      <c r="B96" s="134" t="s">
        <v>929</v>
      </c>
      <c r="C96" s="134" t="s">
        <v>567</v>
      </c>
      <c r="D96" s="134" t="s">
        <v>417</v>
      </c>
      <c r="E96" s="134"/>
      <c r="F96" s="134" t="s">
        <v>219</v>
      </c>
      <c r="G96" s="167"/>
      <c r="H96" s="166"/>
      <c r="I96" s="166"/>
      <c r="J96" s="166"/>
      <c r="K96" s="166"/>
      <c r="L96" s="166"/>
      <c r="M96" s="166"/>
      <c r="N96" s="166"/>
      <c r="O96" s="166"/>
      <c r="P96" s="175"/>
      <c r="Q96" s="174"/>
      <c r="R96" s="174"/>
      <c r="S96" s="174"/>
      <c r="T96" s="174"/>
      <c r="U96" s="174"/>
      <c r="V96" s="174"/>
      <c r="W96" s="174"/>
      <c r="X96" s="174"/>
      <c r="Y96" s="138"/>
      <c r="Z96" s="134"/>
      <c r="AA96" s="134"/>
      <c r="AB96" s="137"/>
      <c r="AC96" s="137"/>
      <c r="AD96" s="137"/>
      <c r="AE96" s="137"/>
      <c r="AF96" s="137"/>
      <c r="AG96" s="137"/>
      <c r="AH96" s="159"/>
      <c r="AI96" s="134"/>
      <c r="AJ96" s="134"/>
      <c r="AK96" s="137"/>
      <c r="AL96" s="137"/>
      <c r="AM96" s="137"/>
      <c r="AN96" s="137"/>
      <c r="AO96" s="137"/>
      <c r="AP96" s="137"/>
      <c r="AQ96" s="139"/>
      <c r="AR96" s="134"/>
      <c r="AS96" s="134"/>
      <c r="AT96" s="137"/>
      <c r="AU96" s="137"/>
      <c r="AV96" s="137"/>
      <c r="AW96" s="137"/>
      <c r="AX96" s="137"/>
      <c r="AY96" s="137"/>
      <c r="AZ96" s="138"/>
      <c r="BA96" s="134"/>
      <c r="BB96" s="134"/>
      <c r="BC96" s="137"/>
      <c r="BD96" s="137"/>
      <c r="BE96" s="137"/>
      <c r="BF96" s="137"/>
      <c r="BG96" s="137"/>
      <c r="BH96" s="137"/>
      <c r="BI96" s="135"/>
      <c r="BJ96" s="152"/>
      <c r="BK96" s="152"/>
      <c r="BL96" s="137"/>
      <c r="BM96" s="137"/>
      <c r="BN96" s="137"/>
      <c r="BO96" s="137"/>
      <c r="BP96" s="137"/>
      <c r="BQ96" s="137"/>
      <c r="BR96" s="281"/>
      <c r="BS96" s="272"/>
      <c r="BT96" s="272"/>
      <c r="BU96" s="272"/>
      <c r="BV96" s="272"/>
      <c r="BW96" s="272"/>
      <c r="BX96" s="272"/>
      <c r="BY96" s="272"/>
      <c r="BZ96" s="272"/>
      <c r="CA96" s="358" t="s">
        <v>405</v>
      </c>
      <c r="CB96" s="357" t="s">
        <v>433</v>
      </c>
      <c r="CC96" s="357" t="s">
        <v>433</v>
      </c>
      <c r="CD96" s="357">
        <v>0.69299999999999995</v>
      </c>
      <c r="CE96" s="357">
        <v>0.66690000000000005</v>
      </c>
      <c r="CF96" s="357">
        <v>0.64970000000000006</v>
      </c>
      <c r="CG96" s="357">
        <v>0.7329</v>
      </c>
      <c r="CH96" s="357">
        <v>0.67330000000000001</v>
      </c>
      <c r="CI96" s="357">
        <v>0.68469999999999998</v>
      </c>
      <c r="CJ96" s="725" t="s">
        <v>405</v>
      </c>
      <c r="CK96" s="626">
        <v>110</v>
      </c>
      <c r="CL96" s="626">
        <v>109</v>
      </c>
      <c r="CM96" s="626">
        <v>0.71550000000000002</v>
      </c>
      <c r="CN96" s="626">
        <v>0.69020000000000004</v>
      </c>
      <c r="CO96" s="626">
        <v>0.66200000000000003</v>
      </c>
      <c r="CP96" s="626">
        <v>0.73229999999999995</v>
      </c>
      <c r="CQ96" s="626">
        <v>0.67859999999999998</v>
      </c>
      <c r="CR96" s="721">
        <v>0.69840000000000002</v>
      </c>
      <c r="CS96" s="569" t="s">
        <v>405</v>
      </c>
      <c r="CT96" s="569">
        <v>218</v>
      </c>
      <c r="CU96" s="569">
        <v>215</v>
      </c>
      <c r="CV96" s="590">
        <v>0.70789999999999997</v>
      </c>
      <c r="CW96" s="590">
        <v>0.68049999999999999</v>
      </c>
      <c r="CX96" s="590">
        <v>0.64339999999999997</v>
      </c>
      <c r="CY96" s="590">
        <v>0.72650000000000003</v>
      </c>
      <c r="CZ96" s="590">
        <v>0.66879999999999995</v>
      </c>
      <c r="DA96" s="590">
        <v>0.68799999999999994</v>
      </c>
    </row>
    <row r="97" spans="1:105" x14ac:dyDescent="0.25">
      <c r="A97" s="324" t="s">
        <v>90</v>
      </c>
      <c r="B97" s="346" t="s">
        <v>89</v>
      </c>
      <c r="C97" s="134" t="s">
        <v>567</v>
      </c>
      <c r="D97" s="134" t="s">
        <v>417</v>
      </c>
      <c r="E97" s="346" t="s">
        <v>787</v>
      </c>
      <c r="F97" s="134" t="s">
        <v>219</v>
      </c>
      <c r="G97" s="361" t="s">
        <v>405</v>
      </c>
      <c r="H97" s="348">
        <v>309</v>
      </c>
      <c r="I97" s="348">
        <v>303</v>
      </c>
      <c r="J97" s="348">
        <v>0.70709999999999995</v>
      </c>
      <c r="K97" s="348">
        <v>0.71030000000000004</v>
      </c>
      <c r="L97" s="348">
        <v>0.70630000000000004</v>
      </c>
      <c r="M97" s="348">
        <v>0.71509999999999996</v>
      </c>
      <c r="N97" s="348">
        <v>0.68320000000000003</v>
      </c>
      <c r="O97" s="348">
        <v>0.70760000000000001</v>
      </c>
      <c r="P97" s="361" t="s">
        <v>405</v>
      </c>
      <c r="Q97" s="348" t="s">
        <v>834</v>
      </c>
      <c r="R97" s="348" t="s">
        <v>835</v>
      </c>
      <c r="S97" s="348">
        <v>0.70520000000000005</v>
      </c>
      <c r="T97" s="348">
        <v>0.70169999999999999</v>
      </c>
      <c r="U97" s="348">
        <v>0.70340000000000003</v>
      </c>
      <c r="V97" s="348">
        <v>0.70920000000000005</v>
      </c>
      <c r="W97" s="348">
        <v>0.67720000000000002</v>
      </c>
      <c r="X97" s="348">
        <v>0.70269999999999999</v>
      </c>
      <c r="Y97" s="362" t="s">
        <v>405</v>
      </c>
      <c r="Z97" s="346" t="s">
        <v>664</v>
      </c>
      <c r="AA97" s="346" t="s">
        <v>665</v>
      </c>
      <c r="AB97" s="350">
        <v>0.71060000000000001</v>
      </c>
      <c r="AC97" s="350">
        <v>0.71409999999999996</v>
      </c>
      <c r="AD97" s="350">
        <v>0.70660000000000001</v>
      </c>
      <c r="AE97" s="350">
        <v>0.71870000000000001</v>
      </c>
      <c r="AF97" s="350">
        <v>0.69350000000000001</v>
      </c>
      <c r="AG97" s="350">
        <v>0.71099999999999997</v>
      </c>
      <c r="AH97" s="363" t="s">
        <v>404</v>
      </c>
      <c r="AI97" s="346" t="s">
        <v>592</v>
      </c>
      <c r="AJ97" s="346" t="s">
        <v>593</v>
      </c>
      <c r="AK97" s="350">
        <v>0.72840000000000005</v>
      </c>
      <c r="AL97" s="350">
        <v>0.73540000000000005</v>
      </c>
      <c r="AM97" s="350">
        <v>0.72019999999999995</v>
      </c>
      <c r="AN97" s="350">
        <v>0.73470000000000002</v>
      </c>
      <c r="AO97" s="350">
        <v>0.70689999999999997</v>
      </c>
      <c r="AP97" s="350">
        <v>0.72789999999999999</v>
      </c>
      <c r="AQ97" s="364" t="s">
        <v>404</v>
      </c>
      <c r="AR97" s="346" t="s">
        <v>449</v>
      </c>
      <c r="AS97" s="346" t="s">
        <v>450</v>
      </c>
      <c r="AT97" s="350">
        <v>0.74219999999999997</v>
      </c>
      <c r="AU97" s="350">
        <v>0.74239999999999995</v>
      </c>
      <c r="AV97" s="350">
        <v>0.71430000000000005</v>
      </c>
      <c r="AW97" s="350">
        <v>0.75249999999999995</v>
      </c>
      <c r="AX97" s="350">
        <v>0.73150000000000004</v>
      </c>
      <c r="AY97" s="350">
        <v>0.73740000000000006</v>
      </c>
      <c r="AZ97" s="365" t="s">
        <v>404</v>
      </c>
      <c r="BA97" s="346" t="s">
        <v>455</v>
      </c>
      <c r="BB97" s="346" t="s">
        <v>752</v>
      </c>
      <c r="BC97" s="350">
        <v>0.74299999999999999</v>
      </c>
      <c r="BD97" s="350">
        <v>0.72130000000000005</v>
      </c>
      <c r="BE97" s="350">
        <v>0.68840000000000001</v>
      </c>
      <c r="BF97" s="350">
        <v>0.75219999999999998</v>
      </c>
      <c r="BG97" s="350">
        <v>0.72450000000000003</v>
      </c>
      <c r="BH97" s="350">
        <v>0.72609999999999997</v>
      </c>
      <c r="BI97" s="370" t="s">
        <v>405</v>
      </c>
      <c r="BJ97" s="354">
        <v>346</v>
      </c>
      <c r="BK97" s="354">
        <v>335</v>
      </c>
      <c r="BL97" s="350">
        <v>0.74029999999999996</v>
      </c>
      <c r="BM97" s="350">
        <v>0.69930000000000003</v>
      </c>
      <c r="BN97" s="350">
        <v>0.67410000000000003</v>
      </c>
      <c r="BO97" s="350">
        <v>0.74450000000000005</v>
      </c>
      <c r="BP97" s="350">
        <v>0.69769999999999999</v>
      </c>
      <c r="BQ97" s="350">
        <v>0.71330000000000005</v>
      </c>
      <c r="BR97" s="701" t="s">
        <v>405</v>
      </c>
      <c r="BS97" s="348">
        <v>353</v>
      </c>
      <c r="BT97" s="348">
        <v>351</v>
      </c>
      <c r="BU97" s="348">
        <v>0.73140000000000005</v>
      </c>
      <c r="BV97" s="348">
        <v>0.68940000000000001</v>
      </c>
      <c r="BW97" s="348">
        <v>0.67279999999999995</v>
      </c>
      <c r="BX97" s="348">
        <v>0.74450000000000005</v>
      </c>
      <c r="BY97" s="348">
        <v>0.68520000000000003</v>
      </c>
      <c r="BZ97" s="348">
        <v>0.7077</v>
      </c>
      <c r="CA97" s="358" t="s">
        <v>405</v>
      </c>
      <c r="CB97" s="357" t="s">
        <v>963</v>
      </c>
      <c r="CC97" s="357" t="s">
        <v>528</v>
      </c>
      <c r="CD97" s="357">
        <v>0.72330000000000005</v>
      </c>
      <c r="CE97" s="357">
        <v>0.67989999999999995</v>
      </c>
      <c r="CF97" s="357">
        <v>0.67720000000000002</v>
      </c>
      <c r="CG97" s="357">
        <v>0.73760000000000003</v>
      </c>
      <c r="CH97" s="357">
        <v>0.67279999999999995</v>
      </c>
      <c r="CI97" s="357">
        <v>0.70209999999999995</v>
      </c>
      <c r="CJ97" s="725" t="s">
        <v>405</v>
      </c>
      <c r="CK97" s="626">
        <v>350</v>
      </c>
      <c r="CL97" s="626">
        <v>344</v>
      </c>
      <c r="CM97" s="626">
        <v>0.71430000000000005</v>
      </c>
      <c r="CN97" s="626">
        <v>0.68059999999999998</v>
      </c>
      <c r="CO97" s="626">
        <v>0.66520000000000001</v>
      </c>
      <c r="CP97" s="626">
        <v>0.72629999999999995</v>
      </c>
      <c r="CQ97" s="626">
        <v>0.69199999999999995</v>
      </c>
      <c r="CR97" s="721">
        <v>0.69620000000000004</v>
      </c>
      <c r="CS97" s="569" t="s">
        <v>405</v>
      </c>
      <c r="CT97" s="569">
        <v>346</v>
      </c>
      <c r="CU97" s="569">
        <v>340</v>
      </c>
      <c r="CV97" s="590">
        <v>0.72109999999999996</v>
      </c>
      <c r="CW97" s="590">
        <v>0.69399999999999995</v>
      </c>
      <c r="CX97" s="590">
        <v>0.66920000000000002</v>
      </c>
      <c r="CY97" s="590">
        <v>0.72799999999999998</v>
      </c>
      <c r="CZ97" s="590">
        <v>0.6966</v>
      </c>
      <c r="DA97" s="590">
        <v>0.7026</v>
      </c>
    </row>
    <row r="98" spans="1:105" x14ac:dyDescent="0.25">
      <c r="A98" s="36" t="s">
        <v>50</v>
      </c>
      <c r="B98" s="134" t="s">
        <v>49</v>
      </c>
      <c r="C98" s="134" t="s">
        <v>567</v>
      </c>
      <c r="D98" s="134" t="s">
        <v>417</v>
      </c>
      <c r="E98" s="134" t="s">
        <v>787</v>
      </c>
      <c r="F98" s="134" t="s">
        <v>221</v>
      </c>
      <c r="G98" s="165" t="s">
        <v>405</v>
      </c>
      <c r="H98" s="166">
        <v>248</v>
      </c>
      <c r="I98" s="166">
        <v>246</v>
      </c>
      <c r="J98" s="166">
        <v>0.66539999999999999</v>
      </c>
      <c r="K98" s="166">
        <v>0.67969999999999997</v>
      </c>
      <c r="L98" s="166">
        <v>0.7046</v>
      </c>
      <c r="M98" s="166">
        <v>0.71350000000000002</v>
      </c>
      <c r="N98" s="166">
        <v>0.68200000000000005</v>
      </c>
      <c r="O98" s="166">
        <v>0.69010000000000005</v>
      </c>
      <c r="P98" s="173" t="s">
        <v>405</v>
      </c>
      <c r="Q98" s="174" t="s">
        <v>842</v>
      </c>
      <c r="R98" s="174" t="s">
        <v>674</v>
      </c>
      <c r="S98" s="174">
        <v>0.66490000000000005</v>
      </c>
      <c r="T98" s="174">
        <v>0.6835</v>
      </c>
      <c r="U98" s="174">
        <v>0.69830000000000003</v>
      </c>
      <c r="V98" s="174">
        <v>0.70730000000000004</v>
      </c>
      <c r="W98" s="174">
        <v>0.68189999999999995</v>
      </c>
      <c r="X98" s="174">
        <v>0.68799999999999994</v>
      </c>
      <c r="Y98" s="138" t="s">
        <v>405</v>
      </c>
      <c r="Z98" s="134" t="s">
        <v>674</v>
      </c>
      <c r="AA98" s="134" t="s">
        <v>675</v>
      </c>
      <c r="AB98" s="137">
        <v>0.67620000000000002</v>
      </c>
      <c r="AC98" s="137">
        <v>0.70209999999999995</v>
      </c>
      <c r="AD98" s="137">
        <v>0.69450000000000001</v>
      </c>
      <c r="AE98" s="137">
        <v>0.71220000000000006</v>
      </c>
      <c r="AF98" s="137">
        <v>0.69840000000000002</v>
      </c>
      <c r="AG98" s="137">
        <v>0.69640000000000002</v>
      </c>
      <c r="AH98" s="159" t="s">
        <v>405</v>
      </c>
      <c r="AI98" s="134" t="s">
        <v>611</v>
      </c>
      <c r="AJ98" s="134" t="s">
        <v>612</v>
      </c>
      <c r="AK98" s="137">
        <v>0.68179999999999996</v>
      </c>
      <c r="AL98" s="137">
        <v>0.70169999999999999</v>
      </c>
      <c r="AM98" s="137">
        <v>0.68810000000000004</v>
      </c>
      <c r="AN98" s="137">
        <v>0.70899999999999996</v>
      </c>
      <c r="AO98" s="137">
        <v>0.69220000000000004</v>
      </c>
      <c r="AP98" s="137">
        <v>0.69489999999999996</v>
      </c>
      <c r="AQ98" s="139" t="s">
        <v>405</v>
      </c>
      <c r="AR98" s="134" t="s">
        <v>482</v>
      </c>
      <c r="AS98" s="134" t="s">
        <v>483</v>
      </c>
      <c r="AT98" s="137">
        <v>0.70450000000000002</v>
      </c>
      <c r="AU98" s="137">
        <v>0.71250000000000002</v>
      </c>
      <c r="AV98" s="137">
        <v>0.69059999999999999</v>
      </c>
      <c r="AW98" s="137">
        <v>0.72619999999999996</v>
      </c>
      <c r="AX98" s="137">
        <v>0.70320000000000005</v>
      </c>
      <c r="AY98" s="137">
        <v>0.70799999999999996</v>
      </c>
      <c r="AZ98" s="138" t="s">
        <v>405</v>
      </c>
      <c r="BA98" s="134" t="s">
        <v>757</v>
      </c>
      <c r="BB98" s="134" t="s">
        <v>758</v>
      </c>
      <c r="BC98" s="137">
        <v>0.70499999999999996</v>
      </c>
      <c r="BD98" s="137">
        <v>0.70069999999999999</v>
      </c>
      <c r="BE98" s="137">
        <v>0.67530000000000001</v>
      </c>
      <c r="BF98" s="137">
        <v>0.72350000000000003</v>
      </c>
      <c r="BG98" s="137">
        <v>0.69320000000000004</v>
      </c>
      <c r="BH98" s="137">
        <v>0.70050000000000001</v>
      </c>
      <c r="BI98" s="135" t="s">
        <v>405</v>
      </c>
      <c r="BJ98" s="152">
        <v>193</v>
      </c>
      <c r="BK98" s="152">
        <v>193</v>
      </c>
      <c r="BL98" s="137">
        <v>0.71140000000000003</v>
      </c>
      <c r="BM98" s="137">
        <v>0.70130000000000003</v>
      </c>
      <c r="BN98" s="137">
        <v>0.67549999999999999</v>
      </c>
      <c r="BO98" s="137">
        <v>0.73099999999999998</v>
      </c>
      <c r="BP98" s="137">
        <v>0.68799999999999994</v>
      </c>
      <c r="BQ98" s="137">
        <v>0.70350000000000001</v>
      </c>
      <c r="BR98" s="701" t="s">
        <v>405</v>
      </c>
      <c r="BS98" s="272">
        <v>180</v>
      </c>
      <c r="BT98" s="272">
        <v>178</v>
      </c>
      <c r="BU98" s="272">
        <v>0.69879999999999998</v>
      </c>
      <c r="BV98" s="272">
        <v>0.68820000000000003</v>
      </c>
      <c r="BW98" s="272">
        <v>0.66259999999999997</v>
      </c>
      <c r="BX98" s="272">
        <v>0.7218</v>
      </c>
      <c r="BY98" s="272">
        <v>0.68530000000000002</v>
      </c>
      <c r="BZ98" s="272">
        <v>0.69230000000000003</v>
      </c>
      <c r="CA98" s="709" t="s">
        <v>405</v>
      </c>
      <c r="CB98" s="682" t="s">
        <v>964</v>
      </c>
      <c r="CC98" s="682" t="s">
        <v>666</v>
      </c>
      <c r="CD98" s="682">
        <v>0.69140000000000001</v>
      </c>
      <c r="CE98" s="682">
        <v>0.68440000000000001</v>
      </c>
      <c r="CF98" s="682">
        <v>0.67620000000000002</v>
      </c>
      <c r="CG98" s="682">
        <v>0.7349</v>
      </c>
      <c r="CH98" s="682">
        <v>0.69589999999999996</v>
      </c>
      <c r="CI98" s="682">
        <v>0.69669999999999999</v>
      </c>
      <c r="CK98" s="624"/>
      <c r="CL98" s="624"/>
      <c r="CM98" s="624"/>
      <c r="CN98" s="624"/>
      <c r="CO98" s="624"/>
      <c r="CP98" s="624"/>
      <c r="CQ98" s="624"/>
      <c r="CR98" s="628"/>
      <c r="CS98" s="568"/>
      <c r="CT98" s="587"/>
      <c r="CU98" s="587"/>
      <c r="CV98" s="591"/>
      <c r="CW98" s="591"/>
      <c r="CX98" s="591"/>
      <c r="CY98" s="591"/>
      <c r="CZ98" s="591"/>
      <c r="DA98" s="591"/>
    </row>
    <row r="99" spans="1:105" x14ac:dyDescent="0.25">
      <c r="A99" s="560" t="s">
        <v>932</v>
      </c>
      <c r="B99" s="134" t="s">
        <v>931</v>
      </c>
      <c r="C99" s="134" t="s">
        <v>567</v>
      </c>
      <c r="D99" s="134" t="s">
        <v>417</v>
      </c>
      <c r="E99" s="134"/>
      <c r="F99" s="134" t="s">
        <v>219</v>
      </c>
      <c r="G99" s="165"/>
      <c r="H99" s="166"/>
      <c r="I99" s="166"/>
      <c r="J99" s="166"/>
      <c r="K99" s="166"/>
      <c r="L99" s="166"/>
      <c r="M99" s="166"/>
      <c r="N99" s="166"/>
      <c r="O99" s="166"/>
      <c r="P99" s="173"/>
      <c r="Q99" s="174"/>
      <c r="R99" s="174"/>
      <c r="S99" s="174"/>
      <c r="T99" s="174"/>
      <c r="U99" s="174"/>
      <c r="V99" s="174"/>
      <c r="W99" s="174"/>
      <c r="X99" s="174"/>
      <c r="Y99" s="138"/>
      <c r="Z99" s="134"/>
      <c r="AA99" s="134"/>
      <c r="AB99" s="137"/>
      <c r="AC99" s="137"/>
      <c r="AD99" s="137"/>
      <c r="AE99" s="137"/>
      <c r="AF99" s="137"/>
      <c r="AG99" s="137"/>
      <c r="AH99" s="159"/>
      <c r="AI99" s="134"/>
      <c r="AJ99" s="134"/>
      <c r="AK99" s="137"/>
      <c r="AL99" s="137"/>
      <c r="AM99" s="137"/>
      <c r="AN99" s="137"/>
      <c r="AO99" s="137"/>
      <c r="AP99" s="137"/>
      <c r="AQ99" s="139"/>
      <c r="AR99" s="134"/>
      <c r="AS99" s="134"/>
      <c r="AT99" s="137"/>
      <c r="AU99" s="137"/>
      <c r="AV99" s="137"/>
      <c r="AW99" s="137"/>
      <c r="AX99" s="137"/>
      <c r="AY99" s="137"/>
      <c r="AZ99" s="138"/>
      <c r="BA99" s="134"/>
      <c r="BB99" s="134"/>
      <c r="BC99" s="137"/>
      <c r="BD99" s="137"/>
      <c r="BE99" s="137"/>
      <c r="BF99" s="137"/>
      <c r="BG99" s="137"/>
      <c r="BH99" s="137"/>
      <c r="BI99" s="135"/>
      <c r="BJ99" s="152"/>
      <c r="BK99" s="152"/>
      <c r="BL99" s="137"/>
      <c r="BM99" s="137"/>
      <c r="BN99" s="137"/>
      <c r="BO99" s="137"/>
      <c r="BP99" s="137"/>
      <c r="BQ99" s="137"/>
      <c r="BR99" s="279"/>
      <c r="BS99" s="272"/>
      <c r="BT99" s="272"/>
      <c r="BU99" s="272"/>
      <c r="BV99" s="272"/>
      <c r="BW99" s="272"/>
      <c r="BX99" s="272"/>
      <c r="BY99" s="272"/>
      <c r="BZ99" s="272"/>
      <c r="CA99" s="358" t="s">
        <v>405</v>
      </c>
      <c r="CB99" s="357" t="s">
        <v>447</v>
      </c>
      <c r="CC99" s="357" t="s">
        <v>419</v>
      </c>
      <c r="CD99" s="357">
        <v>0.71679999999999999</v>
      </c>
      <c r="CE99" s="357">
        <v>0.67279999999999995</v>
      </c>
      <c r="CF99" s="357">
        <v>0.68869999999999998</v>
      </c>
      <c r="CG99" s="357">
        <v>0.72089999999999999</v>
      </c>
      <c r="CH99" s="357">
        <v>0.69840000000000002</v>
      </c>
      <c r="CI99" s="357">
        <v>0.69969999999999999</v>
      </c>
      <c r="CJ99" s="725" t="s">
        <v>405</v>
      </c>
      <c r="CK99" s="626">
        <v>228</v>
      </c>
      <c r="CL99" s="626">
        <v>227</v>
      </c>
      <c r="CM99" s="626">
        <v>0.71419999999999995</v>
      </c>
      <c r="CN99" s="626">
        <v>0.68779999999999997</v>
      </c>
      <c r="CO99" s="626">
        <v>0.69099999999999995</v>
      </c>
      <c r="CP99" s="626">
        <v>0.73009999999999997</v>
      </c>
      <c r="CQ99" s="626">
        <v>0.71120000000000005</v>
      </c>
      <c r="CR99" s="721">
        <v>0.70620000000000005</v>
      </c>
      <c r="CS99" s="569" t="s">
        <v>405</v>
      </c>
      <c r="CT99" s="569">
        <v>420</v>
      </c>
      <c r="CU99" s="569">
        <v>417</v>
      </c>
      <c r="CV99" s="590">
        <v>0.73329999999999995</v>
      </c>
      <c r="CW99" s="590">
        <v>0.69450000000000001</v>
      </c>
      <c r="CX99" s="590">
        <v>0.69199999999999995</v>
      </c>
      <c r="CY99" s="590">
        <v>0.74280000000000002</v>
      </c>
      <c r="CZ99" s="590">
        <v>0.71719999999999995</v>
      </c>
      <c r="DA99" s="590">
        <v>0.71579999999999999</v>
      </c>
    </row>
    <row r="100" spans="1:105" x14ac:dyDescent="0.25">
      <c r="A100" s="36" t="s">
        <v>286</v>
      </c>
      <c r="B100" s="134" t="s">
        <v>181</v>
      </c>
      <c r="C100" s="134" t="s">
        <v>567</v>
      </c>
      <c r="D100" s="134" t="s">
        <v>417</v>
      </c>
      <c r="E100" s="134" t="s">
        <v>787</v>
      </c>
      <c r="F100" s="730" t="s">
        <v>219</v>
      </c>
      <c r="G100" s="165" t="s">
        <v>405</v>
      </c>
      <c r="H100" s="166">
        <v>124</v>
      </c>
      <c r="I100" s="166">
        <v>124</v>
      </c>
      <c r="J100" s="166">
        <v>0.66879999999999995</v>
      </c>
      <c r="K100" s="166">
        <v>0.66520000000000001</v>
      </c>
      <c r="L100" s="166">
        <v>0.68630000000000002</v>
      </c>
      <c r="M100" s="166">
        <v>0.68969999999999998</v>
      </c>
      <c r="N100" s="166">
        <v>0.65869999999999995</v>
      </c>
      <c r="O100" s="166">
        <v>0.67610000000000003</v>
      </c>
      <c r="P100" s="173" t="s">
        <v>405</v>
      </c>
      <c r="Q100" s="174" t="s">
        <v>594</v>
      </c>
      <c r="R100" s="174" t="s">
        <v>594</v>
      </c>
      <c r="S100" s="174">
        <v>0.66749999999999998</v>
      </c>
      <c r="T100" s="174">
        <v>0.6724</v>
      </c>
      <c r="U100" s="174">
        <v>0.69399999999999995</v>
      </c>
      <c r="V100" s="174">
        <v>0.69110000000000005</v>
      </c>
      <c r="W100" s="174">
        <v>0.66139999999999999</v>
      </c>
      <c r="X100" s="174">
        <v>0.67969999999999997</v>
      </c>
      <c r="Y100" s="138" t="s">
        <v>405</v>
      </c>
      <c r="Z100" s="134" t="s">
        <v>679</v>
      </c>
      <c r="AA100" s="134" t="s">
        <v>264</v>
      </c>
      <c r="AB100" s="137">
        <v>0.67349999999999999</v>
      </c>
      <c r="AC100" s="137">
        <v>0.68859999999999999</v>
      </c>
      <c r="AD100" s="137">
        <v>0.69210000000000005</v>
      </c>
      <c r="AE100" s="137">
        <v>0.70669999999999999</v>
      </c>
      <c r="AF100" s="137">
        <v>0.68079999999999996</v>
      </c>
      <c r="AG100" s="137">
        <v>0.6895</v>
      </c>
      <c r="AH100" s="159" t="s">
        <v>405</v>
      </c>
      <c r="AI100" s="134" t="s">
        <v>613</v>
      </c>
      <c r="AJ100" s="134" t="s">
        <v>449</v>
      </c>
      <c r="AK100" s="137">
        <v>0.6724</v>
      </c>
      <c r="AL100" s="137">
        <v>0.69550000000000001</v>
      </c>
      <c r="AM100" s="137">
        <v>0.68840000000000001</v>
      </c>
      <c r="AN100" s="137">
        <v>0.71209999999999996</v>
      </c>
      <c r="AO100" s="137">
        <v>0.69310000000000005</v>
      </c>
      <c r="AP100" s="137">
        <v>0.69220000000000004</v>
      </c>
      <c r="AQ100" s="139" t="s">
        <v>405</v>
      </c>
      <c r="AR100" s="134" t="s">
        <v>519</v>
      </c>
      <c r="AS100" s="134" t="s">
        <v>520</v>
      </c>
      <c r="AT100" s="137">
        <v>0.67549999999999999</v>
      </c>
      <c r="AU100" s="137">
        <v>0.69110000000000005</v>
      </c>
      <c r="AV100" s="137">
        <v>0.67520000000000002</v>
      </c>
      <c r="AW100" s="137">
        <v>0.71989999999999998</v>
      </c>
      <c r="AX100" s="137">
        <v>0.70389999999999997</v>
      </c>
      <c r="AY100" s="137">
        <v>0.69140000000000001</v>
      </c>
      <c r="AZ100" s="138" t="s">
        <v>405</v>
      </c>
      <c r="BA100" s="134" t="s">
        <v>589</v>
      </c>
      <c r="BB100" s="134" t="s">
        <v>589</v>
      </c>
      <c r="BC100" s="137">
        <v>0.68049999999999999</v>
      </c>
      <c r="BD100" s="137">
        <v>0.67659999999999998</v>
      </c>
      <c r="BE100" s="137">
        <v>0.65580000000000005</v>
      </c>
      <c r="BF100" s="137">
        <v>0.71560000000000001</v>
      </c>
      <c r="BG100" s="137">
        <v>0.6905</v>
      </c>
      <c r="BH100" s="137">
        <v>0.68279999999999996</v>
      </c>
      <c r="BI100" s="135" t="s">
        <v>405</v>
      </c>
      <c r="BJ100" s="152">
        <v>336</v>
      </c>
      <c r="BK100" s="152">
        <v>333</v>
      </c>
      <c r="BL100" s="137">
        <v>0.68620000000000003</v>
      </c>
      <c r="BM100" s="137">
        <v>0.66569999999999996</v>
      </c>
      <c r="BN100" s="137">
        <v>0.64410000000000001</v>
      </c>
      <c r="BO100" s="137">
        <v>0.71599999999999997</v>
      </c>
      <c r="BP100" s="137">
        <v>0.67249999999999999</v>
      </c>
      <c r="BQ100" s="137">
        <v>0.67759999999999998</v>
      </c>
      <c r="BR100" s="279" t="s">
        <v>405</v>
      </c>
      <c r="BS100" s="272">
        <v>345</v>
      </c>
      <c r="BT100" s="272">
        <v>340</v>
      </c>
      <c r="BU100" s="272">
        <v>0.68</v>
      </c>
      <c r="BV100" s="272">
        <v>0.6542</v>
      </c>
      <c r="BW100" s="272">
        <v>0.63419999999999999</v>
      </c>
      <c r="BX100" s="272">
        <v>0.71430000000000005</v>
      </c>
      <c r="BY100" s="272">
        <v>0.66459999999999997</v>
      </c>
      <c r="BZ100" s="272">
        <v>0.67020000000000002</v>
      </c>
      <c r="CA100" s="359" t="s">
        <v>541</v>
      </c>
      <c r="CB100" s="357" t="s">
        <v>965</v>
      </c>
      <c r="CC100" s="357" t="s">
        <v>943</v>
      </c>
      <c r="CD100" s="357">
        <v>0.66520000000000001</v>
      </c>
      <c r="CE100" s="357">
        <v>0.64529999999999998</v>
      </c>
      <c r="CF100" s="357">
        <v>0.63360000000000005</v>
      </c>
      <c r="CG100" s="357">
        <v>0.70940000000000003</v>
      </c>
      <c r="CH100" s="357">
        <v>0.66779999999999995</v>
      </c>
      <c r="CI100" s="357">
        <v>0.66369999999999996</v>
      </c>
      <c r="CJ100" s="728" t="s">
        <v>541</v>
      </c>
      <c r="CK100" s="626">
        <v>333</v>
      </c>
      <c r="CL100" s="626">
        <v>328</v>
      </c>
      <c r="CM100" s="626">
        <v>0.65810000000000002</v>
      </c>
      <c r="CN100" s="626">
        <v>0.64490000000000003</v>
      </c>
      <c r="CO100" s="626">
        <v>0.63390000000000002</v>
      </c>
      <c r="CP100" s="626">
        <v>0.70689999999999997</v>
      </c>
      <c r="CQ100" s="626">
        <v>0.68610000000000004</v>
      </c>
      <c r="CR100" s="721">
        <v>0.66290000000000004</v>
      </c>
      <c r="CS100" s="569" t="s">
        <v>405</v>
      </c>
      <c r="CT100" s="569">
        <v>330</v>
      </c>
      <c r="CU100" s="569">
        <v>327</v>
      </c>
      <c r="CV100" s="590">
        <v>0.6784</v>
      </c>
      <c r="CW100" s="590">
        <v>0.66269999999999996</v>
      </c>
      <c r="CX100" s="590">
        <v>0.65139999999999998</v>
      </c>
      <c r="CY100" s="590">
        <v>0.7218</v>
      </c>
      <c r="CZ100" s="590">
        <v>0.69330000000000003</v>
      </c>
      <c r="DA100" s="590">
        <v>0.67969999999999997</v>
      </c>
    </row>
    <row r="101" spans="1:105" x14ac:dyDescent="0.25">
      <c r="A101" s="36" t="s">
        <v>934</v>
      </c>
      <c r="B101" s="134" t="s">
        <v>933</v>
      </c>
      <c r="C101" s="134" t="s">
        <v>567</v>
      </c>
      <c r="D101" s="134" t="s">
        <v>417</v>
      </c>
      <c r="E101" s="134"/>
      <c r="F101" s="134" t="s">
        <v>219</v>
      </c>
      <c r="G101" s="165"/>
      <c r="H101" s="166"/>
      <c r="I101" s="166"/>
      <c r="J101" s="166"/>
      <c r="K101" s="166"/>
      <c r="L101" s="166"/>
      <c r="M101" s="166"/>
      <c r="N101" s="166"/>
      <c r="O101" s="166"/>
      <c r="P101" s="173"/>
      <c r="Q101" s="174"/>
      <c r="R101" s="174"/>
      <c r="S101" s="174"/>
      <c r="T101" s="174"/>
      <c r="U101" s="174"/>
      <c r="V101" s="174"/>
      <c r="W101" s="174"/>
      <c r="X101" s="174"/>
      <c r="Y101" s="138"/>
      <c r="Z101" s="134"/>
      <c r="AA101" s="134"/>
      <c r="AB101" s="137"/>
      <c r="AC101" s="137"/>
      <c r="AD101" s="137"/>
      <c r="AE101" s="137"/>
      <c r="AF101" s="137"/>
      <c r="AG101" s="137"/>
      <c r="AH101" s="159"/>
      <c r="AI101" s="134"/>
      <c r="AJ101" s="134"/>
      <c r="AK101" s="137"/>
      <c r="AL101" s="137"/>
      <c r="AM101" s="137"/>
      <c r="AN101" s="137"/>
      <c r="AO101" s="137"/>
      <c r="AP101" s="137"/>
      <c r="AQ101" s="139"/>
      <c r="AR101" s="134"/>
      <c r="AS101" s="134"/>
      <c r="AT101" s="137"/>
      <c r="AU101" s="137"/>
      <c r="AV101" s="137"/>
      <c r="AW101" s="137"/>
      <c r="AX101" s="137"/>
      <c r="AY101" s="137"/>
      <c r="AZ101" s="138"/>
      <c r="BA101" s="134"/>
      <c r="BB101" s="134"/>
      <c r="BC101" s="137"/>
      <c r="BD101" s="137"/>
      <c r="BE101" s="137"/>
      <c r="BF101" s="137"/>
      <c r="BG101" s="137"/>
      <c r="BH101" s="137"/>
      <c r="BI101" s="135"/>
      <c r="BJ101" s="152"/>
      <c r="BK101" s="152"/>
      <c r="BL101" s="137"/>
      <c r="BM101" s="137"/>
      <c r="BN101" s="137"/>
      <c r="BO101" s="137"/>
      <c r="BP101" s="137"/>
      <c r="BQ101" s="137"/>
      <c r="BR101" s="279"/>
      <c r="BS101" s="272"/>
      <c r="BT101" s="272"/>
      <c r="BU101" s="272"/>
      <c r="BV101" s="272"/>
      <c r="BW101" s="272"/>
      <c r="BX101" s="272"/>
      <c r="BY101" s="272"/>
      <c r="BZ101" s="272"/>
      <c r="CA101" s="358" t="s">
        <v>405</v>
      </c>
      <c r="CB101" s="357" t="s">
        <v>551</v>
      </c>
      <c r="CC101" s="357" t="s">
        <v>551</v>
      </c>
      <c r="CD101" s="357">
        <v>0.6734</v>
      </c>
      <c r="CE101" s="357">
        <v>0.65110000000000001</v>
      </c>
      <c r="CF101" s="357">
        <v>0.64100000000000001</v>
      </c>
      <c r="CG101" s="357">
        <v>0.72030000000000005</v>
      </c>
      <c r="CH101" s="357">
        <v>0.66339999999999999</v>
      </c>
      <c r="CI101" s="357">
        <v>0.67090000000000005</v>
      </c>
      <c r="CJ101" s="725" t="s">
        <v>405</v>
      </c>
      <c r="CK101" s="626">
        <v>168</v>
      </c>
      <c r="CL101" s="626">
        <v>160</v>
      </c>
      <c r="CM101" s="626">
        <v>0.6804</v>
      </c>
      <c r="CN101" s="626">
        <v>0.65620000000000001</v>
      </c>
      <c r="CO101" s="626">
        <v>0.64429999999999998</v>
      </c>
      <c r="CP101" s="626">
        <v>0.71509999999999996</v>
      </c>
      <c r="CQ101" s="626">
        <v>0.65410000000000001</v>
      </c>
      <c r="CR101" s="721">
        <v>0.67249999999999999</v>
      </c>
      <c r="CS101" s="569" t="s">
        <v>405</v>
      </c>
      <c r="CT101" s="569">
        <v>325</v>
      </c>
      <c r="CU101" s="569">
        <v>315</v>
      </c>
      <c r="CV101" s="590">
        <v>0.70699999999999996</v>
      </c>
      <c r="CW101" s="590">
        <v>0.67620000000000002</v>
      </c>
      <c r="CX101" s="590">
        <v>0.67210000000000003</v>
      </c>
      <c r="CY101" s="590">
        <v>0.73419999999999996</v>
      </c>
      <c r="CZ101" s="590">
        <v>0.68930000000000002</v>
      </c>
      <c r="DA101" s="590">
        <v>0.69669999999999999</v>
      </c>
    </row>
    <row r="102" spans="1:105" ht="15" x14ac:dyDescent="0.25">
      <c r="A102" s="773" t="s">
        <v>192</v>
      </c>
      <c r="B102" s="134" t="s">
        <v>191</v>
      </c>
      <c r="C102" s="134" t="s">
        <v>567</v>
      </c>
      <c r="D102" s="134" t="s">
        <v>417</v>
      </c>
      <c r="E102" s="134" t="s">
        <v>787</v>
      </c>
      <c r="F102" s="134" t="s">
        <v>221</v>
      </c>
      <c r="G102" s="134"/>
      <c r="H102" s="134"/>
      <c r="I102" s="134"/>
      <c r="J102" s="134"/>
      <c r="K102" s="134"/>
      <c r="L102" s="134"/>
      <c r="M102" s="134"/>
      <c r="N102" s="134"/>
      <c r="O102" s="134"/>
      <c r="P102" s="568"/>
      <c r="Q102" s="568"/>
      <c r="R102" s="568"/>
      <c r="S102" s="568"/>
      <c r="T102" s="568"/>
      <c r="U102" s="568"/>
      <c r="V102" s="568"/>
      <c r="W102" s="568"/>
      <c r="X102" s="568"/>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639"/>
      <c r="BS102" s="271"/>
      <c r="BT102" s="271"/>
      <c r="BU102" s="271"/>
      <c r="BV102" s="271"/>
      <c r="BW102" s="271"/>
      <c r="BX102" s="271"/>
      <c r="BY102" s="271"/>
      <c r="BZ102" s="271"/>
      <c r="CA102" s="346"/>
      <c r="CB102" s="346"/>
      <c r="CC102" s="346"/>
      <c r="CD102" s="346"/>
      <c r="CE102" s="346"/>
      <c r="CF102" s="346"/>
      <c r="CG102" s="346"/>
      <c r="CH102" s="346"/>
      <c r="CI102" s="346"/>
      <c r="CJ102" s="724"/>
      <c r="CK102" s="624"/>
      <c r="CL102" s="624"/>
      <c r="CM102" s="624"/>
      <c r="CN102" s="624"/>
      <c r="CO102" s="624"/>
      <c r="CP102" s="624"/>
      <c r="CQ102" s="624"/>
      <c r="CR102" s="624"/>
      <c r="CS102" s="568"/>
      <c r="CT102" s="568"/>
      <c r="CU102" s="568"/>
      <c r="CV102" s="568"/>
      <c r="CW102" s="568"/>
      <c r="CX102" s="568"/>
      <c r="CY102" s="568"/>
      <c r="CZ102" s="568"/>
      <c r="DA102" s="568"/>
    </row>
    <row r="103" spans="1:105" x14ac:dyDescent="0.25">
      <c r="A103" s="324" t="s">
        <v>231</v>
      </c>
      <c r="B103" s="346" t="s">
        <v>236</v>
      </c>
      <c r="C103" s="134" t="s">
        <v>567</v>
      </c>
      <c r="D103" s="134" t="s">
        <v>417</v>
      </c>
      <c r="E103" s="346" t="s">
        <v>787</v>
      </c>
      <c r="F103" s="134" t="s">
        <v>221</v>
      </c>
      <c r="G103" s="776" t="s">
        <v>557</v>
      </c>
      <c r="H103" s="348">
        <v>44</v>
      </c>
      <c r="I103" s="348">
        <v>41</v>
      </c>
      <c r="J103" s="348">
        <v>0.57399999999999995</v>
      </c>
      <c r="K103" s="348">
        <v>0.59750000000000003</v>
      </c>
      <c r="L103" s="348">
        <v>0.59189999999999998</v>
      </c>
      <c r="M103" s="348">
        <v>0.59130000000000005</v>
      </c>
      <c r="N103" s="348">
        <v>0.61040000000000005</v>
      </c>
      <c r="O103" s="348">
        <v>0.59030000000000005</v>
      </c>
      <c r="P103" s="776" t="s">
        <v>557</v>
      </c>
      <c r="Q103" s="348" t="s">
        <v>145</v>
      </c>
      <c r="R103" s="348" t="s">
        <v>533</v>
      </c>
      <c r="S103" s="348">
        <v>0.5766</v>
      </c>
      <c r="T103" s="348">
        <v>0.58330000000000004</v>
      </c>
      <c r="U103" s="348">
        <v>0.58620000000000005</v>
      </c>
      <c r="V103" s="348">
        <v>0.5776</v>
      </c>
      <c r="W103" s="348">
        <v>0.59130000000000005</v>
      </c>
      <c r="X103" s="348">
        <v>0.58169999999999999</v>
      </c>
      <c r="Y103" s="778" t="s">
        <v>557</v>
      </c>
      <c r="Z103" s="346" t="s">
        <v>145</v>
      </c>
      <c r="AA103" s="346" t="s">
        <v>533</v>
      </c>
      <c r="AB103" s="350">
        <v>0.5766</v>
      </c>
      <c r="AC103" s="350">
        <v>0.58330000000000004</v>
      </c>
      <c r="AD103" s="350">
        <v>0.58620000000000005</v>
      </c>
      <c r="AE103" s="350">
        <v>0.5776</v>
      </c>
      <c r="AF103" s="350">
        <v>0.59130000000000005</v>
      </c>
      <c r="AG103" s="350">
        <v>0.58169999999999999</v>
      </c>
      <c r="AH103" s="781" t="s">
        <v>557</v>
      </c>
      <c r="AI103" s="346" t="s">
        <v>145</v>
      </c>
      <c r="AJ103" s="346" t="s">
        <v>533</v>
      </c>
      <c r="AK103" s="350">
        <v>0.5766</v>
      </c>
      <c r="AL103" s="350">
        <v>0.58330000000000004</v>
      </c>
      <c r="AM103" s="350">
        <v>0.58620000000000005</v>
      </c>
      <c r="AN103" s="350">
        <v>0.5776</v>
      </c>
      <c r="AO103" s="350">
        <v>0.59130000000000005</v>
      </c>
      <c r="AP103" s="350">
        <v>0.58169999999999999</v>
      </c>
      <c r="AQ103" s="346"/>
      <c r="AR103" s="346"/>
      <c r="AS103" s="346"/>
      <c r="AT103" s="350"/>
      <c r="AU103" s="350"/>
      <c r="AV103" s="350"/>
      <c r="AW103" s="350"/>
      <c r="AX103" s="350"/>
      <c r="AY103" s="350"/>
      <c r="AZ103" s="778" t="s">
        <v>557</v>
      </c>
      <c r="BA103" s="346" t="s">
        <v>145</v>
      </c>
      <c r="BB103" s="346" t="s">
        <v>533</v>
      </c>
      <c r="BC103" s="350">
        <v>0.5766</v>
      </c>
      <c r="BD103" s="350">
        <v>0.58330000000000004</v>
      </c>
      <c r="BE103" s="350">
        <v>0.58620000000000005</v>
      </c>
      <c r="BF103" s="350">
        <v>0.5776</v>
      </c>
      <c r="BG103" s="350">
        <v>0.59130000000000005</v>
      </c>
      <c r="BH103" s="350">
        <v>0.58169999999999999</v>
      </c>
      <c r="BI103" s="376" t="s">
        <v>557</v>
      </c>
      <c r="BJ103" s="354">
        <v>38</v>
      </c>
      <c r="BK103" s="354">
        <v>33</v>
      </c>
      <c r="BL103" s="350">
        <v>0.5766</v>
      </c>
      <c r="BM103" s="350">
        <v>0.58330000000000004</v>
      </c>
      <c r="BN103" s="350">
        <v>0.58620000000000005</v>
      </c>
      <c r="BO103" s="350">
        <v>0.5776</v>
      </c>
      <c r="BP103" s="350">
        <v>0.59130000000000005</v>
      </c>
      <c r="BQ103" s="350">
        <v>0.58169999999999999</v>
      </c>
      <c r="BR103" s="790"/>
      <c r="BS103" s="346"/>
      <c r="BT103" s="346"/>
      <c r="BU103" s="346"/>
      <c r="BV103" s="346"/>
      <c r="BW103" s="346"/>
      <c r="BX103" s="346"/>
      <c r="BY103" s="346"/>
      <c r="BZ103" s="346"/>
      <c r="CA103" s="346"/>
      <c r="CB103" s="346"/>
      <c r="CC103" s="346"/>
      <c r="CD103" s="346"/>
      <c r="CE103" s="346"/>
      <c r="CF103" s="346"/>
      <c r="CG103" s="346"/>
      <c r="CH103" s="346"/>
      <c r="CI103" s="346"/>
      <c r="CJ103" s="724"/>
      <c r="CK103" s="624"/>
      <c r="CL103" s="624"/>
      <c r="CM103" s="624"/>
      <c r="CN103" s="624"/>
      <c r="CO103" s="624"/>
      <c r="CP103" s="624"/>
      <c r="CQ103" s="624"/>
      <c r="CR103" s="628"/>
      <c r="CS103" s="568"/>
      <c r="CT103" s="587"/>
      <c r="CU103" s="587"/>
      <c r="CV103" s="591"/>
      <c r="CW103" s="591"/>
      <c r="CX103" s="591"/>
      <c r="CY103" s="591"/>
      <c r="CZ103" s="591"/>
      <c r="DA103" s="591"/>
    </row>
    <row r="104" spans="1:105" x14ac:dyDescent="0.25">
      <c r="A104" s="126" t="s">
        <v>1098</v>
      </c>
      <c r="B104" s="134" t="s">
        <v>157</v>
      </c>
      <c r="C104" s="134" t="s">
        <v>567</v>
      </c>
      <c r="D104" s="134" t="s">
        <v>417</v>
      </c>
      <c r="E104" s="134" t="s">
        <v>787</v>
      </c>
      <c r="F104" s="134" t="s">
        <v>221</v>
      </c>
      <c r="G104" s="168" t="s">
        <v>404</v>
      </c>
      <c r="H104" s="166">
        <v>78</v>
      </c>
      <c r="I104" s="166">
        <v>78</v>
      </c>
      <c r="J104" s="166">
        <v>0.70279999999999998</v>
      </c>
      <c r="K104" s="166">
        <v>0.7248</v>
      </c>
      <c r="L104" s="166">
        <v>0.72929999999999995</v>
      </c>
      <c r="M104" s="166">
        <v>0.72889999999999999</v>
      </c>
      <c r="N104" s="166">
        <v>0.72929999999999995</v>
      </c>
      <c r="O104" s="166">
        <v>0.72209999999999996</v>
      </c>
      <c r="P104" s="177" t="s">
        <v>404</v>
      </c>
      <c r="Q104" s="174" t="s">
        <v>439</v>
      </c>
      <c r="R104" s="174" t="s">
        <v>439</v>
      </c>
      <c r="S104" s="174">
        <v>0.70520000000000005</v>
      </c>
      <c r="T104" s="174">
        <v>0.73</v>
      </c>
      <c r="U104" s="174">
        <v>0.73319999999999996</v>
      </c>
      <c r="V104" s="174">
        <v>0.73219999999999996</v>
      </c>
      <c r="W104" s="174">
        <v>0.73350000000000004</v>
      </c>
      <c r="X104" s="174">
        <v>0.7258</v>
      </c>
      <c r="Y104" s="145" t="s">
        <v>404</v>
      </c>
      <c r="Z104" s="134" t="s">
        <v>419</v>
      </c>
      <c r="AA104" s="134" t="s">
        <v>419</v>
      </c>
      <c r="AB104" s="137">
        <v>0.71479999999999999</v>
      </c>
      <c r="AC104" s="137">
        <v>0.73640000000000005</v>
      </c>
      <c r="AD104" s="137">
        <v>0.72940000000000005</v>
      </c>
      <c r="AE104" s="137">
        <v>0.74139999999999995</v>
      </c>
      <c r="AF104" s="137">
        <v>0.74539999999999995</v>
      </c>
      <c r="AG104" s="137">
        <v>0.73160000000000003</v>
      </c>
      <c r="AH104" s="158" t="s">
        <v>404</v>
      </c>
      <c r="AI104" s="134" t="s">
        <v>578</v>
      </c>
      <c r="AJ104" s="134" t="s">
        <v>578</v>
      </c>
      <c r="AK104" s="137">
        <v>0.71589999999999998</v>
      </c>
      <c r="AL104" s="137">
        <v>0.7329</v>
      </c>
      <c r="AM104" s="137">
        <v>0.72470000000000001</v>
      </c>
      <c r="AN104" s="137">
        <v>0.746</v>
      </c>
      <c r="AO104" s="137">
        <v>0.7429</v>
      </c>
      <c r="AP104" s="137">
        <v>0.73089999999999999</v>
      </c>
      <c r="AQ104" s="150" t="s">
        <v>404</v>
      </c>
      <c r="AR104" s="134" t="s">
        <v>465</v>
      </c>
      <c r="AS104" s="134" t="s">
        <v>465</v>
      </c>
      <c r="AT104" s="137">
        <v>0.71479999999999999</v>
      </c>
      <c r="AU104" s="137">
        <v>0.72319999999999995</v>
      </c>
      <c r="AV104" s="137">
        <v>0.71619999999999995</v>
      </c>
      <c r="AW104" s="137">
        <v>0.746</v>
      </c>
      <c r="AX104" s="137">
        <v>0.74399999999999999</v>
      </c>
      <c r="AY104" s="137">
        <v>0.72650000000000003</v>
      </c>
      <c r="AZ104" s="138" t="s">
        <v>405</v>
      </c>
      <c r="BA104" s="134" t="s">
        <v>710</v>
      </c>
      <c r="BB104" s="134" t="s">
        <v>650</v>
      </c>
      <c r="BC104" s="137">
        <v>0.7157</v>
      </c>
      <c r="BD104" s="137">
        <v>0.70230000000000004</v>
      </c>
      <c r="BE104" s="137">
        <v>0.68440000000000001</v>
      </c>
      <c r="BF104" s="137">
        <v>0.74229999999999996</v>
      </c>
      <c r="BG104" s="137">
        <v>0.73060000000000003</v>
      </c>
      <c r="BH104" s="137">
        <v>0.7127</v>
      </c>
      <c r="BI104" s="135" t="s">
        <v>405</v>
      </c>
      <c r="BJ104" s="152">
        <v>155</v>
      </c>
      <c r="BK104" s="152">
        <v>154</v>
      </c>
      <c r="BL104" s="137">
        <v>0.73</v>
      </c>
      <c r="BM104" s="137">
        <v>0.70020000000000004</v>
      </c>
      <c r="BN104" s="137">
        <v>0.68510000000000004</v>
      </c>
      <c r="BO104" s="137">
        <v>0.74150000000000005</v>
      </c>
      <c r="BP104" s="137">
        <v>0.7137</v>
      </c>
      <c r="BQ104" s="137">
        <v>0.71409999999999996</v>
      </c>
      <c r="BR104" s="279" t="s">
        <v>405</v>
      </c>
      <c r="BS104" s="272">
        <v>164</v>
      </c>
      <c r="BT104" s="272">
        <v>163</v>
      </c>
      <c r="BU104" s="272">
        <v>0.7268</v>
      </c>
      <c r="BV104" s="272">
        <v>0.69450000000000001</v>
      </c>
      <c r="BW104" s="272">
        <v>0.68220000000000003</v>
      </c>
      <c r="BX104" s="272">
        <v>0.74990000000000001</v>
      </c>
      <c r="BY104" s="272">
        <v>0.70630000000000004</v>
      </c>
      <c r="BZ104" s="272">
        <v>0.71279999999999999</v>
      </c>
      <c r="CA104" s="358" t="s">
        <v>405</v>
      </c>
      <c r="CB104" s="357" t="s">
        <v>660</v>
      </c>
      <c r="CC104" s="357" t="s">
        <v>430</v>
      </c>
      <c r="CD104" s="357">
        <v>0.73209999999999997</v>
      </c>
      <c r="CE104" s="357">
        <v>0.69059999999999999</v>
      </c>
      <c r="CF104" s="357">
        <v>0.69240000000000002</v>
      </c>
      <c r="CG104" s="357">
        <v>0.74950000000000006</v>
      </c>
      <c r="CH104" s="357">
        <v>0.71650000000000003</v>
      </c>
      <c r="CI104" s="357">
        <v>0.71619999999999995</v>
      </c>
      <c r="CJ104" s="725" t="s">
        <v>405</v>
      </c>
      <c r="CK104" s="626">
        <v>191</v>
      </c>
      <c r="CL104" s="626">
        <v>190</v>
      </c>
      <c r="CM104" s="626">
        <v>0.72560000000000002</v>
      </c>
      <c r="CN104" s="626">
        <v>0.69279999999999997</v>
      </c>
      <c r="CO104" s="626">
        <v>0.69169999999999998</v>
      </c>
      <c r="CP104" s="626">
        <v>0.75319999999999998</v>
      </c>
      <c r="CQ104" s="626">
        <v>0.72419999999999995</v>
      </c>
      <c r="CR104" s="721">
        <v>0.71650000000000003</v>
      </c>
      <c r="CS104" s="569" t="s">
        <v>405</v>
      </c>
      <c r="CT104" s="569">
        <v>193</v>
      </c>
      <c r="CU104" s="569">
        <v>193</v>
      </c>
      <c r="CV104" s="590">
        <v>0.72870000000000001</v>
      </c>
      <c r="CW104" s="590">
        <v>0.68789999999999996</v>
      </c>
      <c r="CX104" s="590">
        <v>0.6885</v>
      </c>
      <c r="CY104" s="590">
        <v>0.74980000000000002</v>
      </c>
      <c r="CZ104" s="590">
        <v>0.72309999999999997</v>
      </c>
      <c r="DA104" s="590">
        <v>0.71450000000000002</v>
      </c>
    </row>
    <row r="105" spans="1:105" ht="15" x14ac:dyDescent="0.25">
      <c r="A105" s="773" t="s">
        <v>215</v>
      </c>
      <c r="B105" s="346" t="s">
        <v>214</v>
      </c>
      <c r="C105" s="134" t="s">
        <v>567</v>
      </c>
      <c r="D105" s="134" t="s">
        <v>417</v>
      </c>
      <c r="E105" s="134" t="s">
        <v>787</v>
      </c>
      <c r="F105" s="134" t="s">
        <v>221</v>
      </c>
      <c r="G105" s="134"/>
      <c r="H105" s="134"/>
      <c r="I105" s="134"/>
      <c r="J105" s="134"/>
      <c r="K105" s="134"/>
      <c r="L105" s="134"/>
      <c r="M105" s="134"/>
      <c r="N105" s="134"/>
      <c r="O105" s="134"/>
      <c r="P105" s="16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639"/>
      <c r="BS105" s="271"/>
      <c r="BT105" s="271"/>
      <c r="BU105" s="271"/>
      <c r="BV105" s="271"/>
      <c r="BW105" s="271"/>
      <c r="BX105" s="271"/>
      <c r="BY105" s="271"/>
      <c r="BZ105" s="271"/>
      <c r="CA105" s="346"/>
      <c r="CB105" s="346"/>
      <c r="CC105" s="346"/>
      <c r="CD105" s="346"/>
      <c r="CE105" s="346"/>
      <c r="CF105" s="346"/>
      <c r="CG105" s="346"/>
      <c r="CH105" s="346"/>
      <c r="CI105" s="346"/>
      <c r="CJ105" s="724"/>
      <c r="CK105" s="624"/>
      <c r="CL105" s="624"/>
      <c r="CM105" s="624"/>
      <c r="CN105" s="624"/>
      <c r="CO105" s="624"/>
      <c r="CP105" s="624"/>
      <c r="CQ105" s="624"/>
      <c r="CR105" s="624"/>
      <c r="CS105" s="568"/>
      <c r="CT105" s="568"/>
      <c r="CU105" s="568"/>
      <c r="CV105" s="568"/>
      <c r="CW105" s="568"/>
      <c r="CX105" s="568"/>
      <c r="CY105" s="568"/>
      <c r="CZ105" s="568"/>
      <c r="DA105" s="568"/>
    </row>
    <row r="106" spans="1:105" x14ac:dyDescent="0.25">
      <c r="A106" s="36" t="s">
        <v>120</v>
      </c>
      <c r="B106" s="346" t="s">
        <v>119</v>
      </c>
      <c r="C106" s="134" t="s">
        <v>567</v>
      </c>
      <c r="D106" s="134" t="s">
        <v>417</v>
      </c>
      <c r="E106" s="134" t="s">
        <v>787</v>
      </c>
      <c r="F106" s="134" t="s">
        <v>221</v>
      </c>
      <c r="G106" s="167" t="s">
        <v>541</v>
      </c>
      <c r="H106" s="166">
        <v>47</v>
      </c>
      <c r="I106" s="166">
        <v>46</v>
      </c>
      <c r="J106" s="166">
        <v>0.64539999999999997</v>
      </c>
      <c r="K106" s="166">
        <v>0.64659999999999995</v>
      </c>
      <c r="L106" s="166">
        <v>0.64359999999999995</v>
      </c>
      <c r="M106" s="166">
        <v>0.66759999999999997</v>
      </c>
      <c r="N106" s="166">
        <v>0.64429999999999998</v>
      </c>
      <c r="O106" s="166">
        <v>0.65029999999999999</v>
      </c>
      <c r="P106" s="175" t="s">
        <v>541</v>
      </c>
      <c r="Q106" s="174" t="s">
        <v>658</v>
      </c>
      <c r="R106" s="174" t="s">
        <v>545</v>
      </c>
      <c r="S106" s="174">
        <v>0.63190000000000002</v>
      </c>
      <c r="T106" s="174">
        <v>0.65139999999999998</v>
      </c>
      <c r="U106" s="174">
        <v>0.63590000000000002</v>
      </c>
      <c r="V106" s="174">
        <v>0.64270000000000005</v>
      </c>
      <c r="W106" s="174">
        <v>0.64600000000000002</v>
      </c>
      <c r="X106" s="174">
        <v>0.64090000000000003</v>
      </c>
      <c r="Y106" s="141" t="s">
        <v>541</v>
      </c>
      <c r="Z106" s="134" t="s">
        <v>464</v>
      </c>
      <c r="AA106" s="134" t="s">
        <v>551</v>
      </c>
      <c r="AB106" s="137">
        <v>0.63380000000000003</v>
      </c>
      <c r="AC106" s="137">
        <v>0.67320000000000002</v>
      </c>
      <c r="AD106" s="137">
        <v>0.64359999999999995</v>
      </c>
      <c r="AE106" s="137">
        <v>0.6482</v>
      </c>
      <c r="AF106" s="137">
        <v>0.67130000000000001</v>
      </c>
      <c r="AG106" s="137">
        <v>0.65129999999999999</v>
      </c>
      <c r="AH106" s="155" t="s">
        <v>541</v>
      </c>
      <c r="AI106" s="134" t="s">
        <v>498</v>
      </c>
      <c r="AJ106" s="134" t="s">
        <v>418</v>
      </c>
      <c r="AK106" s="137">
        <v>0.63839999999999997</v>
      </c>
      <c r="AL106" s="137">
        <v>0.69379999999999997</v>
      </c>
      <c r="AM106" s="137">
        <v>0.65759999999999996</v>
      </c>
      <c r="AN106" s="137">
        <v>0.66069999999999995</v>
      </c>
      <c r="AO106" s="137">
        <v>0.68510000000000004</v>
      </c>
      <c r="AP106" s="137">
        <v>0.6643</v>
      </c>
      <c r="AQ106" s="134"/>
      <c r="AR106" s="134"/>
      <c r="AS106" s="134"/>
      <c r="AT106" s="137"/>
      <c r="AU106" s="137"/>
      <c r="AV106" s="137"/>
      <c r="AW106" s="137"/>
      <c r="AX106" s="137"/>
      <c r="AY106" s="137"/>
      <c r="AZ106" s="138" t="s">
        <v>405</v>
      </c>
      <c r="BA106" s="134" t="s">
        <v>707</v>
      </c>
      <c r="BB106" s="134" t="s">
        <v>478</v>
      </c>
      <c r="BC106" s="137">
        <v>0.68969999999999998</v>
      </c>
      <c r="BD106" s="137">
        <v>0.70309999999999995</v>
      </c>
      <c r="BE106" s="137">
        <v>0.68469999999999998</v>
      </c>
      <c r="BF106" s="137">
        <v>0.72960000000000003</v>
      </c>
      <c r="BG106" s="137">
        <v>0.72370000000000001</v>
      </c>
      <c r="BH106" s="137">
        <v>0.70350000000000001</v>
      </c>
      <c r="BI106" s="135"/>
      <c r="BJ106" s="152"/>
      <c r="BK106" s="152"/>
      <c r="BL106" s="137"/>
      <c r="BM106" s="137"/>
      <c r="BN106" s="137"/>
      <c r="BO106" s="137"/>
      <c r="BP106" s="137"/>
      <c r="BQ106" s="137"/>
      <c r="BR106" s="279" t="s">
        <v>405</v>
      </c>
      <c r="BS106" s="272">
        <v>47</v>
      </c>
      <c r="BT106" s="272">
        <v>47</v>
      </c>
      <c r="BU106" s="272">
        <v>0.72360000000000002</v>
      </c>
      <c r="BV106" s="272">
        <v>0.7036</v>
      </c>
      <c r="BW106" s="272">
        <v>0.69010000000000005</v>
      </c>
      <c r="BX106" s="272">
        <v>0.74950000000000006</v>
      </c>
      <c r="BY106" s="272">
        <v>0.7006</v>
      </c>
      <c r="BZ106" s="272">
        <v>0.71540000000000004</v>
      </c>
      <c r="CA106" s="366" t="s">
        <v>404</v>
      </c>
      <c r="CB106" s="357" t="s">
        <v>463</v>
      </c>
      <c r="CC106" s="357" t="s">
        <v>463</v>
      </c>
      <c r="CD106" s="357">
        <v>0.74560000000000004</v>
      </c>
      <c r="CE106" s="357">
        <v>0.72929999999999995</v>
      </c>
      <c r="CF106" s="357">
        <v>0.70899999999999996</v>
      </c>
      <c r="CG106" s="357">
        <v>0.76570000000000005</v>
      </c>
      <c r="CH106" s="357">
        <v>0.72740000000000005</v>
      </c>
      <c r="CI106" s="357">
        <v>0.73660000000000003</v>
      </c>
      <c r="CJ106" s="725" t="s">
        <v>405</v>
      </c>
      <c r="CK106" s="626">
        <v>62</v>
      </c>
      <c r="CL106" s="626">
        <v>61</v>
      </c>
      <c r="CM106" s="626">
        <v>0.72409999999999997</v>
      </c>
      <c r="CN106" s="626">
        <v>0.71220000000000006</v>
      </c>
      <c r="CO106" s="626">
        <v>0.68130000000000002</v>
      </c>
      <c r="CP106" s="626">
        <v>0.74029999999999996</v>
      </c>
      <c r="CQ106" s="626">
        <v>0.73939999999999995</v>
      </c>
      <c r="CR106" s="721">
        <v>0.71640000000000004</v>
      </c>
      <c r="CS106" s="569" t="s">
        <v>404</v>
      </c>
      <c r="CT106" s="569">
        <v>73</v>
      </c>
      <c r="CU106" s="569">
        <v>72</v>
      </c>
      <c r="CV106" s="590">
        <v>0.75019999999999998</v>
      </c>
      <c r="CW106" s="590">
        <v>0.75019999999999998</v>
      </c>
      <c r="CX106" s="590">
        <v>0.73009999999999997</v>
      </c>
      <c r="CY106" s="590">
        <v>0.7621</v>
      </c>
      <c r="CZ106" s="590">
        <v>0.76229999999999998</v>
      </c>
      <c r="DA106" s="590">
        <v>0.74929999999999997</v>
      </c>
    </row>
    <row r="107" spans="1:105" x14ac:dyDescent="0.25">
      <c r="A107" s="36" t="s">
        <v>52</v>
      </c>
      <c r="B107" s="346" t="s">
        <v>51</v>
      </c>
      <c r="C107" s="134" t="s">
        <v>567</v>
      </c>
      <c r="D107" s="134" t="s">
        <v>417</v>
      </c>
      <c r="E107" s="134" t="s">
        <v>787</v>
      </c>
      <c r="F107" s="134" t="s">
        <v>221</v>
      </c>
      <c r="G107" s="165" t="s">
        <v>405</v>
      </c>
      <c r="H107" s="166">
        <v>147</v>
      </c>
      <c r="I107" s="166">
        <v>146</v>
      </c>
      <c r="J107" s="166">
        <v>0.67400000000000004</v>
      </c>
      <c r="K107" s="166">
        <v>0.69299999999999995</v>
      </c>
      <c r="L107" s="166">
        <v>0.68320000000000003</v>
      </c>
      <c r="M107" s="166">
        <v>0.68569999999999998</v>
      </c>
      <c r="N107" s="166">
        <v>0.67420000000000002</v>
      </c>
      <c r="O107" s="166">
        <v>0.68320000000000003</v>
      </c>
      <c r="P107" s="634" t="s">
        <v>405</v>
      </c>
      <c r="Q107" s="166" t="s">
        <v>836</v>
      </c>
      <c r="R107" s="166" t="s">
        <v>836</v>
      </c>
      <c r="S107" s="166">
        <v>0.67649999999999999</v>
      </c>
      <c r="T107" s="166">
        <v>0.69740000000000002</v>
      </c>
      <c r="U107" s="166">
        <v>0.6794</v>
      </c>
      <c r="V107" s="166">
        <v>0.68200000000000005</v>
      </c>
      <c r="W107" s="166">
        <v>0.67520000000000002</v>
      </c>
      <c r="X107" s="166">
        <v>0.68320000000000003</v>
      </c>
      <c r="Y107" s="138" t="s">
        <v>405</v>
      </c>
      <c r="Z107" s="134" t="s">
        <v>426</v>
      </c>
      <c r="AA107" s="134" t="s">
        <v>430</v>
      </c>
      <c r="AB107" s="137">
        <v>0.68589999999999995</v>
      </c>
      <c r="AC107" s="137">
        <v>0.71179999999999999</v>
      </c>
      <c r="AD107" s="137">
        <v>0.69430000000000003</v>
      </c>
      <c r="AE107" s="137">
        <v>0.70050000000000001</v>
      </c>
      <c r="AF107" s="137">
        <v>0.70520000000000005</v>
      </c>
      <c r="AG107" s="137">
        <v>0.69869999999999999</v>
      </c>
      <c r="AH107" s="159" t="s">
        <v>405</v>
      </c>
      <c r="AI107" s="134" t="s">
        <v>453</v>
      </c>
      <c r="AJ107" s="134" t="s">
        <v>602</v>
      </c>
      <c r="AK107" s="137">
        <v>0.70809999999999995</v>
      </c>
      <c r="AL107" s="137">
        <v>0.72660000000000002</v>
      </c>
      <c r="AM107" s="137">
        <v>0.7046</v>
      </c>
      <c r="AN107" s="137">
        <v>0.72109999999999996</v>
      </c>
      <c r="AO107" s="137">
        <v>0.71660000000000001</v>
      </c>
      <c r="AP107" s="137">
        <v>0.71519999999999995</v>
      </c>
      <c r="AQ107" s="150" t="s">
        <v>404</v>
      </c>
      <c r="AR107" s="134" t="s">
        <v>466</v>
      </c>
      <c r="AS107" s="134" t="s">
        <v>425</v>
      </c>
      <c r="AT107" s="137">
        <v>0.72040000000000004</v>
      </c>
      <c r="AU107" s="137">
        <v>0.73150000000000004</v>
      </c>
      <c r="AV107" s="137">
        <v>0.70850000000000002</v>
      </c>
      <c r="AW107" s="137">
        <v>0.74150000000000005</v>
      </c>
      <c r="AX107" s="137">
        <v>0.72819999999999996</v>
      </c>
      <c r="AY107" s="137">
        <v>0.72570000000000001</v>
      </c>
      <c r="AZ107" s="145" t="s">
        <v>404</v>
      </c>
      <c r="BA107" s="134" t="s">
        <v>426</v>
      </c>
      <c r="BB107" s="134" t="s">
        <v>676</v>
      </c>
      <c r="BC107" s="137">
        <v>0.72719999999999996</v>
      </c>
      <c r="BD107" s="137">
        <v>0.72109999999999996</v>
      </c>
      <c r="BE107" s="137">
        <v>0.69499999999999995</v>
      </c>
      <c r="BF107" s="137">
        <v>0.75249999999999995</v>
      </c>
      <c r="BG107" s="137">
        <v>0.72540000000000004</v>
      </c>
      <c r="BH107" s="137">
        <v>0.72409999999999997</v>
      </c>
      <c r="BI107" s="135" t="s">
        <v>405</v>
      </c>
      <c r="BJ107" s="152">
        <v>188</v>
      </c>
      <c r="BK107" s="152">
        <v>186</v>
      </c>
      <c r="BL107" s="137">
        <v>0.73660000000000003</v>
      </c>
      <c r="BM107" s="137">
        <v>0.70509999999999995</v>
      </c>
      <c r="BN107" s="137">
        <v>0.68969999999999998</v>
      </c>
      <c r="BO107" s="137">
        <v>0.74770000000000003</v>
      </c>
      <c r="BP107" s="137">
        <v>0.71199999999999997</v>
      </c>
      <c r="BQ107" s="137">
        <v>0.71919999999999995</v>
      </c>
      <c r="BR107" s="279" t="s">
        <v>405</v>
      </c>
      <c r="BS107" s="272">
        <v>184</v>
      </c>
      <c r="BT107" s="272">
        <v>183</v>
      </c>
      <c r="BU107" s="272">
        <v>0.73650000000000004</v>
      </c>
      <c r="BV107" s="272">
        <v>0.69689999999999996</v>
      </c>
      <c r="BW107" s="272">
        <v>0.68769999999999998</v>
      </c>
      <c r="BX107" s="272">
        <v>0.74609999999999999</v>
      </c>
      <c r="BY107" s="272">
        <v>0.70950000000000002</v>
      </c>
      <c r="BZ107" s="272">
        <v>0.71619999999999995</v>
      </c>
      <c r="CA107" s="366" t="s">
        <v>404</v>
      </c>
      <c r="CB107" s="357" t="s">
        <v>677</v>
      </c>
      <c r="CC107" s="357" t="s">
        <v>812</v>
      </c>
      <c r="CD107" s="357">
        <v>0.74909999999999999</v>
      </c>
      <c r="CE107" s="357">
        <v>0.70630000000000004</v>
      </c>
      <c r="CF107" s="357">
        <v>0.70520000000000005</v>
      </c>
      <c r="CG107" s="357">
        <v>0.75129999999999997</v>
      </c>
      <c r="CH107" s="357">
        <v>0.71279999999999999</v>
      </c>
      <c r="CI107" s="357">
        <v>0.7268</v>
      </c>
      <c r="CJ107" s="727" t="s">
        <v>404</v>
      </c>
      <c r="CK107" s="626">
        <v>156</v>
      </c>
      <c r="CL107" s="626">
        <v>155</v>
      </c>
      <c r="CM107" s="626">
        <v>0.74719999999999998</v>
      </c>
      <c r="CN107" s="626">
        <v>0.71460000000000001</v>
      </c>
      <c r="CO107" s="626">
        <v>0.70220000000000005</v>
      </c>
      <c r="CP107" s="626">
        <v>0.75249999999999995</v>
      </c>
      <c r="CQ107" s="626">
        <v>0.73650000000000004</v>
      </c>
      <c r="CR107" s="721">
        <v>0.72970000000000002</v>
      </c>
      <c r="CS107" s="569" t="s">
        <v>404</v>
      </c>
      <c r="CT107" s="569">
        <v>166</v>
      </c>
      <c r="CU107" s="569">
        <v>165</v>
      </c>
      <c r="CV107" s="590">
        <v>0.76129999999999998</v>
      </c>
      <c r="CW107" s="590">
        <v>0.73140000000000005</v>
      </c>
      <c r="CX107" s="590">
        <v>0.71799999999999997</v>
      </c>
      <c r="CY107" s="590">
        <v>0.76570000000000005</v>
      </c>
      <c r="CZ107" s="590">
        <v>0.75390000000000001</v>
      </c>
      <c r="DA107" s="590">
        <v>0.74490000000000001</v>
      </c>
    </row>
    <row r="108" spans="1:105" x14ac:dyDescent="0.25">
      <c r="A108" s="36" t="s">
        <v>40</v>
      </c>
      <c r="B108" s="346" t="s">
        <v>39</v>
      </c>
      <c r="C108" s="134" t="s">
        <v>567</v>
      </c>
      <c r="D108" s="134" t="s">
        <v>417</v>
      </c>
      <c r="E108" s="134" t="s">
        <v>787</v>
      </c>
      <c r="F108" s="134" t="s">
        <v>221</v>
      </c>
      <c r="G108" s="167" t="s">
        <v>541</v>
      </c>
      <c r="H108" s="166">
        <v>123</v>
      </c>
      <c r="I108" s="166">
        <v>122</v>
      </c>
      <c r="J108" s="166">
        <v>0.6421</v>
      </c>
      <c r="K108" s="166">
        <v>0.66359999999999997</v>
      </c>
      <c r="L108" s="166">
        <v>0.66149999999999998</v>
      </c>
      <c r="M108" s="166">
        <v>0.66239999999999999</v>
      </c>
      <c r="N108" s="166">
        <v>0.64059999999999995</v>
      </c>
      <c r="O108" s="166">
        <v>0.65610000000000002</v>
      </c>
      <c r="P108" s="175" t="s">
        <v>541</v>
      </c>
      <c r="Q108" s="174" t="s">
        <v>597</v>
      </c>
      <c r="R108" s="174" t="s">
        <v>798</v>
      </c>
      <c r="S108" s="174">
        <v>0.65990000000000004</v>
      </c>
      <c r="T108" s="174">
        <v>0.6774</v>
      </c>
      <c r="U108" s="174">
        <v>0.66830000000000001</v>
      </c>
      <c r="V108" s="174">
        <v>0.67210000000000003</v>
      </c>
      <c r="W108" s="174">
        <v>0.64300000000000002</v>
      </c>
      <c r="X108" s="174">
        <v>0.66739999999999999</v>
      </c>
      <c r="Y108" s="138" t="s">
        <v>405</v>
      </c>
      <c r="Z108" s="134" t="s">
        <v>696</v>
      </c>
      <c r="AA108" s="134" t="s">
        <v>697</v>
      </c>
      <c r="AB108" s="137">
        <v>0.67279999999999995</v>
      </c>
      <c r="AC108" s="137">
        <v>0.68520000000000003</v>
      </c>
      <c r="AD108" s="137">
        <v>0.66739999999999999</v>
      </c>
      <c r="AE108" s="137">
        <v>0.68210000000000004</v>
      </c>
      <c r="AF108" s="137">
        <v>0.65369999999999995</v>
      </c>
      <c r="AG108" s="137">
        <v>0.67510000000000003</v>
      </c>
      <c r="AH108" s="159" t="s">
        <v>405</v>
      </c>
      <c r="AI108" s="134" t="s">
        <v>625</v>
      </c>
      <c r="AJ108" s="134" t="s">
        <v>571</v>
      </c>
      <c r="AK108" s="137">
        <v>0.6855</v>
      </c>
      <c r="AL108" s="137">
        <v>0.69299999999999995</v>
      </c>
      <c r="AM108" s="137">
        <v>0.67879999999999996</v>
      </c>
      <c r="AN108" s="137">
        <v>0.70369999999999999</v>
      </c>
      <c r="AO108" s="137">
        <v>0.65600000000000003</v>
      </c>
      <c r="AP108" s="137">
        <v>0.68759999999999999</v>
      </c>
      <c r="AQ108" s="139" t="s">
        <v>405</v>
      </c>
      <c r="AR108" s="134" t="s">
        <v>525</v>
      </c>
      <c r="AS108" s="134" t="s">
        <v>526</v>
      </c>
      <c r="AT108" s="137">
        <v>0.68669999999999998</v>
      </c>
      <c r="AU108" s="137">
        <v>0.68930000000000002</v>
      </c>
      <c r="AV108" s="137">
        <v>0.67010000000000003</v>
      </c>
      <c r="AW108" s="137">
        <v>0.71719999999999995</v>
      </c>
      <c r="AX108" s="137">
        <v>0.66790000000000005</v>
      </c>
      <c r="AY108" s="137">
        <v>0.68899999999999995</v>
      </c>
      <c r="AZ108" s="138" t="s">
        <v>405</v>
      </c>
      <c r="BA108" s="134" t="s">
        <v>426</v>
      </c>
      <c r="BB108" s="134" t="s">
        <v>770</v>
      </c>
      <c r="BC108" s="137">
        <v>0.69710000000000005</v>
      </c>
      <c r="BD108" s="137">
        <v>0.67510000000000003</v>
      </c>
      <c r="BE108" s="137">
        <v>0.65500000000000003</v>
      </c>
      <c r="BF108" s="137">
        <v>0.72199999999999998</v>
      </c>
      <c r="BG108" s="137">
        <v>0.65580000000000005</v>
      </c>
      <c r="BH108" s="137">
        <v>0.68489999999999995</v>
      </c>
      <c r="BI108" s="135" t="s">
        <v>405</v>
      </c>
      <c r="BJ108" s="152">
        <v>183</v>
      </c>
      <c r="BK108" s="152">
        <v>175</v>
      </c>
      <c r="BL108" s="137">
        <v>0.70420000000000005</v>
      </c>
      <c r="BM108" s="137">
        <v>0.6663</v>
      </c>
      <c r="BN108" s="137">
        <v>0.63649999999999995</v>
      </c>
      <c r="BO108" s="137">
        <v>0.71960000000000002</v>
      </c>
      <c r="BP108" s="137">
        <v>0.64729999999999999</v>
      </c>
      <c r="BQ108" s="137">
        <v>0.67900000000000005</v>
      </c>
      <c r="BR108" s="279" t="s">
        <v>405</v>
      </c>
      <c r="BS108" s="272">
        <v>165</v>
      </c>
      <c r="BT108" s="272">
        <v>165</v>
      </c>
      <c r="BU108" s="272">
        <v>0.71699999999999997</v>
      </c>
      <c r="BV108" s="272">
        <v>0.66879999999999995</v>
      </c>
      <c r="BW108" s="272">
        <v>0.65110000000000001</v>
      </c>
      <c r="BX108" s="272">
        <v>0.73050000000000004</v>
      </c>
      <c r="BY108" s="272">
        <v>0.66279999999999994</v>
      </c>
      <c r="BZ108" s="272">
        <v>0.68959999999999999</v>
      </c>
      <c r="CA108" s="358" t="s">
        <v>405</v>
      </c>
      <c r="CB108" s="357" t="s">
        <v>526</v>
      </c>
      <c r="CC108" s="357" t="s">
        <v>709</v>
      </c>
      <c r="CD108" s="357">
        <v>0.69689999999999996</v>
      </c>
      <c r="CE108" s="357">
        <v>0.66239999999999999</v>
      </c>
      <c r="CF108" s="357">
        <v>0.65129999999999999</v>
      </c>
      <c r="CG108" s="357">
        <v>0.72519999999999996</v>
      </c>
      <c r="CH108" s="357">
        <v>0.67069999999999996</v>
      </c>
      <c r="CI108" s="357">
        <v>0.68289999999999995</v>
      </c>
      <c r="CJ108" s="725" t="s">
        <v>405</v>
      </c>
      <c r="CK108" s="626">
        <v>184</v>
      </c>
      <c r="CL108" s="626">
        <v>182</v>
      </c>
      <c r="CM108" s="626">
        <v>0.69730000000000003</v>
      </c>
      <c r="CN108" s="626">
        <v>0.67</v>
      </c>
      <c r="CO108" s="626">
        <v>0.65469999999999995</v>
      </c>
      <c r="CP108" s="626">
        <v>0.72450000000000003</v>
      </c>
      <c r="CQ108" s="626">
        <v>0.68959999999999999</v>
      </c>
      <c r="CR108" s="721">
        <v>0.68689999999999996</v>
      </c>
      <c r="CS108" s="569" t="s">
        <v>405</v>
      </c>
      <c r="CT108" s="569">
        <v>169</v>
      </c>
      <c r="CU108" s="569">
        <v>167</v>
      </c>
      <c r="CV108" s="590">
        <v>0.70979999999999999</v>
      </c>
      <c r="CW108" s="590">
        <v>0.68340000000000001</v>
      </c>
      <c r="CX108" s="590">
        <v>0.6673</v>
      </c>
      <c r="CY108" s="590">
        <v>0.73240000000000005</v>
      </c>
      <c r="CZ108" s="590">
        <v>0.69040000000000001</v>
      </c>
      <c r="DA108" s="590">
        <v>0.6976</v>
      </c>
    </row>
    <row r="109" spans="1:105" ht="15" x14ac:dyDescent="0.25">
      <c r="A109" s="774" t="s">
        <v>227</v>
      </c>
      <c r="B109" s="346" t="s">
        <v>237</v>
      </c>
      <c r="C109" s="134" t="s">
        <v>567</v>
      </c>
      <c r="D109" s="134" t="s">
        <v>417</v>
      </c>
      <c r="E109" s="134" t="s">
        <v>787</v>
      </c>
      <c r="F109" s="134" t="s">
        <v>221</v>
      </c>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639"/>
      <c r="BS109" s="271"/>
      <c r="BT109" s="271"/>
      <c r="BU109" s="271"/>
      <c r="BV109" s="271"/>
      <c r="BW109" s="271"/>
      <c r="BX109" s="271"/>
      <c r="BY109" s="271"/>
      <c r="BZ109" s="271"/>
      <c r="CA109" s="346"/>
      <c r="CB109" s="346"/>
      <c r="CC109" s="346"/>
      <c r="CD109" s="346"/>
      <c r="CE109" s="346"/>
      <c r="CF109" s="346"/>
      <c r="CG109" s="346"/>
      <c r="CH109" s="346"/>
      <c r="CI109" s="346"/>
      <c r="CJ109" s="724"/>
      <c r="CK109" s="624"/>
      <c r="CL109" s="624"/>
      <c r="CM109" s="624"/>
      <c r="CN109" s="624"/>
      <c r="CO109" s="624"/>
      <c r="CP109" s="624"/>
      <c r="CQ109" s="624"/>
      <c r="CR109" s="624"/>
      <c r="CS109" s="568"/>
      <c r="CT109" s="568"/>
      <c r="CU109" s="568"/>
      <c r="CV109" s="568"/>
      <c r="CW109" s="568"/>
      <c r="CX109" s="568"/>
      <c r="CY109" s="568"/>
      <c r="CZ109" s="568"/>
      <c r="DA109" s="568"/>
    </row>
    <row r="110" spans="1:105" x14ac:dyDescent="0.25">
      <c r="A110" s="126" t="s">
        <v>936</v>
      </c>
      <c r="B110" s="133" t="s">
        <v>935</v>
      </c>
      <c r="C110" s="134" t="s">
        <v>567</v>
      </c>
      <c r="D110" s="134" t="s">
        <v>417</v>
      </c>
      <c r="E110" s="134"/>
      <c r="F110" s="751" t="s">
        <v>221</v>
      </c>
      <c r="G110" s="775"/>
      <c r="H110" s="753"/>
      <c r="I110" s="753"/>
      <c r="J110" s="753"/>
      <c r="K110" s="753"/>
      <c r="L110" s="753"/>
      <c r="M110" s="753"/>
      <c r="N110" s="753"/>
      <c r="O110" s="753"/>
      <c r="P110" s="775"/>
      <c r="Q110" s="753"/>
      <c r="R110" s="753"/>
      <c r="S110" s="753"/>
      <c r="T110" s="753"/>
      <c r="U110" s="753"/>
      <c r="V110" s="753"/>
      <c r="W110" s="753"/>
      <c r="X110" s="753"/>
      <c r="Y110" s="755"/>
      <c r="Z110" s="751"/>
      <c r="AA110" s="751"/>
      <c r="AB110" s="756"/>
      <c r="AC110" s="756"/>
      <c r="AD110" s="756"/>
      <c r="AE110" s="756"/>
      <c r="AF110" s="756"/>
      <c r="AG110" s="756"/>
      <c r="AH110" s="757"/>
      <c r="AI110" s="751"/>
      <c r="AJ110" s="751"/>
      <c r="AK110" s="756"/>
      <c r="AL110" s="756"/>
      <c r="AM110" s="756"/>
      <c r="AN110" s="756"/>
      <c r="AO110" s="756"/>
      <c r="AP110" s="756"/>
      <c r="AQ110" s="758"/>
      <c r="AR110" s="751"/>
      <c r="AS110" s="751"/>
      <c r="AT110" s="756"/>
      <c r="AU110" s="756"/>
      <c r="AV110" s="756"/>
      <c r="AW110" s="756"/>
      <c r="AX110" s="756"/>
      <c r="AY110" s="756"/>
      <c r="AZ110" s="755"/>
      <c r="BA110" s="751"/>
      <c r="BB110" s="751"/>
      <c r="BC110" s="756"/>
      <c r="BD110" s="756"/>
      <c r="BE110" s="756"/>
      <c r="BF110" s="756"/>
      <c r="BG110" s="756"/>
      <c r="BH110" s="756"/>
      <c r="BI110" s="771"/>
      <c r="BJ110" s="760"/>
      <c r="BK110" s="760"/>
      <c r="BL110" s="756"/>
      <c r="BM110" s="756"/>
      <c r="BN110" s="756"/>
      <c r="BO110" s="756"/>
      <c r="BP110" s="756"/>
      <c r="BQ110" s="756"/>
      <c r="BR110" s="771"/>
      <c r="BS110" s="753"/>
      <c r="BT110" s="753"/>
      <c r="BU110" s="753"/>
      <c r="BV110" s="753"/>
      <c r="BW110" s="753"/>
      <c r="BX110" s="753"/>
      <c r="BY110" s="753"/>
      <c r="BZ110" s="753"/>
      <c r="CA110" s="793" t="s">
        <v>557</v>
      </c>
      <c r="CB110" s="762" t="s">
        <v>480</v>
      </c>
      <c r="CC110" s="762" t="s">
        <v>533</v>
      </c>
      <c r="CD110" s="762">
        <v>0.57789999999999997</v>
      </c>
      <c r="CE110" s="762">
        <v>0.57769999999999999</v>
      </c>
      <c r="CF110" s="762">
        <v>0.54390000000000005</v>
      </c>
      <c r="CG110" s="762">
        <v>0.63249999999999995</v>
      </c>
      <c r="CH110" s="762">
        <v>0.5665</v>
      </c>
      <c r="CI110" s="762">
        <v>0.58169999999999999</v>
      </c>
      <c r="CJ110" s="798" t="s">
        <v>557</v>
      </c>
      <c r="CK110" s="753">
        <v>51</v>
      </c>
      <c r="CL110" s="753">
        <v>41</v>
      </c>
      <c r="CM110" s="753">
        <v>0.54139999999999999</v>
      </c>
      <c r="CN110" s="753">
        <v>0.55100000000000005</v>
      </c>
      <c r="CO110" s="753">
        <v>0.52370000000000005</v>
      </c>
      <c r="CP110" s="753">
        <v>0.59030000000000005</v>
      </c>
      <c r="CQ110" s="753">
        <v>0.5484</v>
      </c>
      <c r="CR110" s="763">
        <v>0.55130000000000001</v>
      </c>
      <c r="CS110" s="751"/>
      <c r="CT110" s="802"/>
      <c r="CU110" s="802"/>
      <c r="CV110" s="756"/>
      <c r="CW110" s="756"/>
      <c r="CX110" s="756"/>
      <c r="CY110" s="756"/>
      <c r="CZ110" s="756"/>
      <c r="DA110" s="756"/>
    </row>
    <row r="111" spans="1:105" x14ac:dyDescent="0.25">
      <c r="A111" s="36" t="s">
        <v>155</v>
      </c>
      <c r="B111" s="134" t="s">
        <v>154</v>
      </c>
      <c r="C111" s="134" t="s">
        <v>567</v>
      </c>
      <c r="D111" s="134" t="s">
        <v>417</v>
      </c>
      <c r="E111" s="134" t="s">
        <v>787</v>
      </c>
      <c r="F111" s="134" t="s">
        <v>221</v>
      </c>
      <c r="G111" s="168" t="s">
        <v>404</v>
      </c>
      <c r="H111" s="166">
        <v>21</v>
      </c>
      <c r="I111" s="166">
        <v>21</v>
      </c>
      <c r="J111" s="166">
        <v>0.71199999999999997</v>
      </c>
      <c r="K111" s="166">
        <v>0.77159999999999995</v>
      </c>
      <c r="L111" s="166">
        <v>0.73019999999999996</v>
      </c>
      <c r="M111" s="166">
        <v>0.72709999999999997</v>
      </c>
      <c r="N111" s="166">
        <v>0.70899999999999996</v>
      </c>
      <c r="O111" s="166">
        <v>0.73319999999999996</v>
      </c>
      <c r="P111" s="177" t="s">
        <v>404</v>
      </c>
      <c r="Q111" s="174" t="s">
        <v>491</v>
      </c>
      <c r="R111" s="174" t="s">
        <v>491</v>
      </c>
      <c r="S111" s="174">
        <v>0.72050000000000003</v>
      </c>
      <c r="T111" s="174">
        <v>0.75609999999999999</v>
      </c>
      <c r="U111" s="174">
        <v>0.73760000000000003</v>
      </c>
      <c r="V111" s="174">
        <v>0.71489999999999998</v>
      </c>
      <c r="W111" s="174">
        <v>0.74360000000000004</v>
      </c>
      <c r="X111" s="174">
        <v>0.73309999999999997</v>
      </c>
      <c r="Y111" s="145" t="s">
        <v>404</v>
      </c>
      <c r="Z111" s="134" t="s">
        <v>540</v>
      </c>
      <c r="AA111" s="134" t="s">
        <v>540</v>
      </c>
      <c r="AB111" s="137">
        <v>0.72440000000000004</v>
      </c>
      <c r="AC111" s="137">
        <v>0.75609999999999999</v>
      </c>
      <c r="AD111" s="137">
        <v>0.74219999999999997</v>
      </c>
      <c r="AE111" s="137">
        <v>0.71130000000000004</v>
      </c>
      <c r="AF111" s="137">
        <v>0.71089999999999998</v>
      </c>
      <c r="AG111" s="137">
        <v>0.73180000000000001</v>
      </c>
      <c r="AH111" s="158" t="s">
        <v>404</v>
      </c>
      <c r="AI111" s="134" t="s">
        <v>542</v>
      </c>
      <c r="AJ111" s="134" t="s">
        <v>542</v>
      </c>
      <c r="AK111" s="137">
        <v>0.73170000000000002</v>
      </c>
      <c r="AL111" s="137">
        <v>0.74809999999999999</v>
      </c>
      <c r="AM111" s="137">
        <v>0.71919999999999995</v>
      </c>
      <c r="AN111" s="137">
        <v>0.73660000000000003</v>
      </c>
      <c r="AO111" s="137">
        <v>0.69159999999999999</v>
      </c>
      <c r="AP111" s="137">
        <v>0.73070000000000002</v>
      </c>
      <c r="AQ111" s="139" t="s">
        <v>405</v>
      </c>
      <c r="AR111" s="134" t="s">
        <v>489</v>
      </c>
      <c r="AS111" s="134" t="s">
        <v>489</v>
      </c>
      <c r="AT111" s="137">
        <v>0.69910000000000005</v>
      </c>
      <c r="AU111" s="137">
        <v>0.72240000000000004</v>
      </c>
      <c r="AV111" s="137">
        <v>0.6875</v>
      </c>
      <c r="AW111" s="137">
        <v>0.73209999999999997</v>
      </c>
      <c r="AX111" s="137">
        <v>0.65</v>
      </c>
      <c r="AY111" s="137">
        <v>0.70569999999999999</v>
      </c>
      <c r="AZ111" s="138" t="s">
        <v>405</v>
      </c>
      <c r="BA111" s="134" t="s">
        <v>543</v>
      </c>
      <c r="BB111" s="134" t="s">
        <v>543</v>
      </c>
      <c r="BC111" s="137">
        <v>0.6845</v>
      </c>
      <c r="BD111" s="137">
        <v>0.69920000000000004</v>
      </c>
      <c r="BE111" s="137">
        <v>0.65659999999999996</v>
      </c>
      <c r="BF111" s="137">
        <v>0.71009999999999995</v>
      </c>
      <c r="BG111" s="137">
        <v>0.65400000000000003</v>
      </c>
      <c r="BH111" s="137">
        <v>0.68500000000000005</v>
      </c>
      <c r="BI111" s="140" t="s">
        <v>541</v>
      </c>
      <c r="BJ111" s="152">
        <v>10</v>
      </c>
      <c r="BK111" s="152">
        <v>10</v>
      </c>
      <c r="BL111" s="137">
        <v>0.68540000000000001</v>
      </c>
      <c r="BM111" s="137">
        <v>0.63680000000000003</v>
      </c>
      <c r="BN111" s="137">
        <v>0.64849999999999997</v>
      </c>
      <c r="BO111" s="137">
        <v>0.67930000000000001</v>
      </c>
      <c r="BP111" s="137">
        <v>0.58640000000000003</v>
      </c>
      <c r="BQ111" s="137">
        <v>0.65659999999999996</v>
      </c>
      <c r="BR111" s="279" t="s">
        <v>405</v>
      </c>
      <c r="BS111" s="272">
        <v>14</v>
      </c>
      <c r="BT111" s="272">
        <v>14</v>
      </c>
      <c r="BU111" s="272">
        <v>0.70920000000000005</v>
      </c>
      <c r="BV111" s="272">
        <v>0.66559999999999997</v>
      </c>
      <c r="BW111" s="272">
        <v>0.69230000000000003</v>
      </c>
      <c r="BX111" s="272">
        <v>0.70950000000000002</v>
      </c>
      <c r="BY111" s="272">
        <v>0.65969999999999995</v>
      </c>
      <c r="BZ111" s="273">
        <v>0.6915</v>
      </c>
      <c r="CA111" s="358" t="s">
        <v>405</v>
      </c>
      <c r="CB111" s="357" t="s">
        <v>560</v>
      </c>
      <c r="CC111" s="357" t="s">
        <v>560</v>
      </c>
      <c r="CD111" s="357">
        <v>0.72099999999999997</v>
      </c>
      <c r="CE111" s="357">
        <v>0.68959999999999999</v>
      </c>
      <c r="CF111" s="357">
        <v>0.72430000000000005</v>
      </c>
      <c r="CG111" s="357">
        <v>0.72250000000000003</v>
      </c>
      <c r="CH111" s="357">
        <v>0.66990000000000005</v>
      </c>
      <c r="CI111" s="357">
        <v>0.71089999999999998</v>
      </c>
      <c r="CJ111" s="725" t="s">
        <v>405</v>
      </c>
      <c r="CK111" s="626">
        <v>14</v>
      </c>
      <c r="CL111" s="626">
        <v>14</v>
      </c>
      <c r="CM111" s="626">
        <v>0.71050000000000002</v>
      </c>
      <c r="CN111" s="626">
        <v>0.70030000000000003</v>
      </c>
      <c r="CO111" s="626">
        <v>0.68889999999999996</v>
      </c>
      <c r="CP111" s="626">
        <v>0.72819999999999996</v>
      </c>
      <c r="CQ111" s="626">
        <v>0.71660000000000001</v>
      </c>
      <c r="CR111" s="721">
        <v>0.7077</v>
      </c>
      <c r="CS111" s="569" t="s">
        <v>405</v>
      </c>
      <c r="CT111" s="569">
        <v>15</v>
      </c>
      <c r="CU111" s="569">
        <v>15</v>
      </c>
      <c r="CV111" s="590">
        <v>0.73619999999999997</v>
      </c>
      <c r="CW111" s="590">
        <v>0.69310000000000005</v>
      </c>
      <c r="CX111" s="590">
        <v>0.64059999999999995</v>
      </c>
      <c r="CY111" s="590">
        <v>0.72599999999999998</v>
      </c>
      <c r="CZ111" s="590">
        <v>0.72070000000000001</v>
      </c>
      <c r="DA111" s="590">
        <v>0.7006</v>
      </c>
    </row>
    <row r="112" spans="1:105" x14ac:dyDescent="0.25">
      <c r="A112" s="36" t="s">
        <v>233</v>
      </c>
      <c r="B112" s="134" t="s">
        <v>238</v>
      </c>
      <c r="C112" s="134" t="s">
        <v>567</v>
      </c>
      <c r="D112" s="134" t="s">
        <v>417</v>
      </c>
      <c r="E112" s="134" t="s">
        <v>787</v>
      </c>
      <c r="F112" s="134" t="s">
        <v>221</v>
      </c>
      <c r="G112" s="134"/>
      <c r="H112" s="134"/>
      <c r="I112" s="134"/>
      <c r="J112" s="134"/>
      <c r="K112" s="134"/>
      <c r="L112" s="134"/>
      <c r="M112" s="134"/>
      <c r="N112" s="134"/>
      <c r="O112" s="134"/>
      <c r="P112" s="568"/>
      <c r="Q112" s="568"/>
      <c r="R112" s="568"/>
      <c r="S112" s="568"/>
      <c r="T112" s="568"/>
      <c r="U112" s="568"/>
      <c r="V112" s="568"/>
      <c r="W112" s="568"/>
      <c r="X112" s="568"/>
      <c r="Y112" s="134"/>
      <c r="Z112" s="134"/>
      <c r="AA112" s="134"/>
      <c r="AB112" s="137"/>
      <c r="AC112" s="137"/>
      <c r="AD112" s="137"/>
      <c r="AE112" s="137"/>
      <c r="AF112" s="137"/>
      <c r="AG112" s="137"/>
      <c r="AH112" s="156"/>
      <c r="AI112" s="134"/>
      <c r="AJ112" s="134"/>
      <c r="AK112" s="137"/>
      <c r="AL112" s="137"/>
      <c r="AM112" s="137"/>
      <c r="AN112" s="137"/>
      <c r="AO112" s="137"/>
      <c r="AP112" s="137"/>
      <c r="AQ112" s="134"/>
      <c r="AR112" s="134"/>
      <c r="AS112" s="134"/>
      <c r="AT112" s="137"/>
      <c r="AU112" s="137"/>
      <c r="AV112" s="137"/>
      <c r="AW112" s="137"/>
      <c r="AX112" s="137"/>
      <c r="AY112" s="137"/>
      <c r="AZ112" s="134"/>
      <c r="BA112" s="134"/>
      <c r="BB112" s="134"/>
      <c r="BC112" s="137"/>
      <c r="BD112" s="137"/>
      <c r="BE112" s="137"/>
      <c r="BF112" s="137"/>
      <c r="BG112" s="137"/>
      <c r="BH112" s="137"/>
      <c r="BI112" s="140" t="s">
        <v>541</v>
      </c>
      <c r="BJ112" s="152">
        <v>10</v>
      </c>
      <c r="BK112" s="152">
        <v>9</v>
      </c>
      <c r="BL112" s="137">
        <v>0.64549999999999996</v>
      </c>
      <c r="BM112" s="137">
        <v>0.64229999999999998</v>
      </c>
      <c r="BN112" s="137">
        <v>0.64639999999999997</v>
      </c>
      <c r="BO112" s="137">
        <v>0.70279999999999998</v>
      </c>
      <c r="BP112" s="137">
        <v>0.63649999999999995</v>
      </c>
      <c r="BQ112" s="137">
        <v>0.65749999999999997</v>
      </c>
      <c r="BR112" s="279" t="s">
        <v>405</v>
      </c>
      <c r="BS112" s="272">
        <v>23</v>
      </c>
      <c r="BT112" s="272">
        <v>23</v>
      </c>
      <c r="BU112" s="272">
        <v>0.6764</v>
      </c>
      <c r="BV112" s="272">
        <v>0.65229999999999999</v>
      </c>
      <c r="BW112" s="272">
        <v>0.65500000000000003</v>
      </c>
      <c r="BX112" s="272">
        <v>0.72389999999999999</v>
      </c>
      <c r="BY112" s="272">
        <v>0.63859999999999995</v>
      </c>
      <c r="BZ112" s="272">
        <v>0.67390000000000005</v>
      </c>
      <c r="CA112" s="358" t="s">
        <v>405</v>
      </c>
      <c r="CB112" s="357" t="s">
        <v>162</v>
      </c>
      <c r="CC112" s="357" t="s">
        <v>145</v>
      </c>
      <c r="CD112" s="357">
        <v>0.68289999999999995</v>
      </c>
      <c r="CE112" s="357">
        <v>0.66080000000000005</v>
      </c>
      <c r="CF112" s="357">
        <v>0.64290000000000003</v>
      </c>
      <c r="CG112" s="357">
        <v>0.70789999999999997</v>
      </c>
      <c r="CH112" s="357">
        <v>0.64410000000000001</v>
      </c>
      <c r="CI112" s="357">
        <v>0.67130000000000001</v>
      </c>
      <c r="CJ112" s="728" t="s">
        <v>541</v>
      </c>
      <c r="CK112" s="626">
        <v>56</v>
      </c>
      <c r="CL112" s="626">
        <v>54</v>
      </c>
      <c r="CM112" s="626">
        <v>0.66859999999999997</v>
      </c>
      <c r="CN112" s="626">
        <v>0.64539999999999997</v>
      </c>
      <c r="CO112" s="626">
        <v>0.63290000000000002</v>
      </c>
      <c r="CP112" s="626">
        <v>0.70020000000000004</v>
      </c>
      <c r="CQ112" s="626">
        <v>0.63400000000000001</v>
      </c>
      <c r="CR112" s="721">
        <v>0.65959999999999996</v>
      </c>
      <c r="CS112" s="569" t="s">
        <v>541</v>
      </c>
      <c r="CT112" s="569">
        <v>54</v>
      </c>
      <c r="CU112" s="569">
        <v>52</v>
      </c>
      <c r="CV112" s="590">
        <v>0.66569999999999996</v>
      </c>
      <c r="CW112" s="590">
        <v>0.63649999999999995</v>
      </c>
      <c r="CX112" s="590">
        <v>0.62390000000000001</v>
      </c>
      <c r="CY112" s="590">
        <v>0.68820000000000003</v>
      </c>
      <c r="CZ112" s="590">
        <v>0.64300000000000002</v>
      </c>
      <c r="DA112" s="590">
        <v>0.65280000000000005</v>
      </c>
    </row>
    <row r="113" spans="1:105" x14ac:dyDescent="0.25">
      <c r="A113" s="36" t="s">
        <v>144</v>
      </c>
      <c r="B113" s="134" t="s">
        <v>143</v>
      </c>
      <c r="C113" s="134" t="s">
        <v>567</v>
      </c>
      <c r="D113" s="134" t="s">
        <v>417</v>
      </c>
      <c r="E113" s="134" t="s">
        <v>787</v>
      </c>
      <c r="F113" s="134" t="s">
        <v>221</v>
      </c>
      <c r="G113" s="168" t="s">
        <v>404</v>
      </c>
      <c r="H113" s="166">
        <v>66</v>
      </c>
      <c r="I113" s="166">
        <v>65</v>
      </c>
      <c r="J113" s="166">
        <v>0.72560000000000002</v>
      </c>
      <c r="K113" s="166">
        <v>0.71619999999999995</v>
      </c>
      <c r="L113" s="166">
        <v>0.73099999999999998</v>
      </c>
      <c r="M113" s="166">
        <v>0.72989999999999999</v>
      </c>
      <c r="N113" s="166">
        <v>0.67900000000000005</v>
      </c>
      <c r="O113" s="166">
        <v>0.72209999999999996</v>
      </c>
      <c r="P113" s="173" t="s">
        <v>405</v>
      </c>
      <c r="Q113" s="174" t="s">
        <v>448</v>
      </c>
      <c r="R113" s="174" t="s">
        <v>580</v>
      </c>
      <c r="S113" s="174">
        <v>0.7137</v>
      </c>
      <c r="T113" s="174">
        <v>0.70379999999999998</v>
      </c>
      <c r="U113" s="174">
        <v>0.71840000000000004</v>
      </c>
      <c r="V113" s="174">
        <v>0.71389999999999998</v>
      </c>
      <c r="W113" s="174">
        <v>0.67579999999999996</v>
      </c>
      <c r="X113" s="174">
        <v>0.70960000000000001</v>
      </c>
      <c r="Y113" s="138" t="s">
        <v>405</v>
      </c>
      <c r="Z113" s="134" t="s">
        <v>511</v>
      </c>
      <c r="AA113" s="134" t="s">
        <v>419</v>
      </c>
      <c r="AB113" s="137">
        <v>0.68759999999999999</v>
      </c>
      <c r="AC113" s="137">
        <v>0.68979999999999997</v>
      </c>
      <c r="AD113" s="137">
        <v>0.71140000000000003</v>
      </c>
      <c r="AE113" s="137">
        <v>0.70889999999999997</v>
      </c>
      <c r="AF113" s="137">
        <v>0.67669999999999997</v>
      </c>
      <c r="AG113" s="137">
        <v>0.69769999999999999</v>
      </c>
      <c r="AH113" s="159" t="s">
        <v>405</v>
      </c>
      <c r="AI113" s="134" t="s">
        <v>458</v>
      </c>
      <c r="AJ113" s="134" t="s">
        <v>609</v>
      </c>
      <c r="AK113" s="137">
        <v>0.68110000000000004</v>
      </c>
      <c r="AL113" s="137">
        <v>0.69199999999999995</v>
      </c>
      <c r="AM113" s="137">
        <v>0.70489999999999997</v>
      </c>
      <c r="AN113" s="137">
        <v>0.71189999999999998</v>
      </c>
      <c r="AO113" s="137">
        <v>0.68110000000000004</v>
      </c>
      <c r="AP113" s="137">
        <v>0.69620000000000004</v>
      </c>
      <c r="AQ113" s="139" t="s">
        <v>405</v>
      </c>
      <c r="AR113" s="134" t="s">
        <v>488</v>
      </c>
      <c r="AS113" s="134" t="s">
        <v>487</v>
      </c>
      <c r="AT113" s="137">
        <v>0.69730000000000003</v>
      </c>
      <c r="AU113" s="137">
        <v>0.69969999999999999</v>
      </c>
      <c r="AV113" s="137">
        <v>0.70320000000000005</v>
      </c>
      <c r="AW113" s="137">
        <v>0.72919999999999996</v>
      </c>
      <c r="AX113" s="137">
        <v>0.6925</v>
      </c>
      <c r="AY113" s="137">
        <v>0.70620000000000005</v>
      </c>
      <c r="AZ113" s="138" t="s">
        <v>405</v>
      </c>
      <c r="BA113" s="134" t="s">
        <v>718</v>
      </c>
      <c r="BB113" s="134" t="s">
        <v>465</v>
      </c>
      <c r="BC113" s="137">
        <v>0.72670000000000001</v>
      </c>
      <c r="BD113" s="137">
        <v>0.70230000000000004</v>
      </c>
      <c r="BE113" s="137">
        <v>0.70150000000000001</v>
      </c>
      <c r="BF113" s="137">
        <v>0.74629999999999996</v>
      </c>
      <c r="BG113" s="137">
        <v>0.70330000000000004</v>
      </c>
      <c r="BH113" s="137">
        <v>0.71799999999999997</v>
      </c>
      <c r="BI113" s="149" t="s">
        <v>404</v>
      </c>
      <c r="BJ113" s="152">
        <v>151</v>
      </c>
      <c r="BK113" s="152">
        <v>148</v>
      </c>
      <c r="BL113" s="137">
        <v>0.74360000000000004</v>
      </c>
      <c r="BM113" s="137">
        <v>0.70750000000000002</v>
      </c>
      <c r="BN113" s="137">
        <v>0.70499999999999996</v>
      </c>
      <c r="BO113" s="137">
        <v>0.75390000000000001</v>
      </c>
      <c r="BP113" s="137">
        <v>0.70109999999999995</v>
      </c>
      <c r="BQ113" s="137">
        <v>0.72550000000000003</v>
      </c>
      <c r="BR113" s="707" t="s">
        <v>404</v>
      </c>
      <c r="BS113" s="272">
        <v>159</v>
      </c>
      <c r="BT113" s="272">
        <v>159</v>
      </c>
      <c r="BU113" s="272">
        <v>0.75600000000000001</v>
      </c>
      <c r="BV113" s="272">
        <v>0.71220000000000006</v>
      </c>
      <c r="BW113" s="272">
        <v>0.70430000000000004</v>
      </c>
      <c r="BX113" s="272">
        <v>0.76419999999999999</v>
      </c>
      <c r="BY113" s="272">
        <v>0.71779999999999999</v>
      </c>
      <c r="BZ113" s="272">
        <v>0.7329</v>
      </c>
      <c r="CA113" s="710" t="s">
        <v>404</v>
      </c>
      <c r="CB113" s="682" t="s">
        <v>966</v>
      </c>
      <c r="CC113" s="682" t="s">
        <v>966</v>
      </c>
      <c r="CD113" s="682">
        <v>0.74650000000000005</v>
      </c>
      <c r="CE113" s="682">
        <v>0.70589999999999997</v>
      </c>
      <c r="CF113" s="682">
        <v>0.70130000000000003</v>
      </c>
      <c r="CG113" s="682">
        <v>0.7601</v>
      </c>
      <c r="CH113" s="682">
        <v>0.71909999999999996</v>
      </c>
      <c r="CI113" s="682">
        <v>0.72770000000000001</v>
      </c>
      <c r="CJ113" s="713" t="s">
        <v>404</v>
      </c>
      <c r="CK113" s="626">
        <v>253</v>
      </c>
      <c r="CL113" s="626">
        <v>252</v>
      </c>
      <c r="CM113" s="626">
        <v>0.73480000000000001</v>
      </c>
      <c r="CN113" s="626">
        <v>0.70109999999999995</v>
      </c>
      <c r="CO113" s="626">
        <v>0.69279999999999997</v>
      </c>
      <c r="CP113" s="626">
        <v>0.75519999999999998</v>
      </c>
      <c r="CQ113" s="626">
        <v>0.72589999999999999</v>
      </c>
      <c r="CR113" s="721">
        <v>0.72140000000000004</v>
      </c>
      <c r="CS113" s="569" t="s">
        <v>404</v>
      </c>
      <c r="CT113" s="569">
        <v>286</v>
      </c>
      <c r="CU113" s="569">
        <v>283</v>
      </c>
      <c r="CV113" s="590">
        <v>0.73480000000000001</v>
      </c>
      <c r="CW113" s="590">
        <v>0.70079999999999998</v>
      </c>
      <c r="CX113" s="590">
        <v>0.69399999999999995</v>
      </c>
      <c r="CY113" s="590">
        <v>0.75260000000000005</v>
      </c>
      <c r="CZ113" s="590">
        <v>0.72219999999999995</v>
      </c>
      <c r="DA113" s="590">
        <v>0.72070000000000001</v>
      </c>
    </row>
    <row r="114" spans="1:105" x14ac:dyDescent="0.25">
      <c r="A114" s="36" t="s">
        <v>209</v>
      </c>
      <c r="B114" s="134" t="s">
        <v>208</v>
      </c>
      <c r="C114" s="134" t="s">
        <v>567</v>
      </c>
      <c r="D114" s="134" t="s">
        <v>417</v>
      </c>
      <c r="E114" s="134" t="s">
        <v>787</v>
      </c>
      <c r="F114" s="134" t="s">
        <v>221</v>
      </c>
      <c r="G114" s="134"/>
      <c r="H114" s="134"/>
      <c r="I114" s="134"/>
      <c r="J114" s="134"/>
      <c r="K114" s="134"/>
      <c r="L114" s="134"/>
      <c r="M114" s="134"/>
      <c r="N114" s="134"/>
      <c r="O114" s="134"/>
      <c r="P114" s="568"/>
      <c r="Q114" s="568"/>
      <c r="R114" s="568"/>
      <c r="S114" s="568"/>
      <c r="T114" s="568"/>
      <c r="U114" s="568"/>
      <c r="V114" s="568"/>
      <c r="W114" s="568"/>
      <c r="X114" s="568"/>
      <c r="Y114" s="138" t="s">
        <v>405</v>
      </c>
      <c r="Z114" s="134" t="s">
        <v>540</v>
      </c>
      <c r="AA114" s="134" t="s">
        <v>662</v>
      </c>
      <c r="AB114" s="137">
        <v>0.71719999999999995</v>
      </c>
      <c r="AC114" s="137">
        <v>0.70420000000000005</v>
      </c>
      <c r="AD114" s="137">
        <v>0.70960000000000001</v>
      </c>
      <c r="AE114" s="137">
        <v>0.72209999999999996</v>
      </c>
      <c r="AF114" s="137">
        <v>0.70479999999999998</v>
      </c>
      <c r="AG114" s="137">
        <v>0.71260000000000001</v>
      </c>
      <c r="AH114" s="159" t="s">
        <v>405</v>
      </c>
      <c r="AI114" s="134" t="s">
        <v>565</v>
      </c>
      <c r="AJ114" s="134" t="s">
        <v>601</v>
      </c>
      <c r="AK114" s="137">
        <v>0.72260000000000002</v>
      </c>
      <c r="AL114" s="137">
        <v>0.7077</v>
      </c>
      <c r="AM114" s="137">
        <v>0.70450000000000002</v>
      </c>
      <c r="AN114" s="137">
        <v>0.73309999999999997</v>
      </c>
      <c r="AO114" s="137">
        <v>0.70399999999999996</v>
      </c>
      <c r="AP114" s="137">
        <v>0.71599999999999997</v>
      </c>
      <c r="AQ114" s="139" t="s">
        <v>405</v>
      </c>
      <c r="AR114" s="134" t="s">
        <v>478</v>
      </c>
      <c r="AS114" s="134" t="s">
        <v>479</v>
      </c>
      <c r="AT114" s="137">
        <v>0.71609999999999996</v>
      </c>
      <c r="AU114" s="137">
        <v>0.70330000000000004</v>
      </c>
      <c r="AV114" s="137">
        <v>0.69440000000000002</v>
      </c>
      <c r="AW114" s="137">
        <v>0.73250000000000004</v>
      </c>
      <c r="AX114" s="137">
        <v>0.70140000000000002</v>
      </c>
      <c r="AY114" s="137">
        <v>0.71079999999999999</v>
      </c>
      <c r="AZ114" s="138" t="s">
        <v>405</v>
      </c>
      <c r="BA114" s="134" t="s">
        <v>607</v>
      </c>
      <c r="BB114" s="134" t="s">
        <v>481</v>
      </c>
      <c r="BC114" s="137">
        <v>0.73199999999999998</v>
      </c>
      <c r="BD114" s="137">
        <v>0.70389999999999997</v>
      </c>
      <c r="BE114" s="137">
        <v>0.68920000000000003</v>
      </c>
      <c r="BF114" s="137">
        <v>0.7419</v>
      </c>
      <c r="BG114" s="137">
        <v>0.71960000000000002</v>
      </c>
      <c r="BH114" s="137">
        <v>0.71699999999999997</v>
      </c>
      <c r="BI114" s="135" t="s">
        <v>405</v>
      </c>
      <c r="BJ114" s="152">
        <v>55</v>
      </c>
      <c r="BK114" s="152">
        <v>51</v>
      </c>
      <c r="BL114" s="137">
        <v>0.72960000000000003</v>
      </c>
      <c r="BM114" s="137">
        <v>0.69369999999999998</v>
      </c>
      <c r="BN114" s="137">
        <v>0.70450000000000002</v>
      </c>
      <c r="BO114" s="137">
        <v>0.74650000000000005</v>
      </c>
      <c r="BP114" s="137">
        <v>0.71189999999999998</v>
      </c>
      <c r="BQ114" s="137">
        <v>0.71809999999999996</v>
      </c>
      <c r="BR114" s="279" t="s">
        <v>405</v>
      </c>
      <c r="BS114" s="272">
        <v>67</v>
      </c>
      <c r="BT114" s="272">
        <v>67</v>
      </c>
      <c r="BU114" s="272">
        <v>0.72970000000000002</v>
      </c>
      <c r="BV114" s="272">
        <v>0.68579999999999997</v>
      </c>
      <c r="BW114" s="272">
        <v>0.70530000000000004</v>
      </c>
      <c r="BX114" s="272">
        <v>0.74399999999999999</v>
      </c>
      <c r="BY114" s="272">
        <v>0.71220000000000006</v>
      </c>
      <c r="BZ114" s="272">
        <v>0.71589999999999998</v>
      </c>
      <c r="CA114" s="366" t="s">
        <v>404</v>
      </c>
      <c r="CB114" s="357" t="s">
        <v>581</v>
      </c>
      <c r="CC114" s="357" t="s">
        <v>581</v>
      </c>
      <c r="CD114" s="357">
        <v>0.72489999999999999</v>
      </c>
      <c r="CE114" s="357">
        <v>0.69040000000000001</v>
      </c>
      <c r="CF114" s="357">
        <v>0.71960000000000002</v>
      </c>
      <c r="CG114" s="357">
        <v>0.75609999999999999</v>
      </c>
      <c r="CH114" s="357">
        <v>0.72719999999999996</v>
      </c>
      <c r="CI114" s="357">
        <v>0.72309999999999997</v>
      </c>
      <c r="CJ114" s="727" t="s">
        <v>404</v>
      </c>
      <c r="CK114" s="626">
        <v>101</v>
      </c>
      <c r="CL114" s="626">
        <v>100</v>
      </c>
      <c r="CM114" s="626">
        <v>0.71799999999999997</v>
      </c>
      <c r="CN114" s="626">
        <v>0.6966</v>
      </c>
      <c r="CO114" s="626">
        <v>0.70920000000000005</v>
      </c>
      <c r="CP114" s="626">
        <v>0.75580000000000003</v>
      </c>
      <c r="CQ114" s="626">
        <v>0.74629999999999996</v>
      </c>
      <c r="CR114" s="721">
        <v>0.72189999999999999</v>
      </c>
      <c r="CS114" s="569" t="s">
        <v>404</v>
      </c>
      <c r="CT114" s="569">
        <v>129</v>
      </c>
      <c r="CU114" s="569">
        <v>127</v>
      </c>
      <c r="CV114" s="590">
        <v>0.71709999999999996</v>
      </c>
      <c r="CW114" s="590">
        <v>0.70899999999999996</v>
      </c>
      <c r="CX114" s="590">
        <v>0.71489999999999998</v>
      </c>
      <c r="CY114" s="590">
        <v>0.76129999999999998</v>
      </c>
      <c r="CZ114" s="590">
        <v>0.75960000000000005</v>
      </c>
      <c r="DA114" s="590">
        <v>0.72819999999999996</v>
      </c>
    </row>
    <row r="115" spans="1:105" x14ac:dyDescent="0.25">
      <c r="A115" s="36" t="s">
        <v>67</v>
      </c>
      <c r="B115" s="134" t="s">
        <v>66</v>
      </c>
      <c r="C115" s="134" t="s">
        <v>567</v>
      </c>
      <c r="D115" s="134" t="s">
        <v>417</v>
      </c>
      <c r="E115" s="134" t="s">
        <v>787</v>
      </c>
      <c r="F115" s="134" t="s">
        <v>221</v>
      </c>
      <c r="G115" s="168" t="s">
        <v>404</v>
      </c>
      <c r="H115" s="166">
        <v>359</v>
      </c>
      <c r="I115" s="166">
        <v>358</v>
      </c>
      <c r="J115" s="166">
        <v>0.71450000000000002</v>
      </c>
      <c r="K115" s="166">
        <v>0.73699999999999999</v>
      </c>
      <c r="L115" s="166">
        <v>0.72950000000000004</v>
      </c>
      <c r="M115" s="166">
        <v>0.73619999999999997</v>
      </c>
      <c r="N115" s="166">
        <v>0.71389999999999998</v>
      </c>
      <c r="O115" s="166">
        <v>0.72809999999999997</v>
      </c>
      <c r="P115" s="177" t="s">
        <v>404</v>
      </c>
      <c r="Q115" s="174" t="s">
        <v>837</v>
      </c>
      <c r="R115" s="174" t="s">
        <v>838</v>
      </c>
      <c r="S115" s="174">
        <v>0.71499999999999997</v>
      </c>
      <c r="T115" s="174">
        <v>0.73209999999999997</v>
      </c>
      <c r="U115" s="174">
        <v>0.72119999999999995</v>
      </c>
      <c r="V115" s="174">
        <v>0.7218</v>
      </c>
      <c r="W115" s="174">
        <v>0.7056</v>
      </c>
      <c r="X115" s="174">
        <v>0.72119999999999995</v>
      </c>
      <c r="Y115" s="145" t="s">
        <v>404</v>
      </c>
      <c r="Z115" s="134" t="s">
        <v>656</v>
      </c>
      <c r="AA115" s="134" t="s">
        <v>656</v>
      </c>
      <c r="AB115" s="137">
        <v>0.72030000000000005</v>
      </c>
      <c r="AC115" s="137">
        <v>0.73080000000000001</v>
      </c>
      <c r="AD115" s="137">
        <v>0.71970000000000001</v>
      </c>
      <c r="AE115" s="137">
        <v>0.73040000000000005</v>
      </c>
      <c r="AF115" s="137">
        <v>0.71030000000000004</v>
      </c>
      <c r="AG115" s="137">
        <v>0.72409999999999997</v>
      </c>
      <c r="AH115" s="158" t="s">
        <v>404</v>
      </c>
      <c r="AI115" s="134" t="s">
        <v>590</v>
      </c>
      <c r="AJ115" s="134" t="s">
        <v>591</v>
      </c>
      <c r="AK115" s="137">
        <v>0.72909999999999997</v>
      </c>
      <c r="AL115" s="137">
        <v>0.73399999999999999</v>
      </c>
      <c r="AM115" s="137">
        <v>0.72399999999999998</v>
      </c>
      <c r="AN115" s="137">
        <v>0.74180000000000001</v>
      </c>
      <c r="AO115" s="137">
        <v>0.71630000000000005</v>
      </c>
      <c r="AP115" s="137">
        <v>0.73099999999999998</v>
      </c>
      <c r="AQ115" s="150" t="s">
        <v>404</v>
      </c>
      <c r="AR115" s="134" t="s">
        <v>460</v>
      </c>
      <c r="AS115" s="134" t="s">
        <v>461</v>
      </c>
      <c r="AT115" s="137">
        <v>0.72989999999999999</v>
      </c>
      <c r="AU115" s="137">
        <v>0.73070000000000002</v>
      </c>
      <c r="AV115" s="137">
        <v>0.71389999999999998</v>
      </c>
      <c r="AW115" s="137">
        <v>0.75290000000000001</v>
      </c>
      <c r="AX115" s="137">
        <v>0.72729999999999995</v>
      </c>
      <c r="AY115" s="137">
        <v>0.73150000000000004</v>
      </c>
      <c r="AZ115" s="145" t="s">
        <v>404</v>
      </c>
      <c r="BA115" s="134" t="s">
        <v>751</v>
      </c>
      <c r="BB115" s="134" t="s">
        <v>716</v>
      </c>
      <c r="BC115" s="137">
        <v>0.7339</v>
      </c>
      <c r="BD115" s="137">
        <v>0.71899999999999997</v>
      </c>
      <c r="BE115" s="137">
        <v>0.70599999999999996</v>
      </c>
      <c r="BF115" s="137">
        <v>0.76070000000000004</v>
      </c>
      <c r="BG115" s="137">
        <v>0.72060000000000002</v>
      </c>
      <c r="BH115" s="137">
        <v>0.72919999999999996</v>
      </c>
      <c r="BI115" s="149" t="s">
        <v>404</v>
      </c>
      <c r="BJ115" s="152">
        <v>351</v>
      </c>
      <c r="BK115" s="152">
        <v>345</v>
      </c>
      <c r="BL115" s="137">
        <v>0.74280000000000002</v>
      </c>
      <c r="BM115" s="137">
        <v>0.70199999999999996</v>
      </c>
      <c r="BN115" s="137">
        <v>0.69820000000000004</v>
      </c>
      <c r="BO115" s="137">
        <v>0.75729999999999997</v>
      </c>
      <c r="BP115" s="137">
        <v>0.70140000000000002</v>
      </c>
      <c r="BQ115" s="137">
        <v>0.72319999999999995</v>
      </c>
      <c r="BR115" s="283" t="s">
        <v>404</v>
      </c>
      <c r="BS115" s="272">
        <v>365</v>
      </c>
      <c r="BT115" s="272">
        <v>363</v>
      </c>
      <c r="BU115" s="272">
        <v>0.754</v>
      </c>
      <c r="BV115" s="272">
        <v>0.70320000000000005</v>
      </c>
      <c r="BW115" s="272">
        <v>0.70389999999999997</v>
      </c>
      <c r="BX115" s="272">
        <v>0.76529999999999998</v>
      </c>
      <c r="BY115" s="272">
        <v>0.71730000000000005</v>
      </c>
      <c r="BZ115" s="272">
        <v>0.73050000000000004</v>
      </c>
      <c r="CA115" s="366" t="s">
        <v>404</v>
      </c>
      <c r="CB115" s="357" t="s">
        <v>656</v>
      </c>
      <c r="CC115" s="357" t="s">
        <v>800</v>
      </c>
      <c r="CD115" s="357">
        <v>0.76959999999999995</v>
      </c>
      <c r="CE115" s="357">
        <v>0.71160000000000001</v>
      </c>
      <c r="CF115" s="357">
        <v>0.71760000000000002</v>
      </c>
      <c r="CG115" s="357">
        <v>0.77370000000000005</v>
      </c>
      <c r="CH115" s="357">
        <v>0.73599999999999999</v>
      </c>
      <c r="CI115" s="357">
        <v>0.74260000000000004</v>
      </c>
      <c r="CJ115" s="727" t="s">
        <v>404</v>
      </c>
      <c r="CK115" s="626">
        <v>387</v>
      </c>
      <c r="CL115" s="626">
        <v>384</v>
      </c>
      <c r="CM115" s="626">
        <v>0.77470000000000006</v>
      </c>
      <c r="CN115" s="626">
        <v>0.72109999999999996</v>
      </c>
      <c r="CO115" s="626">
        <v>0.71879999999999999</v>
      </c>
      <c r="CP115" s="626">
        <v>0.77729999999999999</v>
      </c>
      <c r="CQ115" s="626">
        <v>0.76200000000000001</v>
      </c>
      <c r="CR115" s="721">
        <v>0.74909999999999999</v>
      </c>
      <c r="CS115" s="569" t="s">
        <v>404</v>
      </c>
      <c r="CT115" s="569">
        <v>385</v>
      </c>
      <c r="CU115" s="569">
        <v>383</v>
      </c>
      <c r="CV115" s="590">
        <v>0.78310000000000002</v>
      </c>
      <c r="CW115" s="590">
        <v>0.72560000000000002</v>
      </c>
      <c r="CX115" s="590">
        <v>0.71860000000000002</v>
      </c>
      <c r="CY115" s="590">
        <v>0.77829999999999999</v>
      </c>
      <c r="CZ115" s="590">
        <v>0.76729999999999998</v>
      </c>
      <c r="DA115" s="590">
        <v>0.75260000000000005</v>
      </c>
    </row>
    <row r="116" spans="1:105" x14ac:dyDescent="0.25">
      <c r="A116" s="36" t="s">
        <v>892</v>
      </c>
      <c r="B116" s="166" t="s">
        <v>893</v>
      </c>
      <c r="C116" s="134" t="s">
        <v>567</v>
      </c>
      <c r="D116" s="134" t="s">
        <v>417</v>
      </c>
      <c r="E116" s="134" t="s">
        <v>787</v>
      </c>
      <c r="F116" s="134" t="s">
        <v>221</v>
      </c>
      <c r="G116" s="168"/>
      <c r="H116" s="166"/>
      <c r="I116" s="166"/>
      <c r="J116" s="166"/>
      <c r="K116" s="166"/>
      <c r="L116" s="166"/>
      <c r="M116" s="166"/>
      <c r="N116" s="166"/>
      <c r="O116" s="166"/>
      <c r="P116" s="177"/>
      <c r="Q116" s="174"/>
      <c r="R116" s="174"/>
      <c r="S116" s="174"/>
      <c r="T116" s="174"/>
      <c r="U116" s="174"/>
      <c r="V116" s="174"/>
      <c r="W116" s="174"/>
      <c r="X116" s="174"/>
      <c r="Y116" s="145"/>
      <c r="Z116" s="134"/>
      <c r="AA116" s="134"/>
      <c r="AB116" s="137"/>
      <c r="AC116" s="137"/>
      <c r="AD116" s="137"/>
      <c r="AE116" s="137"/>
      <c r="AF116" s="137"/>
      <c r="AG116" s="137"/>
      <c r="AH116" s="158"/>
      <c r="AI116" s="134"/>
      <c r="AJ116" s="134"/>
      <c r="AK116" s="137"/>
      <c r="AL116" s="137"/>
      <c r="AM116" s="137"/>
      <c r="AN116" s="137"/>
      <c r="AO116" s="137"/>
      <c r="AP116" s="137"/>
      <c r="AQ116" s="150"/>
      <c r="AR116" s="134"/>
      <c r="AS116" s="134"/>
      <c r="AT116" s="137"/>
      <c r="AU116" s="137"/>
      <c r="AV116" s="137"/>
      <c r="AW116" s="137"/>
      <c r="AX116" s="137"/>
      <c r="AY116" s="137"/>
      <c r="AZ116" s="145"/>
      <c r="BA116" s="134"/>
      <c r="BB116" s="134"/>
      <c r="BC116" s="137"/>
      <c r="BD116" s="137"/>
      <c r="BE116" s="137"/>
      <c r="BF116" s="137"/>
      <c r="BG116" s="137"/>
      <c r="BH116" s="137"/>
      <c r="BI116" s="149"/>
      <c r="BJ116" s="152"/>
      <c r="BK116" s="152"/>
      <c r="BL116" s="137"/>
      <c r="BM116" s="137"/>
      <c r="BN116" s="137"/>
      <c r="BO116" s="137"/>
      <c r="BP116" s="137"/>
      <c r="BQ116" s="137"/>
      <c r="BR116" s="280" t="s">
        <v>557</v>
      </c>
      <c r="BS116" s="272">
        <v>14</v>
      </c>
      <c r="BT116" s="272">
        <v>12</v>
      </c>
      <c r="BU116" s="272">
        <v>0.60289999999999999</v>
      </c>
      <c r="BV116" s="272">
        <v>0.59630000000000005</v>
      </c>
      <c r="BW116" s="272">
        <v>0.56689999999999996</v>
      </c>
      <c r="BX116" s="272">
        <v>0.64929999999999999</v>
      </c>
      <c r="BY116" s="272">
        <v>0.61309999999999998</v>
      </c>
      <c r="BZ116" s="272">
        <v>0.60460000000000003</v>
      </c>
      <c r="CA116" s="356" t="s">
        <v>557</v>
      </c>
      <c r="CB116" s="357" t="s">
        <v>529</v>
      </c>
      <c r="CC116" s="357" t="s">
        <v>543</v>
      </c>
      <c r="CD116" s="357">
        <v>0.59499999999999997</v>
      </c>
      <c r="CE116" s="357">
        <v>0.59799999999999998</v>
      </c>
      <c r="CF116" s="357">
        <v>0.57150000000000001</v>
      </c>
      <c r="CG116" s="357">
        <v>0.63719999999999999</v>
      </c>
      <c r="CH116" s="357">
        <v>0.60399999999999998</v>
      </c>
      <c r="CI116" s="357">
        <v>0.60070000000000001</v>
      </c>
      <c r="CJ116" s="723" t="s">
        <v>557</v>
      </c>
      <c r="CK116" s="626">
        <v>20</v>
      </c>
      <c r="CL116" s="626">
        <v>18</v>
      </c>
      <c r="CM116" s="626">
        <v>0.60740000000000005</v>
      </c>
      <c r="CN116" s="626">
        <v>0.5837</v>
      </c>
      <c r="CO116" s="626">
        <v>0.56999999999999995</v>
      </c>
      <c r="CP116" s="626">
        <v>0.64100000000000001</v>
      </c>
      <c r="CQ116" s="626">
        <v>0.61170000000000002</v>
      </c>
      <c r="CR116" s="721">
        <v>0.60140000000000005</v>
      </c>
      <c r="CS116" s="569" t="s">
        <v>557</v>
      </c>
      <c r="CT116" s="801">
        <v>10</v>
      </c>
      <c r="CU116" s="801">
        <v>10</v>
      </c>
      <c r="CV116" s="805">
        <v>0.5706</v>
      </c>
      <c r="CW116" s="805">
        <v>0.5121</v>
      </c>
      <c r="CX116" s="805">
        <v>0.57289999999999996</v>
      </c>
      <c r="CY116" s="805">
        <v>0.59589999999999999</v>
      </c>
      <c r="CZ116" s="805">
        <v>0.60029999999999994</v>
      </c>
      <c r="DA116" s="805">
        <v>0.56579999999999997</v>
      </c>
    </row>
    <row r="117" spans="1:105" x14ac:dyDescent="0.25">
      <c r="A117" s="36" t="s">
        <v>31</v>
      </c>
      <c r="B117" s="134" t="s">
        <v>30</v>
      </c>
      <c r="C117" s="134" t="s">
        <v>567</v>
      </c>
      <c r="D117" s="134" t="s">
        <v>417</v>
      </c>
      <c r="E117" s="134" t="s">
        <v>787</v>
      </c>
      <c r="F117" s="134" t="s">
        <v>221</v>
      </c>
      <c r="G117" s="165" t="s">
        <v>405</v>
      </c>
      <c r="H117" s="166">
        <v>36</v>
      </c>
      <c r="I117" s="166">
        <v>36</v>
      </c>
      <c r="J117" s="166">
        <v>0.69350000000000001</v>
      </c>
      <c r="K117" s="166">
        <v>0.66659999999999997</v>
      </c>
      <c r="L117" s="166">
        <v>0.6835</v>
      </c>
      <c r="M117" s="166">
        <v>0.70320000000000005</v>
      </c>
      <c r="N117" s="166">
        <v>0.64039999999999997</v>
      </c>
      <c r="O117" s="166">
        <v>0.68320000000000003</v>
      </c>
      <c r="P117" s="173" t="s">
        <v>405</v>
      </c>
      <c r="Q117" s="174" t="s">
        <v>542</v>
      </c>
      <c r="R117" s="174" t="s">
        <v>542</v>
      </c>
      <c r="S117" s="174">
        <v>0.70879999999999999</v>
      </c>
      <c r="T117" s="174">
        <v>0.65620000000000001</v>
      </c>
      <c r="U117" s="174">
        <v>0.69630000000000003</v>
      </c>
      <c r="V117" s="174">
        <v>0.72019999999999995</v>
      </c>
      <c r="W117" s="174">
        <v>0.67410000000000003</v>
      </c>
      <c r="X117" s="174">
        <v>0.69369999999999998</v>
      </c>
      <c r="Y117" s="138" t="s">
        <v>405</v>
      </c>
      <c r="Z117" s="134" t="s">
        <v>553</v>
      </c>
      <c r="AA117" s="134" t="s">
        <v>553</v>
      </c>
      <c r="AB117" s="137">
        <v>0.70599999999999996</v>
      </c>
      <c r="AC117" s="137">
        <v>0.70950000000000002</v>
      </c>
      <c r="AD117" s="137">
        <v>0.71389999999999998</v>
      </c>
      <c r="AE117" s="137">
        <v>0.72270000000000001</v>
      </c>
      <c r="AF117" s="137">
        <v>0.68700000000000006</v>
      </c>
      <c r="AG117" s="137">
        <v>0.71099999999999997</v>
      </c>
      <c r="AH117" s="159" t="s">
        <v>405</v>
      </c>
      <c r="AI117" s="134" t="s">
        <v>512</v>
      </c>
      <c r="AJ117" s="134" t="s">
        <v>513</v>
      </c>
      <c r="AK117" s="137">
        <v>0.68940000000000001</v>
      </c>
      <c r="AL117" s="137">
        <v>0.68500000000000005</v>
      </c>
      <c r="AM117" s="137">
        <v>0.69430000000000003</v>
      </c>
      <c r="AN117" s="137">
        <v>0.71579999999999999</v>
      </c>
      <c r="AO117" s="137">
        <v>0.6754</v>
      </c>
      <c r="AP117" s="137">
        <v>0.69450000000000001</v>
      </c>
      <c r="AQ117" s="142" t="s">
        <v>541</v>
      </c>
      <c r="AR117" s="134" t="s">
        <v>542</v>
      </c>
      <c r="AS117" s="134" t="s">
        <v>543</v>
      </c>
      <c r="AT117" s="137">
        <v>0.65759999999999996</v>
      </c>
      <c r="AU117" s="137">
        <v>0.6613</v>
      </c>
      <c r="AV117" s="137">
        <v>0.66490000000000005</v>
      </c>
      <c r="AW117" s="137">
        <v>0.69510000000000005</v>
      </c>
      <c r="AX117" s="137">
        <v>0.65569999999999995</v>
      </c>
      <c r="AY117" s="137">
        <v>0.66859999999999997</v>
      </c>
      <c r="AZ117" s="141" t="s">
        <v>541</v>
      </c>
      <c r="BA117" s="134" t="s">
        <v>491</v>
      </c>
      <c r="BB117" s="134" t="s">
        <v>633</v>
      </c>
      <c r="BC117" s="137">
        <v>0.63360000000000005</v>
      </c>
      <c r="BD117" s="137">
        <v>0.61980000000000002</v>
      </c>
      <c r="BE117" s="137">
        <v>0.64049999999999996</v>
      </c>
      <c r="BF117" s="137">
        <v>0.68430000000000002</v>
      </c>
      <c r="BG117" s="137">
        <v>0.61350000000000005</v>
      </c>
      <c r="BH117" s="137">
        <v>0.64219999999999999</v>
      </c>
      <c r="BI117" s="140" t="s">
        <v>541</v>
      </c>
      <c r="BJ117" s="152">
        <v>17</v>
      </c>
      <c r="BK117" s="152">
        <v>16</v>
      </c>
      <c r="BL117" s="137">
        <v>0.68279999999999996</v>
      </c>
      <c r="BM117" s="137">
        <v>0.65259999999999996</v>
      </c>
      <c r="BN117" s="137">
        <v>0.66849999999999998</v>
      </c>
      <c r="BO117" s="137">
        <v>0.69099999999999995</v>
      </c>
      <c r="BP117" s="137">
        <v>0.61680000000000001</v>
      </c>
      <c r="BQ117" s="137">
        <v>0.6694</v>
      </c>
      <c r="BR117" s="279" t="s">
        <v>405</v>
      </c>
      <c r="BS117" s="272">
        <v>13</v>
      </c>
      <c r="BT117" s="272">
        <v>13</v>
      </c>
      <c r="BU117" s="272">
        <v>0.70069999999999999</v>
      </c>
      <c r="BV117" s="272">
        <v>0.69259999999999999</v>
      </c>
      <c r="BW117" s="272">
        <v>0.66390000000000005</v>
      </c>
      <c r="BX117" s="272">
        <v>0.72019999999999995</v>
      </c>
      <c r="BY117" s="272">
        <v>0.64370000000000005</v>
      </c>
      <c r="BZ117" s="272">
        <v>0.69040000000000001</v>
      </c>
      <c r="CA117" s="358" t="s">
        <v>405</v>
      </c>
      <c r="CB117" s="357" t="s">
        <v>543</v>
      </c>
      <c r="CC117" s="357" t="s">
        <v>543</v>
      </c>
      <c r="CD117" s="357">
        <v>0.68069999999999997</v>
      </c>
      <c r="CE117" s="357">
        <v>0.69689999999999996</v>
      </c>
      <c r="CF117" s="357">
        <v>0.65590000000000004</v>
      </c>
      <c r="CG117" s="357">
        <v>0.71589999999999998</v>
      </c>
      <c r="CH117" s="357">
        <v>0.66639999999999999</v>
      </c>
      <c r="CI117" s="357">
        <v>0.68579999999999997</v>
      </c>
      <c r="CJ117" s="725" t="s">
        <v>405</v>
      </c>
      <c r="CK117" s="626">
        <v>22</v>
      </c>
      <c r="CL117" s="626">
        <v>22</v>
      </c>
      <c r="CM117" s="626">
        <v>0.68920000000000003</v>
      </c>
      <c r="CN117" s="626">
        <v>0.70179999999999998</v>
      </c>
      <c r="CO117" s="626">
        <v>0.6784</v>
      </c>
      <c r="CP117" s="626">
        <v>0.72030000000000005</v>
      </c>
      <c r="CQ117" s="626">
        <v>0.71850000000000003</v>
      </c>
      <c r="CR117" s="721">
        <v>0.69899999999999995</v>
      </c>
      <c r="CS117" s="572" t="s">
        <v>405</v>
      </c>
      <c r="CT117" s="607">
        <v>27</v>
      </c>
      <c r="CU117" s="607">
        <v>27</v>
      </c>
      <c r="CV117" s="592">
        <v>0.68149999999999999</v>
      </c>
      <c r="CW117" s="592">
        <v>0.66649999999999998</v>
      </c>
      <c r="CX117" s="592">
        <v>0.65880000000000005</v>
      </c>
      <c r="CY117" s="592">
        <v>0.71330000000000005</v>
      </c>
      <c r="CZ117" s="592">
        <v>0.71289999999999998</v>
      </c>
      <c r="DA117" s="592">
        <v>0.6825</v>
      </c>
    </row>
    <row r="118" spans="1:105" x14ac:dyDescent="0.25">
      <c r="A118" s="36" t="s">
        <v>54</v>
      </c>
      <c r="B118" s="134" t="s">
        <v>53</v>
      </c>
      <c r="C118" s="134" t="s">
        <v>567</v>
      </c>
      <c r="D118" s="134" t="s">
        <v>417</v>
      </c>
      <c r="E118" s="134" t="s">
        <v>787</v>
      </c>
      <c r="F118" s="134" t="s">
        <v>221</v>
      </c>
      <c r="G118" s="168" t="s">
        <v>404</v>
      </c>
      <c r="H118" s="166">
        <v>151</v>
      </c>
      <c r="I118" s="166">
        <v>151</v>
      </c>
      <c r="J118" s="166">
        <v>0.73670000000000002</v>
      </c>
      <c r="K118" s="166">
        <v>0.749</v>
      </c>
      <c r="L118" s="166">
        <v>0.74380000000000002</v>
      </c>
      <c r="M118" s="166">
        <v>0.74270000000000003</v>
      </c>
      <c r="N118" s="166">
        <v>0.72209999999999996</v>
      </c>
      <c r="O118" s="166">
        <v>0.74139999999999995</v>
      </c>
      <c r="P118" s="177" t="s">
        <v>404</v>
      </c>
      <c r="Q118" s="174" t="s">
        <v>668</v>
      </c>
      <c r="R118" s="174" t="s">
        <v>668</v>
      </c>
      <c r="S118" s="174">
        <v>0.73499999999999999</v>
      </c>
      <c r="T118" s="174">
        <v>0.74939999999999996</v>
      </c>
      <c r="U118" s="174">
        <v>0.74280000000000002</v>
      </c>
      <c r="V118" s="174">
        <v>0.73540000000000005</v>
      </c>
      <c r="W118" s="174">
        <v>0.72419999999999995</v>
      </c>
      <c r="X118" s="174">
        <v>0.73939999999999995</v>
      </c>
      <c r="Y118" s="145" t="s">
        <v>404</v>
      </c>
      <c r="Z118" s="134" t="s">
        <v>465</v>
      </c>
      <c r="AA118" s="134" t="s">
        <v>465</v>
      </c>
      <c r="AB118" s="137">
        <v>0.75039999999999996</v>
      </c>
      <c r="AC118" s="137">
        <v>0.76349999999999996</v>
      </c>
      <c r="AD118" s="137">
        <v>0.748</v>
      </c>
      <c r="AE118" s="137">
        <v>0.73899999999999999</v>
      </c>
      <c r="AF118" s="137">
        <v>0.7369</v>
      </c>
      <c r="AG118" s="137">
        <v>0.74919999999999998</v>
      </c>
      <c r="AH118" s="158" t="s">
        <v>404</v>
      </c>
      <c r="AI118" s="134" t="s">
        <v>452</v>
      </c>
      <c r="AJ118" s="134" t="s">
        <v>452</v>
      </c>
      <c r="AK118" s="137">
        <v>0.76959999999999995</v>
      </c>
      <c r="AL118" s="137">
        <v>0.77359999999999995</v>
      </c>
      <c r="AM118" s="137">
        <v>0.75790000000000002</v>
      </c>
      <c r="AN118" s="137">
        <v>0.75380000000000003</v>
      </c>
      <c r="AO118" s="137">
        <v>0.75170000000000003</v>
      </c>
      <c r="AP118" s="137">
        <v>0.76280000000000003</v>
      </c>
      <c r="AQ118" s="148" t="s">
        <v>403</v>
      </c>
      <c r="AR118" s="134" t="s">
        <v>429</v>
      </c>
      <c r="AS118" s="134" t="s">
        <v>429</v>
      </c>
      <c r="AT118" s="137">
        <v>0.78759999999999997</v>
      </c>
      <c r="AU118" s="137">
        <v>0.77739999999999998</v>
      </c>
      <c r="AV118" s="137">
        <v>0.76449999999999996</v>
      </c>
      <c r="AW118" s="137">
        <v>0.77</v>
      </c>
      <c r="AX118" s="137">
        <v>0.75590000000000002</v>
      </c>
      <c r="AY118" s="137">
        <v>0.77339999999999998</v>
      </c>
      <c r="AZ118" s="147" t="s">
        <v>403</v>
      </c>
      <c r="BA118" s="134" t="s">
        <v>446</v>
      </c>
      <c r="BB118" s="134" t="s">
        <v>446</v>
      </c>
      <c r="BC118" s="137">
        <v>0.79320000000000002</v>
      </c>
      <c r="BD118" s="137">
        <v>0.77210000000000001</v>
      </c>
      <c r="BE118" s="137">
        <v>0.76449999999999996</v>
      </c>
      <c r="BF118" s="137">
        <v>0.77600000000000002</v>
      </c>
      <c r="BG118" s="137">
        <v>0.75449999999999995</v>
      </c>
      <c r="BH118" s="137">
        <v>0.77470000000000006</v>
      </c>
      <c r="BI118" s="149" t="s">
        <v>404</v>
      </c>
      <c r="BJ118" s="152">
        <v>80</v>
      </c>
      <c r="BK118" s="152">
        <v>80</v>
      </c>
      <c r="BL118" s="137">
        <v>0.78449999999999998</v>
      </c>
      <c r="BM118" s="137">
        <v>0.75039999999999996</v>
      </c>
      <c r="BN118" s="137">
        <v>0.754</v>
      </c>
      <c r="BO118" s="137">
        <v>0.77159999999999995</v>
      </c>
      <c r="BP118" s="137">
        <v>0.74129999999999996</v>
      </c>
      <c r="BQ118" s="137">
        <v>0.76329999999999998</v>
      </c>
      <c r="BR118" s="283" t="s">
        <v>404</v>
      </c>
      <c r="BS118" s="272">
        <v>86</v>
      </c>
      <c r="BT118" s="272">
        <v>86</v>
      </c>
      <c r="BU118" s="272">
        <v>0.77700000000000002</v>
      </c>
      <c r="BV118" s="272">
        <v>0.74650000000000005</v>
      </c>
      <c r="BW118" s="272">
        <v>0.753</v>
      </c>
      <c r="BX118" s="272">
        <v>0.78349999999999997</v>
      </c>
      <c r="BY118" s="272">
        <v>0.76229999999999998</v>
      </c>
      <c r="BZ118" s="272">
        <v>0.76480000000000004</v>
      </c>
      <c r="CA118" s="366" t="s">
        <v>404</v>
      </c>
      <c r="CB118" s="357" t="s">
        <v>639</v>
      </c>
      <c r="CC118" s="357" t="s">
        <v>639</v>
      </c>
      <c r="CD118" s="357">
        <v>0.7742</v>
      </c>
      <c r="CE118" s="357">
        <v>0.74470000000000003</v>
      </c>
      <c r="CF118" s="357">
        <v>0.73950000000000005</v>
      </c>
      <c r="CG118" s="357">
        <v>0.79349999999999998</v>
      </c>
      <c r="CH118" s="357">
        <v>0.77039999999999997</v>
      </c>
      <c r="CI118" s="357">
        <v>0.76349999999999996</v>
      </c>
      <c r="CJ118" s="726" t="s">
        <v>403</v>
      </c>
      <c r="CK118" s="626">
        <v>80</v>
      </c>
      <c r="CL118" s="626">
        <v>80</v>
      </c>
      <c r="CM118" s="626">
        <v>0.78510000000000002</v>
      </c>
      <c r="CN118" s="626">
        <v>0.75870000000000004</v>
      </c>
      <c r="CO118" s="626">
        <v>0.75180000000000002</v>
      </c>
      <c r="CP118" s="626">
        <v>0.80889999999999995</v>
      </c>
      <c r="CQ118" s="626">
        <v>0.80969999999999998</v>
      </c>
      <c r="CR118" s="721">
        <v>0.77869999999999995</v>
      </c>
      <c r="CS118" s="572" t="s">
        <v>403</v>
      </c>
      <c r="CT118" s="607">
        <v>70</v>
      </c>
      <c r="CU118" s="607">
        <v>70</v>
      </c>
      <c r="CV118" s="592">
        <v>0.79910000000000003</v>
      </c>
      <c r="CW118" s="592">
        <v>0.75729999999999997</v>
      </c>
      <c r="CX118" s="592">
        <v>0.74980000000000002</v>
      </c>
      <c r="CY118" s="592">
        <v>0.81659999999999999</v>
      </c>
      <c r="CZ118" s="592">
        <v>0.80859999999999999</v>
      </c>
      <c r="DA118" s="592">
        <v>0.78280000000000005</v>
      </c>
    </row>
    <row r="119" spans="1:105" x14ac:dyDescent="0.25">
      <c r="A119" s="126" t="s">
        <v>844</v>
      </c>
      <c r="B119" s="676">
        <v>325754004203</v>
      </c>
      <c r="C119" s="134" t="s">
        <v>567</v>
      </c>
      <c r="D119" s="134" t="s">
        <v>417</v>
      </c>
      <c r="E119" s="134" t="s">
        <v>787</v>
      </c>
      <c r="F119" s="134" t="s">
        <v>221</v>
      </c>
      <c r="G119" s="167" t="s">
        <v>541</v>
      </c>
      <c r="H119" s="166">
        <v>16</v>
      </c>
      <c r="I119" s="166">
        <v>16</v>
      </c>
      <c r="J119" s="166">
        <v>0.66439999999999999</v>
      </c>
      <c r="K119" s="166">
        <v>0.65410000000000001</v>
      </c>
      <c r="L119" s="166">
        <v>0.63719999999999999</v>
      </c>
      <c r="M119" s="166">
        <v>0.67220000000000002</v>
      </c>
      <c r="N119" s="166">
        <v>0.66679999999999995</v>
      </c>
      <c r="O119" s="166">
        <v>0.65769999999999995</v>
      </c>
      <c r="P119" s="175" t="s">
        <v>541</v>
      </c>
      <c r="Q119" s="174" t="s">
        <v>529</v>
      </c>
      <c r="R119" s="174" t="s">
        <v>529</v>
      </c>
      <c r="S119" s="174">
        <v>0.65239999999999998</v>
      </c>
      <c r="T119" s="174">
        <v>0.65329999999999999</v>
      </c>
      <c r="U119" s="174">
        <v>0.64749999999999996</v>
      </c>
      <c r="V119" s="174">
        <v>0.65590000000000004</v>
      </c>
      <c r="W119" s="174">
        <v>0.6512</v>
      </c>
      <c r="X119" s="174">
        <v>0.6522</v>
      </c>
      <c r="Y119" s="141" t="s">
        <v>541</v>
      </c>
      <c r="Z119" s="134" t="s">
        <v>529</v>
      </c>
      <c r="AA119" s="134" t="s">
        <v>529</v>
      </c>
      <c r="AB119" s="137">
        <v>0.65239999999999998</v>
      </c>
      <c r="AC119" s="137">
        <v>0.65329999999999999</v>
      </c>
      <c r="AD119" s="137">
        <v>0.64749999999999996</v>
      </c>
      <c r="AE119" s="137">
        <v>0.65590000000000004</v>
      </c>
      <c r="AF119" s="137">
        <v>0.6512</v>
      </c>
      <c r="AG119" s="137">
        <v>0.6522</v>
      </c>
      <c r="AH119" s="155" t="s">
        <v>541</v>
      </c>
      <c r="AI119" s="134" t="s">
        <v>529</v>
      </c>
      <c r="AJ119" s="134" t="s">
        <v>529</v>
      </c>
      <c r="AK119" s="137">
        <v>0.65239999999999998</v>
      </c>
      <c r="AL119" s="137">
        <v>0.65329999999999999</v>
      </c>
      <c r="AM119" s="137">
        <v>0.64749999999999996</v>
      </c>
      <c r="AN119" s="137">
        <v>0.65590000000000004</v>
      </c>
      <c r="AO119" s="137">
        <v>0.6512</v>
      </c>
      <c r="AP119" s="137">
        <v>0.6522</v>
      </c>
      <c r="AQ119" s="142" t="s">
        <v>541</v>
      </c>
      <c r="AR119" s="134" t="s">
        <v>529</v>
      </c>
      <c r="AS119" s="134" t="s">
        <v>529</v>
      </c>
      <c r="AT119" s="137">
        <v>0.65239999999999998</v>
      </c>
      <c r="AU119" s="137">
        <v>0.65329999999999999</v>
      </c>
      <c r="AV119" s="137">
        <v>0.64749999999999996</v>
      </c>
      <c r="AW119" s="137">
        <v>0.65590000000000004</v>
      </c>
      <c r="AX119" s="137">
        <v>0.6512</v>
      </c>
      <c r="AY119" s="137">
        <v>0.6522</v>
      </c>
      <c r="AZ119" s="141" t="s">
        <v>541</v>
      </c>
      <c r="BA119" s="134" t="s">
        <v>529</v>
      </c>
      <c r="BB119" s="134" t="s">
        <v>529</v>
      </c>
      <c r="BC119" s="137">
        <v>0.65239999999999998</v>
      </c>
      <c r="BD119" s="137">
        <v>0.65329999999999999</v>
      </c>
      <c r="BE119" s="137">
        <v>0.64749999999999996</v>
      </c>
      <c r="BF119" s="137">
        <v>0.65590000000000004</v>
      </c>
      <c r="BG119" s="137">
        <v>0.6512</v>
      </c>
      <c r="BH119" s="137">
        <v>0.6522</v>
      </c>
      <c r="BI119" s="140" t="s">
        <v>541</v>
      </c>
      <c r="BJ119" s="152">
        <v>23</v>
      </c>
      <c r="BK119" s="152">
        <v>23</v>
      </c>
      <c r="BL119" s="137">
        <v>0.65239999999999998</v>
      </c>
      <c r="BM119" s="137">
        <v>0.65329999999999999</v>
      </c>
      <c r="BN119" s="137">
        <v>0.64749999999999996</v>
      </c>
      <c r="BO119" s="137">
        <v>0.65590000000000004</v>
      </c>
      <c r="BP119" s="137">
        <v>0.6512</v>
      </c>
      <c r="BQ119" s="137">
        <v>0.6522</v>
      </c>
      <c r="BR119" s="639"/>
      <c r="BS119" s="271"/>
      <c r="BT119" s="271"/>
      <c r="BU119" s="271"/>
      <c r="BV119" s="271"/>
      <c r="BW119" s="271"/>
      <c r="BX119" s="271"/>
      <c r="BY119" s="271"/>
      <c r="BZ119" s="271"/>
      <c r="CA119" s="346"/>
      <c r="CB119" s="346"/>
      <c r="CC119" s="346"/>
      <c r="CD119" s="346"/>
      <c r="CE119" s="346"/>
      <c r="CF119" s="346"/>
      <c r="CG119" s="346"/>
      <c r="CH119" s="346"/>
      <c r="CI119" s="691"/>
      <c r="CJ119" s="797"/>
      <c r="CK119" s="624"/>
      <c r="CL119" s="624"/>
      <c r="CM119" s="624"/>
      <c r="CN119" s="624"/>
      <c r="CO119" s="624"/>
      <c r="CP119" s="624"/>
      <c r="CQ119" s="624"/>
      <c r="CR119" s="628"/>
      <c r="CS119" s="794"/>
      <c r="CT119" s="800"/>
      <c r="CU119" s="800"/>
      <c r="CV119" s="804"/>
      <c r="CW119" s="804"/>
      <c r="CX119" s="804"/>
      <c r="CY119" s="804"/>
      <c r="CZ119" s="804"/>
      <c r="DA119" s="804"/>
    </row>
    <row r="120" spans="1:105" x14ac:dyDescent="0.25">
      <c r="A120" s="36" t="s">
        <v>142</v>
      </c>
      <c r="B120" s="134" t="s">
        <v>141</v>
      </c>
      <c r="C120" s="134" t="s">
        <v>567</v>
      </c>
      <c r="D120" s="134" t="s">
        <v>417</v>
      </c>
      <c r="E120" s="134" t="s">
        <v>787</v>
      </c>
      <c r="F120" s="134" t="s">
        <v>221</v>
      </c>
      <c r="G120" s="167" t="s">
        <v>541</v>
      </c>
      <c r="H120" s="166">
        <v>49</v>
      </c>
      <c r="I120" s="166">
        <v>47</v>
      </c>
      <c r="J120" s="166">
        <v>0.64039999999999997</v>
      </c>
      <c r="K120" s="166">
        <v>0.6401</v>
      </c>
      <c r="L120" s="166">
        <v>0.65339999999999998</v>
      </c>
      <c r="M120" s="166">
        <v>0.65159999999999996</v>
      </c>
      <c r="N120" s="166">
        <v>0.64980000000000004</v>
      </c>
      <c r="O120" s="166">
        <v>0.64659999999999995</v>
      </c>
      <c r="P120" s="635" t="s">
        <v>541</v>
      </c>
      <c r="Q120" s="166" t="s">
        <v>433</v>
      </c>
      <c r="R120" s="166" t="s">
        <v>533</v>
      </c>
      <c r="S120" s="166">
        <v>0.63109999999999999</v>
      </c>
      <c r="T120" s="166">
        <v>0.63839999999999997</v>
      </c>
      <c r="U120" s="166">
        <v>0.65900000000000003</v>
      </c>
      <c r="V120" s="166">
        <v>0.63170000000000004</v>
      </c>
      <c r="W120" s="166">
        <v>0.64759999999999995</v>
      </c>
      <c r="X120" s="166">
        <v>0.64059999999999995</v>
      </c>
      <c r="Y120" s="143" t="s">
        <v>557</v>
      </c>
      <c r="Z120" s="134" t="s">
        <v>145</v>
      </c>
      <c r="AA120" s="134" t="s">
        <v>601</v>
      </c>
      <c r="AB120" s="137">
        <v>0.58599999999999997</v>
      </c>
      <c r="AC120" s="137">
        <v>0.59430000000000005</v>
      </c>
      <c r="AD120" s="137">
        <v>0.58399999999999996</v>
      </c>
      <c r="AE120" s="137">
        <v>0.60719999999999996</v>
      </c>
      <c r="AF120" s="137">
        <v>0.63060000000000005</v>
      </c>
      <c r="AG120" s="137">
        <v>0.5958</v>
      </c>
      <c r="AH120" s="155" t="s">
        <v>541</v>
      </c>
      <c r="AI120" s="134" t="s">
        <v>565</v>
      </c>
      <c r="AJ120" s="134" t="s">
        <v>641</v>
      </c>
      <c r="AK120" s="137">
        <v>0.60860000000000003</v>
      </c>
      <c r="AL120" s="137">
        <v>0.64039999999999997</v>
      </c>
      <c r="AM120" s="137">
        <v>0.61360000000000003</v>
      </c>
      <c r="AN120" s="137">
        <v>0.65049999999999997</v>
      </c>
      <c r="AO120" s="137">
        <v>0.62919999999999998</v>
      </c>
      <c r="AP120" s="137">
        <v>0.62829999999999997</v>
      </c>
      <c r="AQ120" s="142" t="s">
        <v>541</v>
      </c>
      <c r="AR120" s="134" t="s">
        <v>551</v>
      </c>
      <c r="AS120" s="134" t="s">
        <v>552</v>
      </c>
      <c r="AT120" s="137">
        <v>0.63629999999999998</v>
      </c>
      <c r="AU120" s="137">
        <v>0.65129999999999999</v>
      </c>
      <c r="AV120" s="137">
        <v>0.62270000000000003</v>
      </c>
      <c r="AW120" s="137">
        <v>0.67659999999999998</v>
      </c>
      <c r="AX120" s="137">
        <v>0.6431</v>
      </c>
      <c r="AY120" s="137">
        <v>0.64649999999999996</v>
      </c>
      <c r="AZ120" s="141" t="s">
        <v>541</v>
      </c>
      <c r="BA120" s="134" t="s">
        <v>444</v>
      </c>
      <c r="BB120" s="134" t="s">
        <v>565</v>
      </c>
      <c r="BC120" s="137">
        <v>0.63880000000000003</v>
      </c>
      <c r="BD120" s="137">
        <v>0.64019999999999999</v>
      </c>
      <c r="BE120" s="137">
        <v>0.62</v>
      </c>
      <c r="BF120" s="137">
        <v>0.67869999999999997</v>
      </c>
      <c r="BG120" s="137">
        <v>0.63819999999999999</v>
      </c>
      <c r="BH120" s="137">
        <v>0.64400000000000002</v>
      </c>
      <c r="BI120" s="140" t="s">
        <v>541</v>
      </c>
      <c r="BJ120" s="152">
        <v>42</v>
      </c>
      <c r="BK120" s="152">
        <v>39</v>
      </c>
      <c r="BL120" s="137">
        <v>0.63919999999999999</v>
      </c>
      <c r="BM120" s="137">
        <v>0.61470000000000002</v>
      </c>
      <c r="BN120" s="137">
        <v>0.59370000000000001</v>
      </c>
      <c r="BO120" s="137">
        <v>0.6663</v>
      </c>
      <c r="BP120" s="137">
        <v>0.63290000000000002</v>
      </c>
      <c r="BQ120" s="137">
        <v>0.62880000000000003</v>
      </c>
      <c r="BR120" s="281" t="s">
        <v>541</v>
      </c>
      <c r="BS120" s="272">
        <v>38</v>
      </c>
      <c r="BT120" s="272">
        <v>38</v>
      </c>
      <c r="BU120" s="272">
        <v>0.65429999999999999</v>
      </c>
      <c r="BV120" s="272">
        <v>0.63590000000000002</v>
      </c>
      <c r="BW120" s="272">
        <v>0.60909999999999997</v>
      </c>
      <c r="BX120" s="272">
        <v>0.69279999999999997</v>
      </c>
      <c r="BY120" s="272">
        <v>0.64559999999999995</v>
      </c>
      <c r="BZ120" s="272">
        <v>0.64780000000000004</v>
      </c>
      <c r="CA120" s="358" t="s">
        <v>405</v>
      </c>
      <c r="CB120" s="357" t="s">
        <v>551</v>
      </c>
      <c r="CC120" s="357" t="s">
        <v>551</v>
      </c>
      <c r="CD120" s="357">
        <v>0.70830000000000004</v>
      </c>
      <c r="CE120" s="357">
        <v>0.67959999999999998</v>
      </c>
      <c r="CF120" s="357">
        <v>0.67079999999999995</v>
      </c>
      <c r="CG120" s="357">
        <v>0.73970000000000002</v>
      </c>
      <c r="CH120" s="357">
        <v>0.69130000000000003</v>
      </c>
      <c r="CI120" s="571">
        <v>0.69899999999999995</v>
      </c>
      <c r="CJ120" s="799" t="s">
        <v>404</v>
      </c>
      <c r="CK120" s="626">
        <v>46</v>
      </c>
      <c r="CL120" s="626">
        <v>46</v>
      </c>
      <c r="CM120" s="626">
        <v>0.72019999999999995</v>
      </c>
      <c r="CN120" s="626">
        <v>0.70909999999999995</v>
      </c>
      <c r="CO120" s="626">
        <v>0.71579999999999999</v>
      </c>
      <c r="CP120" s="626">
        <v>0.75309999999999999</v>
      </c>
      <c r="CQ120" s="626">
        <v>0.71540000000000004</v>
      </c>
      <c r="CR120" s="721">
        <v>0.72389999999999999</v>
      </c>
      <c r="CS120" s="572" t="s">
        <v>404</v>
      </c>
      <c r="CT120" s="607">
        <v>52</v>
      </c>
      <c r="CU120" s="607">
        <v>52</v>
      </c>
      <c r="CV120" s="592">
        <v>0.745</v>
      </c>
      <c r="CW120" s="592">
        <v>0.7268</v>
      </c>
      <c r="CX120" s="592">
        <v>0.74560000000000004</v>
      </c>
      <c r="CY120" s="592">
        <v>0.76939999999999997</v>
      </c>
      <c r="CZ120" s="592">
        <v>0.73870000000000002</v>
      </c>
      <c r="DA120" s="592">
        <v>0.74609999999999999</v>
      </c>
    </row>
    <row r="121" spans="1:105" x14ac:dyDescent="0.25">
      <c r="A121" s="36" t="s">
        <v>149</v>
      </c>
      <c r="B121" s="134" t="s">
        <v>148</v>
      </c>
      <c r="C121" s="134" t="s">
        <v>567</v>
      </c>
      <c r="D121" s="134" t="s">
        <v>417</v>
      </c>
      <c r="E121" s="134" t="s">
        <v>787</v>
      </c>
      <c r="F121" s="134" t="s">
        <v>221</v>
      </c>
      <c r="G121" s="167" t="s">
        <v>541</v>
      </c>
      <c r="H121" s="166">
        <v>146</v>
      </c>
      <c r="I121" s="166">
        <v>146</v>
      </c>
      <c r="J121" s="166">
        <v>0.65349999999999997</v>
      </c>
      <c r="K121" s="166">
        <v>0.66259999999999997</v>
      </c>
      <c r="L121" s="166">
        <v>0.67169999999999996</v>
      </c>
      <c r="M121" s="166">
        <v>0.68430000000000002</v>
      </c>
      <c r="N121" s="166">
        <v>0.66120000000000001</v>
      </c>
      <c r="O121" s="166">
        <v>0.66749999999999998</v>
      </c>
      <c r="P121" s="175" t="s">
        <v>541</v>
      </c>
      <c r="Q121" s="174" t="s">
        <v>798</v>
      </c>
      <c r="R121" s="174" t="s">
        <v>799</v>
      </c>
      <c r="S121" s="174">
        <v>0.63900000000000001</v>
      </c>
      <c r="T121" s="174">
        <v>0.66239999999999999</v>
      </c>
      <c r="U121" s="174">
        <v>0.65439999999999998</v>
      </c>
      <c r="V121" s="174">
        <v>0.66930000000000001</v>
      </c>
      <c r="W121" s="174">
        <v>0.65720000000000001</v>
      </c>
      <c r="X121" s="174">
        <v>0.65639999999999998</v>
      </c>
      <c r="Y121" s="141" t="s">
        <v>541</v>
      </c>
      <c r="Z121" s="134" t="s">
        <v>704</v>
      </c>
      <c r="AA121" s="134" t="s">
        <v>488</v>
      </c>
      <c r="AB121" s="137">
        <v>0.62690000000000001</v>
      </c>
      <c r="AC121" s="137">
        <v>0.66349999999999998</v>
      </c>
      <c r="AD121" s="137">
        <v>0.64249999999999996</v>
      </c>
      <c r="AE121" s="137">
        <v>0.66039999999999999</v>
      </c>
      <c r="AF121" s="137">
        <v>0.67179999999999995</v>
      </c>
      <c r="AG121" s="137">
        <v>0.65010000000000001</v>
      </c>
      <c r="AH121" s="155" t="s">
        <v>541</v>
      </c>
      <c r="AI121" s="134" t="s">
        <v>475</v>
      </c>
      <c r="AJ121" s="134" t="s">
        <v>608</v>
      </c>
      <c r="AK121" s="137">
        <v>0.62319999999999998</v>
      </c>
      <c r="AL121" s="137">
        <v>0.67059999999999997</v>
      </c>
      <c r="AM121" s="137">
        <v>0.64159999999999995</v>
      </c>
      <c r="AN121" s="137">
        <v>0.67010000000000003</v>
      </c>
      <c r="AO121" s="137">
        <v>0.66910000000000003</v>
      </c>
      <c r="AP121" s="137">
        <v>0.65269999999999995</v>
      </c>
      <c r="AQ121" s="142" t="s">
        <v>541</v>
      </c>
      <c r="AR121" s="134" t="s">
        <v>500</v>
      </c>
      <c r="AS121" s="134" t="s">
        <v>547</v>
      </c>
      <c r="AT121" s="137">
        <v>0.63600000000000001</v>
      </c>
      <c r="AU121" s="137">
        <v>0.66459999999999997</v>
      </c>
      <c r="AV121" s="137">
        <v>0.6421</v>
      </c>
      <c r="AW121" s="137">
        <v>0.68810000000000004</v>
      </c>
      <c r="AX121" s="137">
        <v>0.67049999999999998</v>
      </c>
      <c r="AY121" s="137">
        <v>0.65869999999999995</v>
      </c>
      <c r="AZ121" s="141" t="s">
        <v>541</v>
      </c>
      <c r="BA121" s="134" t="s">
        <v>446</v>
      </c>
      <c r="BB121" s="134" t="s">
        <v>448</v>
      </c>
      <c r="BC121" s="137">
        <v>0.63090000000000002</v>
      </c>
      <c r="BD121" s="137">
        <v>0.63380000000000003</v>
      </c>
      <c r="BE121" s="137">
        <v>0.61839999999999995</v>
      </c>
      <c r="BF121" s="137">
        <v>0.69089999999999996</v>
      </c>
      <c r="BG121" s="137">
        <v>0.65039999999999998</v>
      </c>
      <c r="BH121" s="137">
        <v>0.64400000000000002</v>
      </c>
      <c r="BI121" s="140" t="s">
        <v>541</v>
      </c>
      <c r="BJ121" s="152">
        <v>75</v>
      </c>
      <c r="BK121" s="152">
        <v>69</v>
      </c>
      <c r="BL121" s="137">
        <v>0.62560000000000004</v>
      </c>
      <c r="BM121" s="137">
        <v>0.61780000000000002</v>
      </c>
      <c r="BN121" s="137">
        <v>0.61070000000000002</v>
      </c>
      <c r="BO121" s="137">
        <v>0.68379999999999996</v>
      </c>
      <c r="BP121" s="137">
        <v>0.63090000000000002</v>
      </c>
      <c r="BQ121" s="137">
        <v>0.63419999999999999</v>
      </c>
      <c r="BR121" s="281" t="s">
        <v>541</v>
      </c>
      <c r="BS121" s="272">
        <v>76</v>
      </c>
      <c r="BT121" s="272">
        <v>76</v>
      </c>
      <c r="BU121" s="272">
        <v>0.65429999999999999</v>
      </c>
      <c r="BV121" s="272">
        <v>0.63370000000000004</v>
      </c>
      <c r="BW121" s="272">
        <v>0.63970000000000005</v>
      </c>
      <c r="BX121" s="272">
        <v>0.71509999999999996</v>
      </c>
      <c r="BY121" s="272">
        <v>0.64159999999999995</v>
      </c>
      <c r="BZ121" s="272">
        <v>0.65920000000000001</v>
      </c>
      <c r="CA121" s="359" t="s">
        <v>541</v>
      </c>
      <c r="CB121" s="357" t="s">
        <v>581</v>
      </c>
      <c r="CC121" s="357" t="s">
        <v>581</v>
      </c>
      <c r="CD121" s="357">
        <v>0.64449999999999996</v>
      </c>
      <c r="CE121" s="357">
        <v>0.63149999999999995</v>
      </c>
      <c r="CF121" s="357">
        <v>0.628</v>
      </c>
      <c r="CG121" s="357">
        <v>0.71</v>
      </c>
      <c r="CH121" s="357">
        <v>0.63300000000000001</v>
      </c>
      <c r="CI121" s="570">
        <v>0.65190000000000003</v>
      </c>
      <c r="CJ121" s="728" t="s">
        <v>541</v>
      </c>
      <c r="CK121" s="626">
        <v>91</v>
      </c>
      <c r="CL121" s="626">
        <v>90</v>
      </c>
      <c r="CM121" s="626">
        <v>0.65480000000000005</v>
      </c>
      <c r="CN121" s="626">
        <v>0.64190000000000003</v>
      </c>
      <c r="CO121" s="626">
        <v>0.62350000000000005</v>
      </c>
      <c r="CP121" s="626">
        <v>0.71379999999999999</v>
      </c>
      <c r="CQ121" s="626">
        <v>0.66790000000000005</v>
      </c>
      <c r="CR121" s="721">
        <v>0.65920000000000001</v>
      </c>
      <c r="CS121" s="572" t="s">
        <v>405</v>
      </c>
      <c r="CT121" s="607">
        <v>110</v>
      </c>
      <c r="CU121" s="607">
        <v>105</v>
      </c>
      <c r="CV121" s="592">
        <v>0.67010000000000003</v>
      </c>
      <c r="CW121" s="592">
        <v>0.65849999999999997</v>
      </c>
      <c r="CX121" s="592">
        <v>0.64339999999999997</v>
      </c>
      <c r="CY121" s="592">
        <v>0.72719999999999996</v>
      </c>
      <c r="CZ121" s="592">
        <v>0.68059999999999998</v>
      </c>
      <c r="DA121" s="592">
        <v>0.67520000000000002</v>
      </c>
    </row>
    <row r="122" spans="1:105" x14ac:dyDescent="0.25">
      <c r="A122" s="36" t="s">
        <v>140</v>
      </c>
      <c r="B122" s="134" t="s">
        <v>139</v>
      </c>
      <c r="C122" s="134" t="s">
        <v>567</v>
      </c>
      <c r="D122" s="134" t="s">
        <v>417</v>
      </c>
      <c r="E122" s="134" t="s">
        <v>787</v>
      </c>
      <c r="F122" s="134" t="s">
        <v>221</v>
      </c>
      <c r="G122" s="167" t="s">
        <v>541</v>
      </c>
      <c r="H122" s="166">
        <v>46</v>
      </c>
      <c r="I122" s="166">
        <v>46</v>
      </c>
      <c r="J122" s="166">
        <v>0.66900000000000004</v>
      </c>
      <c r="K122" s="166">
        <v>0.67600000000000005</v>
      </c>
      <c r="L122" s="166">
        <v>0.67490000000000006</v>
      </c>
      <c r="M122" s="166">
        <v>0.6653</v>
      </c>
      <c r="N122" s="166">
        <v>0.64780000000000004</v>
      </c>
      <c r="O122" s="166">
        <v>0.66949999999999998</v>
      </c>
      <c r="P122" s="173" t="s">
        <v>405</v>
      </c>
      <c r="Q122" s="174" t="s">
        <v>545</v>
      </c>
      <c r="R122" s="174" t="s">
        <v>545</v>
      </c>
      <c r="S122" s="174">
        <v>0.65800000000000003</v>
      </c>
      <c r="T122" s="174">
        <v>0.6764</v>
      </c>
      <c r="U122" s="174">
        <v>0.69669999999999999</v>
      </c>
      <c r="V122" s="174">
        <v>0.67290000000000005</v>
      </c>
      <c r="W122" s="174">
        <v>0.65859999999999996</v>
      </c>
      <c r="X122" s="174">
        <v>0.67459999999999998</v>
      </c>
      <c r="Y122" s="138" t="s">
        <v>405</v>
      </c>
      <c r="Z122" s="134" t="s">
        <v>433</v>
      </c>
      <c r="AA122" s="134" t="s">
        <v>444</v>
      </c>
      <c r="AB122" s="137">
        <v>0.64449999999999996</v>
      </c>
      <c r="AC122" s="137">
        <v>0.68279999999999996</v>
      </c>
      <c r="AD122" s="137">
        <v>0.70760000000000001</v>
      </c>
      <c r="AE122" s="137">
        <v>0.67030000000000001</v>
      </c>
      <c r="AF122" s="137">
        <v>0.67520000000000002</v>
      </c>
      <c r="AG122" s="137">
        <v>0.67620000000000002</v>
      </c>
      <c r="AH122" s="159" t="s">
        <v>405</v>
      </c>
      <c r="AI122" s="134" t="s">
        <v>607</v>
      </c>
      <c r="AJ122" s="134" t="s">
        <v>478</v>
      </c>
      <c r="AK122" s="137">
        <v>0.66839999999999999</v>
      </c>
      <c r="AL122" s="137">
        <v>0.70379999999999998</v>
      </c>
      <c r="AM122" s="137">
        <v>0.71879999999999999</v>
      </c>
      <c r="AN122" s="137">
        <v>0.7198</v>
      </c>
      <c r="AO122" s="137">
        <v>0.69840000000000002</v>
      </c>
      <c r="AP122" s="137">
        <v>0.70240000000000002</v>
      </c>
      <c r="AQ122" s="150" t="s">
        <v>404</v>
      </c>
      <c r="AR122" s="134" t="s">
        <v>463</v>
      </c>
      <c r="AS122" s="134" t="s">
        <v>464</v>
      </c>
      <c r="AT122" s="137">
        <v>0.70830000000000004</v>
      </c>
      <c r="AU122" s="137">
        <v>0.71589999999999998</v>
      </c>
      <c r="AV122" s="137">
        <v>0.72270000000000001</v>
      </c>
      <c r="AW122" s="137">
        <v>0.76339999999999997</v>
      </c>
      <c r="AX122" s="137">
        <v>0.73570000000000002</v>
      </c>
      <c r="AY122" s="137">
        <v>0.72819999999999996</v>
      </c>
      <c r="AZ122" s="145" t="s">
        <v>404</v>
      </c>
      <c r="BA122" s="134" t="s">
        <v>439</v>
      </c>
      <c r="BB122" s="134" t="s">
        <v>443</v>
      </c>
      <c r="BC122" s="137">
        <v>0.72189999999999999</v>
      </c>
      <c r="BD122" s="137">
        <v>0.71479999999999999</v>
      </c>
      <c r="BE122" s="137">
        <v>0.7077</v>
      </c>
      <c r="BF122" s="137">
        <v>0.75580000000000003</v>
      </c>
      <c r="BG122" s="137">
        <v>0.72799999999999998</v>
      </c>
      <c r="BH122" s="137">
        <v>0.72529999999999994</v>
      </c>
      <c r="BI122" s="135" t="s">
        <v>405</v>
      </c>
      <c r="BJ122" s="152">
        <v>87</v>
      </c>
      <c r="BK122" s="152">
        <v>87</v>
      </c>
      <c r="BL122" s="137">
        <v>0.70820000000000005</v>
      </c>
      <c r="BM122" s="137">
        <v>0.69079999999999997</v>
      </c>
      <c r="BN122" s="137">
        <v>0.68920000000000003</v>
      </c>
      <c r="BO122" s="137">
        <v>0.74409999999999998</v>
      </c>
      <c r="BP122" s="137">
        <v>0.69510000000000005</v>
      </c>
      <c r="BQ122" s="137">
        <v>0.70709999999999995</v>
      </c>
      <c r="BR122" s="279" t="s">
        <v>405</v>
      </c>
      <c r="BS122" s="272">
        <v>98</v>
      </c>
      <c r="BT122" s="272">
        <v>98</v>
      </c>
      <c r="BU122" s="272">
        <v>0.68930000000000002</v>
      </c>
      <c r="BV122" s="272">
        <v>0.67579999999999996</v>
      </c>
      <c r="BW122" s="272">
        <v>0.65920000000000001</v>
      </c>
      <c r="BX122" s="272">
        <v>0.72599999999999998</v>
      </c>
      <c r="BY122" s="272">
        <v>0.67949999999999999</v>
      </c>
      <c r="BZ122" s="272">
        <v>0.68689999999999996</v>
      </c>
      <c r="CA122" s="358" t="s">
        <v>405</v>
      </c>
      <c r="CB122" s="357" t="s">
        <v>524</v>
      </c>
      <c r="CC122" s="357" t="s">
        <v>524</v>
      </c>
      <c r="CD122" s="357">
        <v>0.68320000000000003</v>
      </c>
      <c r="CE122" s="357">
        <v>0.66910000000000003</v>
      </c>
      <c r="CF122" s="357">
        <v>0.65410000000000001</v>
      </c>
      <c r="CG122" s="357">
        <v>0.72499999999999998</v>
      </c>
      <c r="CH122" s="357">
        <v>0.69240000000000002</v>
      </c>
      <c r="CI122" s="570">
        <v>0.68359999999999999</v>
      </c>
      <c r="CJ122" s="725" t="s">
        <v>405</v>
      </c>
      <c r="CK122" s="626">
        <v>115</v>
      </c>
      <c r="CL122" s="626">
        <v>115</v>
      </c>
      <c r="CM122" s="626">
        <v>0.68459999999999999</v>
      </c>
      <c r="CN122" s="626">
        <v>0.67630000000000001</v>
      </c>
      <c r="CO122" s="626">
        <v>0.65500000000000003</v>
      </c>
      <c r="CP122" s="626">
        <v>0.72529999999999994</v>
      </c>
      <c r="CQ122" s="626">
        <v>0.72250000000000003</v>
      </c>
      <c r="CR122" s="721">
        <v>0.68810000000000004</v>
      </c>
      <c r="CS122" s="572" t="s">
        <v>405</v>
      </c>
      <c r="CT122" s="607">
        <v>119</v>
      </c>
      <c r="CU122" s="607">
        <v>119</v>
      </c>
      <c r="CV122" s="592">
        <v>0.69399999999999995</v>
      </c>
      <c r="CW122" s="592">
        <v>0.68120000000000003</v>
      </c>
      <c r="CX122" s="592">
        <v>0.6583</v>
      </c>
      <c r="CY122" s="592">
        <v>0.72499999999999998</v>
      </c>
      <c r="CZ122" s="592">
        <v>0.7198</v>
      </c>
      <c r="DA122" s="592">
        <v>0.69199999999999995</v>
      </c>
    </row>
    <row r="123" spans="1:105" x14ac:dyDescent="0.25">
      <c r="A123" s="36" t="s">
        <v>122</v>
      </c>
      <c r="B123" s="134" t="s">
        <v>121</v>
      </c>
      <c r="C123" s="134" t="s">
        <v>567</v>
      </c>
      <c r="D123" s="134" t="s">
        <v>417</v>
      </c>
      <c r="E123" s="134" t="s">
        <v>787</v>
      </c>
      <c r="F123" s="134" t="s">
        <v>221</v>
      </c>
      <c r="G123" s="165" t="s">
        <v>405</v>
      </c>
      <c r="H123" s="166">
        <v>252</v>
      </c>
      <c r="I123" s="166">
        <v>251</v>
      </c>
      <c r="J123" s="166">
        <v>0.68520000000000003</v>
      </c>
      <c r="K123" s="166">
        <v>0.70399999999999996</v>
      </c>
      <c r="L123" s="166">
        <v>0.70079999999999998</v>
      </c>
      <c r="M123" s="166">
        <v>0.71779999999999999</v>
      </c>
      <c r="N123" s="166">
        <v>0.67959999999999998</v>
      </c>
      <c r="O123" s="166">
        <v>0.70030000000000003</v>
      </c>
      <c r="P123" s="173" t="s">
        <v>405</v>
      </c>
      <c r="Q123" s="174" t="s">
        <v>839</v>
      </c>
      <c r="R123" s="174" t="s">
        <v>706</v>
      </c>
      <c r="S123" s="174">
        <v>0.70099999999999996</v>
      </c>
      <c r="T123" s="174">
        <v>0.72870000000000001</v>
      </c>
      <c r="U123" s="174">
        <v>0.71489999999999998</v>
      </c>
      <c r="V123" s="174">
        <v>0.72389999999999999</v>
      </c>
      <c r="W123" s="174">
        <v>0.68840000000000001</v>
      </c>
      <c r="X123" s="174">
        <v>0.71489999999999998</v>
      </c>
      <c r="Y123" s="145" t="s">
        <v>404</v>
      </c>
      <c r="Z123" s="134" t="s">
        <v>652</v>
      </c>
      <c r="AA123" s="134" t="s">
        <v>653</v>
      </c>
      <c r="AB123" s="137">
        <v>0.71789999999999998</v>
      </c>
      <c r="AC123" s="137">
        <v>0.74470000000000003</v>
      </c>
      <c r="AD123" s="137">
        <v>0.71879999999999999</v>
      </c>
      <c r="AE123" s="137">
        <v>0.73399999999999999</v>
      </c>
      <c r="AF123" s="137">
        <v>0.71530000000000005</v>
      </c>
      <c r="AG123" s="137">
        <v>0.7278</v>
      </c>
      <c r="AH123" s="158" t="s">
        <v>404</v>
      </c>
      <c r="AI123" s="134" t="s">
        <v>584</v>
      </c>
      <c r="AJ123" s="134" t="s">
        <v>585</v>
      </c>
      <c r="AK123" s="137">
        <v>0.73560000000000003</v>
      </c>
      <c r="AL123" s="137">
        <v>0.74790000000000001</v>
      </c>
      <c r="AM123" s="137">
        <v>0.72460000000000002</v>
      </c>
      <c r="AN123" s="137">
        <v>0.74919999999999998</v>
      </c>
      <c r="AO123" s="137">
        <v>0.72189999999999999</v>
      </c>
      <c r="AP123" s="137">
        <v>0.73799999999999999</v>
      </c>
      <c r="AQ123" s="150" t="s">
        <v>404</v>
      </c>
      <c r="AR123" s="134" t="s">
        <v>442</v>
      </c>
      <c r="AS123" s="134" t="s">
        <v>459</v>
      </c>
      <c r="AT123" s="137">
        <v>0.7339</v>
      </c>
      <c r="AU123" s="137">
        <v>0.73089999999999999</v>
      </c>
      <c r="AV123" s="137">
        <v>0.71179999999999999</v>
      </c>
      <c r="AW123" s="137">
        <v>0.76270000000000004</v>
      </c>
      <c r="AX123" s="137">
        <v>0.73280000000000001</v>
      </c>
      <c r="AY123" s="137">
        <v>0.73470000000000002</v>
      </c>
      <c r="AZ123" s="145" t="s">
        <v>404</v>
      </c>
      <c r="BA123" s="134" t="s">
        <v>753</v>
      </c>
      <c r="BB123" s="134" t="s">
        <v>754</v>
      </c>
      <c r="BC123" s="137">
        <v>0.73140000000000005</v>
      </c>
      <c r="BD123" s="137">
        <v>0.70479999999999998</v>
      </c>
      <c r="BE123" s="137">
        <v>0.69610000000000005</v>
      </c>
      <c r="BF123" s="137">
        <v>0.76490000000000002</v>
      </c>
      <c r="BG123" s="137">
        <v>0.73260000000000003</v>
      </c>
      <c r="BH123" s="137">
        <v>0.72489999999999999</v>
      </c>
      <c r="BI123" s="135" t="s">
        <v>405</v>
      </c>
      <c r="BJ123" s="152">
        <v>427</v>
      </c>
      <c r="BK123" s="152">
        <v>425</v>
      </c>
      <c r="BL123" s="137">
        <v>0.72</v>
      </c>
      <c r="BM123" s="137">
        <v>0.67900000000000005</v>
      </c>
      <c r="BN123" s="137">
        <v>0.68149999999999999</v>
      </c>
      <c r="BO123" s="137">
        <v>0.75600000000000001</v>
      </c>
      <c r="BP123" s="137">
        <v>0.71740000000000004</v>
      </c>
      <c r="BQ123" s="137">
        <v>0.70979999999999999</v>
      </c>
      <c r="BR123" s="279" t="s">
        <v>405</v>
      </c>
      <c r="BS123" s="272">
        <v>448</v>
      </c>
      <c r="BT123" s="272">
        <v>446</v>
      </c>
      <c r="BU123" s="272">
        <v>0.71319999999999995</v>
      </c>
      <c r="BV123" s="272">
        <v>0.6663</v>
      </c>
      <c r="BW123" s="272">
        <v>0.66949999999999998</v>
      </c>
      <c r="BX123" s="272">
        <v>0.75019999999999998</v>
      </c>
      <c r="BY123" s="272">
        <v>0.70840000000000003</v>
      </c>
      <c r="BZ123" s="272">
        <v>0.70050000000000001</v>
      </c>
      <c r="CA123" s="358" t="s">
        <v>405</v>
      </c>
      <c r="CB123" s="357" t="s">
        <v>967</v>
      </c>
      <c r="CC123" s="357" t="s">
        <v>968</v>
      </c>
      <c r="CD123" s="357">
        <v>0.71419999999999995</v>
      </c>
      <c r="CE123" s="357">
        <v>0.66690000000000005</v>
      </c>
      <c r="CF123" s="357">
        <v>0.67479999999999996</v>
      </c>
      <c r="CG123" s="357">
        <v>0.74750000000000005</v>
      </c>
      <c r="CH123" s="357">
        <v>0.71060000000000001</v>
      </c>
      <c r="CI123" s="570">
        <v>0.7016</v>
      </c>
      <c r="CJ123" s="725" t="s">
        <v>405</v>
      </c>
      <c r="CK123" s="626">
        <v>487</v>
      </c>
      <c r="CL123" s="626">
        <v>483</v>
      </c>
      <c r="CM123" s="626">
        <v>0.72099999999999997</v>
      </c>
      <c r="CN123" s="626">
        <v>0.68340000000000001</v>
      </c>
      <c r="CO123" s="626">
        <v>0.6804</v>
      </c>
      <c r="CP123" s="626">
        <v>0.75590000000000002</v>
      </c>
      <c r="CQ123" s="626">
        <v>0.73480000000000001</v>
      </c>
      <c r="CR123" s="721">
        <v>0.71209999999999996</v>
      </c>
      <c r="CS123" s="572" t="s">
        <v>404</v>
      </c>
      <c r="CT123" s="607">
        <v>480</v>
      </c>
      <c r="CU123" s="607">
        <v>477</v>
      </c>
      <c r="CV123" s="592">
        <v>0.73580000000000001</v>
      </c>
      <c r="CW123" s="592">
        <v>0.6925</v>
      </c>
      <c r="CX123" s="592">
        <v>0.68810000000000004</v>
      </c>
      <c r="CY123" s="592">
        <v>0.75980000000000003</v>
      </c>
      <c r="CZ123" s="592">
        <v>0.73970000000000002</v>
      </c>
      <c r="DA123" s="592">
        <v>0.72060000000000002</v>
      </c>
    </row>
    <row r="124" spans="1:105" x14ac:dyDescent="0.25">
      <c r="A124" s="649" t="s">
        <v>197</v>
      </c>
      <c r="B124" s="624" t="s">
        <v>196</v>
      </c>
      <c r="C124" s="624" t="s">
        <v>567</v>
      </c>
      <c r="D124" s="624" t="s">
        <v>417</v>
      </c>
      <c r="E124" s="624" t="s">
        <v>787</v>
      </c>
      <c r="F124" s="624" t="s">
        <v>221</v>
      </c>
      <c r="G124" s="625" t="s">
        <v>404</v>
      </c>
      <c r="H124" s="626">
        <v>13</v>
      </c>
      <c r="I124" s="626">
        <v>13</v>
      </c>
      <c r="J124" s="626">
        <v>0.71120000000000005</v>
      </c>
      <c r="K124" s="626">
        <v>0.73340000000000005</v>
      </c>
      <c r="L124" s="626">
        <v>0.72909999999999997</v>
      </c>
      <c r="M124" s="626">
        <v>0.70830000000000004</v>
      </c>
      <c r="N124" s="626">
        <v>0.72599999999999998</v>
      </c>
      <c r="O124" s="626">
        <v>0.72089999999999999</v>
      </c>
      <c r="P124" s="625" t="s">
        <v>404</v>
      </c>
      <c r="Q124" s="626" t="s">
        <v>564</v>
      </c>
      <c r="R124" s="626" t="s">
        <v>564</v>
      </c>
      <c r="S124" s="626">
        <v>0.72919999999999996</v>
      </c>
      <c r="T124" s="626">
        <v>0.74490000000000001</v>
      </c>
      <c r="U124" s="626">
        <v>0.72589999999999999</v>
      </c>
      <c r="V124" s="626">
        <v>0.72370000000000001</v>
      </c>
      <c r="W124" s="626">
        <v>0.74770000000000003</v>
      </c>
      <c r="X124" s="626">
        <v>0.73219999999999996</v>
      </c>
      <c r="Y124" s="627" t="s">
        <v>404</v>
      </c>
      <c r="Z124" s="624" t="s">
        <v>82</v>
      </c>
      <c r="AA124" s="624" t="s">
        <v>82</v>
      </c>
      <c r="AB124" s="628">
        <v>0.76500000000000001</v>
      </c>
      <c r="AC124" s="628">
        <v>0.76970000000000005</v>
      </c>
      <c r="AD124" s="628">
        <v>0.75129999999999997</v>
      </c>
      <c r="AE124" s="628">
        <v>0.74670000000000003</v>
      </c>
      <c r="AF124" s="628">
        <v>0.77139999999999997</v>
      </c>
      <c r="AG124" s="628">
        <v>0.75919999999999999</v>
      </c>
      <c r="AH124" s="695" t="s">
        <v>403</v>
      </c>
      <c r="AI124" s="624" t="s">
        <v>568</v>
      </c>
      <c r="AJ124" s="624" t="s">
        <v>568</v>
      </c>
      <c r="AK124" s="628">
        <v>0.78959999999999997</v>
      </c>
      <c r="AL124" s="628">
        <v>0.78610000000000002</v>
      </c>
      <c r="AM124" s="628">
        <v>0.77529999999999999</v>
      </c>
      <c r="AN124" s="628">
        <v>0.76770000000000005</v>
      </c>
      <c r="AO124" s="628">
        <v>0.78979999999999995</v>
      </c>
      <c r="AP124" s="628">
        <v>0.78039999999999998</v>
      </c>
      <c r="AQ124" s="629" t="s">
        <v>403</v>
      </c>
      <c r="AR124" s="624" t="s">
        <v>419</v>
      </c>
      <c r="AS124" s="624" t="s">
        <v>420</v>
      </c>
      <c r="AT124" s="628">
        <v>0.79820000000000002</v>
      </c>
      <c r="AU124" s="628">
        <v>0.78749999999999998</v>
      </c>
      <c r="AV124" s="628">
        <v>0.77639999999999998</v>
      </c>
      <c r="AW124" s="628">
        <v>0.78680000000000005</v>
      </c>
      <c r="AX124" s="628">
        <v>0.80459999999999998</v>
      </c>
      <c r="AY124" s="628">
        <v>0.78859999999999997</v>
      </c>
      <c r="AZ124" s="627" t="s">
        <v>404</v>
      </c>
      <c r="BA124" s="624" t="s">
        <v>657</v>
      </c>
      <c r="BB124" s="624" t="s">
        <v>524</v>
      </c>
      <c r="BC124" s="628">
        <v>0.77900000000000003</v>
      </c>
      <c r="BD124" s="628">
        <v>0.75939999999999996</v>
      </c>
      <c r="BE124" s="628">
        <v>0.7349</v>
      </c>
      <c r="BF124" s="628">
        <v>0.77400000000000002</v>
      </c>
      <c r="BG124" s="628">
        <v>0.78310000000000002</v>
      </c>
      <c r="BH124" s="628">
        <v>0.76349999999999996</v>
      </c>
      <c r="BI124" s="785" t="s">
        <v>404</v>
      </c>
      <c r="BJ124" s="630">
        <v>151</v>
      </c>
      <c r="BK124" s="630">
        <v>135</v>
      </c>
      <c r="BL124" s="628">
        <v>0.76339999999999997</v>
      </c>
      <c r="BM124" s="628">
        <v>0.73640000000000005</v>
      </c>
      <c r="BN124" s="628">
        <v>0.71060000000000001</v>
      </c>
      <c r="BO124" s="628">
        <v>0.75900000000000001</v>
      </c>
      <c r="BP124" s="628">
        <v>0.74209999999999998</v>
      </c>
      <c r="BQ124" s="628">
        <v>0.74229999999999996</v>
      </c>
      <c r="BR124" s="788" t="s">
        <v>404</v>
      </c>
      <c r="BS124" s="626">
        <v>146</v>
      </c>
      <c r="BT124" s="626">
        <v>146</v>
      </c>
      <c r="BU124" s="626">
        <v>0.77070000000000005</v>
      </c>
      <c r="BV124" s="626">
        <v>0.73380000000000001</v>
      </c>
      <c r="BW124" s="626">
        <v>0.72319999999999995</v>
      </c>
      <c r="BX124" s="626">
        <v>0.7702</v>
      </c>
      <c r="BY124" s="626">
        <v>0.74660000000000004</v>
      </c>
      <c r="BZ124" s="626">
        <v>0.74929999999999997</v>
      </c>
      <c r="CA124" s="791" t="s">
        <v>404</v>
      </c>
      <c r="CB124" s="631" t="s">
        <v>669</v>
      </c>
      <c r="CC124" s="631" t="s">
        <v>669</v>
      </c>
      <c r="CD124" s="631">
        <v>0.77559999999999996</v>
      </c>
      <c r="CE124" s="631">
        <v>0.7369</v>
      </c>
      <c r="CF124" s="631">
        <v>0.74719999999999998</v>
      </c>
      <c r="CG124" s="631">
        <v>0.78169999999999995</v>
      </c>
      <c r="CH124" s="631">
        <v>0.76749999999999996</v>
      </c>
      <c r="CI124" s="570">
        <v>0.76090000000000002</v>
      </c>
      <c r="CJ124" s="726" t="s">
        <v>403</v>
      </c>
      <c r="CK124" s="626">
        <v>164</v>
      </c>
      <c r="CL124" s="626">
        <v>164</v>
      </c>
      <c r="CM124" s="626">
        <v>0.79169999999999996</v>
      </c>
      <c r="CN124" s="626">
        <v>0.74909999999999999</v>
      </c>
      <c r="CO124" s="626">
        <v>0.75280000000000002</v>
      </c>
      <c r="CP124" s="626">
        <v>0.80020000000000002</v>
      </c>
      <c r="CQ124" s="626">
        <v>0.81359999999999999</v>
      </c>
      <c r="CR124" s="721">
        <v>0.77659999999999996</v>
      </c>
      <c r="CS124" s="572" t="s">
        <v>403</v>
      </c>
      <c r="CT124" s="607">
        <v>178</v>
      </c>
      <c r="CU124" s="607">
        <v>177</v>
      </c>
      <c r="CV124" s="592">
        <v>0.80530000000000002</v>
      </c>
      <c r="CW124" s="592">
        <v>0.75800000000000001</v>
      </c>
      <c r="CX124" s="592">
        <v>0.75870000000000004</v>
      </c>
      <c r="CY124" s="592">
        <v>0.81200000000000006</v>
      </c>
      <c r="CZ124" s="592">
        <v>0.82389999999999997</v>
      </c>
      <c r="DA124" s="592">
        <v>0.78659999999999997</v>
      </c>
    </row>
    <row r="125" spans="1:105" x14ac:dyDescent="0.25">
      <c r="A125" s="649" t="s">
        <v>164</v>
      </c>
      <c r="B125" s="624" t="s">
        <v>163</v>
      </c>
      <c r="C125" s="624" t="s">
        <v>567</v>
      </c>
      <c r="D125" s="624" t="s">
        <v>417</v>
      </c>
      <c r="E125" s="624" t="s">
        <v>787</v>
      </c>
      <c r="F125" s="624" t="s">
        <v>221</v>
      </c>
      <c r="G125" s="632" t="s">
        <v>405</v>
      </c>
      <c r="H125" s="626">
        <v>43</v>
      </c>
      <c r="I125" s="626">
        <v>42</v>
      </c>
      <c r="J125" s="626">
        <v>0.67689999999999995</v>
      </c>
      <c r="K125" s="626">
        <v>0.6694</v>
      </c>
      <c r="L125" s="626">
        <v>0.6724</v>
      </c>
      <c r="M125" s="626">
        <v>0.69199999999999995</v>
      </c>
      <c r="N125" s="626">
        <v>0.67290000000000005</v>
      </c>
      <c r="O125" s="626">
        <v>0.67730000000000001</v>
      </c>
      <c r="P125" s="632" t="s">
        <v>405</v>
      </c>
      <c r="Q125" s="626" t="s">
        <v>607</v>
      </c>
      <c r="R125" s="626" t="s">
        <v>481</v>
      </c>
      <c r="S125" s="626">
        <v>0.67530000000000001</v>
      </c>
      <c r="T125" s="626">
        <v>0.68159999999999998</v>
      </c>
      <c r="U125" s="626">
        <v>0.65359999999999996</v>
      </c>
      <c r="V125" s="626">
        <v>0.68369999999999997</v>
      </c>
      <c r="W125" s="626">
        <v>0.66600000000000004</v>
      </c>
      <c r="X125" s="626">
        <v>0.67300000000000004</v>
      </c>
      <c r="Y125" s="636" t="s">
        <v>405</v>
      </c>
      <c r="Z125" s="624" t="s">
        <v>678</v>
      </c>
      <c r="AA125" s="624" t="s">
        <v>485</v>
      </c>
      <c r="AB125" s="628">
        <v>0.6956</v>
      </c>
      <c r="AC125" s="628">
        <v>0.71089999999999998</v>
      </c>
      <c r="AD125" s="628">
        <v>0.67210000000000003</v>
      </c>
      <c r="AE125" s="628">
        <v>0.68969999999999998</v>
      </c>
      <c r="AF125" s="628">
        <v>0.68120000000000003</v>
      </c>
      <c r="AG125" s="628">
        <v>0.69120000000000004</v>
      </c>
      <c r="AH125" s="637" t="s">
        <v>405</v>
      </c>
      <c r="AI125" s="624" t="s">
        <v>580</v>
      </c>
      <c r="AJ125" s="624" t="s">
        <v>420</v>
      </c>
      <c r="AK125" s="628">
        <v>0.7026</v>
      </c>
      <c r="AL125" s="628">
        <v>0.71199999999999997</v>
      </c>
      <c r="AM125" s="628">
        <v>0.66590000000000005</v>
      </c>
      <c r="AN125" s="628">
        <v>0.6895</v>
      </c>
      <c r="AO125" s="628">
        <v>0.68010000000000004</v>
      </c>
      <c r="AP125" s="628">
        <v>0.6915</v>
      </c>
      <c r="AQ125" s="638" t="s">
        <v>405</v>
      </c>
      <c r="AR125" s="624" t="s">
        <v>511</v>
      </c>
      <c r="AS125" s="624" t="s">
        <v>447</v>
      </c>
      <c r="AT125" s="628">
        <v>0.70609999999999995</v>
      </c>
      <c r="AU125" s="628">
        <v>0.71050000000000002</v>
      </c>
      <c r="AV125" s="628">
        <v>0.66239999999999999</v>
      </c>
      <c r="AW125" s="628">
        <v>0.69310000000000005</v>
      </c>
      <c r="AX125" s="628">
        <v>0.68769999999999998</v>
      </c>
      <c r="AY125" s="628">
        <v>0.69259999999999999</v>
      </c>
      <c r="AZ125" s="636" t="s">
        <v>405</v>
      </c>
      <c r="BA125" s="624" t="s">
        <v>443</v>
      </c>
      <c r="BB125" s="624" t="s">
        <v>546</v>
      </c>
      <c r="BC125" s="628">
        <v>0.70630000000000004</v>
      </c>
      <c r="BD125" s="628">
        <v>0.69440000000000002</v>
      </c>
      <c r="BE125" s="628">
        <v>0.64570000000000005</v>
      </c>
      <c r="BF125" s="628">
        <v>0.70330000000000004</v>
      </c>
      <c r="BG125" s="628">
        <v>0.69020000000000004</v>
      </c>
      <c r="BH125" s="628">
        <v>0.68759999999999999</v>
      </c>
      <c r="BI125" s="787" t="s">
        <v>405</v>
      </c>
      <c r="BJ125" s="630">
        <v>92</v>
      </c>
      <c r="BK125" s="630">
        <v>88</v>
      </c>
      <c r="BL125" s="628">
        <v>0.69799999999999995</v>
      </c>
      <c r="BM125" s="628">
        <v>0.66249999999999998</v>
      </c>
      <c r="BN125" s="628">
        <v>0.62980000000000003</v>
      </c>
      <c r="BO125" s="628">
        <v>0.70920000000000005</v>
      </c>
      <c r="BP125" s="628">
        <v>0.68230000000000002</v>
      </c>
      <c r="BQ125" s="628">
        <v>0.67549999999999999</v>
      </c>
      <c r="BR125" s="789" t="s">
        <v>405</v>
      </c>
      <c r="BS125" s="626">
        <v>126</v>
      </c>
      <c r="BT125" s="626">
        <v>125</v>
      </c>
      <c r="BU125" s="626">
        <v>0.68740000000000001</v>
      </c>
      <c r="BV125" s="626">
        <v>0.66080000000000005</v>
      </c>
      <c r="BW125" s="626">
        <v>0.64370000000000005</v>
      </c>
      <c r="BX125" s="626">
        <v>0.71430000000000005</v>
      </c>
      <c r="BY125" s="626">
        <v>0.67359999999999998</v>
      </c>
      <c r="BZ125" s="626">
        <v>0.67630000000000001</v>
      </c>
      <c r="CA125" s="640" t="s">
        <v>405</v>
      </c>
      <c r="CB125" s="631" t="s">
        <v>436</v>
      </c>
      <c r="CC125" s="631" t="s">
        <v>516</v>
      </c>
      <c r="CD125" s="631">
        <v>0.68320000000000003</v>
      </c>
      <c r="CE125" s="631">
        <v>0.66100000000000003</v>
      </c>
      <c r="CF125" s="631">
        <v>0.65659999999999996</v>
      </c>
      <c r="CG125" s="631">
        <v>0.71250000000000002</v>
      </c>
      <c r="CH125" s="631">
        <v>0.67600000000000005</v>
      </c>
      <c r="CI125" s="570">
        <v>0.67810000000000004</v>
      </c>
      <c r="CJ125" s="725" t="s">
        <v>405</v>
      </c>
      <c r="CK125" s="626">
        <v>157</v>
      </c>
      <c r="CL125" s="626">
        <v>156</v>
      </c>
      <c r="CM125" s="626">
        <v>0.69079999999999997</v>
      </c>
      <c r="CN125" s="626">
        <v>0.67210000000000003</v>
      </c>
      <c r="CO125" s="626">
        <v>0.66959999999999997</v>
      </c>
      <c r="CP125" s="626">
        <v>0.71079999999999999</v>
      </c>
      <c r="CQ125" s="626">
        <v>0.68579999999999997</v>
      </c>
      <c r="CR125" s="721">
        <v>0.68579999999999997</v>
      </c>
      <c r="CS125" s="572" t="s">
        <v>405</v>
      </c>
      <c r="CT125" s="607">
        <v>152</v>
      </c>
      <c r="CU125" s="607">
        <v>151</v>
      </c>
      <c r="CV125" s="592">
        <v>0.71550000000000002</v>
      </c>
      <c r="CW125" s="592">
        <v>0.68169999999999997</v>
      </c>
      <c r="CX125" s="592">
        <v>0.66739999999999999</v>
      </c>
      <c r="CY125" s="592">
        <v>0.72299999999999998</v>
      </c>
      <c r="CZ125" s="592">
        <v>0.69579999999999997</v>
      </c>
      <c r="DA125" s="592">
        <v>0.69689999999999996</v>
      </c>
    </row>
    <row r="126" spans="1:105" ht="15" x14ac:dyDescent="0.25">
      <c r="A126" s="773" t="s">
        <v>228</v>
      </c>
      <c r="B126" s="134" t="s">
        <v>239</v>
      </c>
      <c r="C126" s="134" t="s">
        <v>567</v>
      </c>
      <c r="D126" s="134" t="s">
        <v>417</v>
      </c>
      <c r="E126" s="134" t="s">
        <v>787</v>
      </c>
      <c r="F126" s="624" t="s">
        <v>221</v>
      </c>
      <c r="G126" s="134"/>
      <c r="H126" s="134"/>
      <c r="I126" s="134"/>
      <c r="J126" s="134"/>
      <c r="K126" s="134"/>
      <c r="L126" s="134"/>
      <c r="M126" s="134"/>
      <c r="N126" s="134"/>
      <c r="O126" s="134"/>
      <c r="P126" s="568"/>
      <c r="Q126" s="568"/>
      <c r="R126" s="568"/>
      <c r="S126" s="568"/>
      <c r="T126" s="568"/>
      <c r="U126" s="568"/>
      <c r="V126" s="568"/>
      <c r="W126" s="568"/>
      <c r="X126" s="568"/>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639"/>
      <c r="BS126" s="271"/>
      <c r="BT126" s="271"/>
      <c r="BU126" s="271"/>
      <c r="BV126" s="271"/>
      <c r="BW126" s="271"/>
      <c r="BX126" s="271"/>
      <c r="BY126" s="271"/>
      <c r="BZ126" s="271"/>
      <c r="CA126" s="346"/>
      <c r="CB126" s="346"/>
      <c r="CC126" s="346"/>
      <c r="CD126" s="346"/>
      <c r="CE126" s="346"/>
      <c r="CF126" s="346"/>
      <c r="CG126" s="346"/>
      <c r="CH126" s="346"/>
      <c r="CI126" s="794"/>
      <c r="CJ126" s="724"/>
      <c r="CK126" s="624"/>
      <c r="CL126" s="624"/>
      <c r="CM126" s="624"/>
      <c r="CN126" s="624"/>
      <c r="CO126" s="624"/>
      <c r="CP126" s="624"/>
      <c r="CQ126" s="624"/>
      <c r="CR126" s="624"/>
      <c r="CS126" s="794"/>
      <c r="CT126" s="803"/>
      <c r="CU126" s="803"/>
      <c r="CV126" s="803"/>
      <c r="CW126" s="803"/>
      <c r="CX126" s="803"/>
      <c r="CY126" s="803"/>
      <c r="CZ126" s="803"/>
      <c r="DA126" s="803"/>
    </row>
    <row r="127" spans="1:105" x14ac:dyDescent="0.25">
      <c r="A127" s="36" t="s">
        <v>211</v>
      </c>
      <c r="B127" s="134" t="s">
        <v>210</v>
      </c>
      <c r="C127" s="134" t="s">
        <v>567</v>
      </c>
      <c r="D127" s="134" t="s">
        <v>417</v>
      </c>
      <c r="E127" s="134" t="s">
        <v>787</v>
      </c>
      <c r="F127" s="134" t="s">
        <v>221</v>
      </c>
      <c r="G127" s="134"/>
      <c r="H127" s="134"/>
      <c r="I127" s="134"/>
      <c r="J127" s="134"/>
      <c r="K127" s="134"/>
      <c r="L127" s="134"/>
      <c r="M127" s="134"/>
      <c r="N127" s="134"/>
      <c r="O127" s="134"/>
      <c r="P127" s="568"/>
      <c r="Q127" s="568"/>
      <c r="R127" s="568"/>
      <c r="S127" s="568"/>
      <c r="T127" s="568"/>
      <c r="U127" s="568"/>
      <c r="V127" s="568"/>
      <c r="W127" s="568"/>
      <c r="X127" s="568"/>
      <c r="Y127" s="145" t="s">
        <v>404</v>
      </c>
      <c r="Z127" s="134" t="s">
        <v>633</v>
      </c>
      <c r="AA127" s="134" t="s">
        <v>633</v>
      </c>
      <c r="AB127" s="137">
        <v>0.75419999999999998</v>
      </c>
      <c r="AC127" s="137">
        <v>0.73250000000000004</v>
      </c>
      <c r="AD127" s="137">
        <v>0.751</v>
      </c>
      <c r="AE127" s="137">
        <v>0.77759999999999996</v>
      </c>
      <c r="AF127" s="137">
        <v>0.74419999999999997</v>
      </c>
      <c r="AG127" s="137">
        <v>0.75309999999999999</v>
      </c>
      <c r="AH127" s="158" t="s">
        <v>404</v>
      </c>
      <c r="AI127" s="134" t="s">
        <v>543</v>
      </c>
      <c r="AJ127" s="134" t="s">
        <v>543</v>
      </c>
      <c r="AK127" s="137">
        <v>0.74029999999999996</v>
      </c>
      <c r="AL127" s="137">
        <v>0.71499999999999997</v>
      </c>
      <c r="AM127" s="137">
        <v>0.7218</v>
      </c>
      <c r="AN127" s="137">
        <v>0.75719999999999998</v>
      </c>
      <c r="AO127" s="137">
        <v>0.72130000000000005</v>
      </c>
      <c r="AP127" s="137">
        <v>0.73260000000000003</v>
      </c>
      <c r="AQ127" s="139" t="s">
        <v>405</v>
      </c>
      <c r="AR127" s="134" t="s">
        <v>433</v>
      </c>
      <c r="AS127" s="134" t="s">
        <v>444</v>
      </c>
      <c r="AT127" s="137">
        <v>0.71120000000000005</v>
      </c>
      <c r="AU127" s="137">
        <v>0.69720000000000004</v>
      </c>
      <c r="AV127" s="137">
        <v>0.70479999999999998</v>
      </c>
      <c r="AW127" s="137">
        <v>0.75009999999999999</v>
      </c>
      <c r="AX127" s="137">
        <v>0.68430000000000002</v>
      </c>
      <c r="AY127" s="137">
        <v>0.71340000000000003</v>
      </c>
      <c r="AZ127" s="138" t="s">
        <v>405</v>
      </c>
      <c r="BA127" s="134" t="s">
        <v>551</v>
      </c>
      <c r="BB127" s="134" t="s">
        <v>479</v>
      </c>
      <c r="BC127" s="137">
        <v>0.68510000000000004</v>
      </c>
      <c r="BD127" s="137">
        <v>0.6855</v>
      </c>
      <c r="BE127" s="137">
        <v>0.67200000000000004</v>
      </c>
      <c r="BF127" s="137">
        <v>0.73509999999999998</v>
      </c>
      <c r="BG127" s="137">
        <v>0.66359999999999997</v>
      </c>
      <c r="BH127" s="137">
        <v>0.69210000000000005</v>
      </c>
      <c r="BI127" s="135" t="s">
        <v>405</v>
      </c>
      <c r="BJ127" s="152">
        <v>64</v>
      </c>
      <c r="BK127" s="152">
        <v>62</v>
      </c>
      <c r="BL127" s="137">
        <v>0.67810000000000004</v>
      </c>
      <c r="BM127" s="137">
        <v>0.68969999999999998</v>
      </c>
      <c r="BN127" s="137">
        <v>0.69069999999999998</v>
      </c>
      <c r="BO127" s="137">
        <v>0.73199999999999998</v>
      </c>
      <c r="BP127" s="137">
        <v>0.65529999999999999</v>
      </c>
      <c r="BQ127" s="137">
        <v>0.69440000000000002</v>
      </c>
      <c r="BR127" s="279" t="s">
        <v>405</v>
      </c>
      <c r="BS127" s="272">
        <v>71</v>
      </c>
      <c r="BT127" s="272">
        <v>71</v>
      </c>
      <c r="BU127" s="272">
        <v>0.6855</v>
      </c>
      <c r="BV127" s="272">
        <v>0.69010000000000005</v>
      </c>
      <c r="BW127" s="272">
        <v>0.69110000000000005</v>
      </c>
      <c r="BX127" s="272">
        <v>0.72660000000000002</v>
      </c>
      <c r="BY127" s="272">
        <v>0.6663</v>
      </c>
      <c r="BZ127" s="272">
        <v>0.69589999999999996</v>
      </c>
      <c r="CA127" s="358" t="s">
        <v>405</v>
      </c>
      <c r="CB127" s="357" t="s">
        <v>420</v>
      </c>
      <c r="CC127" s="357" t="s">
        <v>548</v>
      </c>
      <c r="CD127" s="357">
        <v>0.67530000000000001</v>
      </c>
      <c r="CE127" s="357">
        <v>0.66590000000000005</v>
      </c>
      <c r="CF127" s="357">
        <v>0.6764</v>
      </c>
      <c r="CG127" s="357">
        <v>0.70920000000000005</v>
      </c>
      <c r="CH127" s="357">
        <v>0.64810000000000001</v>
      </c>
      <c r="CI127" s="570">
        <v>0.67910000000000004</v>
      </c>
      <c r="CJ127" s="725" t="s">
        <v>405</v>
      </c>
      <c r="CK127" s="626">
        <v>80</v>
      </c>
      <c r="CL127" s="626">
        <v>79</v>
      </c>
      <c r="CM127" s="626">
        <v>0.68469999999999998</v>
      </c>
      <c r="CN127" s="626">
        <v>0.66979999999999995</v>
      </c>
      <c r="CO127" s="626">
        <v>0.65620000000000001</v>
      </c>
      <c r="CP127" s="626">
        <v>0.71560000000000001</v>
      </c>
      <c r="CQ127" s="626">
        <v>0.66600000000000004</v>
      </c>
      <c r="CR127" s="721">
        <v>0.6804</v>
      </c>
      <c r="CS127" s="572" t="s">
        <v>405</v>
      </c>
      <c r="CT127" s="607">
        <v>86</v>
      </c>
      <c r="CU127" s="607">
        <v>83</v>
      </c>
      <c r="CV127" s="592">
        <v>0.68720000000000003</v>
      </c>
      <c r="CW127" s="592">
        <v>0.67159999999999997</v>
      </c>
      <c r="CX127" s="592">
        <v>0.65680000000000005</v>
      </c>
      <c r="CY127" s="592">
        <v>0.71970000000000001</v>
      </c>
      <c r="CZ127" s="592">
        <v>0.67659999999999998</v>
      </c>
      <c r="DA127" s="592">
        <v>0.68330000000000002</v>
      </c>
    </row>
    <row r="128" spans="1:105" x14ac:dyDescent="0.25">
      <c r="A128" s="36" t="s">
        <v>57</v>
      </c>
      <c r="B128" s="751" t="s">
        <v>56</v>
      </c>
      <c r="C128" s="134" t="s">
        <v>567</v>
      </c>
      <c r="D128" s="134" t="s">
        <v>417</v>
      </c>
      <c r="E128" s="134" t="s">
        <v>787</v>
      </c>
      <c r="F128" s="751" t="s">
        <v>221</v>
      </c>
      <c r="G128" s="754" t="s">
        <v>405</v>
      </c>
      <c r="H128" s="753">
        <v>102</v>
      </c>
      <c r="I128" s="753">
        <v>101</v>
      </c>
      <c r="J128" s="753">
        <v>0.66830000000000001</v>
      </c>
      <c r="K128" s="753">
        <v>0.65600000000000003</v>
      </c>
      <c r="L128" s="753">
        <v>0.68179999999999996</v>
      </c>
      <c r="M128" s="753">
        <v>0.70050000000000001</v>
      </c>
      <c r="N128" s="753">
        <v>0.65210000000000001</v>
      </c>
      <c r="O128" s="753">
        <v>0.67479999999999996</v>
      </c>
      <c r="P128" s="754" t="s">
        <v>405</v>
      </c>
      <c r="Q128" s="753" t="s">
        <v>465</v>
      </c>
      <c r="R128" s="753" t="s">
        <v>486</v>
      </c>
      <c r="S128" s="753">
        <v>0.6633</v>
      </c>
      <c r="T128" s="753">
        <v>0.65739999999999998</v>
      </c>
      <c r="U128" s="753">
        <v>0.68159999999999998</v>
      </c>
      <c r="V128" s="753">
        <v>0.68779999999999997</v>
      </c>
      <c r="W128" s="753">
        <v>0.65620000000000001</v>
      </c>
      <c r="X128" s="753">
        <v>0.67130000000000001</v>
      </c>
      <c r="Y128" s="755" t="s">
        <v>405</v>
      </c>
      <c r="Z128" s="751" t="s">
        <v>693</v>
      </c>
      <c r="AA128" s="751" t="s">
        <v>693</v>
      </c>
      <c r="AB128" s="756">
        <v>0.67200000000000004</v>
      </c>
      <c r="AC128" s="756">
        <v>0.67920000000000003</v>
      </c>
      <c r="AD128" s="756">
        <v>0.67420000000000002</v>
      </c>
      <c r="AE128" s="756">
        <v>0.69750000000000001</v>
      </c>
      <c r="AF128" s="756">
        <v>0.66920000000000002</v>
      </c>
      <c r="AG128" s="756">
        <v>0.67979999999999996</v>
      </c>
      <c r="AH128" s="757" t="s">
        <v>405</v>
      </c>
      <c r="AI128" s="751" t="s">
        <v>632</v>
      </c>
      <c r="AJ128" s="751" t="s">
        <v>632</v>
      </c>
      <c r="AK128" s="756">
        <v>0.66169999999999995</v>
      </c>
      <c r="AL128" s="756">
        <v>0.68220000000000003</v>
      </c>
      <c r="AM128" s="756">
        <v>0.67530000000000001</v>
      </c>
      <c r="AN128" s="756">
        <v>0.69679999999999997</v>
      </c>
      <c r="AO128" s="756">
        <v>0.66549999999999998</v>
      </c>
      <c r="AP128" s="756">
        <v>0.67800000000000005</v>
      </c>
      <c r="AQ128" s="758" t="s">
        <v>405</v>
      </c>
      <c r="AR128" s="751" t="s">
        <v>534</v>
      </c>
      <c r="AS128" s="751" t="s">
        <v>535</v>
      </c>
      <c r="AT128" s="756">
        <v>0.66479999999999995</v>
      </c>
      <c r="AU128" s="756">
        <v>0.68669999999999998</v>
      </c>
      <c r="AV128" s="756">
        <v>0.6704</v>
      </c>
      <c r="AW128" s="756">
        <v>0.71679999999999999</v>
      </c>
      <c r="AX128" s="756">
        <v>0.66359999999999997</v>
      </c>
      <c r="AY128" s="756">
        <v>0.68300000000000005</v>
      </c>
      <c r="AZ128" s="755" t="s">
        <v>405</v>
      </c>
      <c r="BA128" s="751" t="s">
        <v>429</v>
      </c>
      <c r="BB128" s="751" t="s">
        <v>582</v>
      </c>
      <c r="BC128" s="756">
        <v>0.64800000000000002</v>
      </c>
      <c r="BD128" s="756">
        <v>0.66669999999999996</v>
      </c>
      <c r="BE128" s="756">
        <v>0.65439999999999998</v>
      </c>
      <c r="BF128" s="756">
        <v>0.71860000000000002</v>
      </c>
      <c r="BG128" s="756">
        <v>0.65669999999999995</v>
      </c>
      <c r="BH128" s="756">
        <v>0.67079999999999995</v>
      </c>
      <c r="BI128" s="784" t="s">
        <v>541</v>
      </c>
      <c r="BJ128" s="760">
        <v>98</v>
      </c>
      <c r="BK128" s="760">
        <v>93</v>
      </c>
      <c r="BL128" s="756">
        <v>0.64770000000000005</v>
      </c>
      <c r="BM128" s="756">
        <v>0.6532</v>
      </c>
      <c r="BN128" s="756">
        <v>0.64180000000000004</v>
      </c>
      <c r="BO128" s="756">
        <v>0.7087</v>
      </c>
      <c r="BP128" s="756">
        <v>0.64419999999999999</v>
      </c>
      <c r="BQ128" s="756">
        <v>0.66139999999999999</v>
      </c>
      <c r="BR128" s="784" t="s">
        <v>541</v>
      </c>
      <c r="BS128" s="753">
        <v>90</v>
      </c>
      <c r="BT128" s="753">
        <v>88</v>
      </c>
      <c r="BU128" s="753">
        <v>0.66149999999999998</v>
      </c>
      <c r="BV128" s="753">
        <v>0.66090000000000004</v>
      </c>
      <c r="BW128" s="753">
        <v>0.64300000000000002</v>
      </c>
      <c r="BX128" s="753">
        <v>0.71419999999999995</v>
      </c>
      <c r="BY128" s="753">
        <v>0.63119999999999998</v>
      </c>
      <c r="BZ128" s="753">
        <v>0.66690000000000005</v>
      </c>
      <c r="CA128" s="772" t="s">
        <v>405</v>
      </c>
      <c r="CB128" s="762" t="s">
        <v>639</v>
      </c>
      <c r="CC128" s="762" t="s">
        <v>420</v>
      </c>
      <c r="CD128" s="762">
        <v>0.68130000000000002</v>
      </c>
      <c r="CE128" s="762">
        <v>0.66830000000000001</v>
      </c>
      <c r="CF128" s="762">
        <v>0.66390000000000005</v>
      </c>
      <c r="CG128" s="762">
        <v>0.71750000000000003</v>
      </c>
      <c r="CH128" s="762">
        <v>0.62780000000000002</v>
      </c>
      <c r="CI128" s="762">
        <v>0.67849999999999999</v>
      </c>
      <c r="CJ128" s="795" t="s">
        <v>405</v>
      </c>
      <c r="CK128" s="753">
        <v>91</v>
      </c>
      <c r="CL128" s="753">
        <v>90</v>
      </c>
      <c r="CM128" s="753">
        <v>0.69469999999999998</v>
      </c>
      <c r="CN128" s="753">
        <v>0.67100000000000004</v>
      </c>
      <c r="CO128" s="753">
        <v>0.67300000000000004</v>
      </c>
      <c r="CP128" s="753">
        <v>0.72250000000000003</v>
      </c>
      <c r="CQ128" s="753">
        <v>0.66600000000000004</v>
      </c>
      <c r="CR128" s="763">
        <v>0.68840000000000001</v>
      </c>
      <c r="CS128" s="764" t="s">
        <v>405</v>
      </c>
      <c r="CT128" s="764">
        <v>89</v>
      </c>
      <c r="CU128" s="764">
        <v>88</v>
      </c>
      <c r="CV128" s="765">
        <v>0.69030000000000002</v>
      </c>
      <c r="CW128" s="765">
        <v>0.67710000000000004</v>
      </c>
      <c r="CX128" s="765">
        <v>0.6825</v>
      </c>
      <c r="CY128" s="765">
        <v>0.72750000000000004</v>
      </c>
      <c r="CZ128" s="765">
        <v>0.70079999999999998</v>
      </c>
      <c r="DA128" s="765">
        <v>0.69489999999999996</v>
      </c>
    </row>
    <row r="129" spans="1:105" x14ac:dyDescent="0.25">
      <c r="A129" s="36" t="s">
        <v>195</v>
      </c>
      <c r="B129" s="751" t="s">
        <v>194</v>
      </c>
      <c r="C129" s="134" t="s">
        <v>567</v>
      </c>
      <c r="D129" s="134" t="s">
        <v>417</v>
      </c>
      <c r="E129" s="134" t="s">
        <v>787</v>
      </c>
      <c r="F129" s="751" t="s">
        <v>221</v>
      </c>
      <c r="G129" s="752" t="s">
        <v>404</v>
      </c>
      <c r="H129" s="753">
        <v>21</v>
      </c>
      <c r="I129" s="753">
        <v>21</v>
      </c>
      <c r="J129" s="753">
        <v>0.7399</v>
      </c>
      <c r="K129" s="753">
        <v>0.79079999999999995</v>
      </c>
      <c r="L129" s="753">
        <v>0.75160000000000005</v>
      </c>
      <c r="M129" s="753">
        <v>0.77329999999999999</v>
      </c>
      <c r="N129" s="753">
        <v>0.71679999999999999</v>
      </c>
      <c r="O129" s="753">
        <v>0.76029999999999998</v>
      </c>
      <c r="P129" s="752" t="s">
        <v>404</v>
      </c>
      <c r="Q129" s="753" t="s">
        <v>479</v>
      </c>
      <c r="R129" s="753" t="s">
        <v>479</v>
      </c>
      <c r="S129" s="753">
        <v>0.753</v>
      </c>
      <c r="T129" s="753">
        <v>0.76790000000000003</v>
      </c>
      <c r="U129" s="753">
        <v>0.73850000000000005</v>
      </c>
      <c r="V129" s="753">
        <v>0.74980000000000002</v>
      </c>
      <c r="W129" s="753">
        <v>0.71750000000000003</v>
      </c>
      <c r="X129" s="753">
        <v>0.74960000000000004</v>
      </c>
      <c r="Y129" s="777" t="s">
        <v>404</v>
      </c>
      <c r="Z129" s="751" t="s">
        <v>544</v>
      </c>
      <c r="AA129" s="751" t="s">
        <v>544</v>
      </c>
      <c r="AB129" s="756">
        <v>0.7722</v>
      </c>
      <c r="AC129" s="756">
        <v>0.78180000000000005</v>
      </c>
      <c r="AD129" s="756">
        <v>0.75409999999999999</v>
      </c>
      <c r="AE129" s="756">
        <v>0.76039999999999996</v>
      </c>
      <c r="AF129" s="756">
        <v>0.747</v>
      </c>
      <c r="AG129" s="756">
        <v>0.76559999999999995</v>
      </c>
      <c r="AH129" s="779" t="s">
        <v>403</v>
      </c>
      <c r="AI129" s="751" t="s">
        <v>569</v>
      </c>
      <c r="AJ129" s="751" t="s">
        <v>569</v>
      </c>
      <c r="AK129" s="756">
        <v>0.79079999999999995</v>
      </c>
      <c r="AL129" s="756">
        <v>0.78159999999999996</v>
      </c>
      <c r="AM129" s="756">
        <v>0.76290000000000002</v>
      </c>
      <c r="AN129" s="756">
        <v>0.76060000000000005</v>
      </c>
      <c r="AO129" s="756">
        <v>0.78090000000000004</v>
      </c>
      <c r="AP129" s="756">
        <v>0.77449999999999997</v>
      </c>
      <c r="AQ129" s="782" t="s">
        <v>403</v>
      </c>
      <c r="AR129" s="751" t="s">
        <v>418</v>
      </c>
      <c r="AS129" s="751" t="s">
        <v>418</v>
      </c>
      <c r="AT129" s="756">
        <v>0.80149999999999999</v>
      </c>
      <c r="AU129" s="756">
        <v>0.7974</v>
      </c>
      <c r="AV129" s="756">
        <v>0.77280000000000004</v>
      </c>
      <c r="AW129" s="756">
        <v>0.79479999999999995</v>
      </c>
      <c r="AX129" s="756">
        <v>0.82489999999999997</v>
      </c>
      <c r="AY129" s="756">
        <v>0.79420000000000002</v>
      </c>
      <c r="AZ129" s="783" t="s">
        <v>403</v>
      </c>
      <c r="BA129" s="751" t="s">
        <v>596</v>
      </c>
      <c r="BB129" s="751" t="s">
        <v>596</v>
      </c>
      <c r="BC129" s="756">
        <v>0.81179999999999997</v>
      </c>
      <c r="BD129" s="756">
        <v>0.78969999999999996</v>
      </c>
      <c r="BE129" s="756">
        <v>0.7581</v>
      </c>
      <c r="BF129" s="756">
        <v>0.79749999999999999</v>
      </c>
      <c r="BG129" s="756">
        <v>0.81420000000000003</v>
      </c>
      <c r="BH129" s="756">
        <v>0.79120000000000001</v>
      </c>
      <c r="BI129" s="786" t="s">
        <v>403</v>
      </c>
      <c r="BJ129" s="760">
        <v>75</v>
      </c>
      <c r="BK129" s="760">
        <v>75</v>
      </c>
      <c r="BL129" s="756">
        <v>0.8054</v>
      </c>
      <c r="BM129" s="756">
        <v>0.77969999999999995</v>
      </c>
      <c r="BN129" s="756">
        <v>0.7581</v>
      </c>
      <c r="BO129" s="756">
        <v>0.80030000000000001</v>
      </c>
      <c r="BP129" s="756">
        <v>0.77939999999999998</v>
      </c>
      <c r="BQ129" s="756">
        <v>0.78539999999999999</v>
      </c>
      <c r="BR129" s="786" t="s">
        <v>403</v>
      </c>
      <c r="BS129" s="753">
        <v>93</v>
      </c>
      <c r="BT129" s="753">
        <v>93</v>
      </c>
      <c r="BU129" s="753">
        <v>0.80730000000000002</v>
      </c>
      <c r="BV129" s="753">
        <v>0.77590000000000003</v>
      </c>
      <c r="BW129" s="753">
        <v>0.75929999999999997</v>
      </c>
      <c r="BX129" s="753">
        <v>0.80400000000000005</v>
      </c>
      <c r="BY129" s="753">
        <v>0.7732</v>
      </c>
      <c r="BZ129" s="753">
        <v>0.78559999999999997</v>
      </c>
      <c r="CA129" s="792" t="s">
        <v>403</v>
      </c>
      <c r="CB129" s="762" t="s">
        <v>647</v>
      </c>
      <c r="CC129" s="762" t="s">
        <v>647</v>
      </c>
      <c r="CD129" s="762">
        <v>0.79510000000000003</v>
      </c>
      <c r="CE129" s="762">
        <v>0.77159999999999995</v>
      </c>
      <c r="CF129" s="762">
        <v>0.76380000000000003</v>
      </c>
      <c r="CG129" s="762">
        <v>0.80940000000000001</v>
      </c>
      <c r="CH129" s="762">
        <v>0.76400000000000001</v>
      </c>
      <c r="CI129" s="762">
        <v>0.7833</v>
      </c>
      <c r="CJ129" s="796" t="s">
        <v>403</v>
      </c>
      <c r="CK129" s="753">
        <v>76</v>
      </c>
      <c r="CL129" s="753">
        <v>76</v>
      </c>
      <c r="CM129" s="753">
        <v>0.80879999999999996</v>
      </c>
      <c r="CN129" s="753">
        <v>0.7823</v>
      </c>
      <c r="CO129" s="753">
        <v>0.77339999999999998</v>
      </c>
      <c r="CP129" s="753">
        <v>0.82089999999999996</v>
      </c>
      <c r="CQ129" s="753">
        <v>0.79530000000000001</v>
      </c>
      <c r="CR129" s="763">
        <v>0.79630000000000001</v>
      </c>
      <c r="CS129" s="764" t="s">
        <v>403</v>
      </c>
      <c r="CT129" s="764">
        <v>72</v>
      </c>
      <c r="CU129" s="764">
        <v>72</v>
      </c>
      <c r="CV129" s="765">
        <v>0.81759999999999999</v>
      </c>
      <c r="CW129" s="765">
        <v>0.79630000000000001</v>
      </c>
      <c r="CX129" s="765">
        <v>0.79479999999999995</v>
      </c>
      <c r="CY129" s="765">
        <v>0.82879999999999998</v>
      </c>
      <c r="CZ129" s="765">
        <v>0.80889999999999995</v>
      </c>
      <c r="DA129" s="765">
        <v>0.80930000000000002</v>
      </c>
    </row>
    <row r="130" spans="1:105" x14ac:dyDescent="0.25">
      <c r="A130" s="36" t="s">
        <v>19</v>
      </c>
      <c r="B130" s="751" t="s">
        <v>18</v>
      </c>
      <c r="C130" s="134" t="s">
        <v>567</v>
      </c>
      <c r="D130" s="134" t="s">
        <v>417</v>
      </c>
      <c r="E130" s="134" t="s">
        <v>787</v>
      </c>
      <c r="F130" s="751" t="s">
        <v>221</v>
      </c>
      <c r="G130" s="752" t="s">
        <v>404</v>
      </c>
      <c r="H130" s="753">
        <v>197</v>
      </c>
      <c r="I130" s="753">
        <v>197</v>
      </c>
      <c r="J130" s="753">
        <v>0.73960000000000004</v>
      </c>
      <c r="K130" s="753">
        <v>0.74990000000000001</v>
      </c>
      <c r="L130" s="753">
        <v>0.75049999999999994</v>
      </c>
      <c r="M130" s="753">
        <v>0.74960000000000004</v>
      </c>
      <c r="N130" s="753">
        <v>0.71789999999999998</v>
      </c>
      <c r="O130" s="753">
        <v>0.74509999999999998</v>
      </c>
      <c r="P130" s="752" t="s">
        <v>404</v>
      </c>
      <c r="Q130" s="753" t="s">
        <v>466</v>
      </c>
      <c r="R130" s="753" t="s">
        <v>466</v>
      </c>
      <c r="S130" s="753">
        <v>0.74880000000000002</v>
      </c>
      <c r="T130" s="753">
        <v>0.75590000000000002</v>
      </c>
      <c r="U130" s="753">
        <v>0.75509999999999999</v>
      </c>
      <c r="V130" s="753">
        <v>0.75280000000000002</v>
      </c>
      <c r="W130" s="753">
        <v>0.71540000000000004</v>
      </c>
      <c r="X130" s="753">
        <v>0.75029999999999997</v>
      </c>
      <c r="Y130" s="777" t="s">
        <v>404</v>
      </c>
      <c r="Z130" s="751" t="s">
        <v>571</v>
      </c>
      <c r="AA130" s="751" t="s">
        <v>571</v>
      </c>
      <c r="AB130" s="756">
        <v>0.76039999999999996</v>
      </c>
      <c r="AC130" s="756">
        <v>0.77380000000000004</v>
      </c>
      <c r="AD130" s="756">
        <v>0.75629999999999997</v>
      </c>
      <c r="AE130" s="756">
        <v>0.76380000000000003</v>
      </c>
      <c r="AF130" s="756">
        <v>0.74199999999999999</v>
      </c>
      <c r="AG130" s="756">
        <v>0.76190000000000002</v>
      </c>
      <c r="AH130" s="780" t="s">
        <v>404</v>
      </c>
      <c r="AI130" s="751" t="s">
        <v>571</v>
      </c>
      <c r="AJ130" s="751" t="s">
        <v>572</v>
      </c>
      <c r="AK130" s="756">
        <v>0.76670000000000005</v>
      </c>
      <c r="AL130" s="756">
        <v>0.77680000000000005</v>
      </c>
      <c r="AM130" s="756">
        <v>0.7611</v>
      </c>
      <c r="AN130" s="756">
        <v>0.76990000000000003</v>
      </c>
      <c r="AO130" s="756">
        <v>0.76049999999999995</v>
      </c>
      <c r="AP130" s="756">
        <v>0.76800000000000002</v>
      </c>
      <c r="AQ130" s="782" t="s">
        <v>403</v>
      </c>
      <c r="AR130" s="751" t="s">
        <v>430</v>
      </c>
      <c r="AS130" s="751" t="s">
        <v>431</v>
      </c>
      <c r="AT130" s="756">
        <v>0.77280000000000004</v>
      </c>
      <c r="AU130" s="756">
        <v>0.77710000000000001</v>
      </c>
      <c r="AV130" s="756">
        <v>0.75690000000000002</v>
      </c>
      <c r="AW130" s="756">
        <v>0.77859999999999996</v>
      </c>
      <c r="AX130" s="756">
        <v>0.78320000000000001</v>
      </c>
      <c r="AY130" s="756">
        <v>0.77229999999999999</v>
      </c>
      <c r="AZ130" s="783" t="s">
        <v>403</v>
      </c>
      <c r="BA130" s="751" t="s">
        <v>743</v>
      </c>
      <c r="BB130" s="751" t="s">
        <v>744</v>
      </c>
      <c r="BC130" s="756">
        <v>0.77700000000000002</v>
      </c>
      <c r="BD130" s="756">
        <v>0.76419999999999999</v>
      </c>
      <c r="BE130" s="756">
        <v>0.75249999999999995</v>
      </c>
      <c r="BF130" s="756">
        <v>0.79139999999999999</v>
      </c>
      <c r="BG130" s="756">
        <v>0.77929999999999999</v>
      </c>
      <c r="BH130" s="756">
        <v>0.77190000000000003</v>
      </c>
      <c r="BI130" s="759" t="s">
        <v>404</v>
      </c>
      <c r="BJ130" s="760">
        <v>211</v>
      </c>
      <c r="BK130" s="760">
        <v>210</v>
      </c>
      <c r="BL130" s="756">
        <v>0.77510000000000001</v>
      </c>
      <c r="BM130" s="756">
        <v>0.75029999999999997</v>
      </c>
      <c r="BN130" s="756">
        <v>0.74970000000000003</v>
      </c>
      <c r="BO130" s="756">
        <v>0.78959999999999997</v>
      </c>
      <c r="BP130" s="756">
        <v>0.748</v>
      </c>
      <c r="BQ130" s="756">
        <v>0.76470000000000005</v>
      </c>
      <c r="BR130" s="759" t="s">
        <v>404</v>
      </c>
      <c r="BS130" s="753">
        <v>198</v>
      </c>
      <c r="BT130" s="753">
        <v>198</v>
      </c>
      <c r="BU130" s="753">
        <v>0.77129999999999999</v>
      </c>
      <c r="BV130" s="753">
        <v>0.74070000000000003</v>
      </c>
      <c r="BW130" s="753">
        <v>0.75119999999999998</v>
      </c>
      <c r="BX130" s="753">
        <v>0.78790000000000004</v>
      </c>
      <c r="BY130" s="753">
        <v>0.7399</v>
      </c>
      <c r="BZ130" s="753">
        <v>0.76100000000000001</v>
      </c>
      <c r="CA130" s="761" t="s">
        <v>404</v>
      </c>
      <c r="CB130" s="762" t="s">
        <v>453</v>
      </c>
      <c r="CC130" s="762" t="s">
        <v>453</v>
      </c>
      <c r="CD130" s="762">
        <v>0.7621</v>
      </c>
      <c r="CE130" s="762">
        <v>0.73529999999999995</v>
      </c>
      <c r="CF130" s="762">
        <v>0.74819999999999998</v>
      </c>
      <c r="CG130" s="762">
        <v>0.78210000000000002</v>
      </c>
      <c r="CH130" s="762">
        <v>0.74219999999999997</v>
      </c>
      <c r="CI130" s="762">
        <v>0.75580000000000003</v>
      </c>
      <c r="CJ130" s="766" t="s">
        <v>404</v>
      </c>
      <c r="CK130" s="753">
        <v>217</v>
      </c>
      <c r="CL130" s="753">
        <v>217</v>
      </c>
      <c r="CM130" s="753">
        <v>0.7571</v>
      </c>
      <c r="CN130" s="753">
        <v>0.74070000000000003</v>
      </c>
      <c r="CO130" s="753">
        <v>0.75360000000000005</v>
      </c>
      <c r="CP130" s="753">
        <v>0.7853</v>
      </c>
      <c r="CQ130" s="753">
        <v>0.77359999999999995</v>
      </c>
      <c r="CR130" s="763">
        <v>0.76029999999999998</v>
      </c>
      <c r="CS130" s="764" t="s">
        <v>404</v>
      </c>
      <c r="CT130" s="764">
        <v>242</v>
      </c>
      <c r="CU130" s="764">
        <v>241</v>
      </c>
      <c r="CV130" s="765">
        <v>0.74919999999999998</v>
      </c>
      <c r="CW130" s="765">
        <v>0.74</v>
      </c>
      <c r="CX130" s="765">
        <v>0.75470000000000004</v>
      </c>
      <c r="CY130" s="765">
        <v>0.79359999999999997</v>
      </c>
      <c r="CZ130" s="765">
        <v>0.77959999999999996</v>
      </c>
      <c r="DA130" s="765">
        <v>0.76090000000000002</v>
      </c>
    </row>
    <row r="131" spans="1:105" x14ac:dyDescent="0.25">
      <c r="A131" s="36" t="s">
        <v>118</v>
      </c>
      <c r="B131" s="751" t="s">
        <v>117</v>
      </c>
      <c r="C131" s="134" t="s">
        <v>567</v>
      </c>
      <c r="D131" s="134" t="s">
        <v>417</v>
      </c>
      <c r="E131" s="134" t="s">
        <v>787</v>
      </c>
      <c r="F131" s="751" t="s">
        <v>221</v>
      </c>
      <c r="G131" s="754" t="s">
        <v>405</v>
      </c>
      <c r="H131" s="753">
        <v>87</v>
      </c>
      <c r="I131" s="753">
        <v>87</v>
      </c>
      <c r="J131" s="753">
        <v>0.69650000000000001</v>
      </c>
      <c r="K131" s="753">
        <v>0.68859999999999999</v>
      </c>
      <c r="L131" s="753">
        <v>0.71840000000000004</v>
      </c>
      <c r="M131" s="753">
        <v>0.71660000000000001</v>
      </c>
      <c r="N131" s="753">
        <v>0.67700000000000005</v>
      </c>
      <c r="O131" s="753">
        <v>0.70289999999999997</v>
      </c>
      <c r="P131" s="754" t="s">
        <v>405</v>
      </c>
      <c r="Q131" s="753" t="s">
        <v>663</v>
      </c>
      <c r="R131" s="753" t="s">
        <v>663</v>
      </c>
      <c r="S131" s="753">
        <v>0.69550000000000001</v>
      </c>
      <c r="T131" s="753">
        <v>0.69669999999999999</v>
      </c>
      <c r="U131" s="753">
        <v>0.71840000000000004</v>
      </c>
      <c r="V131" s="753">
        <v>0.71489999999999998</v>
      </c>
      <c r="W131" s="753">
        <v>0.68279999999999996</v>
      </c>
      <c r="X131" s="753">
        <v>0.7046</v>
      </c>
      <c r="Y131" s="755" t="s">
        <v>405</v>
      </c>
      <c r="Z131" s="751" t="s">
        <v>446</v>
      </c>
      <c r="AA131" s="751" t="s">
        <v>446</v>
      </c>
      <c r="AB131" s="756">
        <v>0.70330000000000004</v>
      </c>
      <c r="AC131" s="756">
        <v>0.71579999999999999</v>
      </c>
      <c r="AD131" s="756">
        <v>0.71609999999999996</v>
      </c>
      <c r="AE131" s="756">
        <v>0.71789999999999998</v>
      </c>
      <c r="AF131" s="756">
        <v>0.70669999999999999</v>
      </c>
      <c r="AG131" s="756">
        <v>0.71279999999999999</v>
      </c>
      <c r="AH131" s="757" t="s">
        <v>405</v>
      </c>
      <c r="AI131" s="751" t="s">
        <v>548</v>
      </c>
      <c r="AJ131" s="751" t="s">
        <v>548</v>
      </c>
      <c r="AK131" s="756">
        <v>0.69399999999999995</v>
      </c>
      <c r="AL131" s="756">
        <v>0.72070000000000001</v>
      </c>
      <c r="AM131" s="756">
        <v>0.70440000000000003</v>
      </c>
      <c r="AN131" s="756">
        <v>0.72019999999999995</v>
      </c>
      <c r="AO131" s="756">
        <v>0.72470000000000001</v>
      </c>
      <c r="AP131" s="756">
        <v>0.71099999999999997</v>
      </c>
      <c r="AQ131" s="758" t="s">
        <v>405</v>
      </c>
      <c r="AR131" s="751" t="s">
        <v>447</v>
      </c>
      <c r="AS131" s="751" t="s">
        <v>447</v>
      </c>
      <c r="AT131" s="756">
        <v>0.70299999999999996</v>
      </c>
      <c r="AU131" s="756">
        <v>0.7167</v>
      </c>
      <c r="AV131" s="756">
        <v>0.69799999999999995</v>
      </c>
      <c r="AW131" s="756">
        <v>0.73499999999999999</v>
      </c>
      <c r="AX131" s="756">
        <v>0.72689999999999999</v>
      </c>
      <c r="AY131" s="756">
        <v>0.71419999999999995</v>
      </c>
      <c r="AZ131" s="755" t="s">
        <v>405</v>
      </c>
      <c r="BA131" s="751" t="s">
        <v>447</v>
      </c>
      <c r="BB131" s="751" t="s">
        <v>419</v>
      </c>
      <c r="BC131" s="756">
        <v>0.70760000000000001</v>
      </c>
      <c r="BD131" s="756">
        <v>0.69820000000000004</v>
      </c>
      <c r="BE131" s="756">
        <v>0.67930000000000001</v>
      </c>
      <c r="BF131" s="756">
        <v>0.73299999999999998</v>
      </c>
      <c r="BG131" s="756">
        <v>0.70420000000000005</v>
      </c>
      <c r="BH131" s="756">
        <v>0.70450000000000002</v>
      </c>
      <c r="BI131" s="771" t="s">
        <v>405</v>
      </c>
      <c r="BJ131" s="760">
        <v>88</v>
      </c>
      <c r="BK131" s="760">
        <v>86</v>
      </c>
      <c r="BL131" s="756">
        <v>0.71450000000000002</v>
      </c>
      <c r="BM131" s="756">
        <v>0.67020000000000002</v>
      </c>
      <c r="BN131" s="756">
        <v>0.64990000000000003</v>
      </c>
      <c r="BO131" s="756">
        <v>0.71189999999999998</v>
      </c>
      <c r="BP131" s="756">
        <v>0.66810000000000003</v>
      </c>
      <c r="BQ131" s="756">
        <v>0.68520000000000003</v>
      </c>
      <c r="BR131" s="771" t="s">
        <v>405</v>
      </c>
      <c r="BS131" s="753">
        <v>96</v>
      </c>
      <c r="BT131" s="753">
        <v>95</v>
      </c>
      <c r="BU131" s="753">
        <v>0.73050000000000004</v>
      </c>
      <c r="BV131" s="753">
        <v>0.67930000000000001</v>
      </c>
      <c r="BW131" s="753">
        <v>0.64990000000000003</v>
      </c>
      <c r="BX131" s="753">
        <v>0.72219999999999995</v>
      </c>
      <c r="BY131" s="753">
        <v>0.67449999999999999</v>
      </c>
      <c r="BZ131" s="753">
        <v>0.69389999999999996</v>
      </c>
      <c r="CA131" s="772" t="s">
        <v>405</v>
      </c>
      <c r="CB131" s="762" t="s">
        <v>523</v>
      </c>
      <c r="CC131" s="762" t="s">
        <v>555</v>
      </c>
      <c r="CD131" s="762">
        <v>0.7359</v>
      </c>
      <c r="CE131" s="762">
        <v>0.68020000000000003</v>
      </c>
      <c r="CF131" s="762">
        <v>0.67169999999999996</v>
      </c>
      <c r="CG131" s="762">
        <v>0.72940000000000005</v>
      </c>
      <c r="CH131" s="762">
        <v>0.6885</v>
      </c>
      <c r="CI131" s="762">
        <v>0.70309999999999995</v>
      </c>
      <c r="CJ131" s="795" t="s">
        <v>405</v>
      </c>
      <c r="CK131" s="753">
        <v>107</v>
      </c>
      <c r="CL131" s="753">
        <v>107</v>
      </c>
      <c r="CM131" s="753">
        <v>0.74019999999999997</v>
      </c>
      <c r="CN131" s="753">
        <v>0.69679999999999997</v>
      </c>
      <c r="CO131" s="753">
        <v>0.68899999999999995</v>
      </c>
      <c r="CP131" s="753">
        <v>0.74490000000000001</v>
      </c>
      <c r="CQ131" s="753">
        <v>0.72140000000000004</v>
      </c>
      <c r="CR131" s="763">
        <v>0.71799999999999997</v>
      </c>
      <c r="CS131" s="764" t="s">
        <v>405</v>
      </c>
      <c r="CT131" s="764">
        <v>92</v>
      </c>
      <c r="CU131" s="764">
        <v>92</v>
      </c>
      <c r="CV131" s="765">
        <v>0.71809999999999996</v>
      </c>
      <c r="CW131" s="765">
        <v>0.67889999999999995</v>
      </c>
      <c r="CX131" s="765">
        <v>0.68059999999999998</v>
      </c>
      <c r="CY131" s="765">
        <v>0.73209999999999997</v>
      </c>
      <c r="CZ131" s="765">
        <v>0.71789999999999998</v>
      </c>
      <c r="DA131" s="765">
        <v>0.7036</v>
      </c>
    </row>
    <row r="132" spans="1:105" x14ac:dyDescent="0.25">
      <c r="A132" s="36" t="s">
        <v>205</v>
      </c>
      <c r="B132" s="134" t="s">
        <v>204</v>
      </c>
      <c r="C132" s="134" t="s">
        <v>567</v>
      </c>
      <c r="D132" s="134" t="s">
        <v>417</v>
      </c>
      <c r="E132" s="134" t="s">
        <v>787</v>
      </c>
      <c r="F132" s="134" t="s">
        <v>221</v>
      </c>
      <c r="G132" s="134"/>
      <c r="H132" s="134"/>
      <c r="I132" s="134"/>
      <c r="J132" s="134"/>
      <c r="K132" s="134"/>
      <c r="L132" s="134"/>
      <c r="M132" s="134"/>
      <c r="N132" s="134"/>
      <c r="O132" s="134"/>
      <c r="P132" s="173" t="s">
        <v>405</v>
      </c>
      <c r="Q132" s="174" t="s">
        <v>533</v>
      </c>
      <c r="R132" s="174" t="s">
        <v>533</v>
      </c>
      <c r="S132" s="174">
        <v>0.65590000000000004</v>
      </c>
      <c r="T132" s="174">
        <v>0.70109999999999995</v>
      </c>
      <c r="U132" s="174">
        <v>0.6774</v>
      </c>
      <c r="V132" s="174">
        <v>0.68500000000000005</v>
      </c>
      <c r="W132" s="174">
        <v>0.68840000000000001</v>
      </c>
      <c r="X132" s="174">
        <v>0.68049999999999999</v>
      </c>
      <c r="Y132" s="138" t="s">
        <v>405</v>
      </c>
      <c r="Z132" s="134" t="s">
        <v>485</v>
      </c>
      <c r="AA132" s="134" t="s">
        <v>485</v>
      </c>
      <c r="AB132" s="137">
        <v>0.66890000000000005</v>
      </c>
      <c r="AC132" s="137">
        <v>0.7147</v>
      </c>
      <c r="AD132" s="137">
        <v>0.68679999999999997</v>
      </c>
      <c r="AE132" s="137">
        <v>0.69979999999999998</v>
      </c>
      <c r="AF132" s="137">
        <v>0.71379999999999999</v>
      </c>
      <c r="AG132" s="137">
        <v>0.69420000000000004</v>
      </c>
      <c r="AH132" s="159" t="s">
        <v>405</v>
      </c>
      <c r="AI132" s="134" t="s">
        <v>524</v>
      </c>
      <c r="AJ132" s="134" t="s">
        <v>524</v>
      </c>
      <c r="AK132" s="137">
        <v>0.70269999999999999</v>
      </c>
      <c r="AL132" s="137">
        <v>0.73009999999999997</v>
      </c>
      <c r="AM132" s="137">
        <v>0.70079999999999998</v>
      </c>
      <c r="AN132" s="137">
        <v>0.72799999999999998</v>
      </c>
      <c r="AO132" s="137">
        <v>0.71650000000000003</v>
      </c>
      <c r="AP132" s="137">
        <v>0.71550000000000002</v>
      </c>
      <c r="AQ132" s="150" t="s">
        <v>404</v>
      </c>
      <c r="AR132" s="134" t="s">
        <v>462</v>
      </c>
      <c r="AS132" s="134" t="s">
        <v>462</v>
      </c>
      <c r="AT132" s="137">
        <v>0.72709999999999997</v>
      </c>
      <c r="AU132" s="137">
        <v>0.73109999999999997</v>
      </c>
      <c r="AV132" s="137">
        <v>0.70579999999999998</v>
      </c>
      <c r="AW132" s="137">
        <v>0.74670000000000003</v>
      </c>
      <c r="AX132" s="137">
        <v>0.74119999999999997</v>
      </c>
      <c r="AY132" s="137">
        <v>0.72870000000000001</v>
      </c>
      <c r="AZ132" s="145" t="s">
        <v>404</v>
      </c>
      <c r="BA132" s="134" t="s">
        <v>558</v>
      </c>
      <c r="BB132" s="134" t="s">
        <v>558</v>
      </c>
      <c r="BC132" s="137">
        <v>0.74390000000000001</v>
      </c>
      <c r="BD132" s="137">
        <v>0.72870000000000001</v>
      </c>
      <c r="BE132" s="137">
        <v>0.70399999999999996</v>
      </c>
      <c r="BF132" s="137">
        <v>0.75819999999999999</v>
      </c>
      <c r="BG132" s="137">
        <v>0.75</v>
      </c>
      <c r="BH132" s="137">
        <v>0.73499999999999999</v>
      </c>
      <c r="BI132" s="149" t="s">
        <v>404</v>
      </c>
      <c r="BJ132" s="152">
        <v>143</v>
      </c>
      <c r="BK132" s="152">
        <v>143</v>
      </c>
      <c r="BL132" s="137">
        <v>0.74860000000000004</v>
      </c>
      <c r="BM132" s="137">
        <v>0.72160000000000002</v>
      </c>
      <c r="BN132" s="137">
        <v>0.70799999999999996</v>
      </c>
      <c r="BO132" s="137">
        <v>0.75760000000000005</v>
      </c>
      <c r="BP132" s="137">
        <v>0.74960000000000004</v>
      </c>
      <c r="BQ132" s="137">
        <v>0.73519999999999996</v>
      </c>
      <c r="BR132" s="283" t="s">
        <v>404</v>
      </c>
      <c r="BS132" s="272">
        <v>150</v>
      </c>
      <c r="BT132" s="272">
        <v>150</v>
      </c>
      <c r="BU132" s="272">
        <v>0.75390000000000001</v>
      </c>
      <c r="BV132" s="272">
        <v>0.71940000000000004</v>
      </c>
      <c r="BW132" s="272">
        <v>0.69979999999999998</v>
      </c>
      <c r="BX132" s="272">
        <v>0.76519999999999999</v>
      </c>
      <c r="BY132" s="272">
        <v>0.74639999999999995</v>
      </c>
      <c r="BZ132" s="272">
        <v>0.73550000000000004</v>
      </c>
      <c r="CA132" s="366" t="s">
        <v>404</v>
      </c>
      <c r="CB132" s="357" t="s">
        <v>710</v>
      </c>
      <c r="CC132" s="357" t="s">
        <v>650</v>
      </c>
      <c r="CD132" s="357">
        <v>0.76359999999999995</v>
      </c>
      <c r="CE132" s="357">
        <v>0.73109999999999997</v>
      </c>
      <c r="CF132" s="357">
        <v>0.71040000000000003</v>
      </c>
      <c r="CG132" s="357">
        <v>0.77359999999999995</v>
      </c>
      <c r="CH132" s="357">
        <v>0.74929999999999997</v>
      </c>
      <c r="CI132" s="570">
        <v>0.745</v>
      </c>
      <c r="CJ132" s="727" t="s">
        <v>404</v>
      </c>
      <c r="CK132" s="626">
        <v>151</v>
      </c>
      <c r="CL132" s="626">
        <v>150</v>
      </c>
      <c r="CM132" s="626">
        <v>0.75849999999999995</v>
      </c>
      <c r="CN132" s="626">
        <v>0.73309999999999997</v>
      </c>
      <c r="CO132" s="626">
        <v>0.69940000000000002</v>
      </c>
      <c r="CP132" s="626">
        <v>0.77329999999999999</v>
      </c>
      <c r="CQ132" s="626">
        <v>0.75939999999999996</v>
      </c>
      <c r="CR132" s="721">
        <v>0.74250000000000005</v>
      </c>
      <c r="CS132" s="572" t="s">
        <v>404</v>
      </c>
      <c r="CT132" s="607">
        <v>136</v>
      </c>
      <c r="CU132" s="607">
        <v>134</v>
      </c>
      <c r="CV132" s="592">
        <v>0.76490000000000002</v>
      </c>
      <c r="CW132" s="592">
        <v>0.73699999999999999</v>
      </c>
      <c r="CX132" s="592">
        <v>0.70789999999999997</v>
      </c>
      <c r="CY132" s="592">
        <v>0.77590000000000003</v>
      </c>
      <c r="CZ132" s="592">
        <v>0.75960000000000005</v>
      </c>
      <c r="DA132" s="592">
        <v>0.74739999999999995</v>
      </c>
    </row>
    <row r="133" spans="1:105" x14ac:dyDescent="0.25">
      <c r="A133" s="36" t="s">
        <v>201</v>
      </c>
      <c r="B133" s="134" t="s">
        <v>200</v>
      </c>
      <c r="C133" s="134" t="s">
        <v>567</v>
      </c>
      <c r="D133" s="134" t="s">
        <v>417</v>
      </c>
      <c r="E133" s="134" t="s">
        <v>787</v>
      </c>
      <c r="F133" s="730" t="s">
        <v>219</v>
      </c>
      <c r="G133" s="165" t="s">
        <v>405</v>
      </c>
      <c r="H133" s="166">
        <v>38</v>
      </c>
      <c r="I133" s="166">
        <v>37</v>
      </c>
      <c r="J133" s="166">
        <v>0.67190000000000005</v>
      </c>
      <c r="K133" s="166">
        <v>0.71140000000000003</v>
      </c>
      <c r="L133" s="166">
        <v>0.69420000000000004</v>
      </c>
      <c r="M133" s="166">
        <v>0.71079999999999999</v>
      </c>
      <c r="N133" s="166">
        <v>0.68140000000000001</v>
      </c>
      <c r="O133" s="166">
        <v>0.69589999999999996</v>
      </c>
      <c r="P133" s="634" t="s">
        <v>405</v>
      </c>
      <c r="Q133" s="166" t="s">
        <v>794</v>
      </c>
      <c r="R133" s="166" t="s">
        <v>840</v>
      </c>
      <c r="S133" s="166">
        <v>0.69140000000000001</v>
      </c>
      <c r="T133" s="166">
        <v>0.71</v>
      </c>
      <c r="U133" s="166">
        <v>0.70050000000000001</v>
      </c>
      <c r="V133" s="166">
        <v>0.70540000000000003</v>
      </c>
      <c r="W133" s="166">
        <v>0.69069999999999998</v>
      </c>
      <c r="X133" s="166">
        <v>0.70099999999999996</v>
      </c>
      <c r="Y133" s="138" t="s">
        <v>405</v>
      </c>
      <c r="Z133" s="134" t="s">
        <v>661</v>
      </c>
      <c r="AA133" s="134" t="s">
        <v>265</v>
      </c>
      <c r="AB133" s="137">
        <v>0.70530000000000004</v>
      </c>
      <c r="AC133" s="137">
        <v>0.72640000000000005</v>
      </c>
      <c r="AD133" s="137">
        <v>0.7077</v>
      </c>
      <c r="AE133" s="137">
        <v>0.72589999999999999</v>
      </c>
      <c r="AF133" s="137">
        <v>0.70860000000000001</v>
      </c>
      <c r="AG133" s="137">
        <v>0.7157</v>
      </c>
      <c r="AH133" s="158" t="s">
        <v>404</v>
      </c>
      <c r="AI133" s="134" t="s">
        <v>588</v>
      </c>
      <c r="AJ133" s="134" t="s">
        <v>589</v>
      </c>
      <c r="AK133" s="137">
        <v>0.72330000000000005</v>
      </c>
      <c r="AL133" s="137">
        <v>0.73829999999999996</v>
      </c>
      <c r="AM133" s="137">
        <v>0.72650000000000003</v>
      </c>
      <c r="AN133" s="137">
        <v>0.748</v>
      </c>
      <c r="AO133" s="137">
        <v>0.71830000000000005</v>
      </c>
      <c r="AP133" s="137">
        <v>0.73280000000000001</v>
      </c>
      <c r="AQ133" s="150" t="s">
        <v>404</v>
      </c>
      <c r="AR133" s="134" t="s">
        <v>441</v>
      </c>
      <c r="AS133" s="134" t="s">
        <v>442</v>
      </c>
      <c r="AT133" s="137">
        <v>0.73719999999999997</v>
      </c>
      <c r="AU133" s="137">
        <v>0.74050000000000005</v>
      </c>
      <c r="AV133" s="137">
        <v>0.73719999999999997</v>
      </c>
      <c r="AW133" s="137">
        <v>0.76529999999999998</v>
      </c>
      <c r="AX133" s="137">
        <v>0.73089999999999999</v>
      </c>
      <c r="AY133" s="137">
        <v>0.74399999999999999</v>
      </c>
      <c r="AZ133" s="145" t="s">
        <v>404</v>
      </c>
      <c r="BA133" s="134" t="s">
        <v>747</v>
      </c>
      <c r="BB133" s="134" t="s">
        <v>748</v>
      </c>
      <c r="BC133" s="137">
        <v>0.75029999999999997</v>
      </c>
      <c r="BD133" s="137">
        <v>0.73619999999999997</v>
      </c>
      <c r="BE133" s="137">
        <v>0.74550000000000005</v>
      </c>
      <c r="BF133" s="137">
        <v>0.77300000000000002</v>
      </c>
      <c r="BG133" s="137">
        <v>0.73650000000000004</v>
      </c>
      <c r="BH133" s="137">
        <v>0.75009999999999999</v>
      </c>
      <c r="BI133" s="149" t="s">
        <v>404</v>
      </c>
      <c r="BJ133" s="152">
        <v>321</v>
      </c>
      <c r="BK133" s="152">
        <v>320</v>
      </c>
      <c r="BL133" s="137">
        <v>0.7621</v>
      </c>
      <c r="BM133" s="137">
        <v>0.73760000000000003</v>
      </c>
      <c r="BN133" s="137">
        <v>0.74819999999999998</v>
      </c>
      <c r="BO133" s="137">
        <v>0.77429999999999999</v>
      </c>
      <c r="BP133" s="137">
        <v>0.73099999999999998</v>
      </c>
      <c r="BQ133" s="137">
        <v>0.75360000000000005</v>
      </c>
      <c r="BR133" s="283" t="s">
        <v>404</v>
      </c>
      <c r="BS133" s="272">
        <v>313</v>
      </c>
      <c r="BT133" s="272">
        <v>313</v>
      </c>
      <c r="BU133" s="272">
        <v>0.76670000000000005</v>
      </c>
      <c r="BV133" s="272">
        <v>0.74099999999999999</v>
      </c>
      <c r="BW133" s="272">
        <v>0.74739999999999995</v>
      </c>
      <c r="BX133" s="272">
        <v>0.78100000000000003</v>
      </c>
      <c r="BY133" s="272">
        <v>0.73970000000000002</v>
      </c>
      <c r="BZ133" s="272">
        <v>0.75749999999999995</v>
      </c>
      <c r="CA133" s="366" t="s">
        <v>404</v>
      </c>
      <c r="CB133" s="357" t="s">
        <v>614</v>
      </c>
      <c r="CC133" s="357" t="s">
        <v>778</v>
      </c>
      <c r="CD133" s="357">
        <v>0.77339999999999998</v>
      </c>
      <c r="CE133" s="357">
        <v>0.75009999999999999</v>
      </c>
      <c r="CF133" s="357">
        <v>0.755</v>
      </c>
      <c r="CG133" s="357">
        <v>0.78849999999999998</v>
      </c>
      <c r="CH133" s="357">
        <v>0.746</v>
      </c>
      <c r="CI133" s="570">
        <v>0.76519999999999999</v>
      </c>
      <c r="CJ133" s="727" t="s">
        <v>404</v>
      </c>
      <c r="CK133" s="626">
        <v>329</v>
      </c>
      <c r="CL133" s="626">
        <v>325</v>
      </c>
      <c r="CM133" s="626">
        <v>0.76090000000000002</v>
      </c>
      <c r="CN133" s="626">
        <v>0.74060000000000004</v>
      </c>
      <c r="CO133" s="626">
        <v>0.74470000000000003</v>
      </c>
      <c r="CP133" s="626">
        <v>0.78349999999999997</v>
      </c>
      <c r="CQ133" s="626">
        <v>0.76329999999999998</v>
      </c>
      <c r="CR133" s="721">
        <v>0.75790000000000002</v>
      </c>
      <c r="CS133" s="572" t="s">
        <v>404</v>
      </c>
      <c r="CT133" s="607">
        <v>347</v>
      </c>
      <c r="CU133" s="607">
        <v>342</v>
      </c>
      <c r="CV133" s="592">
        <v>0.77029999999999998</v>
      </c>
      <c r="CW133" s="592">
        <v>0.74960000000000004</v>
      </c>
      <c r="CX133" s="592">
        <v>0.74739999999999995</v>
      </c>
      <c r="CY133" s="592">
        <v>0.78300000000000003</v>
      </c>
      <c r="CZ133" s="592">
        <v>0.76400000000000001</v>
      </c>
      <c r="DA133" s="592">
        <v>0.76270000000000004</v>
      </c>
    </row>
    <row r="134" spans="1:105" x14ac:dyDescent="0.25">
      <c r="A134" s="36" t="s">
        <v>213</v>
      </c>
      <c r="B134" s="134" t="s">
        <v>212</v>
      </c>
      <c r="C134" s="134" t="s">
        <v>567</v>
      </c>
      <c r="D134" s="134" t="s">
        <v>417</v>
      </c>
      <c r="E134" s="134" t="s">
        <v>787</v>
      </c>
      <c r="F134" s="134" t="s">
        <v>221</v>
      </c>
      <c r="G134" s="134"/>
      <c r="H134" s="134"/>
      <c r="I134" s="134"/>
      <c r="J134" s="134"/>
      <c r="K134" s="134"/>
      <c r="L134" s="134"/>
      <c r="M134" s="134"/>
      <c r="N134" s="134"/>
      <c r="O134" s="134"/>
      <c r="P134" s="568"/>
      <c r="Q134" s="568"/>
      <c r="R134" s="568"/>
      <c r="S134" s="568"/>
      <c r="T134" s="568"/>
      <c r="U134" s="568"/>
      <c r="V134" s="568"/>
      <c r="W134" s="568"/>
      <c r="X134" s="568"/>
      <c r="Y134" s="145" t="s">
        <v>404</v>
      </c>
      <c r="Z134" s="134" t="s">
        <v>543</v>
      </c>
      <c r="AA134" s="134" t="s">
        <v>543</v>
      </c>
      <c r="AB134" s="137">
        <v>0.74919999999999998</v>
      </c>
      <c r="AC134" s="137">
        <v>0.7772</v>
      </c>
      <c r="AD134" s="137">
        <v>0.74929999999999997</v>
      </c>
      <c r="AE134" s="137">
        <v>0.76480000000000004</v>
      </c>
      <c r="AF134" s="137">
        <v>0.85799999999999998</v>
      </c>
      <c r="AG134" s="137">
        <v>0.76770000000000005</v>
      </c>
      <c r="AH134" s="160" t="s">
        <v>403</v>
      </c>
      <c r="AI134" s="134" t="s">
        <v>533</v>
      </c>
      <c r="AJ134" s="134" t="s">
        <v>533</v>
      </c>
      <c r="AK134" s="137">
        <v>0.75609999999999999</v>
      </c>
      <c r="AL134" s="137">
        <v>0.78790000000000004</v>
      </c>
      <c r="AM134" s="137">
        <v>0.76800000000000002</v>
      </c>
      <c r="AN134" s="137">
        <v>0.78259999999999996</v>
      </c>
      <c r="AO134" s="137">
        <v>0.85160000000000002</v>
      </c>
      <c r="AP134" s="137">
        <v>0.77969999999999995</v>
      </c>
      <c r="AQ134" s="148" t="s">
        <v>403</v>
      </c>
      <c r="AR134" s="134" t="s">
        <v>423</v>
      </c>
      <c r="AS134" s="134" t="s">
        <v>424</v>
      </c>
      <c r="AT134" s="137">
        <v>0.76559999999999995</v>
      </c>
      <c r="AU134" s="137">
        <v>0.77580000000000005</v>
      </c>
      <c r="AV134" s="137">
        <v>0.76500000000000001</v>
      </c>
      <c r="AW134" s="137">
        <v>0.78859999999999997</v>
      </c>
      <c r="AX134" s="137">
        <v>0.84240000000000004</v>
      </c>
      <c r="AY134" s="137">
        <v>0.77900000000000003</v>
      </c>
      <c r="AZ134" s="147" t="s">
        <v>403</v>
      </c>
      <c r="BA134" s="134" t="s">
        <v>583</v>
      </c>
      <c r="BB134" s="134" t="s">
        <v>423</v>
      </c>
      <c r="BC134" s="137">
        <v>0.78139999999999998</v>
      </c>
      <c r="BD134" s="137">
        <v>0.76659999999999995</v>
      </c>
      <c r="BE134" s="137">
        <v>0.75070000000000003</v>
      </c>
      <c r="BF134" s="137">
        <v>0.79269999999999996</v>
      </c>
      <c r="BG134" s="137">
        <v>0.8286</v>
      </c>
      <c r="BH134" s="137">
        <v>0.77710000000000001</v>
      </c>
      <c r="BI134" s="149" t="s">
        <v>404</v>
      </c>
      <c r="BJ134" s="152">
        <v>99</v>
      </c>
      <c r="BK134" s="152">
        <v>98</v>
      </c>
      <c r="BL134" s="137">
        <v>0.78449999999999998</v>
      </c>
      <c r="BM134" s="137">
        <v>0.74709999999999999</v>
      </c>
      <c r="BN134" s="137">
        <v>0.73470000000000002</v>
      </c>
      <c r="BO134" s="137">
        <v>0.77790000000000004</v>
      </c>
      <c r="BP134" s="137">
        <v>0.78069999999999995</v>
      </c>
      <c r="BQ134" s="137">
        <v>0.76259999999999994</v>
      </c>
      <c r="BR134" s="283" t="s">
        <v>404</v>
      </c>
      <c r="BS134" s="272">
        <v>106</v>
      </c>
      <c r="BT134" s="272">
        <v>106</v>
      </c>
      <c r="BU134" s="272">
        <v>0.77480000000000004</v>
      </c>
      <c r="BV134" s="272">
        <v>0.73599999999999999</v>
      </c>
      <c r="BW134" s="272">
        <v>0.71850000000000003</v>
      </c>
      <c r="BX134" s="272">
        <v>0.7722</v>
      </c>
      <c r="BY134" s="272">
        <v>0.78420000000000001</v>
      </c>
      <c r="BZ134" s="272">
        <v>0.753</v>
      </c>
      <c r="CA134" s="366" t="s">
        <v>404</v>
      </c>
      <c r="CB134" s="357" t="s">
        <v>440</v>
      </c>
      <c r="CC134" s="357" t="s">
        <v>440</v>
      </c>
      <c r="CD134" s="357">
        <v>0.76690000000000003</v>
      </c>
      <c r="CE134" s="357">
        <v>0.7369</v>
      </c>
      <c r="CF134" s="357">
        <v>0.73340000000000005</v>
      </c>
      <c r="CG134" s="357">
        <v>0.77639999999999998</v>
      </c>
      <c r="CH134" s="357">
        <v>0.79359999999999997</v>
      </c>
      <c r="CI134" s="570">
        <v>0.75649999999999995</v>
      </c>
      <c r="CJ134" s="727" t="s">
        <v>404</v>
      </c>
      <c r="CK134" s="626">
        <v>156</v>
      </c>
      <c r="CL134" s="626">
        <v>155</v>
      </c>
      <c r="CM134" s="626">
        <v>0.76819999999999999</v>
      </c>
      <c r="CN134" s="626">
        <v>0.75380000000000003</v>
      </c>
      <c r="CO134" s="626">
        <v>0.74329999999999996</v>
      </c>
      <c r="CP134" s="626">
        <v>0.78820000000000001</v>
      </c>
      <c r="CQ134" s="626">
        <v>0.82410000000000005</v>
      </c>
      <c r="CR134" s="721">
        <v>0.76800000000000002</v>
      </c>
      <c r="CS134" s="572" t="s">
        <v>403</v>
      </c>
      <c r="CT134" s="607">
        <v>200</v>
      </c>
      <c r="CU134" s="607">
        <v>198</v>
      </c>
      <c r="CV134" s="592">
        <v>0.78</v>
      </c>
      <c r="CW134" s="592">
        <v>0.76649999999999996</v>
      </c>
      <c r="CX134" s="592">
        <v>0.75390000000000001</v>
      </c>
      <c r="CY134" s="592">
        <v>0.79169999999999996</v>
      </c>
      <c r="CZ134" s="592">
        <v>0.8347</v>
      </c>
      <c r="DA134" s="592">
        <v>0.77780000000000005</v>
      </c>
    </row>
    <row r="135" spans="1:105" x14ac:dyDescent="0.25">
      <c r="A135" s="36" t="s">
        <v>176</v>
      </c>
      <c r="B135" s="134" t="s">
        <v>175</v>
      </c>
      <c r="C135" s="134" t="s">
        <v>567</v>
      </c>
      <c r="D135" s="134" t="s">
        <v>417</v>
      </c>
      <c r="E135" s="134" t="s">
        <v>787</v>
      </c>
      <c r="F135" s="134" t="s">
        <v>221</v>
      </c>
      <c r="G135" s="168" t="s">
        <v>404</v>
      </c>
      <c r="H135" s="166">
        <v>76</v>
      </c>
      <c r="I135" s="166">
        <v>76</v>
      </c>
      <c r="J135" s="166">
        <v>0.72330000000000005</v>
      </c>
      <c r="K135" s="166">
        <v>0.74009999999999998</v>
      </c>
      <c r="L135" s="166">
        <v>0.75419999999999998</v>
      </c>
      <c r="M135" s="166">
        <v>0.77</v>
      </c>
      <c r="N135" s="166">
        <v>0.77059999999999995</v>
      </c>
      <c r="O135" s="166">
        <v>0.74870000000000003</v>
      </c>
      <c r="P135" s="168" t="s">
        <v>404</v>
      </c>
      <c r="Q135" s="166" t="s">
        <v>547</v>
      </c>
      <c r="R135" s="166" t="s">
        <v>647</v>
      </c>
      <c r="S135" s="166">
        <v>0.71760000000000002</v>
      </c>
      <c r="T135" s="166">
        <v>0.73909999999999998</v>
      </c>
      <c r="U135" s="166">
        <v>0.75080000000000002</v>
      </c>
      <c r="V135" s="166">
        <v>0.75170000000000003</v>
      </c>
      <c r="W135" s="166">
        <v>0.76859999999999995</v>
      </c>
      <c r="X135" s="166">
        <v>0.74199999999999999</v>
      </c>
      <c r="Y135" s="145" t="s">
        <v>404</v>
      </c>
      <c r="Z135" s="134" t="s">
        <v>547</v>
      </c>
      <c r="AA135" s="134" t="s">
        <v>647</v>
      </c>
      <c r="AB135" s="137">
        <v>0.71519999999999995</v>
      </c>
      <c r="AC135" s="137">
        <v>0.73870000000000002</v>
      </c>
      <c r="AD135" s="137">
        <v>0.74319999999999997</v>
      </c>
      <c r="AE135" s="137">
        <v>0.74299999999999999</v>
      </c>
      <c r="AF135" s="137">
        <v>0.76770000000000005</v>
      </c>
      <c r="AG135" s="137">
        <v>0.73750000000000004</v>
      </c>
      <c r="AH135" s="161" t="s">
        <v>404</v>
      </c>
      <c r="AI135" s="134" t="s">
        <v>582</v>
      </c>
      <c r="AJ135" s="134" t="s">
        <v>547</v>
      </c>
      <c r="AK135" s="137">
        <v>0.72040000000000004</v>
      </c>
      <c r="AL135" s="137">
        <v>0.73960000000000004</v>
      </c>
      <c r="AM135" s="137">
        <v>0.74560000000000004</v>
      </c>
      <c r="AN135" s="137">
        <v>0.75190000000000001</v>
      </c>
      <c r="AO135" s="137">
        <v>0.76839999999999997</v>
      </c>
      <c r="AP135" s="137">
        <v>0.74160000000000004</v>
      </c>
      <c r="AQ135" s="150" t="s">
        <v>404</v>
      </c>
      <c r="AR135" s="134" t="s">
        <v>439</v>
      </c>
      <c r="AS135" s="134" t="s">
        <v>439</v>
      </c>
      <c r="AT135" s="137">
        <v>0.72719999999999996</v>
      </c>
      <c r="AU135" s="137">
        <v>0.74780000000000002</v>
      </c>
      <c r="AV135" s="137">
        <v>0.74719999999999998</v>
      </c>
      <c r="AW135" s="137">
        <v>0.77149999999999996</v>
      </c>
      <c r="AX135" s="137">
        <v>0.77890000000000004</v>
      </c>
      <c r="AY135" s="137">
        <v>0.75080000000000002</v>
      </c>
      <c r="AZ135" s="145" t="s">
        <v>404</v>
      </c>
      <c r="BA135" s="134" t="s">
        <v>678</v>
      </c>
      <c r="BB135" s="134" t="s">
        <v>575</v>
      </c>
      <c r="BC135" s="137">
        <v>0.73960000000000004</v>
      </c>
      <c r="BD135" s="137">
        <v>0.74219999999999997</v>
      </c>
      <c r="BE135" s="137">
        <v>0.74990000000000001</v>
      </c>
      <c r="BF135" s="137">
        <v>0.78120000000000001</v>
      </c>
      <c r="BG135" s="137">
        <v>0.80049999999999999</v>
      </c>
      <c r="BH135" s="137">
        <v>0.75690000000000002</v>
      </c>
      <c r="BI135" s="149" t="s">
        <v>404</v>
      </c>
      <c r="BJ135" s="152">
        <v>59</v>
      </c>
      <c r="BK135" s="152">
        <v>58</v>
      </c>
      <c r="BL135" s="137">
        <v>0.75570000000000004</v>
      </c>
      <c r="BM135" s="137">
        <v>0.75170000000000003</v>
      </c>
      <c r="BN135" s="137">
        <v>0.75780000000000003</v>
      </c>
      <c r="BO135" s="137">
        <v>0.77310000000000001</v>
      </c>
      <c r="BP135" s="137">
        <v>0.81740000000000002</v>
      </c>
      <c r="BQ135" s="137">
        <v>0.76400000000000001</v>
      </c>
      <c r="BR135" s="283" t="s">
        <v>404</v>
      </c>
      <c r="BS135" s="272">
        <v>55</v>
      </c>
      <c r="BT135" s="272">
        <v>55</v>
      </c>
      <c r="BU135" s="272">
        <v>0.76019999999999999</v>
      </c>
      <c r="BV135" s="272">
        <v>0.73939999999999995</v>
      </c>
      <c r="BW135" s="272">
        <v>0.74629999999999996</v>
      </c>
      <c r="BX135" s="272">
        <v>0.7591</v>
      </c>
      <c r="BY135" s="272">
        <v>0.81459999999999999</v>
      </c>
      <c r="BZ135" s="272">
        <v>0.75609999999999999</v>
      </c>
      <c r="CA135" s="360" t="s">
        <v>403</v>
      </c>
      <c r="CB135" s="357" t="s">
        <v>575</v>
      </c>
      <c r="CC135" s="357" t="s">
        <v>575</v>
      </c>
      <c r="CD135" s="357">
        <v>0.77759999999999996</v>
      </c>
      <c r="CE135" s="357">
        <v>0.75539999999999996</v>
      </c>
      <c r="CF135" s="357">
        <v>0.76559999999999995</v>
      </c>
      <c r="CG135" s="357">
        <v>0.78359999999999996</v>
      </c>
      <c r="CH135" s="357">
        <v>0.80789999999999995</v>
      </c>
      <c r="CI135" s="570">
        <v>0.77339999999999998</v>
      </c>
      <c r="CJ135" s="727" t="s">
        <v>404</v>
      </c>
      <c r="CK135" s="626">
        <v>87</v>
      </c>
      <c r="CL135" s="626">
        <v>87</v>
      </c>
      <c r="CM135" s="626">
        <v>0.76870000000000005</v>
      </c>
      <c r="CN135" s="626">
        <v>0.745</v>
      </c>
      <c r="CO135" s="626">
        <v>0.74280000000000002</v>
      </c>
      <c r="CP135" s="626">
        <v>0.7893</v>
      </c>
      <c r="CQ135" s="626">
        <v>0.80420000000000003</v>
      </c>
      <c r="CR135" s="721">
        <v>0.76480000000000004</v>
      </c>
      <c r="CS135" s="572" t="s">
        <v>403</v>
      </c>
      <c r="CT135" s="607">
        <v>95</v>
      </c>
      <c r="CU135" s="607">
        <v>95</v>
      </c>
      <c r="CV135" s="592">
        <v>0.77410000000000001</v>
      </c>
      <c r="CW135" s="592">
        <v>0.75339999999999996</v>
      </c>
      <c r="CX135" s="592">
        <v>0.74639999999999995</v>
      </c>
      <c r="CY135" s="592">
        <v>0.79849999999999999</v>
      </c>
      <c r="CZ135" s="592">
        <v>0.80640000000000001</v>
      </c>
      <c r="DA135" s="592">
        <v>0.77110000000000001</v>
      </c>
    </row>
    <row r="136" spans="1:105" x14ac:dyDescent="0.25">
      <c r="A136" s="36" t="s">
        <v>285</v>
      </c>
      <c r="B136" s="134" t="s">
        <v>78</v>
      </c>
      <c r="C136" s="134" t="s">
        <v>567</v>
      </c>
      <c r="D136" s="134" t="s">
        <v>417</v>
      </c>
      <c r="E136" s="134" t="s">
        <v>787</v>
      </c>
      <c r="F136" s="134" t="s">
        <v>221</v>
      </c>
      <c r="G136" s="169" t="s">
        <v>557</v>
      </c>
      <c r="H136" s="166">
        <v>37</v>
      </c>
      <c r="I136" s="166">
        <v>34</v>
      </c>
      <c r="J136" s="166">
        <v>0.5907</v>
      </c>
      <c r="K136" s="166">
        <v>0.59370000000000001</v>
      </c>
      <c r="L136" s="166">
        <v>0.62860000000000005</v>
      </c>
      <c r="M136" s="166">
        <v>0.61719999999999997</v>
      </c>
      <c r="N136" s="166">
        <v>0.61809999999999998</v>
      </c>
      <c r="O136" s="166">
        <v>0.60840000000000005</v>
      </c>
      <c r="P136" s="175" t="s">
        <v>541</v>
      </c>
      <c r="Q136" s="174" t="s">
        <v>479</v>
      </c>
      <c r="R136" s="174" t="s">
        <v>552</v>
      </c>
      <c r="S136" s="174">
        <v>0.6079</v>
      </c>
      <c r="T136" s="174">
        <v>0.61980000000000002</v>
      </c>
      <c r="U136" s="174">
        <v>0.64890000000000003</v>
      </c>
      <c r="V136" s="174">
        <v>0.64829999999999999</v>
      </c>
      <c r="W136" s="174">
        <v>0.62170000000000003</v>
      </c>
      <c r="X136" s="174">
        <v>0.63049999999999995</v>
      </c>
      <c r="Y136" s="134"/>
      <c r="Z136" s="134"/>
      <c r="AA136" s="134"/>
      <c r="AB136" s="137"/>
      <c r="AC136" s="137"/>
      <c r="AD136" s="137"/>
      <c r="AE136" s="137"/>
      <c r="AF136" s="137"/>
      <c r="AG136" s="137"/>
      <c r="AH136" s="162"/>
      <c r="AI136" s="134"/>
      <c r="AJ136" s="134"/>
      <c r="AK136" s="137"/>
      <c r="AL136" s="137"/>
      <c r="AM136" s="137"/>
      <c r="AN136" s="137"/>
      <c r="AO136" s="137"/>
      <c r="AP136" s="137"/>
      <c r="AQ136" s="134"/>
      <c r="AR136" s="134"/>
      <c r="AS136" s="134"/>
      <c r="AT136" s="137"/>
      <c r="AU136" s="137"/>
      <c r="AV136" s="137"/>
      <c r="AW136" s="137"/>
      <c r="AX136" s="137"/>
      <c r="AY136" s="137"/>
      <c r="AZ136" s="134"/>
      <c r="BA136" s="134"/>
      <c r="BB136" s="134"/>
      <c r="BC136" s="137"/>
      <c r="BD136" s="137"/>
      <c r="BE136" s="137"/>
      <c r="BF136" s="137"/>
      <c r="BG136" s="137"/>
      <c r="BH136" s="137"/>
      <c r="BI136" s="151" t="s">
        <v>557</v>
      </c>
      <c r="BJ136" s="152">
        <v>18</v>
      </c>
      <c r="BK136" s="152">
        <v>18</v>
      </c>
      <c r="BL136" s="137">
        <v>0.60750000000000004</v>
      </c>
      <c r="BM136" s="137">
        <v>0.5696</v>
      </c>
      <c r="BN136" s="137">
        <v>0.54020000000000001</v>
      </c>
      <c r="BO136" s="137">
        <v>0.62419999999999998</v>
      </c>
      <c r="BP136" s="137">
        <v>0.61150000000000004</v>
      </c>
      <c r="BQ136" s="137">
        <v>0.58740000000000003</v>
      </c>
      <c r="BR136" s="280" t="s">
        <v>557</v>
      </c>
      <c r="BS136" s="272">
        <v>22</v>
      </c>
      <c r="BT136" s="272">
        <v>21</v>
      </c>
      <c r="BU136" s="272">
        <v>0.58220000000000005</v>
      </c>
      <c r="BV136" s="272">
        <v>0.57840000000000003</v>
      </c>
      <c r="BW136" s="272">
        <v>0.5504</v>
      </c>
      <c r="BX136" s="272">
        <v>0.64049999999999996</v>
      </c>
      <c r="BY136" s="272">
        <v>0.62890000000000001</v>
      </c>
      <c r="BZ136" s="272">
        <v>0.59099999999999997</v>
      </c>
      <c r="CA136" s="356" t="s">
        <v>557</v>
      </c>
      <c r="CB136" s="357" t="s">
        <v>556</v>
      </c>
      <c r="CC136" s="357" t="s">
        <v>795</v>
      </c>
      <c r="CD136" s="357">
        <v>0.61219999999999997</v>
      </c>
      <c r="CE136" s="357">
        <v>0.60599999999999998</v>
      </c>
      <c r="CF136" s="357">
        <v>0.58499999999999996</v>
      </c>
      <c r="CG136" s="357">
        <v>0.65790000000000004</v>
      </c>
      <c r="CH136" s="357">
        <v>0.63880000000000003</v>
      </c>
      <c r="CI136" s="570">
        <v>0.61709999999999998</v>
      </c>
      <c r="CJ136" s="728" t="s">
        <v>541</v>
      </c>
      <c r="CK136" s="626">
        <v>33</v>
      </c>
      <c r="CL136" s="626">
        <v>32</v>
      </c>
      <c r="CM136" s="626">
        <v>0.64639999999999997</v>
      </c>
      <c r="CN136" s="626">
        <v>0.61350000000000005</v>
      </c>
      <c r="CO136" s="626">
        <v>0.60799999999999998</v>
      </c>
      <c r="CP136" s="626">
        <v>0.66679999999999995</v>
      </c>
      <c r="CQ136" s="626">
        <v>0.63880000000000003</v>
      </c>
      <c r="CR136" s="721">
        <v>0.6341</v>
      </c>
      <c r="CS136" s="572" t="s">
        <v>541</v>
      </c>
      <c r="CT136" s="607">
        <v>38</v>
      </c>
      <c r="CU136" s="607">
        <v>37</v>
      </c>
      <c r="CV136" s="592">
        <v>0.67989999999999995</v>
      </c>
      <c r="CW136" s="592">
        <v>0.61899999999999999</v>
      </c>
      <c r="CX136" s="592">
        <v>0.62939999999999996</v>
      </c>
      <c r="CY136" s="592">
        <v>0.68410000000000004</v>
      </c>
      <c r="CZ136" s="592">
        <v>0.6633</v>
      </c>
      <c r="DA136" s="592">
        <v>0.65390000000000004</v>
      </c>
    </row>
    <row r="137" spans="1:105" x14ac:dyDescent="0.25">
      <c r="A137" s="36" t="s">
        <v>71</v>
      </c>
      <c r="B137" s="134" t="s">
        <v>70</v>
      </c>
      <c r="C137" s="134" t="s">
        <v>567</v>
      </c>
      <c r="D137" s="134" t="s">
        <v>417</v>
      </c>
      <c r="E137" s="134" t="s">
        <v>787</v>
      </c>
      <c r="F137" s="134" t="s">
        <v>221</v>
      </c>
      <c r="G137" s="165" t="s">
        <v>405</v>
      </c>
      <c r="H137" s="166">
        <v>136</v>
      </c>
      <c r="I137" s="166">
        <v>134</v>
      </c>
      <c r="J137" s="166">
        <v>0.70189999999999997</v>
      </c>
      <c r="K137" s="166">
        <v>0.70279999999999998</v>
      </c>
      <c r="L137" s="166">
        <v>0.72060000000000002</v>
      </c>
      <c r="M137" s="166">
        <v>0.72030000000000005</v>
      </c>
      <c r="N137" s="166">
        <v>0.7</v>
      </c>
      <c r="O137" s="166">
        <v>0.71050000000000002</v>
      </c>
      <c r="P137" s="173" t="s">
        <v>405</v>
      </c>
      <c r="Q137" s="174" t="s">
        <v>841</v>
      </c>
      <c r="R137" s="174" t="s">
        <v>709</v>
      </c>
      <c r="S137" s="174">
        <v>0.70230000000000004</v>
      </c>
      <c r="T137" s="174">
        <v>0.69399999999999995</v>
      </c>
      <c r="U137" s="174">
        <v>0.71060000000000001</v>
      </c>
      <c r="V137" s="174">
        <v>0.71060000000000001</v>
      </c>
      <c r="W137" s="174">
        <v>0.69740000000000002</v>
      </c>
      <c r="X137" s="174">
        <v>0.70389999999999997</v>
      </c>
      <c r="Y137" s="138" t="s">
        <v>405</v>
      </c>
      <c r="Z137" s="134" t="s">
        <v>660</v>
      </c>
      <c r="AA137" s="134" t="s">
        <v>431</v>
      </c>
      <c r="AB137" s="137">
        <v>0.71689999999999998</v>
      </c>
      <c r="AC137" s="137">
        <v>0.71609999999999996</v>
      </c>
      <c r="AD137" s="137">
        <v>0.71789999999999998</v>
      </c>
      <c r="AE137" s="137">
        <v>0.72270000000000001</v>
      </c>
      <c r="AF137" s="137">
        <v>0.71779999999999999</v>
      </c>
      <c r="AG137" s="137">
        <v>0.71840000000000004</v>
      </c>
      <c r="AH137" s="161" t="s">
        <v>404</v>
      </c>
      <c r="AI137" s="134" t="s">
        <v>594</v>
      </c>
      <c r="AJ137" s="134" t="s">
        <v>594</v>
      </c>
      <c r="AK137" s="137">
        <v>0.72989999999999999</v>
      </c>
      <c r="AL137" s="137">
        <v>0.72219999999999995</v>
      </c>
      <c r="AM137" s="137">
        <v>0.72250000000000003</v>
      </c>
      <c r="AN137" s="137">
        <v>0.73609999999999998</v>
      </c>
      <c r="AO137" s="137">
        <v>0.72629999999999995</v>
      </c>
      <c r="AP137" s="137">
        <v>0.72760000000000002</v>
      </c>
      <c r="AQ137" s="150" t="s">
        <v>404</v>
      </c>
      <c r="AR137" s="134" t="s">
        <v>453</v>
      </c>
      <c r="AS137" s="134" t="s">
        <v>454</v>
      </c>
      <c r="AT137" s="137">
        <v>0.73740000000000006</v>
      </c>
      <c r="AU137" s="137">
        <v>0.73099999999999998</v>
      </c>
      <c r="AV137" s="137">
        <v>0.72760000000000002</v>
      </c>
      <c r="AW137" s="137">
        <v>0.74939999999999996</v>
      </c>
      <c r="AX137" s="137">
        <v>0.73860000000000003</v>
      </c>
      <c r="AY137" s="137">
        <v>0.73650000000000004</v>
      </c>
      <c r="AZ137" s="145" t="s">
        <v>404</v>
      </c>
      <c r="BA137" s="134" t="s">
        <v>482</v>
      </c>
      <c r="BB137" s="134" t="s">
        <v>750</v>
      </c>
      <c r="BC137" s="137">
        <v>0.73860000000000003</v>
      </c>
      <c r="BD137" s="137">
        <v>0.71609999999999996</v>
      </c>
      <c r="BE137" s="137">
        <v>0.70860000000000001</v>
      </c>
      <c r="BF137" s="137">
        <v>0.75329999999999997</v>
      </c>
      <c r="BG137" s="137">
        <v>0.74070000000000003</v>
      </c>
      <c r="BH137" s="137">
        <v>0.73</v>
      </c>
      <c r="BI137" s="149" t="s">
        <v>404</v>
      </c>
      <c r="BJ137" s="152">
        <v>247</v>
      </c>
      <c r="BK137" s="152">
        <v>246</v>
      </c>
      <c r="BL137" s="137">
        <v>0.73729999999999996</v>
      </c>
      <c r="BM137" s="137">
        <v>0.71</v>
      </c>
      <c r="BN137" s="137">
        <v>0.70420000000000005</v>
      </c>
      <c r="BO137" s="137">
        <v>0.74880000000000002</v>
      </c>
      <c r="BP137" s="137">
        <v>0.73560000000000003</v>
      </c>
      <c r="BQ137" s="137">
        <v>0.72589999999999999</v>
      </c>
      <c r="BR137" s="283" t="s">
        <v>404</v>
      </c>
      <c r="BS137" s="272">
        <v>283</v>
      </c>
      <c r="BT137" s="272">
        <v>282</v>
      </c>
      <c r="BU137" s="272">
        <v>0.73719999999999997</v>
      </c>
      <c r="BV137" s="272">
        <v>0.70669999999999999</v>
      </c>
      <c r="BW137" s="272">
        <v>0.70320000000000005</v>
      </c>
      <c r="BX137" s="272">
        <v>0.74629999999999996</v>
      </c>
      <c r="BY137" s="272">
        <v>0.73729999999999996</v>
      </c>
      <c r="BZ137" s="272">
        <v>0.72440000000000004</v>
      </c>
      <c r="CA137" s="366" t="s">
        <v>404</v>
      </c>
      <c r="CB137" s="357" t="s">
        <v>806</v>
      </c>
      <c r="CC137" s="357" t="s">
        <v>585</v>
      </c>
      <c r="CD137" s="357">
        <v>0.74170000000000003</v>
      </c>
      <c r="CE137" s="357">
        <v>0.70669999999999999</v>
      </c>
      <c r="CF137" s="357">
        <v>0.71850000000000003</v>
      </c>
      <c r="CG137" s="357">
        <v>0.74990000000000001</v>
      </c>
      <c r="CH137" s="357">
        <v>0.74460000000000004</v>
      </c>
      <c r="CI137" s="570">
        <v>0.73040000000000005</v>
      </c>
      <c r="CJ137" s="727" t="s">
        <v>404</v>
      </c>
      <c r="CK137" s="626">
        <v>317</v>
      </c>
      <c r="CL137" s="626">
        <v>316</v>
      </c>
      <c r="CM137" s="626">
        <v>0.74570000000000003</v>
      </c>
      <c r="CN137" s="626">
        <v>0.71030000000000004</v>
      </c>
      <c r="CO137" s="626">
        <v>0.71950000000000003</v>
      </c>
      <c r="CP137" s="626">
        <v>0.75700000000000001</v>
      </c>
      <c r="CQ137" s="626">
        <v>0.76019999999999999</v>
      </c>
      <c r="CR137" s="721">
        <v>0.73519999999999996</v>
      </c>
      <c r="CS137" s="572" t="s">
        <v>404</v>
      </c>
      <c r="CT137" s="607">
        <v>326</v>
      </c>
      <c r="CU137" s="607">
        <v>322</v>
      </c>
      <c r="CV137" s="592">
        <v>0.75780000000000003</v>
      </c>
      <c r="CW137" s="592">
        <v>0.71650000000000003</v>
      </c>
      <c r="CX137" s="592">
        <v>0.72799999999999998</v>
      </c>
      <c r="CY137" s="592">
        <v>0.76900000000000002</v>
      </c>
      <c r="CZ137" s="592">
        <v>0.76549999999999996</v>
      </c>
      <c r="DA137" s="592">
        <v>0.74460000000000004</v>
      </c>
    </row>
    <row r="138" spans="1:105" x14ac:dyDescent="0.25">
      <c r="A138" s="36" t="s">
        <v>207</v>
      </c>
      <c r="B138" s="134" t="s">
        <v>206</v>
      </c>
      <c r="C138" s="134" t="s">
        <v>567</v>
      </c>
      <c r="D138" s="134" t="s">
        <v>417</v>
      </c>
      <c r="E138" s="134" t="s">
        <v>787</v>
      </c>
      <c r="F138" s="134" t="s">
        <v>221</v>
      </c>
      <c r="G138" s="568"/>
      <c r="H138" s="741"/>
      <c r="I138" s="134"/>
      <c r="J138" s="134"/>
      <c r="K138" s="134"/>
      <c r="L138" s="134"/>
      <c r="M138" s="134"/>
      <c r="N138" s="134"/>
      <c r="O138" s="134"/>
      <c r="P138" s="173" t="s">
        <v>405</v>
      </c>
      <c r="Q138" s="174" t="s">
        <v>540</v>
      </c>
      <c r="R138" s="174" t="s">
        <v>662</v>
      </c>
      <c r="S138" s="174">
        <v>0.7228</v>
      </c>
      <c r="T138" s="174">
        <v>0.71050000000000002</v>
      </c>
      <c r="U138" s="174">
        <v>0.72650000000000003</v>
      </c>
      <c r="V138" s="174">
        <v>0.70479999999999998</v>
      </c>
      <c r="W138" s="174">
        <v>0.68810000000000004</v>
      </c>
      <c r="X138" s="174">
        <v>0.71399999999999997</v>
      </c>
      <c r="Y138" s="145" t="s">
        <v>404</v>
      </c>
      <c r="Z138" s="134" t="s">
        <v>641</v>
      </c>
      <c r="AA138" s="134" t="s">
        <v>649</v>
      </c>
      <c r="AB138" s="137">
        <v>0.73340000000000005</v>
      </c>
      <c r="AC138" s="137">
        <v>0.73509999999999998</v>
      </c>
      <c r="AD138" s="137">
        <v>0.73380000000000001</v>
      </c>
      <c r="AE138" s="137">
        <v>0.72250000000000003</v>
      </c>
      <c r="AF138" s="137">
        <v>0.72589999999999999</v>
      </c>
      <c r="AG138" s="137">
        <v>0.73080000000000001</v>
      </c>
      <c r="AH138" s="158" t="s">
        <v>404</v>
      </c>
      <c r="AI138" s="134" t="s">
        <v>552</v>
      </c>
      <c r="AJ138" s="134" t="s">
        <v>564</v>
      </c>
      <c r="AK138" s="137">
        <v>0.73870000000000002</v>
      </c>
      <c r="AL138" s="137">
        <v>0.73760000000000003</v>
      </c>
      <c r="AM138" s="137">
        <v>0.73950000000000005</v>
      </c>
      <c r="AN138" s="137">
        <v>0.73670000000000002</v>
      </c>
      <c r="AO138" s="137">
        <v>0.74170000000000003</v>
      </c>
      <c r="AP138" s="137">
        <v>0.73839999999999995</v>
      </c>
      <c r="AQ138" s="150" t="s">
        <v>404</v>
      </c>
      <c r="AR138" s="134" t="s">
        <v>433</v>
      </c>
      <c r="AS138" s="134" t="s">
        <v>444</v>
      </c>
      <c r="AT138" s="137">
        <v>0.74739999999999995</v>
      </c>
      <c r="AU138" s="137">
        <v>0.73580000000000001</v>
      </c>
      <c r="AV138" s="137">
        <v>0.72430000000000005</v>
      </c>
      <c r="AW138" s="137">
        <v>0.75109999999999999</v>
      </c>
      <c r="AX138" s="137">
        <v>0.77349999999999997</v>
      </c>
      <c r="AY138" s="137">
        <v>0.74219999999999997</v>
      </c>
      <c r="AZ138" s="145" t="s">
        <v>404</v>
      </c>
      <c r="BA138" s="134" t="s">
        <v>480</v>
      </c>
      <c r="BB138" s="134" t="s">
        <v>551</v>
      </c>
      <c r="BC138" s="137">
        <v>0.75580000000000003</v>
      </c>
      <c r="BD138" s="137">
        <v>0.72370000000000001</v>
      </c>
      <c r="BE138" s="137">
        <v>0.71040000000000003</v>
      </c>
      <c r="BF138" s="137">
        <v>0.75590000000000002</v>
      </c>
      <c r="BG138" s="137">
        <v>0.7702</v>
      </c>
      <c r="BH138" s="137">
        <v>0.73909999999999998</v>
      </c>
      <c r="BI138" s="149" t="s">
        <v>404</v>
      </c>
      <c r="BJ138" s="152">
        <v>51</v>
      </c>
      <c r="BK138" s="152">
        <v>49</v>
      </c>
      <c r="BL138" s="137">
        <v>0.74560000000000004</v>
      </c>
      <c r="BM138" s="137">
        <v>0.70760000000000001</v>
      </c>
      <c r="BN138" s="137">
        <v>0.69320000000000004</v>
      </c>
      <c r="BO138" s="137">
        <v>0.74329999999999996</v>
      </c>
      <c r="BP138" s="137">
        <v>0.73860000000000003</v>
      </c>
      <c r="BQ138" s="137">
        <v>0.72370000000000001</v>
      </c>
      <c r="BR138" s="283" t="s">
        <v>404</v>
      </c>
      <c r="BS138" s="272">
        <v>50</v>
      </c>
      <c r="BT138" s="272">
        <v>50</v>
      </c>
      <c r="BU138" s="272">
        <v>0.75739999999999996</v>
      </c>
      <c r="BV138" s="272">
        <v>0.71409999999999996</v>
      </c>
      <c r="BW138" s="272">
        <v>0.7147</v>
      </c>
      <c r="BX138" s="272">
        <v>0.74909999999999999</v>
      </c>
      <c r="BY138" s="272">
        <v>0.74070000000000003</v>
      </c>
      <c r="BZ138" s="272">
        <v>0.73429999999999995</v>
      </c>
      <c r="CA138" s="366" t="s">
        <v>404</v>
      </c>
      <c r="CB138" s="357" t="s">
        <v>463</v>
      </c>
      <c r="CC138" s="357" t="s">
        <v>463</v>
      </c>
      <c r="CD138" s="357">
        <v>0.74809999999999999</v>
      </c>
      <c r="CE138" s="357">
        <v>0.7077</v>
      </c>
      <c r="CF138" s="357">
        <v>0.71550000000000002</v>
      </c>
      <c r="CG138" s="357">
        <v>0.751</v>
      </c>
      <c r="CH138" s="357">
        <v>0.73780000000000001</v>
      </c>
      <c r="CI138" s="570">
        <v>0.73109999999999997</v>
      </c>
      <c r="CJ138" s="727" t="s">
        <v>404</v>
      </c>
      <c r="CK138" s="626">
        <v>58</v>
      </c>
      <c r="CL138" s="626">
        <v>58</v>
      </c>
      <c r="CM138" s="626">
        <v>0.75239999999999996</v>
      </c>
      <c r="CN138" s="626">
        <v>0.72319999999999995</v>
      </c>
      <c r="CO138" s="626">
        <v>0.70789999999999997</v>
      </c>
      <c r="CP138" s="626">
        <v>0.76439999999999997</v>
      </c>
      <c r="CQ138" s="626">
        <v>0.76370000000000005</v>
      </c>
      <c r="CR138" s="721">
        <v>0.73899999999999999</v>
      </c>
      <c r="CS138" s="572" t="s">
        <v>404</v>
      </c>
      <c r="CT138" s="607">
        <v>66</v>
      </c>
      <c r="CU138" s="607">
        <v>66</v>
      </c>
      <c r="CV138" s="592">
        <v>0.77310000000000001</v>
      </c>
      <c r="CW138" s="592">
        <v>0.7329</v>
      </c>
      <c r="CX138" s="592">
        <v>0.72740000000000005</v>
      </c>
      <c r="CY138" s="592">
        <v>0.78990000000000005</v>
      </c>
      <c r="CZ138" s="592">
        <v>0.78129999999999999</v>
      </c>
      <c r="DA138" s="592">
        <v>0.75780000000000003</v>
      </c>
    </row>
    <row r="139" spans="1:105" x14ac:dyDescent="0.25">
      <c r="A139" s="36" t="s">
        <v>99</v>
      </c>
      <c r="B139" s="134" t="s">
        <v>98</v>
      </c>
      <c r="C139" s="134" t="s">
        <v>567</v>
      </c>
      <c r="D139" s="134" t="s">
        <v>417</v>
      </c>
      <c r="E139" s="134" t="s">
        <v>787</v>
      </c>
      <c r="F139" s="134" t="s">
        <v>221</v>
      </c>
      <c r="G139" s="177" t="s">
        <v>404</v>
      </c>
      <c r="H139" s="742">
        <v>58</v>
      </c>
      <c r="I139" s="684">
        <v>58</v>
      </c>
      <c r="J139" s="684">
        <v>0.71789999999999998</v>
      </c>
      <c r="K139" s="684">
        <v>0.72650000000000003</v>
      </c>
      <c r="L139" s="684">
        <v>0.74209999999999998</v>
      </c>
      <c r="M139" s="684">
        <v>0.73919999999999997</v>
      </c>
      <c r="N139" s="684">
        <v>0.73440000000000005</v>
      </c>
      <c r="O139" s="684">
        <v>0.73170000000000002</v>
      </c>
      <c r="P139" s="683" t="s">
        <v>404</v>
      </c>
      <c r="Q139" s="684" t="s">
        <v>422</v>
      </c>
      <c r="R139" s="684" t="s">
        <v>422</v>
      </c>
      <c r="S139" s="684">
        <v>0.72430000000000005</v>
      </c>
      <c r="T139" s="684">
        <v>0.73070000000000002</v>
      </c>
      <c r="U139" s="684">
        <v>0.73519999999999996</v>
      </c>
      <c r="V139" s="684">
        <v>0.73580000000000001</v>
      </c>
      <c r="W139" s="684">
        <v>0.73529999999999995</v>
      </c>
      <c r="X139" s="684">
        <v>0.73180000000000001</v>
      </c>
      <c r="Y139" s="689" t="s">
        <v>404</v>
      </c>
      <c r="Z139" s="691" t="s">
        <v>634</v>
      </c>
      <c r="AA139" s="691" t="s">
        <v>634</v>
      </c>
      <c r="AB139" s="692">
        <v>0.73729999999999996</v>
      </c>
      <c r="AC139" s="692">
        <v>0.74539999999999995</v>
      </c>
      <c r="AD139" s="692">
        <v>0.7359</v>
      </c>
      <c r="AE139" s="692">
        <v>0.73860000000000003</v>
      </c>
      <c r="AF139" s="692">
        <v>0.74160000000000004</v>
      </c>
      <c r="AG139" s="692">
        <v>0.73950000000000005</v>
      </c>
      <c r="AH139" s="694" t="s">
        <v>404</v>
      </c>
      <c r="AI139" s="691" t="s">
        <v>579</v>
      </c>
      <c r="AJ139" s="691" t="s">
        <v>579</v>
      </c>
      <c r="AK139" s="692">
        <v>0.75009999999999999</v>
      </c>
      <c r="AL139" s="692">
        <v>0.75419999999999998</v>
      </c>
      <c r="AM139" s="692">
        <v>0.72740000000000005</v>
      </c>
      <c r="AN139" s="692">
        <v>0.74929999999999997</v>
      </c>
      <c r="AO139" s="692">
        <v>0.73509999999999998</v>
      </c>
      <c r="AP139" s="692">
        <v>0.74439999999999995</v>
      </c>
      <c r="AQ139" s="699" t="s">
        <v>404</v>
      </c>
      <c r="AR139" s="691" t="s">
        <v>421</v>
      </c>
      <c r="AS139" s="691" t="s">
        <v>421</v>
      </c>
      <c r="AT139" s="692">
        <v>0.76180000000000003</v>
      </c>
      <c r="AU139" s="692">
        <v>0.75580000000000003</v>
      </c>
      <c r="AV139" s="692">
        <v>0.75249999999999995</v>
      </c>
      <c r="AW139" s="692">
        <v>0.75660000000000005</v>
      </c>
      <c r="AX139" s="692">
        <v>0.7379</v>
      </c>
      <c r="AY139" s="692">
        <v>0.75519999999999998</v>
      </c>
      <c r="AZ139" s="689" t="s">
        <v>404</v>
      </c>
      <c r="BA139" s="691" t="s">
        <v>634</v>
      </c>
      <c r="BB139" s="691" t="s">
        <v>634</v>
      </c>
      <c r="BC139" s="692">
        <v>0.76759999999999995</v>
      </c>
      <c r="BD139" s="692">
        <v>0.73560000000000003</v>
      </c>
      <c r="BE139" s="692">
        <v>0.74270000000000003</v>
      </c>
      <c r="BF139" s="692">
        <v>0.7631</v>
      </c>
      <c r="BG139" s="692">
        <v>0.73019999999999996</v>
      </c>
      <c r="BH139" s="692">
        <v>0.75049999999999994</v>
      </c>
      <c r="BI139" s="703" t="s">
        <v>404</v>
      </c>
      <c r="BJ139" s="705">
        <v>58</v>
      </c>
      <c r="BK139" s="705">
        <v>57</v>
      </c>
      <c r="BL139" s="692">
        <v>0.76500000000000001</v>
      </c>
      <c r="BM139" s="692">
        <v>0.72689999999999999</v>
      </c>
      <c r="BN139" s="692">
        <v>0.73960000000000004</v>
      </c>
      <c r="BO139" s="692">
        <v>0.76229999999999998</v>
      </c>
      <c r="BP139" s="692">
        <v>0.71630000000000005</v>
      </c>
      <c r="BQ139" s="692">
        <v>0.746</v>
      </c>
      <c r="BR139" s="703" t="s">
        <v>404</v>
      </c>
      <c r="BS139" s="684">
        <v>67</v>
      </c>
      <c r="BT139" s="684">
        <v>66</v>
      </c>
      <c r="BU139" s="684">
        <v>0.74950000000000006</v>
      </c>
      <c r="BV139" s="684">
        <v>0.71419999999999995</v>
      </c>
      <c r="BW139" s="684">
        <v>0.71450000000000002</v>
      </c>
      <c r="BX139" s="684">
        <v>0.76139999999999997</v>
      </c>
      <c r="BY139" s="684">
        <v>0.71930000000000005</v>
      </c>
      <c r="BZ139" s="684">
        <v>0.73370000000000002</v>
      </c>
      <c r="CA139" s="711" t="s">
        <v>404</v>
      </c>
      <c r="CB139" s="571" t="s">
        <v>423</v>
      </c>
      <c r="CC139" s="571" t="s">
        <v>424</v>
      </c>
      <c r="CD139" s="571">
        <v>0.74890000000000001</v>
      </c>
      <c r="CE139" s="571">
        <v>0.72019999999999995</v>
      </c>
      <c r="CF139" s="571">
        <v>0.72619999999999996</v>
      </c>
      <c r="CG139" s="571">
        <v>0.77959999999999996</v>
      </c>
      <c r="CH139" s="571">
        <v>0.74270000000000003</v>
      </c>
      <c r="CI139" s="571">
        <v>0.74360000000000004</v>
      </c>
      <c r="CJ139" s="727" t="s">
        <v>404</v>
      </c>
      <c r="CK139" s="626">
        <v>71</v>
      </c>
      <c r="CL139" s="626">
        <v>70</v>
      </c>
      <c r="CM139" s="626">
        <v>0.74680000000000002</v>
      </c>
      <c r="CN139" s="626">
        <v>0.71519999999999995</v>
      </c>
      <c r="CO139" s="626">
        <v>0.72640000000000005</v>
      </c>
      <c r="CP139" s="626">
        <v>0.77490000000000003</v>
      </c>
      <c r="CQ139" s="626">
        <v>0.76180000000000003</v>
      </c>
      <c r="CR139" s="721">
        <v>0.74239999999999995</v>
      </c>
      <c r="CS139" s="731" t="s">
        <v>404</v>
      </c>
      <c r="CT139" s="732">
        <v>73</v>
      </c>
      <c r="CU139" s="732">
        <v>72</v>
      </c>
      <c r="CV139" s="733">
        <v>0.74860000000000004</v>
      </c>
      <c r="CW139" s="733">
        <v>0.72160000000000002</v>
      </c>
      <c r="CX139" s="733">
        <v>0.73719999999999997</v>
      </c>
      <c r="CY139" s="733">
        <v>0.77839999999999998</v>
      </c>
      <c r="CZ139" s="733">
        <v>0.76929999999999998</v>
      </c>
      <c r="DA139" s="733">
        <v>0.74819999999999998</v>
      </c>
    </row>
    <row r="140" spans="1:105" x14ac:dyDescent="0.25">
      <c r="A140" s="36" t="s">
        <v>73</v>
      </c>
      <c r="B140" s="734" t="s">
        <v>72</v>
      </c>
      <c r="C140" s="734" t="s">
        <v>567</v>
      </c>
      <c r="D140" s="734" t="s">
        <v>417</v>
      </c>
      <c r="E140" s="133" t="s">
        <v>787</v>
      </c>
      <c r="F140" s="734" t="s">
        <v>221</v>
      </c>
      <c r="G140" s="175" t="s">
        <v>541</v>
      </c>
      <c r="H140">
        <v>64</v>
      </c>
      <c r="I140">
        <v>61</v>
      </c>
      <c r="J140">
        <v>0.6341</v>
      </c>
      <c r="K140">
        <v>0.65010000000000001</v>
      </c>
      <c r="L140">
        <v>0.66139999999999999</v>
      </c>
      <c r="M140">
        <v>0.65869999999999995</v>
      </c>
      <c r="N140">
        <v>0.65859999999999996</v>
      </c>
      <c r="O140">
        <v>0.65169999999999995</v>
      </c>
      <c r="P140" s="680" t="s">
        <v>541</v>
      </c>
      <c r="Q140" t="s">
        <v>546</v>
      </c>
      <c r="R140" t="s">
        <v>637</v>
      </c>
      <c r="S140">
        <v>0.63560000000000005</v>
      </c>
      <c r="T140">
        <v>0.66510000000000002</v>
      </c>
      <c r="U140">
        <v>0.67200000000000004</v>
      </c>
      <c r="V140">
        <v>0.65859999999999996</v>
      </c>
      <c r="W140">
        <v>0.65480000000000005</v>
      </c>
      <c r="X140">
        <v>0.65759999999999996</v>
      </c>
      <c r="Y140" s="687" t="s">
        <v>405</v>
      </c>
      <c r="Z140" s="133" t="s">
        <v>568</v>
      </c>
      <c r="AA140" s="133" t="s">
        <v>658</v>
      </c>
      <c r="AB140" s="163">
        <v>0.65210000000000001</v>
      </c>
      <c r="AC140" s="163">
        <v>0.6885</v>
      </c>
      <c r="AD140" s="163">
        <v>0.68730000000000002</v>
      </c>
      <c r="AE140" s="163">
        <v>0.67959999999999998</v>
      </c>
      <c r="AF140" s="163">
        <v>0.67379999999999995</v>
      </c>
      <c r="AG140" s="163">
        <v>0.67659999999999998</v>
      </c>
      <c r="AH140" s="693" t="s">
        <v>405</v>
      </c>
      <c r="AI140" s="133" t="s">
        <v>498</v>
      </c>
      <c r="AJ140" s="133" t="s">
        <v>498</v>
      </c>
      <c r="AK140" s="163">
        <v>0.67090000000000005</v>
      </c>
      <c r="AL140" s="163">
        <v>0.71709999999999996</v>
      </c>
      <c r="AM140" s="163">
        <v>0.71450000000000002</v>
      </c>
      <c r="AN140" s="163">
        <v>0.70640000000000003</v>
      </c>
      <c r="AO140" s="163">
        <v>0.66249999999999998</v>
      </c>
      <c r="AP140" s="163">
        <v>0.69920000000000004</v>
      </c>
      <c r="AQ140" s="698" t="s">
        <v>405</v>
      </c>
      <c r="AR140" s="133" t="s">
        <v>495</v>
      </c>
      <c r="AS140" s="133" t="s">
        <v>495</v>
      </c>
      <c r="AT140" s="163">
        <v>0.67849999999999999</v>
      </c>
      <c r="AU140" s="163">
        <v>0.70989999999999998</v>
      </c>
      <c r="AV140" s="163">
        <v>0.69850000000000001</v>
      </c>
      <c r="AW140" s="163">
        <v>0.71840000000000004</v>
      </c>
      <c r="AX140" s="163">
        <v>0.6865</v>
      </c>
      <c r="AY140" s="163">
        <v>0.70020000000000004</v>
      </c>
      <c r="AZ140" s="687" t="s">
        <v>405</v>
      </c>
      <c r="BA140" s="133" t="s">
        <v>581</v>
      </c>
      <c r="BB140" s="133" t="s">
        <v>581</v>
      </c>
      <c r="BC140" s="163">
        <v>0.68740000000000001</v>
      </c>
      <c r="BD140" s="163">
        <v>0.69689999999999996</v>
      </c>
      <c r="BE140" s="163">
        <v>0.68569999999999998</v>
      </c>
      <c r="BF140" s="163">
        <v>0.72209999999999996</v>
      </c>
      <c r="BG140" s="163">
        <v>0.67449999999999999</v>
      </c>
      <c r="BH140" s="163">
        <v>0.69620000000000004</v>
      </c>
      <c r="BI140" s="701" t="s">
        <v>405</v>
      </c>
      <c r="BJ140" s="704">
        <v>78</v>
      </c>
      <c r="BK140" s="704">
        <v>78</v>
      </c>
      <c r="BL140" s="163">
        <v>0.69040000000000001</v>
      </c>
      <c r="BM140" s="163">
        <v>0.67079999999999995</v>
      </c>
      <c r="BN140" s="163">
        <v>0.65300000000000002</v>
      </c>
      <c r="BO140" s="163">
        <v>0.71020000000000005</v>
      </c>
      <c r="BP140" s="163">
        <v>0.65210000000000001</v>
      </c>
      <c r="BQ140" s="163">
        <v>0.67889999999999995</v>
      </c>
      <c r="BR140" s="701" t="s">
        <v>405</v>
      </c>
      <c r="BS140">
        <v>78</v>
      </c>
      <c r="BT140">
        <v>78</v>
      </c>
      <c r="BU140">
        <v>0.70009999999999994</v>
      </c>
      <c r="BV140">
        <v>0.65869999999999995</v>
      </c>
      <c r="BW140">
        <v>0.65590000000000004</v>
      </c>
      <c r="BX140">
        <v>0.7157</v>
      </c>
      <c r="BY140">
        <v>0.63529999999999998</v>
      </c>
      <c r="BZ140">
        <v>0.67900000000000005</v>
      </c>
      <c r="CA140" s="709" t="s">
        <v>405</v>
      </c>
      <c r="CB140" s="682" t="s">
        <v>500</v>
      </c>
      <c r="CC140" s="682" t="s">
        <v>500</v>
      </c>
      <c r="CD140" s="682">
        <v>0.71550000000000002</v>
      </c>
      <c r="CE140" s="682">
        <v>0.67379999999999995</v>
      </c>
      <c r="CF140" s="682">
        <v>0.68020000000000003</v>
      </c>
      <c r="CG140" s="682">
        <v>0.7379</v>
      </c>
      <c r="CH140" s="682">
        <v>0.6573</v>
      </c>
      <c r="CI140" s="682">
        <v>0.69840000000000002</v>
      </c>
      <c r="CJ140" s="713" t="s">
        <v>404</v>
      </c>
      <c r="CK140" s="735">
        <v>116</v>
      </c>
      <c r="CL140" s="735">
        <v>116</v>
      </c>
      <c r="CM140" s="735">
        <v>0.73480000000000001</v>
      </c>
      <c r="CN140" s="735">
        <v>0.69989999999999997</v>
      </c>
      <c r="CO140" s="735">
        <v>0.70530000000000004</v>
      </c>
      <c r="CP140" s="735">
        <v>0.76329999999999998</v>
      </c>
      <c r="CQ140" s="735">
        <v>0.70430000000000004</v>
      </c>
      <c r="CR140" s="736">
        <v>0.72409999999999997</v>
      </c>
      <c r="CS140" s="737" t="s">
        <v>404</v>
      </c>
      <c r="CT140" s="737">
        <v>126</v>
      </c>
      <c r="CU140" s="737">
        <v>126</v>
      </c>
      <c r="CV140" s="738">
        <v>0.73119999999999996</v>
      </c>
      <c r="CW140" s="738">
        <v>0.70840000000000003</v>
      </c>
      <c r="CX140" s="738">
        <v>0.69499999999999995</v>
      </c>
      <c r="CY140" s="738">
        <v>0.77249999999999996</v>
      </c>
      <c r="CZ140" s="738">
        <v>0.71709999999999996</v>
      </c>
      <c r="DA140" s="738">
        <v>0.72599999999999998</v>
      </c>
    </row>
    <row r="141" spans="1:105" ht="15" x14ac:dyDescent="0.25">
      <c r="A141" s="36" t="s">
        <v>1082</v>
      </c>
      <c r="B141" s="568" t="s">
        <v>1084</v>
      </c>
      <c r="C141" s="568" t="s">
        <v>567</v>
      </c>
      <c r="D141" s="568" t="s">
        <v>417</v>
      </c>
      <c r="E141" s="568" t="s">
        <v>787</v>
      </c>
      <c r="F141" s="568" t="s">
        <v>221</v>
      </c>
      <c r="G141" s="739"/>
      <c r="H141" s="743"/>
      <c r="I141" s="739"/>
      <c r="J141" s="739"/>
      <c r="K141" s="739"/>
      <c r="L141" s="739"/>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c r="AN141" s="739"/>
      <c r="AO141" s="739"/>
      <c r="AP141" s="739"/>
      <c r="AQ141" s="739"/>
      <c r="AR141" s="739"/>
      <c r="AS141" s="739"/>
      <c r="AT141" s="739"/>
      <c r="AU141" s="739"/>
      <c r="AV141" s="739"/>
      <c r="AW141" s="739"/>
      <c r="AX141" s="739"/>
      <c r="AY141" s="739"/>
      <c r="AZ141" s="739"/>
      <c r="BA141" s="739"/>
      <c r="BB141" s="739"/>
      <c r="BC141" s="739"/>
      <c r="BD141" s="739"/>
      <c r="BE141" s="739"/>
      <c r="BF141" s="739"/>
      <c r="BG141" s="739"/>
      <c r="BH141" s="739"/>
      <c r="BI141" s="739"/>
      <c r="BJ141" s="739"/>
      <c r="BK141" s="739"/>
      <c r="BL141" s="739"/>
      <c r="BM141" s="739"/>
      <c r="BN141" s="739"/>
      <c r="BO141" s="739"/>
      <c r="BP141" s="739"/>
      <c r="BQ141" s="739"/>
      <c r="BR141" s="739"/>
      <c r="BS141" s="739"/>
      <c r="BT141" s="739"/>
      <c r="BU141" s="739"/>
      <c r="BV141" s="739"/>
      <c r="BW141" s="739"/>
      <c r="BX141" s="739"/>
      <c r="BY141" s="739"/>
      <c r="BZ141" s="739"/>
      <c r="CA141" s="739"/>
      <c r="CB141" s="739"/>
      <c r="CC141" s="739"/>
      <c r="CD141" s="739"/>
      <c r="CE141" s="739"/>
      <c r="CF141" s="739"/>
      <c r="CG141" s="739"/>
      <c r="CH141" s="739"/>
      <c r="CI141" s="739"/>
      <c r="CJ141" s="739"/>
      <c r="CK141" s="739"/>
      <c r="CL141" s="739"/>
      <c r="CM141" s="739"/>
      <c r="CN141" s="739"/>
      <c r="CO141" s="739"/>
      <c r="CP141" s="739"/>
      <c r="CQ141" s="739"/>
      <c r="CR141" s="739"/>
      <c r="CS141" s="569" t="s">
        <v>404</v>
      </c>
      <c r="CT141" s="569">
        <v>21</v>
      </c>
      <c r="CU141" s="569">
        <v>21</v>
      </c>
      <c r="CV141" s="590">
        <v>0.71319999999999995</v>
      </c>
      <c r="CW141" s="590">
        <v>0.70099999999999996</v>
      </c>
      <c r="CX141" s="590">
        <v>0.73499999999999999</v>
      </c>
      <c r="CY141" s="590">
        <v>0.76919999999999999</v>
      </c>
      <c r="CZ141" s="590">
        <v>0.74709999999999999</v>
      </c>
      <c r="DA141" s="590">
        <v>0.73099999999999998</v>
      </c>
    </row>
  </sheetData>
  <sheetProtection sheet="1" selectLockedCells="1" selectUnlockedCells="1"/>
  <autoFilter ref="A5:DA141" xr:uid="{AAB0F4F8-6AB9-4400-B3C3-14D6A0EA4715}">
    <sortState ref="A6:DA141">
      <sortCondition ref="A5:A141"/>
    </sortState>
  </autoFilter>
  <sortState ref="A6:BQ139">
    <sortCondition ref="A6:A139"/>
  </sortState>
  <mergeCells count="11">
    <mergeCell ref="CS4:DA4"/>
    <mergeCell ref="CJ4:CR4"/>
    <mergeCell ref="BR4:BZ4"/>
    <mergeCell ref="CA4:CI4"/>
    <mergeCell ref="G4:O4"/>
    <mergeCell ref="P4:X4"/>
    <mergeCell ref="BI4:BQ4"/>
    <mergeCell ref="AZ4:BH4"/>
    <mergeCell ref="AQ4:AY4"/>
    <mergeCell ref="AH4:AP4"/>
    <mergeCell ref="Y4:AG4"/>
  </mergeCells>
  <conditionalFormatting sqref="A7">
    <cfRule type="duplicateValues" dxfId="72" priority="6"/>
    <cfRule type="duplicateValues" dxfId="71" priority="7"/>
  </conditionalFormatting>
  <conditionalFormatting sqref="A74">
    <cfRule type="duplicateValues" dxfId="70" priority="4"/>
    <cfRule type="duplicateValues" dxfId="69" priority="5"/>
  </conditionalFormatting>
  <conditionalFormatting sqref="B140">
    <cfRule type="duplicateValues" dxfId="68" priority="24" stopIfTrue="1"/>
  </conditionalFormatting>
  <conditionalFormatting sqref="B141">
    <cfRule type="duplicateValues" dxfId="67" priority="23" stopIfTrue="1"/>
  </conditionalFormatting>
  <conditionalFormatting sqref="CS7">
    <cfRule type="containsText" dxfId="66" priority="8" operator="containsText" text="C">
      <formula>NOT(ISERROR(SEARCH("C",CS7)))</formula>
    </cfRule>
    <cfRule type="containsText" dxfId="65" priority="9" operator="containsText" text="B">
      <formula>NOT(ISERROR(SEARCH("B",CS7)))</formula>
    </cfRule>
    <cfRule type="containsText" dxfId="64" priority="10" operator="containsText" text="A+">
      <formula>NOT(ISERROR(SEARCH("A+",CS7)))</formula>
    </cfRule>
    <cfRule type="containsText" dxfId="63" priority="11" operator="containsText" text="A">
      <formula>NOT(ISERROR(SEARCH("A",CS7)))</formula>
    </cfRule>
    <cfRule type="containsText" dxfId="62" priority="12" operator="containsText" text="D">
      <formula>NOT(ISERROR(SEARCH("D",CS7)))</formula>
    </cfRule>
  </conditionalFormatting>
  <conditionalFormatting sqref="CS117:CS127 CS132:CS141">
    <cfRule type="containsText" dxfId="61" priority="13" operator="containsText" text="C">
      <formula>NOT(ISERROR(SEARCH("C",CS117)))</formula>
    </cfRule>
    <cfRule type="containsText" dxfId="60" priority="14" operator="containsText" text="B">
      <formula>NOT(ISERROR(SEARCH("B",CS117)))</formula>
    </cfRule>
    <cfRule type="containsText" dxfId="59" priority="15" operator="containsText" text="A+">
      <formula>NOT(ISERROR(SEARCH("A+",CS117)))</formula>
    </cfRule>
    <cfRule type="containsText" dxfId="58" priority="16" operator="containsText" text="A">
      <formula>NOT(ISERROR(SEARCH("A",CS117)))</formula>
    </cfRule>
    <cfRule type="containsText" dxfId="57" priority="17" operator="containsText" text="D">
      <formula>NOT(ISERROR(SEARCH("D",CS117)))</formula>
    </cfRule>
  </conditionalFormatting>
  <conditionalFormatting sqref="CS111:DA116 CS9:DA109">
    <cfRule type="containsText" dxfId="56" priority="27" operator="containsText" text="C">
      <formula>NOT(ISERROR(SEARCH("C",CS9)))</formula>
    </cfRule>
    <cfRule type="containsText" dxfId="55" priority="28" operator="containsText" text="B">
      <formula>NOT(ISERROR(SEARCH("B",CS9)))</formula>
    </cfRule>
    <cfRule type="containsText" dxfId="54" priority="29" operator="containsText" text="A+">
      <formula>NOT(ISERROR(SEARCH("A+",CS9)))</formula>
    </cfRule>
    <cfRule type="containsText" dxfId="53" priority="30" operator="containsText" text="A">
      <formula>NOT(ISERROR(SEARCH("A",CS9)))</formula>
    </cfRule>
    <cfRule type="containsText" dxfId="52" priority="31" operator="containsText" text="D">
      <formula>NOT(ISERROR(SEARCH("D",CS9)))</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4D1E-84A8-4E06-BEB3-569ACF00C4A3}">
  <sheetPr codeName="Hoja4">
    <tabColor theme="6"/>
  </sheetPr>
  <dimension ref="A1:Q43"/>
  <sheetViews>
    <sheetView zoomScale="70" zoomScaleNormal="70" workbookViewId="0"/>
  </sheetViews>
  <sheetFormatPr baseColWidth="10" defaultColWidth="12.5703125" defaultRowHeight="15.75" x14ac:dyDescent="0.25"/>
  <cols>
    <col min="1" max="1" width="3.7109375" style="451" customWidth="1"/>
    <col min="2" max="2" width="12.5703125" style="451"/>
    <col min="3" max="3" width="29.7109375" style="451" customWidth="1"/>
    <col min="4" max="4" width="20.7109375" style="451" customWidth="1"/>
    <col min="5" max="5" width="26.42578125" style="451" customWidth="1"/>
    <col min="6" max="6" width="14" style="451" customWidth="1"/>
    <col min="7" max="7" width="23.42578125" style="451" customWidth="1"/>
    <col min="8" max="8" width="16.85546875" style="451" customWidth="1"/>
    <col min="9" max="9" width="8.140625" style="451" customWidth="1"/>
    <col min="10" max="10" width="3.7109375" style="451" customWidth="1"/>
    <col min="11" max="11" width="12.85546875" style="451" customWidth="1"/>
    <col min="12" max="12" width="36" style="451" bestFit="1" customWidth="1"/>
    <col min="13" max="13" width="16.28515625" style="451" customWidth="1"/>
    <col min="14" max="16384" width="12.5703125" style="451"/>
  </cols>
  <sheetData>
    <row r="1" spans="1:17" x14ac:dyDescent="0.25">
      <c r="A1" s="98"/>
      <c r="B1" s="98"/>
      <c r="C1" s="98"/>
      <c r="D1" s="98"/>
      <c r="E1" s="98"/>
      <c r="F1" s="98"/>
      <c r="G1" s="98"/>
      <c r="H1" s="98"/>
      <c r="I1" s="98"/>
      <c r="J1" s="98"/>
      <c r="K1" s="98"/>
      <c r="L1" s="98"/>
      <c r="M1" s="98"/>
      <c r="N1" s="98"/>
      <c r="O1" s="98"/>
      <c r="P1" s="98"/>
      <c r="Q1" s="98"/>
    </row>
    <row r="2" spans="1:17" x14ac:dyDescent="0.25">
      <c r="A2" s="98"/>
      <c r="B2" s="98"/>
      <c r="C2" s="98"/>
      <c r="D2" s="98"/>
      <c r="E2" s="98"/>
      <c r="F2" s="98"/>
      <c r="G2" s="98"/>
      <c r="H2" s="98"/>
      <c r="I2" s="98"/>
      <c r="J2" s="98"/>
      <c r="K2" s="98"/>
      <c r="L2" s="98"/>
      <c r="M2" s="98"/>
      <c r="N2" s="98"/>
      <c r="O2" s="98"/>
      <c r="P2" s="98"/>
      <c r="Q2" s="98"/>
    </row>
    <row r="3" spans="1:17" x14ac:dyDescent="0.25">
      <c r="A3" s="98"/>
      <c r="B3" s="98"/>
      <c r="C3" s="98"/>
      <c r="D3" s="98"/>
      <c r="E3" s="98"/>
      <c r="F3" s="98"/>
      <c r="G3" s="98"/>
      <c r="H3" s="98"/>
      <c r="I3" s="98"/>
      <c r="J3" s="98"/>
      <c r="K3" s="98"/>
      <c r="L3" s="98"/>
      <c r="M3" s="98"/>
      <c r="N3" s="98"/>
      <c r="O3" s="98"/>
      <c r="P3" s="98"/>
      <c r="Q3" s="98"/>
    </row>
    <row r="4" spans="1:17" x14ac:dyDescent="0.25">
      <c r="A4" s="98"/>
      <c r="B4" s="98"/>
      <c r="C4" s="98"/>
      <c r="D4" s="98"/>
      <c r="E4" s="98"/>
      <c r="F4" s="98"/>
      <c r="G4" s="98"/>
      <c r="H4" s="98"/>
      <c r="I4" s="98"/>
      <c r="J4" s="98"/>
      <c r="K4" s="98"/>
      <c r="L4" s="98"/>
      <c r="M4" s="98"/>
      <c r="N4" s="98"/>
      <c r="O4" s="98"/>
      <c r="P4" s="98"/>
      <c r="Q4" s="98"/>
    </row>
    <row r="5" spans="1:17" x14ac:dyDescent="0.25">
      <c r="A5" s="98"/>
      <c r="B5" s="98"/>
      <c r="C5" s="98"/>
      <c r="D5" s="98"/>
      <c r="E5" s="98"/>
      <c r="F5" s="98"/>
      <c r="G5" s="98"/>
      <c r="H5" s="98"/>
      <c r="I5" s="98"/>
      <c r="J5" s="98"/>
      <c r="K5" s="98"/>
      <c r="L5" s="98"/>
      <c r="M5" s="98"/>
      <c r="N5" s="98"/>
      <c r="O5" s="98"/>
      <c r="P5" s="98"/>
      <c r="Q5" s="98"/>
    </row>
    <row r="6" spans="1:17" x14ac:dyDescent="0.25">
      <c r="A6" s="98"/>
      <c r="B6" s="98"/>
      <c r="C6" s="98"/>
      <c r="D6" s="98"/>
      <c r="E6" s="98"/>
      <c r="F6" s="98"/>
      <c r="G6" s="98"/>
      <c r="H6" s="98"/>
      <c r="I6" s="98"/>
      <c r="J6" s="98"/>
      <c r="K6" s="98"/>
      <c r="L6" s="98"/>
      <c r="M6" s="98"/>
      <c r="N6" s="98"/>
      <c r="O6" s="98"/>
      <c r="P6" s="98"/>
      <c r="Q6" s="98"/>
    </row>
    <row r="7" spans="1:17" ht="45" customHeight="1" x14ac:dyDescent="0.25">
      <c r="A7" s="98"/>
      <c r="B7" s="869" t="s">
        <v>980</v>
      </c>
      <c r="C7" s="836"/>
      <c r="D7" s="836"/>
      <c r="E7" s="836"/>
      <c r="F7" s="836"/>
      <c r="G7" s="836"/>
      <c r="H7" s="836"/>
      <c r="I7" s="836"/>
      <c r="J7" s="836"/>
      <c r="K7" s="836"/>
      <c r="L7" s="836"/>
      <c r="M7" s="836"/>
      <c r="N7" s="836"/>
      <c r="O7" s="836"/>
      <c r="P7" s="836"/>
      <c r="Q7" s="98"/>
    </row>
    <row r="8" spans="1:17" ht="33" customHeight="1" x14ac:dyDescent="0.25">
      <c r="A8" s="98"/>
      <c r="B8" s="98"/>
      <c r="C8" s="98"/>
      <c r="D8" s="98"/>
      <c r="E8" s="98"/>
      <c r="F8" s="98"/>
      <c r="G8" s="98"/>
      <c r="H8" s="98"/>
      <c r="I8" s="98"/>
      <c r="J8" s="98"/>
      <c r="K8" s="98"/>
      <c r="L8" s="98"/>
      <c r="M8" s="98"/>
      <c r="N8" s="98"/>
      <c r="O8" s="98"/>
      <c r="P8" s="98"/>
      <c r="Q8" s="98"/>
    </row>
    <row r="9" spans="1:17" ht="39" customHeight="1" x14ac:dyDescent="0.25">
      <c r="A9" s="98"/>
      <c r="B9" s="870" t="s">
        <v>859</v>
      </c>
      <c r="C9" s="870"/>
      <c r="D9" s="870"/>
      <c r="E9" s="872" t="s">
        <v>73</v>
      </c>
      <c r="F9" s="873"/>
      <c r="G9" s="873"/>
      <c r="H9" s="873"/>
      <c r="I9" s="873"/>
      <c r="J9" s="873"/>
      <c r="K9" s="873"/>
      <c r="L9" s="874"/>
      <c r="M9" s="234"/>
      <c r="N9" s="875" t="s">
        <v>981</v>
      </c>
      <c r="O9" s="875"/>
      <c r="P9" s="875"/>
      <c r="Q9" s="98"/>
    </row>
    <row r="10" spans="1:17" ht="39" customHeight="1" x14ac:dyDescent="0.25">
      <c r="A10" s="98"/>
      <c r="B10" s="239" t="s">
        <v>869</v>
      </c>
      <c r="C10" s="239"/>
      <c r="D10" s="239"/>
      <c r="E10" s="872" t="s">
        <v>99</v>
      </c>
      <c r="F10" s="873"/>
      <c r="G10" s="873"/>
      <c r="H10" s="873"/>
      <c r="I10" s="873"/>
      <c r="J10" s="873"/>
      <c r="K10" s="873"/>
      <c r="L10" s="874"/>
      <c r="M10" s="239"/>
      <c r="N10" s="875"/>
      <c r="O10" s="875"/>
      <c r="P10" s="875"/>
      <c r="Q10" s="98"/>
    </row>
    <row r="11" spans="1:17" ht="39" customHeight="1" x14ac:dyDescent="0.25">
      <c r="A11" s="98"/>
      <c r="B11" s="239" t="s">
        <v>870</v>
      </c>
      <c r="C11" s="239"/>
      <c r="D11" s="239"/>
      <c r="E11" s="872" t="s">
        <v>99</v>
      </c>
      <c r="F11" s="873"/>
      <c r="G11" s="873"/>
      <c r="H11" s="873"/>
      <c r="I11" s="873"/>
      <c r="J11" s="873"/>
      <c r="K11" s="873"/>
      <c r="L11" s="874"/>
      <c r="M11" s="239"/>
      <c r="N11" s="875"/>
      <c r="O11" s="875"/>
      <c r="P11" s="875"/>
      <c r="Q11" s="98"/>
    </row>
    <row r="12" spans="1:17" ht="18.75" x14ac:dyDescent="0.3">
      <c r="A12" s="98"/>
      <c r="B12" s="101"/>
      <c r="C12" s="101"/>
      <c r="D12" s="101"/>
      <c r="E12" s="101"/>
      <c r="F12" s="102"/>
      <c r="G12" s="102"/>
      <c r="H12" s="102"/>
      <c r="I12" s="98"/>
      <c r="J12" s="98"/>
      <c r="K12" s="98"/>
      <c r="L12" s="98"/>
      <c r="M12" s="98"/>
      <c r="N12" s="98"/>
      <c r="O12" s="98"/>
      <c r="P12" s="98"/>
      <c r="Q12" s="98"/>
    </row>
    <row r="13" spans="1:17" ht="25.5" customHeight="1" x14ac:dyDescent="0.25">
      <c r="A13" s="98"/>
      <c r="B13" s="871" t="s">
        <v>399</v>
      </c>
      <c r="C13" s="871"/>
      <c r="D13" s="871"/>
      <c r="E13" s="871"/>
      <c r="F13" s="98"/>
      <c r="G13" s="98"/>
      <c r="H13" s="117"/>
      <c r="I13" s="117"/>
      <c r="J13" s="117"/>
      <c r="K13" s="98"/>
      <c r="L13" s="98"/>
      <c r="M13" s="98"/>
      <c r="N13" s="98"/>
      <c r="O13" s="98"/>
      <c r="P13" s="98"/>
      <c r="Q13" s="98"/>
    </row>
    <row r="14" spans="1:17" ht="31.5" x14ac:dyDescent="0.25">
      <c r="A14" s="98"/>
      <c r="B14" s="452" t="s">
        <v>400</v>
      </c>
      <c r="C14" s="453" t="str">
        <f>E9</f>
        <v>LICEO SATELITE</v>
      </c>
      <c r="D14" s="454" t="str">
        <f>E10</f>
        <v>LICEO SAN MATEO</v>
      </c>
      <c r="E14" s="455" t="str">
        <f>E11</f>
        <v>LICEO SAN MATEO</v>
      </c>
      <c r="F14" s="98"/>
      <c r="G14" s="98"/>
      <c r="H14" s="117"/>
      <c r="I14" s="117"/>
      <c r="J14" s="117"/>
      <c r="K14" s="98"/>
      <c r="L14" s="98"/>
      <c r="M14" s="98"/>
      <c r="N14" s="98"/>
      <c r="O14" s="98"/>
      <c r="P14" s="98"/>
      <c r="Q14" s="98"/>
    </row>
    <row r="15" spans="1:17" ht="20.25" x14ac:dyDescent="0.25">
      <c r="A15" s="98"/>
      <c r="B15" s="104">
        <v>2016</v>
      </c>
      <c r="C15" s="456">
        <f>VLOOKUP($E$9,PGLOBAL!$A$10:$Q$172,8,0)</f>
        <v>256</v>
      </c>
      <c r="D15" s="456">
        <f>VLOOKUP($E$10,PGLOBAL!$A$10:$Q$172,8,0)</f>
        <v>287</v>
      </c>
      <c r="E15" s="456">
        <f>VLOOKUP($E$11,PGLOBAL!$A$10:$Q$172,8,0)</f>
        <v>287</v>
      </c>
      <c r="F15" s="98"/>
      <c r="G15" s="98"/>
      <c r="H15" s="117"/>
      <c r="I15" s="117"/>
      <c r="J15" s="117"/>
      <c r="K15" s="98"/>
      <c r="L15" s="98"/>
      <c r="M15" s="98"/>
      <c r="N15" s="98"/>
      <c r="O15" s="98"/>
      <c r="P15" s="98"/>
      <c r="Q15" s="98"/>
    </row>
    <row r="16" spans="1:17" ht="20.25" x14ac:dyDescent="0.25">
      <c r="A16" s="98"/>
      <c r="B16" s="104">
        <v>2017</v>
      </c>
      <c r="C16" s="456">
        <f>VLOOKUP($E$9,PGLOBAL!$A$10:$Q$172,10,0)</f>
        <v>262</v>
      </c>
      <c r="D16" s="456">
        <f>VLOOKUP($E$10,PGLOBAL!$A$10:$Q$172,10,0)</f>
        <v>277</v>
      </c>
      <c r="E16" s="456">
        <f>VLOOKUP($E$11,PGLOBAL!$A$10:$Q$172,10,0)</f>
        <v>277</v>
      </c>
      <c r="F16" s="98"/>
      <c r="G16" s="98"/>
      <c r="H16" s="117"/>
      <c r="I16" s="117"/>
      <c r="J16" s="117"/>
      <c r="K16" s="98"/>
      <c r="L16" s="98"/>
      <c r="M16" s="98"/>
      <c r="N16" s="98"/>
      <c r="O16" s="98"/>
      <c r="P16" s="98"/>
      <c r="Q16" s="98"/>
    </row>
    <row r="17" spans="1:17" ht="20.25" x14ac:dyDescent="0.25">
      <c r="A17" s="98"/>
      <c r="B17" s="104">
        <v>2018</v>
      </c>
      <c r="C17" s="456">
        <f>VLOOKUP($E$9,PGLOBAL!$A$10:$Q$172,12,0)</f>
        <v>256</v>
      </c>
      <c r="D17" s="456">
        <f>VLOOKUP($E$10,PGLOBAL!$A$10:$Q$172,12,0)</f>
        <v>274</v>
      </c>
      <c r="E17" s="456">
        <f>VLOOKUP($E$11,PGLOBAL!$A$10:$Q$172,12,0)</f>
        <v>274</v>
      </c>
      <c r="F17" s="98"/>
      <c r="G17" s="98"/>
      <c r="H17" s="117"/>
      <c r="I17" s="117"/>
      <c r="J17" s="117"/>
      <c r="K17" s="98"/>
      <c r="L17" s="98"/>
      <c r="M17" s="98"/>
      <c r="N17" s="98"/>
      <c r="O17" s="98"/>
      <c r="P17" s="98"/>
      <c r="Q17" s="98"/>
    </row>
    <row r="18" spans="1:17" ht="20.25" x14ac:dyDescent="0.3">
      <c r="A18" s="101"/>
      <c r="B18" s="104">
        <v>2019</v>
      </c>
      <c r="C18" s="456">
        <f>VLOOKUP($E$9,PGLOBAL!$A$10:$Q$172,14,0)</f>
        <v>253</v>
      </c>
      <c r="D18" s="456">
        <f>VLOOKUP($E$10,PGLOBAL!$A$10:$Q$172,14,0)</f>
        <v>278</v>
      </c>
      <c r="E18" s="456">
        <f>VLOOKUP($E$11,PGLOBAL!$A$10:$Q$172,14,0)</f>
        <v>278</v>
      </c>
      <c r="F18" s="102"/>
      <c r="G18" s="102"/>
      <c r="H18" s="117"/>
      <c r="I18" s="117"/>
      <c r="J18" s="117"/>
      <c r="K18" s="98"/>
      <c r="L18" s="98"/>
      <c r="M18" s="98"/>
      <c r="N18" s="98"/>
      <c r="O18" s="98"/>
      <c r="P18" s="98"/>
      <c r="Q18" s="98"/>
    </row>
    <row r="19" spans="1:17" ht="20.25" x14ac:dyDescent="0.25">
      <c r="A19" s="98"/>
      <c r="B19" s="104">
        <v>2020</v>
      </c>
      <c r="C19" s="456">
        <f>VLOOKUP($E$9,PGLOBAL!$A$10:$Q$172,16,0)</f>
        <v>244</v>
      </c>
      <c r="D19" s="456">
        <f>VLOOKUP($E$10,PGLOBAL!$A$10:$Q$172,16,0)</f>
        <v>287</v>
      </c>
      <c r="E19" s="456">
        <f>VLOOKUP($E$11,PGLOBAL!$A$10:$Q$172,16,0)</f>
        <v>287</v>
      </c>
      <c r="F19" s="98"/>
      <c r="G19" s="98"/>
      <c r="H19" s="117"/>
      <c r="I19" s="117"/>
      <c r="J19" s="117"/>
      <c r="K19" s="98"/>
      <c r="L19" s="98"/>
      <c r="M19" s="98"/>
      <c r="N19" s="98"/>
      <c r="O19" s="98"/>
      <c r="P19" s="98"/>
      <c r="Q19" s="98"/>
    </row>
    <row r="20" spans="1:17" ht="20.25" x14ac:dyDescent="0.25">
      <c r="A20" s="98"/>
      <c r="B20" s="104">
        <v>2021</v>
      </c>
      <c r="C20" s="456">
        <f>VLOOKUP($E$9,PGLOBAL!$A$10:$U$172,18,0)</f>
        <v>253</v>
      </c>
      <c r="D20" s="456">
        <f>VLOOKUP($E$10,PGLOBAL!$A$10:$U$172,18,0)</f>
        <v>264</v>
      </c>
      <c r="E20" s="456">
        <f>VLOOKUP($E$11,PGLOBAL!$A$10:$U$172,18,0)</f>
        <v>264</v>
      </c>
      <c r="F20" s="98"/>
      <c r="G20" s="98"/>
      <c r="H20" s="117"/>
      <c r="I20" s="117"/>
      <c r="J20" s="117"/>
      <c r="K20" s="98"/>
      <c r="L20" s="98"/>
      <c r="M20" s="98"/>
      <c r="N20" s="98"/>
      <c r="O20" s="98"/>
      <c r="P20" s="98"/>
      <c r="Q20" s="98"/>
    </row>
    <row r="21" spans="1:17" ht="18" customHeight="1" x14ac:dyDescent="0.25">
      <c r="A21" s="98"/>
      <c r="B21" s="104">
        <v>2022</v>
      </c>
      <c r="C21" s="456">
        <f>VLOOKUP($E$9,PGLOBAL!$A$10:$Y$172,22,0)</f>
        <v>272</v>
      </c>
      <c r="D21" s="456">
        <f>VLOOKUP($E$10,PGLOBAL!$A$10:$Y$172,22,0)</f>
        <v>290</v>
      </c>
      <c r="E21" s="456">
        <f>VLOOKUP($E$11,PGLOBAL!$A$10:$Y$172,22,0)</f>
        <v>290</v>
      </c>
      <c r="F21" s="98"/>
      <c r="G21" s="98"/>
      <c r="H21" s="117"/>
      <c r="I21" s="117"/>
      <c r="J21" s="117"/>
      <c r="K21" s="98"/>
      <c r="L21" s="98"/>
      <c r="M21" s="98"/>
      <c r="N21" s="98"/>
      <c r="O21" s="98"/>
      <c r="P21" s="98"/>
      <c r="Q21" s="98"/>
    </row>
    <row r="22" spans="1:17" ht="20.25" x14ac:dyDescent="0.25">
      <c r="A22" s="98"/>
      <c r="B22" s="104">
        <v>2023</v>
      </c>
      <c r="C22" s="456">
        <f>VLOOKUP($E$9,PGLOBAL!$A$10:$AC$172,26,0)</f>
        <v>276</v>
      </c>
      <c r="D22" s="456">
        <f>VLOOKUP($E$10,PGLOBAL!$A$10:$AC$172,26,0)</f>
        <v>282</v>
      </c>
      <c r="E22" s="456">
        <f>VLOOKUP($E$11,PGLOBAL!$A$10:$AC$172,26,0)</f>
        <v>282</v>
      </c>
      <c r="F22" s="98"/>
      <c r="G22" s="98"/>
      <c r="H22" s="98"/>
      <c r="I22" s="98"/>
      <c r="J22" s="98"/>
      <c r="K22" s="98"/>
      <c r="L22" s="98"/>
      <c r="M22" s="98"/>
      <c r="N22" s="98"/>
      <c r="O22" s="98"/>
      <c r="P22" s="98"/>
      <c r="Q22" s="98"/>
    </row>
    <row r="23" spans="1:17" ht="20.25" x14ac:dyDescent="0.25">
      <c r="A23" s="98"/>
      <c r="B23" s="104">
        <v>2024</v>
      </c>
      <c r="C23" s="456">
        <f>VLOOKUP($E$9,PGLOBAL!$A$10:$AG$172,30,0)</f>
        <v>260</v>
      </c>
      <c r="D23" s="456">
        <f>VLOOKUP($E$10,PGLOBAL!$A$10:$AG$172,30,0)</f>
        <v>273</v>
      </c>
      <c r="E23" s="456">
        <f>VLOOKUP($E$11,PGLOBAL!$A$10:$AG$172,30,0)</f>
        <v>273</v>
      </c>
      <c r="F23" s="98"/>
      <c r="G23" s="98"/>
      <c r="H23" s="98"/>
      <c r="I23" s="98"/>
      <c r="J23" s="98"/>
      <c r="K23" s="98"/>
      <c r="L23" s="98"/>
      <c r="M23" s="98"/>
      <c r="N23" s="98"/>
      <c r="O23" s="98"/>
      <c r="P23" s="98"/>
      <c r="Q23" s="98"/>
    </row>
    <row r="24" spans="1:17" x14ac:dyDescent="0.25">
      <c r="A24" s="98"/>
      <c r="B24" s="98"/>
      <c r="C24" s="98"/>
      <c r="D24" s="98"/>
      <c r="E24" s="98"/>
      <c r="F24" s="98"/>
      <c r="G24" s="98"/>
      <c r="H24" s="832"/>
      <c r="I24" s="832"/>
      <c r="J24" s="832"/>
      <c r="K24" s="98"/>
      <c r="L24" s="98"/>
      <c r="M24" s="98"/>
      <c r="N24" s="98"/>
      <c r="O24" s="98"/>
      <c r="P24" s="98"/>
      <c r="Q24" s="98"/>
    </row>
    <row r="25" spans="1:17" ht="15.75" customHeight="1" x14ac:dyDescent="0.25">
      <c r="A25" s="98"/>
      <c r="B25" s="98"/>
      <c r="C25" s="98"/>
      <c r="D25" s="98"/>
      <c r="E25" s="98"/>
      <c r="F25" s="98"/>
      <c r="G25" s="98"/>
      <c r="H25" s="832"/>
      <c r="I25" s="832"/>
      <c r="J25" s="832"/>
      <c r="K25" s="866" t="s">
        <v>846</v>
      </c>
      <c r="L25" s="867"/>
      <c r="M25" s="868"/>
      <c r="N25" s="98"/>
      <c r="O25" s="98"/>
      <c r="P25" s="98"/>
      <c r="Q25" s="98"/>
    </row>
    <row r="26" spans="1:17" ht="20.25" customHeight="1" x14ac:dyDescent="0.25">
      <c r="A26" s="98"/>
      <c r="B26" s="98"/>
      <c r="C26" s="98"/>
      <c r="D26" s="98"/>
      <c r="E26" s="98"/>
      <c r="F26" s="98"/>
      <c r="G26" s="98"/>
      <c r="H26" s="832"/>
      <c r="I26" s="832"/>
      <c r="J26" s="832"/>
      <c r="K26" s="443" t="s">
        <v>400</v>
      </c>
      <c r="L26" s="443" t="s">
        <v>845</v>
      </c>
      <c r="M26" s="443" t="s">
        <v>401</v>
      </c>
      <c r="N26" s="98"/>
      <c r="O26" s="98"/>
      <c r="P26" s="98"/>
      <c r="Q26" s="98"/>
    </row>
    <row r="27" spans="1:17" ht="21.75" customHeight="1" x14ac:dyDescent="0.25">
      <c r="A27" s="98"/>
      <c r="B27" s="378"/>
      <c r="C27" s="378"/>
      <c r="D27" s="98"/>
      <c r="E27" s="98"/>
      <c r="F27" s="98"/>
      <c r="G27" s="98"/>
      <c r="H27" s="832"/>
      <c r="I27" s="832"/>
      <c r="J27" s="832"/>
      <c r="K27" s="457">
        <v>2016</v>
      </c>
      <c r="L27" s="458">
        <f>VLOOKUP(E9,Clasificación!A6:AG141,33,0)</f>
        <v>0.67659999999999998</v>
      </c>
      <c r="M27" s="586" t="str">
        <f>VLOOKUP($E$9,Clasificación!$A$6:$DA$141,25,0)</f>
        <v>B</v>
      </c>
      <c r="N27" s="98"/>
      <c r="O27" s="98"/>
      <c r="P27" s="98"/>
      <c r="Q27" s="98"/>
    </row>
    <row r="28" spans="1:17" ht="19.5" customHeight="1" x14ac:dyDescent="0.25">
      <c r="A28" s="98"/>
      <c r="B28" s="833"/>
      <c r="C28" s="833"/>
      <c r="D28" s="378"/>
      <c r="E28" s="98"/>
      <c r="F28" s="98"/>
      <c r="G28" s="98"/>
      <c r="H28" s="832"/>
      <c r="I28" s="832"/>
      <c r="J28" s="832"/>
      <c r="K28" s="457">
        <v>2017</v>
      </c>
      <c r="L28" s="458">
        <f>VLOOKUP($E$9,Clasificación!$A$6:$BQ$141,42,0)</f>
        <v>0.69920000000000004</v>
      </c>
      <c r="M28" s="586" t="str">
        <f>VLOOKUP($E$9,Clasificación!$A$6:$BQ$141,34,0)</f>
        <v>B</v>
      </c>
      <c r="N28" s="98"/>
      <c r="O28" s="98"/>
      <c r="P28" s="98"/>
      <c r="Q28" s="98"/>
    </row>
    <row r="29" spans="1:17" ht="20.25" x14ac:dyDescent="0.25">
      <c r="A29" s="98"/>
      <c r="B29" s="378"/>
      <c r="C29" s="378"/>
      <c r="D29" s="378"/>
      <c r="E29" s="98"/>
      <c r="F29" s="98"/>
      <c r="G29" s="98"/>
      <c r="H29" s="832"/>
      <c r="I29" s="832"/>
      <c r="J29" s="832"/>
      <c r="K29" s="457">
        <v>2018</v>
      </c>
      <c r="L29" s="458">
        <f>VLOOKUP($E$9,Clasificación!$A$6:$BQ$141,51,0)</f>
        <v>0.70020000000000004</v>
      </c>
      <c r="M29" s="586" t="str">
        <f>VLOOKUP($E$9,Clasificación!$A$6:$BQ$141,43,0)</f>
        <v>B</v>
      </c>
      <c r="N29" s="98"/>
      <c r="O29" s="98"/>
      <c r="P29" s="98"/>
      <c r="Q29" s="98"/>
    </row>
    <row r="30" spans="1:17" ht="20.25" x14ac:dyDescent="0.25">
      <c r="A30" s="98"/>
      <c r="B30" s="189"/>
      <c r="C30" s="188"/>
      <c r="D30" s="188"/>
      <c r="E30" s="98"/>
      <c r="F30" s="98"/>
      <c r="G30" s="98"/>
      <c r="H30" s="832"/>
      <c r="I30" s="832"/>
      <c r="J30" s="832"/>
      <c r="K30" s="457">
        <v>2019</v>
      </c>
      <c r="L30" s="458">
        <f>VLOOKUP($E$9,Clasificación!$A$6:$BQ$141,60,0)</f>
        <v>0.69620000000000004</v>
      </c>
      <c r="M30" s="586" t="str">
        <f>VLOOKUP($E$9,Clasificación!$A$6:$BQ$141,52,0)</f>
        <v>B</v>
      </c>
      <c r="N30" s="98"/>
      <c r="O30" s="98"/>
      <c r="P30" s="98"/>
      <c r="Q30" s="98"/>
    </row>
    <row r="31" spans="1:17" ht="20.25" x14ac:dyDescent="0.25">
      <c r="A31" s="98"/>
      <c r="B31" s="189"/>
      <c r="C31" s="189"/>
      <c r="D31" s="188"/>
      <c r="E31" s="98"/>
      <c r="F31" s="98"/>
      <c r="G31" s="98"/>
      <c r="H31" s="98"/>
      <c r="I31" s="98"/>
      <c r="J31" s="98"/>
      <c r="K31" s="457">
        <v>2020</v>
      </c>
      <c r="L31" s="458">
        <f>VLOOKUP($E$9,Clasificación!$A$6:$BZ$141,69,0)</f>
        <v>0.67889999999999995</v>
      </c>
      <c r="M31" s="586" t="str">
        <f>VLOOKUP($E$9,Clasificación!$A$6:$BQ$141,61,0)</f>
        <v>B</v>
      </c>
      <c r="N31" s="98"/>
      <c r="O31" s="98"/>
      <c r="P31" s="98"/>
      <c r="Q31" s="98"/>
    </row>
    <row r="32" spans="1:17" ht="20.25" x14ac:dyDescent="0.25">
      <c r="A32" s="98"/>
      <c r="B32" s="189"/>
      <c r="C32" s="188"/>
      <c r="D32" s="188"/>
      <c r="E32" s="98"/>
      <c r="F32" s="98"/>
      <c r="G32" s="98"/>
      <c r="H32" s="98"/>
      <c r="I32" s="98"/>
      <c r="J32" s="98"/>
      <c r="K32" s="457">
        <v>2021</v>
      </c>
      <c r="L32" s="458">
        <f>VLOOKUP($E$9,Clasificación!$A$6:$BZ$141,78,0)</f>
        <v>0.67900000000000005</v>
      </c>
      <c r="M32" s="586" t="str">
        <f>VLOOKUP($E$9,Clasificación!$A$6:$BZ$141,70,0)</f>
        <v>B</v>
      </c>
      <c r="N32" s="98"/>
      <c r="O32" s="98"/>
      <c r="P32" s="98"/>
      <c r="Q32" s="98"/>
    </row>
    <row r="33" spans="1:17" ht="20.25" x14ac:dyDescent="0.25">
      <c r="A33" s="98"/>
      <c r="B33" s="189"/>
      <c r="C33" s="189"/>
      <c r="D33" s="188"/>
      <c r="E33" s="98"/>
      <c r="F33" s="98"/>
      <c r="G33" s="98"/>
      <c r="H33" s="98"/>
      <c r="I33" s="98"/>
      <c r="J33" s="98"/>
      <c r="K33" s="457">
        <v>2022</v>
      </c>
      <c r="L33" s="458">
        <f>VLOOKUP($E$9,Clasificación!$A$6:$CI$141,87,0)</f>
        <v>0.69840000000000002</v>
      </c>
      <c r="M33" s="586" t="str">
        <f>VLOOKUP($E$9,Clasificación!$A$6:$CI$141,79,0)</f>
        <v>B</v>
      </c>
      <c r="N33" s="98"/>
      <c r="O33" s="98"/>
      <c r="P33" s="98"/>
      <c r="Q33" s="98"/>
    </row>
    <row r="34" spans="1:17" ht="20.25" x14ac:dyDescent="0.25">
      <c r="A34" s="98"/>
      <c r="B34" s="189"/>
      <c r="C34" s="188"/>
      <c r="D34" s="188"/>
      <c r="E34" s="98"/>
      <c r="F34" s="98"/>
      <c r="G34" s="98"/>
      <c r="H34" s="98"/>
      <c r="I34" s="98"/>
      <c r="J34" s="98"/>
      <c r="K34" s="457">
        <v>2023</v>
      </c>
      <c r="L34" s="458">
        <f>VLOOKUP($E$9,Clasificación!$A$6:$CR$141,96,0)</f>
        <v>0.72409999999999997</v>
      </c>
      <c r="M34" s="586" t="str">
        <f>VLOOKUP($E$9,Clasificación!$A$6:$CR$141,88,0)</f>
        <v>A</v>
      </c>
      <c r="N34" s="98"/>
      <c r="O34" s="98"/>
      <c r="P34" s="98"/>
      <c r="Q34" s="98"/>
    </row>
    <row r="35" spans="1:17" ht="20.25" x14ac:dyDescent="0.25">
      <c r="A35" s="98"/>
      <c r="B35" s="189"/>
      <c r="C35" s="188"/>
      <c r="D35" s="188"/>
      <c r="E35" s="98"/>
      <c r="F35" s="98"/>
      <c r="G35" s="98"/>
      <c r="H35" s="98"/>
      <c r="I35" s="98"/>
      <c r="J35" s="98"/>
      <c r="K35" s="457">
        <v>2024</v>
      </c>
      <c r="L35" s="458">
        <f>VLOOKUP($E$9,Clasificación!$A$6:$DA$141,105,0)</f>
        <v>0.72599999999999998</v>
      </c>
      <c r="M35" s="458" t="str">
        <f>VLOOKUP($E$9,Clasificación!$A$6:$DA$141,97,0)</f>
        <v>A</v>
      </c>
      <c r="N35" s="98"/>
      <c r="O35" s="98"/>
      <c r="P35" s="98"/>
      <c r="Q35" s="98"/>
    </row>
    <row r="36" spans="1:17" ht="20.25" x14ac:dyDescent="0.25">
      <c r="A36" s="98"/>
      <c r="B36" s="189"/>
      <c r="C36" s="188"/>
      <c r="D36" s="188"/>
      <c r="E36" s="98"/>
      <c r="F36" s="98"/>
      <c r="G36" s="98"/>
      <c r="H36" s="98"/>
      <c r="I36" s="98"/>
      <c r="J36" s="98"/>
      <c r="K36" s="98"/>
      <c r="L36" s="98"/>
      <c r="M36" s="98"/>
      <c r="N36" s="98"/>
      <c r="O36" s="98"/>
      <c r="P36" s="98"/>
      <c r="Q36" s="98"/>
    </row>
    <row r="37" spans="1:17" ht="20.25" x14ac:dyDescent="0.25">
      <c r="A37" s="98"/>
      <c r="B37" s="189"/>
      <c r="C37" s="188"/>
      <c r="D37" s="188"/>
      <c r="E37" s="98"/>
      <c r="F37" s="98"/>
      <c r="G37" s="98"/>
      <c r="H37" s="98"/>
      <c r="I37" s="98"/>
      <c r="J37" s="98"/>
      <c r="K37" s="98"/>
      <c r="L37" s="98"/>
      <c r="M37" s="98"/>
      <c r="N37" s="98"/>
      <c r="O37" s="98"/>
      <c r="P37" s="98"/>
      <c r="Q37" s="98"/>
    </row>
    <row r="38" spans="1:17" x14ac:dyDescent="0.25">
      <c r="A38" s="98"/>
      <c r="B38" s="98"/>
      <c r="C38" s="98"/>
      <c r="D38" s="98"/>
      <c r="E38" s="98"/>
      <c r="F38" s="98"/>
      <c r="G38" s="98"/>
      <c r="H38" s="98"/>
      <c r="I38" s="98"/>
      <c r="J38" s="98"/>
      <c r="K38" s="98"/>
      <c r="L38" s="98"/>
      <c r="M38" s="98"/>
      <c r="N38" s="98"/>
      <c r="O38" s="98"/>
      <c r="P38" s="98"/>
      <c r="Q38" s="98"/>
    </row>
    <row r="39" spans="1:17" x14ac:dyDescent="0.25">
      <c r="A39" s="98"/>
      <c r="B39" s="98"/>
      <c r="C39" s="98"/>
      <c r="D39" s="98"/>
      <c r="E39" s="98"/>
      <c r="F39" s="98"/>
      <c r="G39" s="98"/>
      <c r="H39" s="98"/>
      <c r="I39" s="98"/>
      <c r="J39" s="98"/>
      <c r="K39" s="98"/>
      <c r="L39" s="98"/>
      <c r="M39" s="98"/>
      <c r="N39" s="98"/>
      <c r="O39" s="98"/>
      <c r="P39" s="98"/>
      <c r="Q39" s="98"/>
    </row>
    <row r="40" spans="1:17" x14ac:dyDescent="0.25">
      <c r="A40" s="98"/>
      <c r="B40" s="98"/>
      <c r="C40" s="98"/>
      <c r="D40" s="98"/>
      <c r="E40" s="98"/>
      <c r="F40" s="98"/>
      <c r="G40" s="98"/>
      <c r="H40" s="98"/>
      <c r="I40" s="98"/>
      <c r="J40" s="98"/>
      <c r="K40" s="98"/>
      <c r="L40" s="98"/>
      <c r="M40" s="98"/>
      <c r="N40" s="98"/>
      <c r="O40" s="98"/>
      <c r="P40" s="98"/>
      <c r="Q40" s="98"/>
    </row>
    <row r="41" spans="1:17" x14ac:dyDescent="0.25">
      <c r="A41" s="98"/>
      <c r="B41" s="98"/>
      <c r="C41" s="98"/>
      <c r="D41" s="98"/>
      <c r="E41" s="98"/>
      <c r="F41" s="98"/>
      <c r="G41" s="98"/>
      <c r="H41" s="98"/>
      <c r="I41" s="98"/>
      <c r="J41" s="98"/>
      <c r="K41" s="98"/>
      <c r="L41" s="98"/>
      <c r="M41" s="98"/>
      <c r="N41" s="98"/>
      <c r="O41" s="98"/>
      <c r="P41" s="98"/>
      <c r="Q41" s="98"/>
    </row>
    <row r="42" spans="1:17" x14ac:dyDescent="0.25">
      <c r="A42" s="98"/>
      <c r="B42" s="98"/>
      <c r="C42" s="98"/>
      <c r="D42" s="98"/>
      <c r="E42" s="98"/>
      <c r="F42" s="98"/>
      <c r="G42" s="98"/>
      <c r="H42" s="98"/>
      <c r="I42" s="98"/>
      <c r="J42" s="98"/>
      <c r="K42" s="98"/>
      <c r="L42" s="98"/>
      <c r="M42" s="98"/>
      <c r="N42" s="98"/>
      <c r="O42" s="98"/>
      <c r="P42" s="98"/>
      <c r="Q42" s="98"/>
    </row>
    <row r="43" spans="1:17" ht="20.25" customHeight="1" x14ac:dyDescent="0.25">
      <c r="A43" s="98"/>
      <c r="B43" s="834" t="s">
        <v>939</v>
      </c>
      <c r="C43" s="834"/>
      <c r="D43" s="834"/>
      <c r="E43" s="834"/>
      <c r="F43" s="834"/>
      <c r="G43" s="834"/>
      <c r="H43" s="834"/>
      <c r="I43" s="834"/>
      <c r="J43" s="834"/>
      <c r="K43" s="834"/>
      <c r="L43" s="834"/>
      <c r="M43" s="834"/>
      <c r="N43" s="834"/>
      <c r="O43" s="834"/>
      <c r="P43" s="834"/>
      <c r="Q43" s="834"/>
    </row>
  </sheetData>
  <sheetProtection sheet="1" objects="1" scenarios="1"/>
  <mergeCells count="11">
    <mergeCell ref="K25:M25"/>
    <mergeCell ref="B43:Q43"/>
    <mergeCell ref="B7:P7"/>
    <mergeCell ref="B9:D9"/>
    <mergeCell ref="H24:J30"/>
    <mergeCell ref="B28:C28"/>
    <mergeCell ref="B13:E13"/>
    <mergeCell ref="E10:L10"/>
    <mergeCell ref="E11:L11"/>
    <mergeCell ref="E9:L9"/>
    <mergeCell ref="N9:P11"/>
  </mergeCells>
  <pageMargins left="0.39370078740157483" right="0.39370078740157483" top="0.39370078740157483" bottom="0.39370078740157483" header="0.31496062992125984" footer="0.31496062992125984"/>
  <pageSetup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3D4237-D11D-4A60-89E7-DF1701F6E9D9}">
          <x14:formula1>
            <xm:f>PGLOBAL!$A$10:$A$172</xm:f>
          </x14:formula1>
          <xm:sqref>E9:E11 F10:L11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C95E-9DF8-401F-A57B-FF3AAB5D5675}">
  <sheetPr codeName="Hoja5">
    <tabColor rgb="FFFF0000"/>
  </sheetPr>
  <dimension ref="A2:Z335"/>
  <sheetViews>
    <sheetView zoomScale="70" zoomScaleNormal="70" workbookViewId="0">
      <selection activeCell="E8" sqref="E8:J8"/>
    </sheetView>
  </sheetViews>
  <sheetFormatPr baseColWidth="10" defaultColWidth="12.5703125" defaultRowHeight="15.75" x14ac:dyDescent="0.25"/>
  <cols>
    <col min="1" max="1" width="6.140625" style="125" customWidth="1"/>
    <col min="2" max="2" width="13" style="125" customWidth="1"/>
    <col min="3" max="3" width="32.42578125" style="100" customWidth="1"/>
    <col min="4" max="4" width="15.140625" style="100" customWidth="1"/>
    <col min="5" max="5" width="14.42578125" style="100" customWidth="1"/>
    <col min="6" max="7" width="23.42578125" style="100" customWidth="1"/>
    <col min="8" max="8" width="5.140625" style="100" customWidth="1"/>
    <col min="9" max="9" width="17.7109375" style="100" customWidth="1"/>
    <col min="10" max="10" width="48.5703125" style="100" customWidth="1"/>
    <col min="11" max="14" width="15.140625" style="100" customWidth="1"/>
    <col min="15" max="16" width="22.28515625" style="100" customWidth="1"/>
    <col min="17" max="17" width="4.85546875" style="100" customWidth="1"/>
    <col min="18" max="18" width="16.5703125" style="100" customWidth="1"/>
    <col min="19" max="19" width="15.5703125" style="100" customWidth="1"/>
    <col min="20" max="20" width="12.5703125" style="100"/>
    <col min="21" max="21" width="54" style="100" customWidth="1"/>
    <col min="22" max="22" width="12.5703125" style="100"/>
    <col min="23" max="23" width="14.140625" style="100" customWidth="1"/>
    <col min="24" max="24" width="15.85546875" style="100" customWidth="1"/>
    <col min="25" max="16384" width="12.5703125" style="100"/>
  </cols>
  <sheetData>
    <row r="2" spans="1:26" x14ac:dyDescent="0.25">
      <c r="A2" s="118"/>
      <c r="B2" s="118"/>
      <c r="C2" s="98"/>
      <c r="D2" s="98"/>
      <c r="E2" s="98"/>
      <c r="F2" s="98"/>
      <c r="G2" s="98"/>
      <c r="H2" s="98"/>
      <c r="I2" s="98"/>
      <c r="J2" s="98"/>
      <c r="K2" s="98"/>
      <c r="L2" s="98"/>
      <c r="M2" s="98"/>
      <c r="N2" s="98"/>
      <c r="O2" s="98"/>
      <c r="P2" s="98"/>
      <c r="Q2" s="98"/>
      <c r="R2" s="98"/>
      <c r="S2" s="98"/>
      <c r="T2" s="98"/>
      <c r="U2" s="98"/>
      <c r="V2" s="98"/>
      <c r="W2" s="98"/>
      <c r="X2" s="98"/>
      <c r="Y2" s="98"/>
      <c r="Z2" s="98"/>
    </row>
    <row r="3" spans="1:26" x14ac:dyDescent="0.25">
      <c r="A3" s="118"/>
      <c r="B3" s="118"/>
      <c r="C3" s="98"/>
      <c r="D3" s="98"/>
      <c r="E3" s="98"/>
      <c r="F3" s="98"/>
      <c r="G3" s="98"/>
      <c r="H3" s="98"/>
      <c r="I3" s="98"/>
      <c r="J3" s="98"/>
      <c r="K3" s="98"/>
      <c r="L3" s="98"/>
      <c r="M3" s="98"/>
      <c r="N3" s="98"/>
      <c r="O3" s="98"/>
      <c r="P3" s="98"/>
      <c r="Q3" s="98"/>
      <c r="R3" s="98"/>
      <c r="S3" s="98"/>
      <c r="T3" s="98"/>
      <c r="U3" s="98"/>
      <c r="V3" s="98"/>
      <c r="W3" s="98"/>
      <c r="X3" s="98"/>
      <c r="Y3" s="98"/>
      <c r="Z3" s="98"/>
    </row>
    <row r="4" spans="1:26" ht="20.25" x14ac:dyDescent="0.3">
      <c r="A4" s="98"/>
      <c r="B4" s="98"/>
      <c r="C4" s="234"/>
      <c r="D4" s="234"/>
      <c r="E4" s="234"/>
      <c r="F4" s="234"/>
      <c r="G4" s="119"/>
      <c r="H4" s="119"/>
      <c r="I4" s="119"/>
      <c r="J4" s="119"/>
      <c r="K4" s="119"/>
      <c r="L4" s="119"/>
      <c r="M4" s="119"/>
      <c r="N4" s="119"/>
      <c r="O4" s="119"/>
      <c r="P4" s="119"/>
      <c r="Q4" s="98"/>
      <c r="R4" s="98"/>
      <c r="S4" s="98"/>
      <c r="T4" s="98"/>
      <c r="U4" s="98"/>
      <c r="V4" s="98"/>
      <c r="W4" s="98"/>
      <c r="X4" s="98"/>
      <c r="Y4" s="98"/>
      <c r="Z4" s="98"/>
    </row>
    <row r="5" spans="1:26" ht="35.25" customHeight="1" x14ac:dyDescent="0.3">
      <c r="A5" s="98"/>
      <c r="B5" s="98"/>
      <c r="C5" s="98"/>
      <c r="D5" s="98"/>
      <c r="E5" s="98"/>
      <c r="F5" s="98"/>
      <c r="G5" s="230"/>
      <c r="H5" s="119"/>
      <c r="I5" s="119"/>
      <c r="J5" s="119"/>
      <c r="K5" s="119"/>
      <c r="L5" s="119"/>
      <c r="M5" s="119"/>
      <c r="N5" s="119"/>
      <c r="O5" s="119"/>
      <c r="P5" s="119"/>
      <c r="Q5" s="98"/>
      <c r="R5" s="98"/>
      <c r="S5" s="98"/>
      <c r="T5" s="98"/>
      <c r="U5" s="98"/>
      <c r="V5" s="98"/>
      <c r="W5" s="98"/>
      <c r="X5" s="98"/>
      <c r="Y5" s="98"/>
      <c r="Z5" s="98"/>
    </row>
    <row r="6" spans="1:26" ht="35.25" customHeight="1" x14ac:dyDescent="0.25">
      <c r="A6" s="98"/>
      <c r="B6" s="836" t="s">
        <v>848</v>
      </c>
      <c r="C6" s="836"/>
      <c r="D6" s="836"/>
      <c r="E6" s="836"/>
      <c r="F6" s="836"/>
      <c r="G6" s="836"/>
      <c r="H6" s="836"/>
      <c r="I6" s="836"/>
      <c r="J6" s="836"/>
      <c r="K6" s="836"/>
      <c r="L6" s="836"/>
      <c r="M6" s="836"/>
      <c r="N6" s="836"/>
      <c r="O6" s="836"/>
      <c r="P6" s="836"/>
      <c r="Q6" s="836"/>
      <c r="R6" s="836"/>
      <c r="S6" s="836"/>
      <c r="T6" s="836"/>
      <c r="U6" s="836"/>
      <c r="V6" s="836"/>
      <c r="W6" s="98"/>
      <c r="X6" s="98"/>
      <c r="Y6" s="98"/>
      <c r="Z6" s="98"/>
    </row>
    <row r="7" spans="1:26" ht="20.25" x14ac:dyDescent="0.3">
      <c r="A7" s="231"/>
      <c r="B7" s="231"/>
      <c r="C7" s="232"/>
      <c r="D7" s="232"/>
      <c r="E7" s="232"/>
      <c r="F7" s="232"/>
      <c r="G7" s="232"/>
      <c r="H7" s="98"/>
      <c r="I7" s="98"/>
      <c r="J7" s="98"/>
      <c r="K7" s="98"/>
      <c r="L7" s="98"/>
      <c r="M7" s="98"/>
      <c r="N7" s="98"/>
      <c r="O7" s="98"/>
      <c r="P7" s="98"/>
      <c r="Q7" s="98"/>
      <c r="R7" s="98"/>
      <c r="S7" s="98"/>
      <c r="T7" s="98"/>
      <c r="U7" s="98"/>
      <c r="V7" s="98"/>
      <c r="W7" s="98"/>
      <c r="X7" s="98"/>
      <c r="Y7" s="98"/>
      <c r="Z7" s="98"/>
    </row>
    <row r="8" spans="1:26" ht="44.25" customHeight="1" x14ac:dyDescent="0.25">
      <c r="A8" s="118"/>
      <c r="B8" s="870" t="s">
        <v>859</v>
      </c>
      <c r="C8" s="870"/>
      <c r="D8" s="870"/>
      <c r="E8" s="959" t="s">
        <v>170</v>
      </c>
      <c r="F8" s="959"/>
      <c r="G8" s="959"/>
      <c r="H8" s="959"/>
      <c r="I8" s="959"/>
      <c r="J8" s="959"/>
      <c r="K8" s="234"/>
      <c r="L8" s="234"/>
      <c r="M8" s="234"/>
      <c r="N8" s="234"/>
      <c r="O8" s="234"/>
      <c r="P8" s="98"/>
      <c r="Q8" s="98"/>
      <c r="R8" s="98"/>
      <c r="S8" s="98"/>
      <c r="T8" s="98"/>
      <c r="U8" s="98"/>
      <c r="V8" s="98"/>
      <c r="W8" s="98"/>
      <c r="X8" s="98"/>
      <c r="Y8" s="98"/>
      <c r="Z8" s="98"/>
    </row>
    <row r="9" spans="1:26" ht="44.25" customHeight="1" x14ac:dyDescent="0.25">
      <c r="A9" s="118"/>
      <c r="B9" s="239" t="s">
        <v>869</v>
      </c>
      <c r="C9" s="239"/>
      <c r="D9" s="239"/>
      <c r="E9" s="959" t="s">
        <v>244</v>
      </c>
      <c r="F9" s="959"/>
      <c r="G9" s="959"/>
      <c r="H9" s="959"/>
      <c r="I9" s="959"/>
      <c r="J9" s="959"/>
      <c r="K9" s="239"/>
      <c r="L9" s="239"/>
      <c r="M9" s="239"/>
      <c r="N9" s="239"/>
      <c r="O9" s="239"/>
      <c r="P9" s="98"/>
      <c r="Q9" s="98"/>
      <c r="R9" s="98"/>
      <c r="S9" s="98"/>
      <c r="T9" s="98"/>
      <c r="U9" s="98"/>
      <c r="V9" s="98"/>
      <c r="W9" s="98"/>
      <c r="X9" s="98"/>
      <c r="Y9" s="98"/>
      <c r="Z9" s="98"/>
    </row>
    <row r="10" spans="1:26" ht="44.25" customHeight="1" x14ac:dyDescent="0.25">
      <c r="A10" s="118"/>
      <c r="B10" s="239" t="s">
        <v>870</v>
      </c>
      <c r="C10" s="239"/>
      <c r="D10" s="239"/>
      <c r="E10" s="959" t="s">
        <v>900</v>
      </c>
      <c r="F10" s="959"/>
      <c r="G10" s="959"/>
      <c r="H10" s="959"/>
      <c r="I10" s="959"/>
      <c r="J10" s="959"/>
      <c r="K10" s="239"/>
      <c r="L10" s="239"/>
      <c r="M10" s="239"/>
      <c r="N10" s="239"/>
      <c r="O10" s="239"/>
      <c r="P10" s="98"/>
      <c r="Q10" s="98"/>
      <c r="R10" s="98"/>
      <c r="S10" s="98"/>
      <c r="T10" s="98"/>
      <c r="U10" s="98"/>
      <c r="V10" s="98"/>
      <c r="W10" s="98"/>
      <c r="X10" s="98"/>
      <c r="Y10" s="98"/>
      <c r="Z10" s="98"/>
    </row>
    <row r="11" spans="1:26" ht="41.25" customHeight="1" x14ac:dyDescent="0.4">
      <c r="A11" s="119"/>
      <c r="B11" s="119"/>
      <c r="C11" s="190"/>
      <c r="D11" s="120"/>
      <c r="E11" s="120"/>
      <c r="F11" s="120"/>
      <c r="G11" s="120"/>
      <c r="H11" s="120"/>
      <c r="I11" s="98"/>
      <c r="J11" s="98"/>
      <c r="K11" s="98"/>
      <c r="L11" s="98"/>
      <c r="M11" s="98"/>
      <c r="N11" s="98"/>
      <c r="O11" s="98"/>
      <c r="P11" s="98"/>
      <c r="Q11" s="98"/>
      <c r="R11" s="893" t="s">
        <v>1022</v>
      </c>
      <c r="S11" s="893"/>
      <c r="T11" s="893"/>
      <c r="U11" s="893"/>
      <c r="V11" s="893"/>
      <c r="W11" s="893"/>
      <c r="X11" s="893"/>
      <c r="Y11" s="893"/>
      <c r="Z11" s="98"/>
    </row>
    <row r="12" spans="1:26" ht="33" customHeight="1" x14ac:dyDescent="0.3">
      <c r="A12" s="119"/>
      <c r="B12" s="892" t="s">
        <v>724</v>
      </c>
      <c r="C12" s="892"/>
      <c r="D12" s="892"/>
      <c r="E12" s="892"/>
      <c r="F12" s="892"/>
      <c r="G12" s="120"/>
      <c r="H12" s="120"/>
      <c r="I12" s="963" t="s">
        <v>847</v>
      </c>
      <c r="J12" s="963"/>
      <c r="K12" s="963"/>
      <c r="L12" s="963"/>
      <c r="M12" s="963"/>
      <c r="N12" s="963"/>
      <c r="O12" s="98"/>
      <c r="P12" s="102"/>
      <c r="Q12" s="98"/>
      <c r="R12" s="389" t="s">
        <v>1015</v>
      </c>
      <c r="S12" s="389" t="s">
        <v>1016</v>
      </c>
      <c r="T12" s="952" t="s">
        <v>1017</v>
      </c>
      <c r="U12" s="952"/>
      <c r="V12" s="952"/>
      <c r="W12" s="952"/>
      <c r="X12" s="952"/>
      <c r="Y12" s="952"/>
      <c r="Z12" s="98"/>
    </row>
    <row r="13" spans="1:26" ht="43.5" customHeight="1" x14ac:dyDescent="0.3">
      <c r="A13" s="118"/>
      <c r="B13" s="219" t="s">
        <v>400</v>
      </c>
      <c r="C13" s="220" t="str">
        <f>$E$8</f>
        <v>GIMNASIO NUEVO BOLIVAR</v>
      </c>
      <c r="D13" s="877" t="str">
        <f>$E$9</f>
        <v>COMUNA 1</v>
      </c>
      <c r="E13" s="877"/>
      <c r="F13" s="221" t="str">
        <f>$E$10</f>
        <v>COMUNA 6 OFICIAL</v>
      </c>
      <c r="G13" s="118"/>
      <c r="H13" s="118"/>
      <c r="I13" s="392" t="s">
        <v>400</v>
      </c>
      <c r="J13" s="392" t="s">
        <v>402</v>
      </c>
      <c r="K13" s="306" t="s">
        <v>719</v>
      </c>
      <c r="L13" s="210" t="s">
        <v>720</v>
      </c>
      <c r="M13" s="211" t="s">
        <v>721</v>
      </c>
      <c r="N13" s="212" t="s">
        <v>722</v>
      </c>
      <c r="O13" s="102" t="s">
        <v>723</v>
      </c>
      <c r="P13" s="121"/>
      <c r="Q13" s="98"/>
      <c r="R13" s="390">
        <v>1</v>
      </c>
      <c r="S13" s="391" t="s">
        <v>719</v>
      </c>
      <c r="T13" s="948" t="s">
        <v>1018</v>
      </c>
      <c r="U13" s="960"/>
      <c r="V13" s="960"/>
      <c r="W13" s="960"/>
      <c r="X13" s="960"/>
      <c r="Y13" s="960"/>
      <c r="Z13" s="98"/>
    </row>
    <row r="14" spans="1:26" ht="26.25" customHeight="1" x14ac:dyDescent="0.25">
      <c r="A14" s="98"/>
      <c r="B14" s="207">
        <v>2016</v>
      </c>
      <c r="C14" s="191">
        <f>VLOOKUP($E$8,LC!$A$10:$AV$171,4,0)</f>
        <v>56</v>
      </c>
      <c r="D14" s="878">
        <f>VLOOKUP($E$9,LC!$A$10:$AV$171,4,0)</f>
        <v>53.117647058823529</v>
      </c>
      <c r="E14" s="878"/>
      <c r="F14" s="191">
        <f>VLOOKUP($E$10,LC!$A$10:$AV$171,4,0)</f>
        <v>52.666666666666664</v>
      </c>
      <c r="G14" s="118"/>
      <c r="H14" s="118"/>
      <c r="I14" s="393"/>
      <c r="J14" s="393"/>
      <c r="K14" s="388">
        <v>1</v>
      </c>
      <c r="L14" s="214">
        <v>2</v>
      </c>
      <c r="M14" s="215">
        <v>3</v>
      </c>
      <c r="N14" s="216">
        <v>4</v>
      </c>
      <c r="O14" s="121" t="s">
        <v>853</v>
      </c>
      <c r="P14" s="108"/>
      <c r="Q14" s="98"/>
      <c r="R14" s="895">
        <v>2</v>
      </c>
      <c r="S14" s="895" t="s">
        <v>720</v>
      </c>
      <c r="T14" s="961" t="s">
        <v>1019</v>
      </c>
      <c r="U14" s="962"/>
      <c r="V14" s="962"/>
      <c r="W14" s="962"/>
      <c r="X14" s="962"/>
      <c r="Y14" s="962"/>
      <c r="Z14" s="98"/>
    </row>
    <row r="15" spans="1:26" ht="21.75" customHeight="1" x14ac:dyDescent="0.25">
      <c r="A15" s="98"/>
      <c r="B15" s="207">
        <v>2017</v>
      </c>
      <c r="C15" s="191">
        <f>VLOOKUP($E$8,LC!$A$10:$AV$171,13,0)</f>
        <v>57</v>
      </c>
      <c r="D15" s="878">
        <f>VLOOKUP($E$9,LC!$A$10:$AV$171,13,0)</f>
        <v>53.75</v>
      </c>
      <c r="E15" s="878"/>
      <c r="F15" s="191">
        <f>VLOOKUP($E$10,LC!$A$10:$AV$171,13,0)</f>
        <v>52.666666666666664</v>
      </c>
      <c r="G15" s="118"/>
      <c r="H15" s="118"/>
      <c r="I15" s="949">
        <v>2016</v>
      </c>
      <c r="J15" s="394" t="str">
        <f>$E$8</f>
        <v>GIMNASIO NUEVO BOLIVAR</v>
      </c>
      <c r="K15" s="194">
        <f>VLOOKUP($E$8,LC!$A$10:$AV$171,6,0)</f>
        <v>0</v>
      </c>
      <c r="L15" s="223">
        <f>VLOOKUP($E$8,LC!$A$10:$AV$171,7,0)</f>
        <v>0.24</v>
      </c>
      <c r="M15" s="309">
        <f>VLOOKUP($E$8,LC!$A$10:$AV$171,8,0)</f>
        <v>0.68</v>
      </c>
      <c r="N15" s="310">
        <f>VLOOKUP($E$8,LC!$A$10:$AV$171,9,0)</f>
        <v>7.0000000000000007E-2</v>
      </c>
      <c r="O15" s="108">
        <f t="shared" ref="O15:O32" si="0">K15+L15</f>
        <v>0.24</v>
      </c>
      <c r="P15" s="108"/>
      <c r="Q15" s="98"/>
      <c r="R15" s="895"/>
      <c r="S15" s="895"/>
      <c r="T15" s="962"/>
      <c r="U15" s="962"/>
      <c r="V15" s="962"/>
      <c r="W15" s="962"/>
      <c r="X15" s="962"/>
      <c r="Y15" s="962"/>
      <c r="Z15" s="98"/>
    </row>
    <row r="16" spans="1:26" ht="21.75" customHeight="1" x14ac:dyDescent="0.25">
      <c r="A16" s="98"/>
      <c r="B16" s="207">
        <v>2018</v>
      </c>
      <c r="C16" s="191">
        <f>VLOOKUP($E$8,LC!$A$10:$AV$171,22,0)</f>
        <v>54</v>
      </c>
      <c r="D16" s="878">
        <f>VLOOKUP($E$9,LC!$A$10:$AV$171,22,0)</f>
        <v>53.823529411764703</v>
      </c>
      <c r="E16" s="878"/>
      <c r="F16" s="191">
        <f>VLOOKUP($E$10,LC!$A$10:$AV$171,22,0)</f>
        <v>52.666666666666664</v>
      </c>
      <c r="G16" s="118"/>
      <c r="H16" s="118"/>
      <c r="I16" s="950"/>
      <c r="J16" s="394" t="str">
        <f>$E$9</f>
        <v>COMUNA 1</v>
      </c>
      <c r="K16" s="194">
        <f>VLOOKUP($E$9,LC!$A$10:$AV$171,6,0)</f>
        <v>9.4117647058823539E-3</v>
      </c>
      <c r="L16" s="223">
        <f>VLOOKUP($E$9,LC!$A$10:$AV$171,7,0)</f>
        <v>0.39588235294117652</v>
      </c>
      <c r="M16" s="309">
        <f>VLOOKUP($E$9,LC!$A$10:$AV$171,8,0)</f>
        <v>0.56000000000000005</v>
      </c>
      <c r="N16" s="310">
        <f>VLOOKUP($E$9,LC!$A$10:$AV$171,9,0)</f>
        <v>3.7647058823529415E-2</v>
      </c>
      <c r="O16" s="108">
        <f t="shared" si="0"/>
        <v>0.40529411764705886</v>
      </c>
      <c r="P16" s="108"/>
      <c r="Q16" s="98"/>
      <c r="R16" s="895"/>
      <c r="S16" s="895"/>
      <c r="T16" s="962"/>
      <c r="U16" s="962"/>
      <c r="V16" s="962"/>
      <c r="W16" s="962"/>
      <c r="X16" s="962"/>
      <c r="Y16" s="962"/>
      <c r="Z16" s="98"/>
    </row>
    <row r="17" spans="1:26" ht="20.100000000000001" customHeight="1" x14ac:dyDescent="0.25">
      <c r="A17" s="98"/>
      <c r="B17" s="207">
        <v>2019</v>
      </c>
      <c r="C17" s="191">
        <f>VLOOKUP($E$8,LC!$A$10:$AV$171,31,0)</f>
        <v>54</v>
      </c>
      <c r="D17" s="878">
        <f>VLOOKUP($E$9,LC!$A$10:$AV$171,31,0)</f>
        <v>53.705882352941174</v>
      </c>
      <c r="E17" s="878"/>
      <c r="F17" s="191">
        <f>VLOOKUP($E$10,LC!$A$10:$AV$171,31,0)</f>
        <v>52.666666666666664</v>
      </c>
      <c r="G17" s="118"/>
      <c r="H17" s="118"/>
      <c r="I17" s="951"/>
      <c r="J17" s="394" t="str">
        <f>$E$10</f>
        <v>COMUNA 6 OFICIAL</v>
      </c>
      <c r="K17" s="194">
        <f>VLOOKUP($E$10,LC!$A$10:$AV$171,6,0)</f>
        <v>6.6666666666666671E-3</v>
      </c>
      <c r="L17" s="223">
        <f>VLOOKUP($E$10,LC!$A$10:$AV$171,7,0)</f>
        <v>0.41</v>
      </c>
      <c r="M17" s="309">
        <f>VLOOKUP($E$10,LC!$A$10:$AV$171,8,0)</f>
        <v>0.54</v>
      </c>
      <c r="N17" s="310">
        <f>VLOOKUP($E$10,LC!$A$10:$AV$171,9,0)</f>
        <v>4.3333333333333335E-2</v>
      </c>
      <c r="O17" s="108">
        <f t="shared" si="0"/>
        <v>0.41666666666666663</v>
      </c>
      <c r="P17" s="108"/>
      <c r="Q17" s="98"/>
      <c r="R17" s="895"/>
      <c r="S17" s="895"/>
      <c r="T17" s="962"/>
      <c r="U17" s="962"/>
      <c r="V17" s="962"/>
      <c r="W17" s="962"/>
      <c r="X17" s="962"/>
      <c r="Y17" s="962"/>
      <c r="Z17" s="98"/>
    </row>
    <row r="18" spans="1:26" ht="20.100000000000001" customHeight="1" x14ac:dyDescent="0.25">
      <c r="A18" s="98"/>
      <c r="B18" s="207">
        <v>2020</v>
      </c>
      <c r="C18" s="191">
        <f>VLOOKUP($E$8,LC!$A$10:$AV$171,40,0)</f>
        <v>56</v>
      </c>
      <c r="D18" s="878">
        <f>VLOOKUP($E$9,LC!$A$10:$AV$171,40,0)</f>
        <v>53.823529411764703</v>
      </c>
      <c r="E18" s="878"/>
      <c r="F18" s="191">
        <f>VLOOKUP($E$10,LC!$A$10:$AV$171,40,0)</f>
        <v>53</v>
      </c>
      <c r="G18" s="118"/>
      <c r="H18" s="118"/>
      <c r="I18" s="949">
        <v>2017</v>
      </c>
      <c r="J18" s="394" t="str">
        <f>$E$8</f>
        <v>GIMNASIO NUEVO BOLIVAR</v>
      </c>
      <c r="K18" s="194">
        <f>VLOOKUP($E$8,LC!$A$10:$AV$171,15,0)</f>
        <v>0</v>
      </c>
      <c r="L18" s="223">
        <f>VLOOKUP($E$8,LC!$A$10:$AV$171,16,0)</f>
        <v>0.25</v>
      </c>
      <c r="M18" s="309">
        <f>VLOOKUP($E$8,LC!$A$10:$AV$171,17,0)</f>
        <v>0.56000000000000005</v>
      </c>
      <c r="N18" s="310">
        <f>VLOOKUP($E$8,LC!$A$10:$AV$171,18,0)</f>
        <v>0.19</v>
      </c>
      <c r="O18" s="108">
        <f t="shared" si="0"/>
        <v>0.25</v>
      </c>
      <c r="P18" s="108"/>
      <c r="Q18" s="98"/>
      <c r="R18" s="895"/>
      <c r="S18" s="895"/>
      <c r="T18" s="962"/>
      <c r="U18" s="962"/>
      <c r="V18" s="962"/>
      <c r="W18" s="962"/>
      <c r="X18" s="962"/>
      <c r="Y18" s="962"/>
      <c r="Z18" s="98"/>
    </row>
    <row r="19" spans="1:26" ht="20.100000000000001" customHeight="1" x14ac:dyDescent="0.25">
      <c r="A19" s="98"/>
      <c r="B19" s="207">
        <v>2021</v>
      </c>
      <c r="C19" s="191">
        <f>VLOOKUP($E$8,LC!$A$10:$BG$171,49,0)</f>
        <v>58</v>
      </c>
      <c r="D19" s="878">
        <f>VLOOKUP($E$9,LC!$A$10:$BG$171,49,0)</f>
        <v>54.588235294117645</v>
      </c>
      <c r="E19" s="878"/>
      <c r="F19" s="191">
        <f>VLOOKUP($E$10,LC!$A$10:$BG$171,49,0)</f>
        <v>52.333333333333336</v>
      </c>
      <c r="G19" s="118"/>
      <c r="H19" s="118"/>
      <c r="I19" s="950"/>
      <c r="J19" s="394" t="str">
        <f>$E$9</f>
        <v>COMUNA 1</v>
      </c>
      <c r="K19" s="194">
        <f>VLOOKUP($E$9,LC!$A$10:$AV$171,15,0)</f>
        <v>1.2500000000000001E-2</v>
      </c>
      <c r="L19" s="223">
        <f>VLOOKUP($E$9,LC!$A$10:$AV$171,16,0)</f>
        <v>0.32562500000000005</v>
      </c>
      <c r="M19" s="309">
        <f>VLOOKUP($E$9,LC!$A$10:$AV$171,17,0)</f>
        <v>0.59625000000000006</v>
      </c>
      <c r="N19" s="310">
        <f>VLOOKUP($E$9,LC!$A$10:$AV$171,18,0)</f>
        <v>6.6250000000000003E-2</v>
      </c>
      <c r="O19" s="108">
        <f t="shared" si="0"/>
        <v>0.33812500000000006</v>
      </c>
      <c r="P19" s="108"/>
      <c r="Q19" s="98"/>
      <c r="R19" s="895"/>
      <c r="S19" s="895"/>
      <c r="T19" s="962"/>
      <c r="U19" s="962"/>
      <c r="V19" s="962"/>
      <c r="W19" s="962"/>
      <c r="X19" s="962"/>
      <c r="Y19" s="962"/>
      <c r="Z19" s="98"/>
    </row>
    <row r="20" spans="1:26" ht="20.100000000000001" customHeight="1" x14ac:dyDescent="0.25">
      <c r="A20" s="98"/>
      <c r="B20" s="207">
        <v>2022</v>
      </c>
      <c r="C20" s="191">
        <f>VLOOKUP($E$8,LC!$A$10:$BR$171,60,0)</f>
        <v>60</v>
      </c>
      <c r="D20" s="878">
        <f>VLOOKUP($E$9,LC!$A$10:$BR$171,60,0)</f>
        <v>54.722222222222221</v>
      </c>
      <c r="E20" s="878"/>
      <c r="F20" s="191">
        <f>VLOOKUP($E$10,LC!$A$10:$BR$171,60,0)</f>
        <v>52.75</v>
      </c>
      <c r="G20" s="118"/>
      <c r="H20" s="118"/>
      <c r="I20" s="951"/>
      <c r="J20" s="394" t="str">
        <f>$E$10</f>
        <v>COMUNA 6 OFICIAL</v>
      </c>
      <c r="K20" s="194">
        <f>VLOOKUP($E$10,LC!$A$10:$AV$171,15,0)</f>
        <v>6.6666666666666671E-3</v>
      </c>
      <c r="L20" s="223">
        <f>VLOOKUP($E$10,LC!$A$10:$AV$171,16,0)</f>
        <v>0.39999999999999997</v>
      </c>
      <c r="M20" s="309">
        <f>VLOOKUP($E$10,LC!$A$10:$AV$171,17,0)</f>
        <v>0.54666666666666675</v>
      </c>
      <c r="N20" s="310">
        <f>VLOOKUP($E$10,LC!$A$10:$AV$171,18,0)</f>
        <v>4.6666666666666669E-2</v>
      </c>
      <c r="O20" s="108">
        <f t="shared" si="0"/>
        <v>0.40666666666666662</v>
      </c>
      <c r="P20" s="108"/>
      <c r="Q20" s="98"/>
      <c r="R20" s="895"/>
      <c r="S20" s="895"/>
      <c r="T20" s="962"/>
      <c r="U20" s="962"/>
      <c r="V20" s="962"/>
      <c r="W20" s="962"/>
      <c r="X20" s="962"/>
      <c r="Y20" s="962"/>
      <c r="Z20" s="98"/>
    </row>
    <row r="21" spans="1:26" ht="20.100000000000001" customHeight="1" x14ac:dyDescent="0.25">
      <c r="A21" s="98"/>
      <c r="B21" s="207">
        <v>2023</v>
      </c>
      <c r="C21" s="191">
        <f>VLOOKUP($E$8,LC!$A$10:$CC$171,71,0)</f>
        <v>58</v>
      </c>
      <c r="D21" s="878">
        <f>VLOOKUP($E$9,LC!$A$10:$CC$171,71,0)</f>
        <v>54.529411764705884</v>
      </c>
      <c r="E21" s="878"/>
      <c r="F21" s="191">
        <f>VLOOKUP($E$10,LC!$A$10:$CC$171,71,0)</f>
        <v>52.5</v>
      </c>
      <c r="G21" s="118"/>
      <c r="H21" s="118"/>
      <c r="I21" s="949">
        <v>2018</v>
      </c>
      <c r="J21" s="394" t="str">
        <f>$E$8</f>
        <v>GIMNASIO NUEVO BOLIVAR</v>
      </c>
      <c r="K21" s="194">
        <f>VLOOKUP($E$8,LC!$A$10:$AV$171,24,0)</f>
        <v>0</v>
      </c>
      <c r="L21" s="223">
        <f>VLOOKUP($E$8,LC!$A$10:$AV$171,25,0)</f>
        <v>0.3</v>
      </c>
      <c r="M21" s="309">
        <f>VLOOKUP($E$8,LC!$A$10:$AV$171,26,0)</f>
        <v>0.7</v>
      </c>
      <c r="N21" s="310">
        <f>VLOOKUP($E$8,LC!$A$10:$AV$171,27,0)</f>
        <v>0</v>
      </c>
      <c r="O21" s="108">
        <f t="shared" si="0"/>
        <v>0.3</v>
      </c>
      <c r="P21" s="108"/>
      <c r="Q21" s="98"/>
      <c r="R21" s="895"/>
      <c r="S21" s="895"/>
      <c r="T21" s="962"/>
      <c r="U21" s="962"/>
      <c r="V21" s="962"/>
      <c r="W21" s="962"/>
      <c r="X21" s="962"/>
      <c r="Y21" s="962"/>
      <c r="Z21" s="98"/>
    </row>
    <row r="22" spans="1:26" ht="20.100000000000001" customHeight="1" x14ac:dyDescent="0.25">
      <c r="A22" s="98"/>
      <c r="B22" s="207">
        <v>2024</v>
      </c>
      <c r="C22" s="191">
        <f>VLOOKUP($E$8,LC!$A$10:$CN$171,82,0)</f>
        <v>57</v>
      </c>
      <c r="D22" s="878">
        <f>VLOOKUP($E$9,LC!$A$10:$CN$171,82,0)</f>
        <v>55.333333333333336</v>
      </c>
      <c r="E22" s="878"/>
      <c r="F22" s="191">
        <f>VLOOKUP($E$10,LC!$A$10:$CN$171,82,0)</f>
        <v>54</v>
      </c>
      <c r="G22" s="118"/>
      <c r="H22" s="118"/>
      <c r="I22" s="950"/>
      <c r="J22" s="394" t="str">
        <f>$E$9</f>
        <v>COMUNA 1</v>
      </c>
      <c r="K22" s="194"/>
      <c r="L22" s="223"/>
      <c r="M22" s="309"/>
      <c r="N22" s="310"/>
      <c r="O22" s="108"/>
      <c r="P22" s="108"/>
      <c r="Q22" s="98"/>
      <c r="R22" s="895"/>
      <c r="S22" s="895"/>
      <c r="T22" s="962"/>
      <c r="U22" s="962"/>
      <c r="V22" s="962"/>
      <c r="W22" s="962"/>
      <c r="X22" s="962"/>
      <c r="Y22" s="962"/>
      <c r="Z22" s="98"/>
    </row>
    <row r="23" spans="1:26" ht="20.100000000000001" customHeight="1" x14ac:dyDescent="0.25">
      <c r="A23" s="98"/>
      <c r="B23" s="98"/>
      <c r="C23" s="98"/>
      <c r="D23" s="98"/>
      <c r="E23" s="118"/>
      <c r="F23" s="118"/>
      <c r="G23" s="118"/>
      <c r="H23" s="118"/>
      <c r="I23" s="951"/>
      <c r="J23" s="394" t="str">
        <f>$E$10</f>
        <v>COMUNA 6 OFICIAL</v>
      </c>
      <c r="K23" s="194">
        <f>VLOOKUP($E$10,LC!$A$10:$AV$171,24,0)</f>
        <v>2.6666666666666661E-2</v>
      </c>
      <c r="L23" s="223">
        <f>VLOOKUP($E$10,LC!$A$10:$AV$171,25,0)</f>
        <v>0.41</v>
      </c>
      <c r="M23" s="309">
        <f>VLOOKUP($E$10,LC!$A$10:$AV$171,26,0)</f>
        <v>0.47666666666666663</v>
      </c>
      <c r="N23" s="310">
        <f>VLOOKUP($E$10,LC!$A$10:$AV$171,27,0)</f>
        <v>8.666666666666667E-2</v>
      </c>
      <c r="O23" s="108">
        <f t="shared" si="0"/>
        <v>0.43666666666666665</v>
      </c>
      <c r="P23" s="108"/>
      <c r="Q23" s="98"/>
      <c r="R23" s="906">
        <v>3</v>
      </c>
      <c r="S23" s="906" t="s">
        <v>721</v>
      </c>
      <c r="T23" s="905" t="s">
        <v>1020</v>
      </c>
      <c r="U23" s="905"/>
      <c r="V23" s="905"/>
      <c r="W23" s="905"/>
      <c r="X23" s="905"/>
      <c r="Y23" s="905"/>
      <c r="Z23" s="98"/>
    </row>
    <row r="24" spans="1:26" ht="20.100000000000001" customHeight="1" x14ac:dyDescent="0.25">
      <c r="A24" s="200"/>
      <c r="B24" s="201"/>
      <c r="C24" s="201"/>
      <c r="D24" s="201"/>
      <c r="E24" s="118"/>
      <c r="F24" s="118"/>
      <c r="G24" s="118"/>
      <c r="H24" s="118"/>
      <c r="I24" s="949">
        <v>2019</v>
      </c>
      <c r="J24" s="394" t="str">
        <f>$E$8</f>
        <v>GIMNASIO NUEVO BOLIVAR</v>
      </c>
      <c r="K24" s="194">
        <f>VLOOKUP($E$8,LC!$A$10:$AV$171,33,0)</f>
        <v>0.05</v>
      </c>
      <c r="L24" s="223">
        <f>VLOOKUP($E$8,LC!$A$10:$AV$171,34,0)</f>
        <v>0.24</v>
      </c>
      <c r="M24" s="309">
        <f>VLOOKUP($E$8,LC!$A$10:$AV$171,35,0)</f>
        <v>0.68</v>
      </c>
      <c r="N24" s="310">
        <f>VLOOKUP($E$8,LC!$A$10:$AV$171,36,0)</f>
        <v>0.03</v>
      </c>
      <c r="O24" s="108">
        <f t="shared" si="0"/>
        <v>0.28999999999999998</v>
      </c>
      <c r="P24" s="108"/>
      <c r="Q24" s="98"/>
      <c r="R24" s="906"/>
      <c r="S24" s="906"/>
      <c r="T24" s="905"/>
      <c r="U24" s="905"/>
      <c r="V24" s="905"/>
      <c r="W24" s="905"/>
      <c r="X24" s="905"/>
      <c r="Y24" s="905"/>
      <c r="Z24" s="98"/>
    </row>
    <row r="25" spans="1:26" ht="20.100000000000001" customHeight="1" x14ac:dyDescent="0.25">
      <c r="A25" s="200"/>
      <c r="B25" s="201"/>
      <c r="C25" s="201"/>
      <c r="D25" s="201"/>
      <c r="E25" s="118"/>
      <c r="F25" s="118"/>
      <c r="G25" s="118"/>
      <c r="H25" s="118"/>
      <c r="I25" s="950"/>
      <c r="J25" s="394" t="str">
        <f>$E$9</f>
        <v>COMUNA 1</v>
      </c>
      <c r="K25" s="194">
        <f>VLOOKUP($E$9,LC!$A$10:$AV$171,33,0)</f>
        <v>1.6470588235294119E-2</v>
      </c>
      <c r="L25" s="223">
        <f>VLOOKUP($E$9,LC!$A$10:$AV$171,34,0)</f>
        <v>0.35176470588235298</v>
      </c>
      <c r="M25" s="309">
        <f>VLOOKUP($E$9,LC!$A$10:$AV$171,35,0)</f>
        <v>0.54176470588235304</v>
      </c>
      <c r="N25" s="310">
        <f>VLOOKUP($E$9,LC!$A$10:$AV$171,36,0)</f>
        <v>0.09</v>
      </c>
      <c r="O25" s="108">
        <f t="shared" si="0"/>
        <v>0.36823529411764711</v>
      </c>
      <c r="P25" s="108"/>
      <c r="Q25" s="98"/>
      <c r="R25" s="906"/>
      <c r="S25" s="906"/>
      <c r="T25" s="905"/>
      <c r="U25" s="905"/>
      <c r="V25" s="905"/>
      <c r="W25" s="905"/>
      <c r="X25" s="905"/>
      <c r="Y25" s="905"/>
      <c r="Z25" s="98"/>
    </row>
    <row r="26" spans="1:26" ht="20.100000000000001" customHeight="1" x14ac:dyDescent="0.25">
      <c r="A26" s="98"/>
      <c r="B26" s="98"/>
      <c r="C26" s="98"/>
      <c r="D26" s="98"/>
      <c r="E26" s="118"/>
      <c r="F26" s="118"/>
      <c r="G26" s="118"/>
      <c r="H26" s="118"/>
      <c r="I26" s="951"/>
      <c r="J26" s="394" t="str">
        <f>$E$10</f>
        <v>COMUNA 6 OFICIAL</v>
      </c>
      <c r="K26" s="194">
        <f>VLOOKUP($E$10,LC!$A$10:$AV$171,33,0)</f>
        <v>2.3333333333333334E-2</v>
      </c>
      <c r="L26" s="223">
        <f>VLOOKUP($E$10,LC!$A$10:$AV$171,34,0)</f>
        <v>0.35666666666666663</v>
      </c>
      <c r="M26" s="309">
        <f>VLOOKUP($E$10,LC!$A$10:$AV$171,35,0)</f>
        <v>0.55000000000000004</v>
      </c>
      <c r="N26" s="310">
        <f>VLOOKUP($E$10,LC!$A$10:$AV$171,36,0)</f>
        <v>7.3333333333333348E-2</v>
      </c>
      <c r="O26" s="108">
        <f t="shared" si="0"/>
        <v>0.37999999999999995</v>
      </c>
      <c r="P26" s="108"/>
      <c r="Q26" s="98"/>
      <c r="R26" s="906"/>
      <c r="S26" s="906"/>
      <c r="T26" s="905"/>
      <c r="U26" s="905"/>
      <c r="V26" s="905"/>
      <c r="W26" s="905"/>
      <c r="X26" s="905"/>
      <c r="Y26" s="905"/>
      <c r="Z26" s="98"/>
    </row>
    <row r="27" spans="1:26" ht="20.100000000000001" customHeight="1" x14ac:dyDescent="0.25">
      <c r="A27" s="200"/>
      <c r="B27" s="201"/>
      <c r="C27" s="201"/>
      <c r="D27" s="201"/>
      <c r="E27" s="118"/>
      <c r="F27" s="118"/>
      <c r="G27" s="118"/>
      <c r="H27" s="118"/>
      <c r="I27" s="949">
        <v>2020</v>
      </c>
      <c r="J27" s="394" t="str">
        <f>$E$8</f>
        <v>GIMNASIO NUEVO BOLIVAR</v>
      </c>
      <c r="K27" s="194">
        <f>VLOOKUP($E$8,LC!$A$10:$AV$171,42,0)</f>
        <v>0</v>
      </c>
      <c r="L27" s="223">
        <f>VLOOKUP($E$8,LC!$A$10:$AV$171,43,0)</f>
        <v>0.2</v>
      </c>
      <c r="M27" s="309">
        <f>VLOOKUP($E$8,LC!$A$10:$AV$171,44,0)</f>
        <v>0.71</v>
      </c>
      <c r="N27" s="310">
        <f>VLOOKUP($E$8,LC!$A$10:$AV$171,45,0)</f>
        <v>0.08</v>
      </c>
      <c r="O27" s="108">
        <f t="shared" si="0"/>
        <v>0.2</v>
      </c>
      <c r="P27" s="108"/>
      <c r="Q27" s="98"/>
      <c r="R27" s="906"/>
      <c r="S27" s="906"/>
      <c r="T27" s="905"/>
      <c r="U27" s="905"/>
      <c r="V27" s="905"/>
      <c r="W27" s="905"/>
      <c r="X27" s="905"/>
      <c r="Y27" s="905"/>
      <c r="Z27" s="98"/>
    </row>
    <row r="28" spans="1:26" ht="20.100000000000001" customHeight="1" x14ac:dyDescent="0.25">
      <c r="A28" s="200"/>
      <c r="B28" s="201"/>
      <c r="C28" s="201"/>
      <c r="D28" s="201"/>
      <c r="E28" s="118"/>
      <c r="F28" s="118"/>
      <c r="G28" s="118"/>
      <c r="H28" s="118"/>
      <c r="I28" s="950"/>
      <c r="J28" s="394" t="str">
        <f>$E$9</f>
        <v>COMUNA 1</v>
      </c>
      <c r="K28" s="194">
        <f>VLOOKUP($E$9,LC!$A$10:$AV$171,42,0)</f>
        <v>2.5882352941176474E-2</v>
      </c>
      <c r="L28" s="223">
        <f>VLOOKUP($E$9,LC!$A$10:$AV$171,43,0)</f>
        <v>0.29352941176470587</v>
      </c>
      <c r="M28" s="309">
        <f>VLOOKUP($E$9,LC!$A$10:$AV$171,44,0)</f>
        <v>0.6029411764705882</v>
      </c>
      <c r="N28" s="310">
        <f>VLOOKUP($E$9,LC!$A$10:$AV$171,45,0)</f>
        <v>7.7647058823529416E-2</v>
      </c>
      <c r="O28" s="108">
        <f t="shared" si="0"/>
        <v>0.31941176470588234</v>
      </c>
      <c r="P28" s="108"/>
      <c r="Q28" s="98"/>
      <c r="R28" s="906"/>
      <c r="S28" s="906"/>
      <c r="T28" s="905"/>
      <c r="U28" s="905"/>
      <c r="V28" s="905"/>
      <c r="W28" s="905"/>
      <c r="X28" s="905"/>
      <c r="Y28" s="905"/>
      <c r="Z28" s="98"/>
    </row>
    <row r="29" spans="1:26" ht="20.100000000000001" customHeight="1" x14ac:dyDescent="0.25">
      <c r="A29" s="200"/>
      <c r="B29" s="201"/>
      <c r="C29" s="201"/>
      <c r="D29" s="201"/>
      <c r="E29" s="118"/>
      <c r="F29" s="118"/>
      <c r="G29" s="118"/>
      <c r="H29" s="118"/>
      <c r="I29" s="951"/>
      <c r="J29" s="394" t="str">
        <f>$E$10</f>
        <v>COMUNA 6 OFICIAL</v>
      </c>
      <c r="K29" s="194">
        <f>VLOOKUP($E$10,LC!$A$10:$AV$171,42,0)</f>
        <v>0.03</v>
      </c>
      <c r="L29" s="223">
        <f>VLOOKUP($E$10,LC!$A$10:$AV$171,43,0)</f>
        <v>0.36000000000000004</v>
      </c>
      <c r="M29" s="309">
        <f>VLOOKUP($E$10,LC!$A$10:$AV$171,44,0)</f>
        <v>0.53666666666666663</v>
      </c>
      <c r="N29" s="310">
        <f>VLOOKUP($E$10,LC!$A$10:$AV$171,45,0)</f>
        <v>7.6666666666666675E-2</v>
      </c>
      <c r="O29" s="108">
        <f t="shared" si="0"/>
        <v>0.39</v>
      </c>
      <c r="P29" s="108"/>
      <c r="Q29" s="98"/>
      <c r="R29" s="906"/>
      <c r="S29" s="906"/>
      <c r="T29" s="905"/>
      <c r="U29" s="905"/>
      <c r="V29" s="905"/>
      <c r="W29" s="905"/>
      <c r="X29" s="905"/>
      <c r="Y29" s="905"/>
      <c r="Z29" s="98"/>
    </row>
    <row r="30" spans="1:26" ht="20.100000000000001" customHeight="1" x14ac:dyDescent="0.25">
      <c r="A30" s="200"/>
      <c r="B30" s="201"/>
      <c r="C30" s="201"/>
      <c r="D30" s="201"/>
      <c r="E30" s="118"/>
      <c r="F30" s="118"/>
      <c r="G30" s="118"/>
      <c r="H30" s="118"/>
      <c r="I30" s="949">
        <v>2021</v>
      </c>
      <c r="J30" s="394" t="str">
        <f>$E$8</f>
        <v>GIMNASIO NUEVO BOLIVAR</v>
      </c>
      <c r="K30" s="194">
        <f>VLOOKUP($E$8,LC!$A$10:$BG$171,53,0)</f>
        <v>0.04</v>
      </c>
      <c r="L30" s="223">
        <f>VLOOKUP($E$8,LC!$A$10:$BG$171,54,0)</f>
        <v>0.19</v>
      </c>
      <c r="M30" s="309">
        <f>VLOOKUP($E$8,LC!$A$10:$BG$171,55,0)</f>
        <v>0.55000000000000004</v>
      </c>
      <c r="N30" s="310">
        <f>VLOOKUP($E$8,LC!$A$10:$BG$171,56,0)</f>
        <v>0.23</v>
      </c>
      <c r="O30" s="108">
        <f t="shared" si="0"/>
        <v>0.23</v>
      </c>
      <c r="P30" s="108"/>
      <c r="Q30" s="98"/>
      <c r="R30" s="906"/>
      <c r="S30" s="906"/>
      <c r="T30" s="905"/>
      <c r="U30" s="905"/>
      <c r="V30" s="905"/>
      <c r="W30" s="905"/>
      <c r="X30" s="905"/>
      <c r="Y30" s="905"/>
      <c r="Z30" s="98"/>
    </row>
    <row r="31" spans="1:26" ht="20.100000000000001" customHeight="1" x14ac:dyDescent="0.25">
      <c r="A31" s="98"/>
      <c r="B31" s="98"/>
      <c r="C31" s="98"/>
      <c r="D31" s="98"/>
      <c r="E31" s="118"/>
      <c r="F31" s="118"/>
      <c r="G31" s="118"/>
      <c r="H31" s="118"/>
      <c r="I31" s="950"/>
      <c r="J31" s="394" t="str">
        <f>$E$9</f>
        <v>COMUNA 1</v>
      </c>
      <c r="K31" s="194">
        <f>VLOOKUP($E$9,LC!$A$10:$BG$171,53,0)</f>
        <v>1.1764705882352941E-2</v>
      </c>
      <c r="L31" s="223">
        <f>VLOOKUP($E$9,LC!$A$10:$BG$171,54,0)</f>
        <v>0.31294117647058828</v>
      </c>
      <c r="M31" s="309">
        <f>VLOOKUP($E$9,LC!$A$10:$BG$171,55,0)</f>
        <v>0.56647058823529406</v>
      </c>
      <c r="N31" s="310">
        <f>VLOOKUP($E$9,LC!$A$10:$BG$171,56,0)</f>
        <v>0.10705882352941178</v>
      </c>
      <c r="O31" s="108">
        <f t="shared" si="0"/>
        <v>0.32470588235294123</v>
      </c>
      <c r="P31" s="108"/>
      <c r="Q31" s="98"/>
      <c r="R31" s="906"/>
      <c r="S31" s="906"/>
      <c r="T31" s="905"/>
      <c r="U31" s="905"/>
      <c r="V31" s="905"/>
      <c r="W31" s="905"/>
      <c r="X31" s="905"/>
      <c r="Y31" s="905"/>
      <c r="Z31" s="98"/>
    </row>
    <row r="32" spans="1:26" ht="20.100000000000001" customHeight="1" x14ac:dyDescent="0.25">
      <c r="A32" s="98"/>
      <c r="B32" s="98"/>
      <c r="C32" s="98"/>
      <c r="D32" s="98"/>
      <c r="E32" s="118"/>
      <c r="F32" s="118"/>
      <c r="G32" s="118"/>
      <c r="H32" s="118"/>
      <c r="I32" s="951"/>
      <c r="J32" s="394" t="str">
        <f>$E$10</f>
        <v>COMUNA 6 OFICIAL</v>
      </c>
      <c r="K32" s="194">
        <f>VLOOKUP($E$10,LC!$A$10:$BG$171,53,0)</f>
        <v>3.3333333333333333E-2</v>
      </c>
      <c r="L32" s="223">
        <f>VLOOKUP($E$10,LC!$A$10:$BG$171,54,0)</f>
        <v>0.39666666666666667</v>
      </c>
      <c r="M32" s="309">
        <f>VLOOKUP($E$10,LC!$A$10:$BG$171,55,0)</f>
        <v>0.5033333333333333</v>
      </c>
      <c r="N32" s="310">
        <f>VLOOKUP($E$10,LC!$A$10:$BG$171,56,0)</f>
        <v>7.3333333333333334E-2</v>
      </c>
      <c r="O32" s="108">
        <f t="shared" si="0"/>
        <v>0.43</v>
      </c>
      <c r="P32" s="108"/>
      <c r="Q32" s="98"/>
      <c r="R32" s="906"/>
      <c r="S32" s="906"/>
      <c r="T32" s="905"/>
      <c r="U32" s="905"/>
      <c r="V32" s="905"/>
      <c r="W32" s="905"/>
      <c r="X32" s="905"/>
      <c r="Y32" s="905"/>
      <c r="Z32" s="98"/>
    </row>
    <row r="33" spans="1:26" ht="19.899999999999999" customHeight="1" x14ac:dyDescent="0.3">
      <c r="A33" s="119"/>
      <c r="B33" s="122"/>
      <c r="C33" s="101"/>
      <c r="D33" s="102"/>
      <c r="E33" s="102"/>
      <c r="F33" s="102"/>
      <c r="G33" s="102"/>
      <c r="H33" s="102"/>
      <c r="I33" s="949">
        <v>2022</v>
      </c>
      <c r="J33" s="394" t="str">
        <f>$E$8</f>
        <v>GIMNASIO NUEVO BOLIVAR</v>
      </c>
      <c r="K33" s="194">
        <f>VLOOKUP($E$8,LC!$A$10:$BR$171,64,0)</f>
        <v>0</v>
      </c>
      <c r="L33" s="223">
        <f>VLOOKUP($E$8,LC!$A$10:$BR$171,65,0)</f>
        <v>0.11</v>
      </c>
      <c r="M33" s="309">
        <f>VLOOKUP($E$8,LC!$A$10:$BR$171,66,0)</f>
        <v>0.7</v>
      </c>
      <c r="N33" s="310">
        <f>VLOOKUP($E$8,LC!$A$10:$BR$171,67,0)</f>
        <v>0.19</v>
      </c>
      <c r="O33" s="108">
        <f t="shared" ref="O33:O38" si="1">K33+L33</f>
        <v>0.11</v>
      </c>
      <c r="P33" s="98"/>
      <c r="Q33" s="98"/>
      <c r="R33" s="906"/>
      <c r="S33" s="906"/>
      <c r="T33" s="905"/>
      <c r="U33" s="905"/>
      <c r="V33" s="905"/>
      <c r="W33" s="905"/>
      <c r="X33" s="905"/>
      <c r="Y33" s="905"/>
      <c r="Z33" s="98"/>
    </row>
    <row r="34" spans="1:26" ht="19.899999999999999" customHeight="1" x14ac:dyDescent="0.3">
      <c r="A34" s="119"/>
      <c r="B34" s="122"/>
      <c r="C34" s="101"/>
      <c r="D34" s="102"/>
      <c r="E34" s="102"/>
      <c r="F34" s="102"/>
      <c r="G34" s="102"/>
      <c r="H34" s="102"/>
      <c r="I34" s="950"/>
      <c r="J34" s="394" t="str">
        <f>$E$9</f>
        <v>COMUNA 1</v>
      </c>
      <c r="K34" s="194">
        <f>VLOOKUP($E$9,LC!$A$10:$BR$171,64,0)</f>
        <v>2.0555555555555563E-2</v>
      </c>
      <c r="L34" s="223">
        <f>VLOOKUP($E$9,LC!$A$10:$BR$171,65,0)</f>
        <v>0.28444444444444439</v>
      </c>
      <c r="M34" s="309">
        <f>VLOOKUP($E$9,LC!$A$10:$BR$171,66,0)</f>
        <v>0.60222222222222221</v>
      </c>
      <c r="N34" s="310">
        <f>VLOOKUP($E$9,LC!$A$10:$BR$171,67,0)</f>
        <v>9.3333333333333324E-2</v>
      </c>
      <c r="O34" s="108">
        <f t="shared" si="1"/>
        <v>0.30499999999999994</v>
      </c>
      <c r="P34" s="98"/>
      <c r="Q34" s="98"/>
      <c r="R34" s="906"/>
      <c r="S34" s="906"/>
      <c r="T34" s="905"/>
      <c r="U34" s="905"/>
      <c r="V34" s="905"/>
      <c r="W34" s="905"/>
      <c r="X34" s="905"/>
      <c r="Y34" s="905"/>
      <c r="Z34" s="98"/>
    </row>
    <row r="35" spans="1:26" ht="19.899999999999999" customHeight="1" x14ac:dyDescent="0.3">
      <c r="A35" s="119"/>
      <c r="B35" s="122"/>
      <c r="C35" s="101"/>
      <c r="D35" s="102"/>
      <c r="E35" s="102"/>
      <c r="F35" s="102"/>
      <c r="G35" s="102"/>
      <c r="H35" s="102"/>
      <c r="I35" s="951"/>
      <c r="J35" s="394" t="str">
        <f>$E$10</f>
        <v>COMUNA 6 OFICIAL</v>
      </c>
      <c r="K35" s="194">
        <f>VLOOKUP($E$10,LC!$A$10:$BR$171,64,0)</f>
        <v>2.7500000000000004E-2</v>
      </c>
      <c r="L35" s="223">
        <f>VLOOKUP($E$10,LC!$A$10:$BR$171,65,0)</f>
        <v>0.36999999999999994</v>
      </c>
      <c r="M35" s="309">
        <f>VLOOKUP($E$10,LC!$A$10:$BR$171,66,0)</f>
        <v>0.53750000000000009</v>
      </c>
      <c r="N35" s="310">
        <f>VLOOKUP($E$10,LC!$A$10:$BR$171,67,0)</f>
        <v>6.25E-2</v>
      </c>
      <c r="O35" s="108">
        <f t="shared" si="1"/>
        <v>0.39749999999999996</v>
      </c>
      <c r="P35" s="98"/>
      <c r="Q35" s="98"/>
      <c r="R35" s="895">
        <v>4</v>
      </c>
      <c r="S35" s="895" t="s">
        <v>722</v>
      </c>
      <c r="T35" s="894" t="s">
        <v>1021</v>
      </c>
      <c r="U35" s="894"/>
      <c r="V35" s="894"/>
      <c r="W35" s="894"/>
      <c r="X35" s="894"/>
      <c r="Y35" s="894"/>
      <c r="Z35" s="98"/>
    </row>
    <row r="36" spans="1:26" ht="19.899999999999999" customHeight="1" x14ac:dyDescent="0.3">
      <c r="A36" s="119"/>
      <c r="B36" s="122"/>
      <c r="C36" s="101"/>
      <c r="D36" s="102"/>
      <c r="E36" s="102"/>
      <c r="F36" s="102"/>
      <c r="G36" s="102"/>
      <c r="H36" s="102"/>
      <c r="I36" s="949">
        <v>2023</v>
      </c>
      <c r="J36" s="394" t="str">
        <f>$E$8</f>
        <v>GIMNASIO NUEVO BOLIVAR</v>
      </c>
      <c r="K36" s="194">
        <f>VLOOKUP($E$8,LC!$A$10:$CC$171,75,0)</f>
        <v>0</v>
      </c>
      <c r="L36" s="223">
        <f>VLOOKUP($E$8,LC!$A$10:$CC$171,76,0)</f>
        <v>0.26</v>
      </c>
      <c r="M36" s="309">
        <f>VLOOKUP($E$8,LC!$A$10:$CC$171,77,0)</f>
        <v>0.56000000000000005</v>
      </c>
      <c r="N36" s="310">
        <f>VLOOKUP($E$8,LC!$A$10:$CC$171,78,0)</f>
        <v>0.18</v>
      </c>
      <c r="O36" s="108">
        <f t="shared" si="1"/>
        <v>0.26</v>
      </c>
      <c r="P36" s="98"/>
      <c r="Q36" s="98"/>
      <c r="R36" s="895"/>
      <c r="S36" s="895"/>
      <c r="T36" s="894"/>
      <c r="U36" s="894"/>
      <c r="V36" s="894"/>
      <c r="W36" s="894"/>
      <c r="X36" s="894"/>
      <c r="Y36" s="894"/>
      <c r="Z36" s="98"/>
    </row>
    <row r="37" spans="1:26" ht="19.899999999999999" customHeight="1" x14ac:dyDescent="0.3">
      <c r="A37" s="119"/>
      <c r="B37" s="122"/>
      <c r="C37" s="101"/>
      <c r="D37" s="102"/>
      <c r="E37" s="102"/>
      <c r="F37" s="102"/>
      <c r="G37" s="102"/>
      <c r="H37" s="102"/>
      <c r="I37" s="950"/>
      <c r="J37" s="394" t="str">
        <f>$E$9</f>
        <v>COMUNA 1</v>
      </c>
      <c r="K37" s="194">
        <f>VLOOKUP($E$9,LC!$A$10:$CC$171,75,0)</f>
        <v>1.8823529411764704E-2</v>
      </c>
      <c r="L37" s="223">
        <f>VLOOKUP($E$9,LC!$A$10:$CC$171,76,0)</f>
        <v>0.28882352941176476</v>
      </c>
      <c r="M37" s="309">
        <f>VLOOKUP($E$9,LC!$A$10:$CC$171,77,0)</f>
        <v>0.59294117647058819</v>
      </c>
      <c r="N37" s="310">
        <f>VLOOKUP($E$9,LC!$A$10:$CC$171,78,0)</f>
        <v>0.10058823529411766</v>
      </c>
      <c r="O37" s="108">
        <f t="shared" si="1"/>
        <v>0.30764705882352944</v>
      </c>
      <c r="P37" s="98"/>
      <c r="Q37" s="98"/>
      <c r="R37" s="895"/>
      <c r="S37" s="895"/>
      <c r="T37" s="894"/>
      <c r="U37" s="894"/>
      <c r="V37" s="894"/>
      <c r="W37" s="894"/>
      <c r="X37" s="894"/>
      <c r="Y37" s="894"/>
      <c r="Z37" s="98"/>
    </row>
    <row r="38" spans="1:26" ht="19.899999999999999" customHeight="1" x14ac:dyDescent="0.3">
      <c r="A38" s="119"/>
      <c r="B38" s="122"/>
      <c r="C38" s="101"/>
      <c r="D38" s="102"/>
      <c r="E38" s="102"/>
      <c r="F38" s="102"/>
      <c r="G38" s="102"/>
      <c r="H38" s="102"/>
      <c r="I38" s="951"/>
      <c r="J38" s="394" t="str">
        <f>$E$10</f>
        <v>COMUNA 6 OFICIAL</v>
      </c>
      <c r="K38" s="194">
        <f>VLOOKUP($E$10,LC!$A$10:$CC$171,75,0)</f>
        <v>2.5000000000000001E-2</v>
      </c>
      <c r="L38" s="223">
        <f>VLOOKUP($E$10,LC!$A$10:$CC$171,76,0)</f>
        <v>0.38749999999999996</v>
      </c>
      <c r="M38" s="309">
        <f>VLOOKUP($E$10,LC!$A$10:$CC$171,77,0)</f>
        <v>0.53750000000000009</v>
      </c>
      <c r="N38" s="310">
        <f>VLOOKUP($E$10,LC!$A$10:$CC$171,78,0)</f>
        <v>0.05</v>
      </c>
      <c r="O38" s="108">
        <f t="shared" si="1"/>
        <v>0.41249999999999998</v>
      </c>
      <c r="P38" s="98"/>
      <c r="Q38" s="98"/>
      <c r="R38" s="895"/>
      <c r="S38" s="895"/>
      <c r="T38" s="894"/>
      <c r="U38" s="894"/>
      <c r="V38" s="894"/>
      <c r="W38" s="894"/>
      <c r="X38" s="894"/>
      <c r="Y38" s="894"/>
      <c r="Z38" s="98"/>
    </row>
    <row r="39" spans="1:26" ht="19.899999999999999" customHeight="1" x14ac:dyDescent="0.3">
      <c r="A39" s="119"/>
      <c r="B39" s="122"/>
      <c r="C39" s="101"/>
      <c r="D39" s="102"/>
      <c r="E39" s="102"/>
      <c r="F39" s="102"/>
      <c r="G39" s="102"/>
      <c r="H39" s="102"/>
      <c r="I39" s="949">
        <v>2024</v>
      </c>
      <c r="J39" s="394" t="str">
        <f>$E$8</f>
        <v>GIMNASIO NUEVO BOLIVAR</v>
      </c>
      <c r="K39" s="194">
        <f>VLOOKUP($E$8,LC!$A$10:$CN$171,86,0)</f>
        <v>0</v>
      </c>
      <c r="L39" s="223">
        <f>VLOOKUP($E$8,LC!$A$10:$CN$171,87,0)</f>
        <v>0.17</v>
      </c>
      <c r="M39" s="309">
        <f>VLOOKUP($E$8,LC!$A$10:$CN$171,88,0)</f>
        <v>0.69</v>
      </c>
      <c r="N39" s="310">
        <f>VLOOKUP($E$8,LC!$A$10:$CN$171,89,0)</f>
        <v>0.14000000000000001</v>
      </c>
      <c r="O39" s="108">
        <f>K39+L39</f>
        <v>0.17</v>
      </c>
      <c r="P39" s="98"/>
      <c r="Q39" s="98"/>
      <c r="R39" s="895"/>
      <c r="S39" s="895"/>
      <c r="T39" s="894"/>
      <c r="U39" s="894"/>
      <c r="V39" s="894"/>
      <c r="W39" s="894"/>
      <c r="X39" s="894"/>
      <c r="Y39" s="894"/>
      <c r="Z39" s="98"/>
    </row>
    <row r="40" spans="1:26" ht="19.899999999999999" customHeight="1" x14ac:dyDescent="0.3">
      <c r="A40" s="119"/>
      <c r="B40" s="122"/>
      <c r="C40" s="101"/>
      <c r="D40" s="102"/>
      <c r="E40" s="102"/>
      <c r="F40" s="102"/>
      <c r="G40" s="102"/>
      <c r="H40" s="102"/>
      <c r="I40" s="950"/>
      <c r="J40" s="394" t="str">
        <f>$E$9</f>
        <v>COMUNA 1</v>
      </c>
      <c r="K40" s="194">
        <f>VLOOKUP($E$9,LC!$A$10:$CN$171,86,0)</f>
        <v>2.1111111111111112E-2</v>
      </c>
      <c r="L40" s="223">
        <f>VLOOKUP($E$9,LC!$A$10:$CN$171,87,0)</f>
        <v>0.23666666666666666</v>
      </c>
      <c r="M40" s="309">
        <f>VLOOKUP($E$9,LC!$A$10:$CN$171,88,0)</f>
        <v>0.63555555555555543</v>
      </c>
      <c r="N40" s="310">
        <f>VLOOKUP($E$9,LC!$A$10:$CN$171,89,0)</f>
        <v>0.11</v>
      </c>
      <c r="O40" s="108">
        <f>K40+L40</f>
        <v>0.25777777777777777</v>
      </c>
      <c r="P40" s="98"/>
      <c r="Q40" s="98"/>
      <c r="R40" s="895"/>
      <c r="S40" s="895"/>
      <c r="T40" s="894"/>
      <c r="U40" s="894"/>
      <c r="V40" s="894"/>
      <c r="W40" s="894"/>
      <c r="X40" s="894"/>
      <c r="Y40" s="894"/>
      <c r="Z40" s="98"/>
    </row>
    <row r="41" spans="1:26" ht="19.899999999999999" customHeight="1" x14ac:dyDescent="0.3">
      <c r="A41" s="119"/>
      <c r="B41" s="122"/>
      <c r="C41" s="101"/>
      <c r="D41" s="102"/>
      <c r="E41" s="102"/>
      <c r="F41" s="102"/>
      <c r="G41" s="102"/>
      <c r="H41" s="102"/>
      <c r="I41" s="951"/>
      <c r="J41" s="394" t="str">
        <f>$E$10</f>
        <v>COMUNA 6 OFICIAL</v>
      </c>
      <c r="K41" s="194">
        <f>VLOOKUP($E$10,LC!$A$10:$CN$171,86,0)</f>
        <v>1.7499999999999998E-2</v>
      </c>
      <c r="L41" s="223">
        <f>VLOOKUP($E$10,LC!$A$10:$CN$171,87,0)</f>
        <v>0.3125</v>
      </c>
      <c r="M41" s="309">
        <f>VLOOKUP($E$10,LC!$A$10:$CN$171,88,0)</f>
        <v>0.57500000000000007</v>
      </c>
      <c r="N41" s="310">
        <f>VLOOKUP($E$10,LC!$A$10:$CN$171,89,0)</f>
        <v>0.09</v>
      </c>
      <c r="O41" s="108">
        <f>K41+L41</f>
        <v>0.33</v>
      </c>
      <c r="P41" s="98"/>
      <c r="Q41" s="98"/>
      <c r="R41" s="895"/>
      <c r="S41" s="895"/>
      <c r="T41" s="894"/>
      <c r="U41" s="894"/>
      <c r="V41" s="894"/>
      <c r="W41" s="894"/>
      <c r="X41" s="894"/>
      <c r="Y41" s="894"/>
      <c r="Z41" s="98"/>
    </row>
    <row r="42" spans="1:26" ht="18.75" x14ac:dyDescent="0.3">
      <c r="A42" s="119"/>
      <c r="B42" s="122"/>
      <c r="C42" s="101"/>
      <c r="D42" s="102"/>
      <c r="E42" s="102"/>
      <c r="F42" s="102"/>
      <c r="G42" s="102"/>
      <c r="H42" s="102"/>
      <c r="I42" s="102"/>
      <c r="J42" s="102"/>
      <c r="K42" s="108"/>
      <c r="L42" s="98"/>
      <c r="M42" s="98"/>
      <c r="N42" s="98"/>
      <c r="O42" s="98"/>
      <c r="P42" s="98"/>
      <c r="Q42" s="98"/>
      <c r="R42" s="895"/>
      <c r="S42" s="895"/>
      <c r="T42" s="894"/>
      <c r="U42" s="894"/>
      <c r="V42" s="894"/>
      <c r="W42" s="894"/>
      <c r="X42" s="894"/>
      <c r="Y42" s="894"/>
      <c r="Z42" s="98"/>
    </row>
    <row r="43" spans="1:26" ht="18.75" x14ac:dyDescent="0.3">
      <c r="A43" s="119"/>
      <c r="B43" s="122"/>
      <c r="C43" s="101"/>
      <c r="D43" s="102"/>
      <c r="E43" s="102"/>
      <c r="F43" s="102"/>
      <c r="G43" s="102"/>
      <c r="H43" s="102"/>
      <c r="I43" s="102"/>
      <c r="J43" s="102"/>
      <c r="K43" s="108"/>
      <c r="L43" s="98"/>
      <c r="M43" s="98"/>
      <c r="N43" s="98"/>
      <c r="O43" s="98"/>
      <c r="P43" s="98"/>
      <c r="Q43" s="98"/>
      <c r="R43" s="895"/>
      <c r="S43" s="895"/>
      <c r="T43" s="894"/>
      <c r="U43" s="894"/>
      <c r="V43" s="894"/>
      <c r="W43" s="894"/>
      <c r="X43" s="894"/>
      <c r="Y43" s="894"/>
      <c r="Z43" s="98"/>
    </row>
    <row r="44" spans="1:26" ht="18.75" x14ac:dyDescent="0.3">
      <c r="A44" s="119"/>
      <c r="B44" s="122"/>
      <c r="C44" s="101"/>
      <c r="D44" s="102"/>
      <c r="E44" s="102"/>
      <c r="F44" s="102"/>
      <c r="G44" s="102"/>
      <c r="H44" s="102"/>
      <c r="I44" s="102"/>
      <c r="J44" s="102"/>
      <c r="K44" s="108"/>
      <c r="L44" s="98"/>
      <c r="M44" s="98"/>
      <c r="N44" s="98"/>
      <c r="O44" s="98"/>
      <c r="P44" s="98"/>
      <c r="Q44" s="98"/>
      <c r="R44" s="895"/>
      <c r="S44" s="895"/>
      <c r="T44" s="894"/>
      <c r="U44" s="894"/>
      <c r="V44" s="894"/>
      <c r="W44" s="894"/>
      <c r="X44" s="894"/>
      <c r="Y44" s="894"/>
      <c r="Z44" s="98"/>
    </row>
    <row r="45" spans="1:26" ht="18.75" x14ac:dyDescent="0.3">
      <c r="A45" s="119"/>
      <c r="B45" s="122"/>
      <c r="C45" s="101"/>
      <c r="D45" s="102"/>
      <c r="E45" s="102"/>
      <c r="F45" s="102"/>
      <c r="G45" s="102"/>
      <c r="H45" s="102"/>
      <c r="I45" s="102"/>
      <c r="J45" s="102"/>
      <c r="K45" s="108"/>
      <c r="L45" s="98"/>
      <c r="M45" s="98"/>
      <c r="N45" s="98"/>
      <c r="O45" s="98"/>
      <c r="P45" s="98"/>
      <c r="Q45" s="98"/>
      <c r="R45" s="895"/>
      <c r="S45" s="895"/>
      <c r="T45" s="894"/>
      <c r="U45" s="894"/>
      <c r="V45" s="894"/>
      <c r="W45" s="894"/>
      <c r="X45" s="894"/>
      <c r="Y45" s="894"/>
      <c r="Z45" s="98"/>
    </row>
    <row r="46" spans="1:26" ht="18.75" x14ac:dyDescent="0.3">
      <c r="A46" s="119"/>
      <c r="B46" s="122"/>
      <c r="C46" s="101"/>
      <c r="D46" s="102"/>
      <c r="E46" s="102"/>
      <c r="F46" s="102"/>
      <c r="G46" s="102"/>
      <c r="H46" s="102"/>
      <c r="I46" s="102"/>
      <c r="J46" s="102"/>
      <c r="K46" s="108"/>
      <c r="L46" s="98"/>
      <c r="M46" s="98"/>
      <c r="N46" s="98"/>
      <c r="O46" s="98"/>
      <c r="P46" s="98"/>
      <c r="Q46" s="98"/>
      <c r="R46" s="895"/>
      <c r="S46" s="895"/>
      <c r="T46" s="894"/>
      <c r="U46" s="894"/>
      <c r="V46" s="894"/>
      <c r="W46" s="894"/>
      <c r="X46" s="894"/>
      <c r="Y46" s="894"/>
      <c r="Z46" s="98"/>
    </row>
    <row r="47" spans="1:26" ht="18.75" x14ac:dyDescent="0.3">
      <c r="A47" s="119"/>
      <c r="B47" s="122"/>
      <c r="C47" s="101"/>
      <c r="D47" s="102"/>
      <c r="E47" s="102"/>
      <c r="F47" s="102"/>
      <c r="G47" s="102"/>
      <c r="H47" s="102"/>
      <c r="I47" s="102"/>
      <c r="J47" s="102"/>
      <c r="K47" s="108"/>
      <c r="L47" s="98"/>
      <c r="M47" s="98"/>
      <c r="N47" s="98"/>
      <c r="O47" s="98"/>
      <c r="P47" s="98"/>
      <c r="Q47" s="98"/>
      <c r="R47" s="895"/>
      <c r="S47" s="895"/>
      <c r="T47" s="894"/>
      <c r="U47" s="894"/>
      <c r="V47" s="894"/>
      <c r="W47" s="894"/>
      <c r="X47" s="894"/>
      <c r="Y47" s="894"/>
      <c r="Z47" s="98"/>
    </row>
    <row r="48" spans="1:26" ht="18.75" x14ac:dyDescent="0.3">
      <c r="A48" s="119"/>
      <c r="B48" s="122"/>
      <c r="C48" s="101"/>
      <c r="D48" s="102"/>
      <c r="E48" s="102"/>
      <c r="F48" s="102"/>
      <c r="G48" s="102"/>
      <c r="H48" s="102"/>
      <c r="I48" s="102"/>
      <c r="J48" s="102"/>
      <c r="K48" s="108"/>
      <c r="L48" s="98"/>
      <c r="M48" s="98"/>
      <c r="N48" s="98"/>
      <c r="O48" s="98"/>
      <c r="P48" s="98"/>
      <c r="Q48" s="98"/>
      <c r="R48" s="98"/>
      <c r="S48" s="98"/>
      <c r="T48" s="98"/>
      <c r="U48" s="98"/>
      <c r="V48" s="98"/>
      <c r="W48" s="98"/>
      <c r="X48" s="98"/>
      <c r="Y48" s="98"/>
      <c r="Z48" s="98"/>
    </row>
    <row r="49" spans="1:26" ht="18.75" x14ac:dyDescent="0.3">
      <c r="A49" s="119"/>
      <c r="B49" s="122"/>
      <c r="C49" s="101"/>
      <c r="D49" s="102"/>
      <c r="E49" s="102"/>
      <c r="F49" s="102"/>
      <c r="G49" s="102"/>
      <c r="H49" s="102"/>
      <c r="I49" s="102"/>
      <c r="J49" s="102"/>
      <c r="K49" s="108"/>
      <c r="L49" s="98"/>
      <c r="M49" s="98"/>
      <c r="N49" s="98"/>
      <c r="O49" s="98"/>
      <c r="P49" s="98"/>
      <c r="Q49" s="98"/>
      <c r="R49" s="98"/>
      <c r="S49" s="98"/>
      <c r="T49" s="98"/>
      <c r="U49" s="98"/>
      <c r="V49" s="98"/>
      <c r="W49" s="98"/>
      <c r="X49" s="98"/>
      <c r="Y49" s="98"/>
      <c r="Z49" s="98"/>
    </row>
    <row r="50" spans="1:26" ht="18.75" x14ac:dyDescent="0.3">
      <c r="A50" s="119"/>
      <c r="B50" s="122"/>
      <c r="C50" s="101"/>
      <c r="D50" s="102"/>
      <c r="E50" s="102"/>
      <c r="F50" s="102"/>
      <c r="G50" s="102"/>
      <c r="H50" s="102"/>
      <c r="I50" s="102"/>
      <c r="J50" s="102"/>
      <c r="K50" s="108"/>
      <c r="L50" s="98"/>
      <c r="M50" s="98"/>
      <c r="N50" s="98"/>
      <c r="O50" s="98"/>
      <c r="P50" s="98"/>
      <c r="Q50" s="98"/>
      <c r="R50" s="98"/>
      <c r="S50" s="98"/>
      <c r="T50" s="98"/>
      <c r="U50" s="98"/>
      <c r="V50" s="98"/>
      <c r="W50" s="98"/>
      <c r="X50" s="98"/>
      <c r="Y50" s="98"/>
      <c r="Z50" s="98"/>
    </row>
    <row r="51" spans="1:26" ht="18.75" x14ac:dyDescent="0.3">
      <c r="A51" s="119"/>
      <c r="B51" s="122"/>
      <c r="C51" s="101"/>
      <c r="D51" s="102"/>
      <c r="E51" s="102"/>
      <c r="F51" s="102"/>
      <c r="G51" s="102"/>
      <c r="H51" s="102"/>
      <c r="I51" s="102"/>
      <c r="J51" s="102"/>
      <c r="K51" s="108"/>
      <c r="L51" s="98"/>
      <c r="M51" s="98"/>
      <c r="N51" s="98"/>
      <c r="O51" s="98"/>
      <c r="P51" s="98"/>
      <c r="Q51" s="98"/>
      <c r="R51" s="98"/>
      <c r="S51" s="98"/>
      <c r="T51" s="98"/>
      <c r="U51" s="98"/>
      <c r="V51" s="98"/>
      <c r="W51" s="98"/>
      <c r="X51" s="98"/>
      <c r="Y51" s="98"/>
      <c r="Z51" s="98"/>
    </row>
    <row r="52" spans="1:26" ht="18.75" x14ac:dyDescent="0.3">
      <c r="A52" s="119"/>
      <c r="B52" s="122"/>
      <c r="C52" s="101"/>
      <c r="D52" s="102"/>
      <c r="E52" s="102"/>
      <c r="F52" s="102"/>
      <c r="G52" s="102"/>
      <c r="H52" s="102"/>
      <c r="I52" s="102"/>
      <c r="J52" s="102"/>
      <c r="K52" s="108"/>
      <c r="L52" s="98"/>
      <c r="M52" s="98"/>
      <c r="N52" s="98"/>
      <c r="O52" s="98"/>
      <c r="P52" s="98"/>
      <c r="Q52" s="98"/>
      <c r="R52" s="98"/>
      <c r="S52" s="98"/>
      <c r="T52" s="98"/>
      <c r="U52" s="98"/>
      <c r="V52" s="98"/>
      <c r="W52" s="98"/>
      <c r="X52" s="98"/>
      <c r="Y52" s="98"/>
      <c r="Z52" s="98"/>
    </row>
    <row r="53" spans="1:26" ht="18.75" x14ac:dyDescent="0.3">
      <c r="A53" s="119"/>
      <c r="B53" s="122"/>
      <c r="C53" s="101"/>
      <c r="D53" s="102"/>
      <c r="E53" s="102"/>
      <c r="F53" s="102"/>
      <c r="G53" s="102"/>
      <c r="H53" s="102"/>
      <c r="I53" s="102"/>
      <c r="J53" s="102"/>
      <c r="K53" s="108"/>
      <c r="L53" s="98"/>
      <c r="M53" s="98"/>
      <c r="N53" s="98"/>
      <c r="O53" s="98"/>
      <c r="P53" s="98"/>
      <c r="Q53" s="98"/>
      <c r="R53" s="98"/>
      <c r="S53" s="98"/>
      <c r="T53" s="98"/>
      <c r="U53" s="98"/>
      <c r="V53" s="98"/>
      <c r="W53" s="98"/>
      <c r="X53" s="98"/>
      <c r="Y53" s="98"/>
      <c r="Z53" s="98"/>
    </row>
    <row r="54" spans="1:26" ht="18.75" x14ac:dyDescent="0.3">
      <c r="A54" s="119"/>
      <c r="B54" s="122"/>
      <c r="C54" s="101"/>
      <c r="D54" s="102"/>
      <c r="E54" s="102"/>
      <c r="F54" s="102"/>
      <c r="G54" s="102"/>
      <c r="H54" s="102"/>
      <c r="I54" s="102"/>
      <c r="J54" s="102"/>
      <c r="K54" s="108"/>
      <c r="L54" s="98"/>
      <c r="M54" s="98"/>
      <c r="N54" s="98"/>
      <c r="O54" s="98"/>
      <c r="P54" s="98"/>
      <c r="Q54" s="98"/>
      <c r="R54" s="98"/>
      <c r="S54" s="98"/>
      <c r="T54" s="98"/>
      <c r="U54" s="98"/>
      <c r="V54" s="98"/>
      <c r="W54" s="98"/>
      <c r="X54" s="98"/>
      <c r="Y54" s="98"/>
      <c r="Z54" s="98"/>
    </row>
    <row r="55" spans="1:26" ht="18.75" x14ac:dyDescent="0.3">
      <c r="A55" s="119"/>
      <c r="B55" s="122"/>
      <c r="C55" s="101"/>
      <c r="D55" s="102"/>
      <c r="E55" s="102"/>
      <c r="F55" s="102"/>
      <c r="G55" s="102"/>
      <c r="H55" s="102"/>
      <c r="I55" s="102"/>
      <c r="J55" s="102"/>
      <c r="K55" s="108"/>
      <c r="L55" s="98"/>
      <c r="M55" s="98"/>
      <c r="N55" s="98"/>
      <c r="O55" s="98"/>
      <c r="P55" s="98"/>
      <c r="Q55" s="98"/>
      <c r="R55" s="98"/>
      <c r="S55" s="98"/>
      <c r="T55" s="98"/>
      <c r="U55" s="98"/>
      <c r="V55" s="98"/>
      <c r="W55" s="98"/>
      <c r="X55" s="98"/>
      <c r="Y55" s="98"/>
      <c r="Z55" s="98"/>
    </row>
    <row r="56" spans="1:26" ht="18.75" x14ac:dyDescent="0.3">
      <c r="A56" s="119"/>
      <c r="B56" s="122"/>
      <c r="C56" s="101"/>
      <c r="D56" s="102"/>
      <c r="E56" s="102"/>
      <c r="F56" s="102"/>
      <c r="G56" s="102"/>
      <c r="H56" s="102"/>
      <c r="I56" s="102"/>
      <c r="J56" s="102"/>
      <c r="K56" s="108"/>
      <c r="L56" s="98"/>
      <c r="M56" s="98"/>
      <c r="N56" s="98"/>
      <c r="O56" s="98"/>
      <c r="P56" s="98"/>
      <c r="Q56" s="98"/>
      <c r="R56" s="98"/>
      <c r="S56" s="98"/>
      <c r="T56" s="98"/>
      <c r="U56" s="98"/>
      <c r="V56" s="98"/>
      <c r="W56" s="98"/>
      <c r="X56" s="98"/>
      <c r="Y56" s="98"/>
      <c r="Z56" s="98"/>
    </row>
    <row r="57" spans="1:26" ht="18.75" x14ac:dyDescent="0.3">
      <c r="A57" s="119"/>
      <c r="B57" s="122"/>
      <c r="C57" s="101"/>
      <c r="D57" s="102"/>
      <c r="E57" s="102"/>
      <c r="F57" s="102"/>
      <c r="G57" s="102"/>
      <c r="H57" s="102"/>
      <c r="I57" s="102"/>
      <c r="J57" s="102"/>
      <c r="K57" s="108"/>
      <c r="L57" s="98"/>
      <c r="M57" s="98"/>
      <c r="N57" s="98"/>
      <c r="O57" s="98"/>
      <c r="P57" s="98"/>
      <c r="Q57" s="98"/>
      <c r="R57" s="98"/>
      <c r="S57" s="98"/>
      <c r="T57" s="98"/>
      <c r="U57" s="98"/>
      <c r="V57" s="98"/>
      <c r="W57" s="98"/>
      <c r="X57" s="98"/>
      <c r="Y57" s="98"/>
      <c r="Z57" s="98"/>
    </row>
    <row r="58" spans="1:26" ht="18.75" x14ac:dyDescent="0.3">
      <c r="A58" s="119"/>
      <c r="B58" s="122"/>
      <c r="C58" s="101"/>
      <c r="D58" s="102"/>
      <c r="E58" s="102"/>
      <c r="F58" s="102"/>
      <c r="G58" s="102"/>
      <c r="H58" s="102"/>
      <c r="I58" s="102"/>
      <c r="J58" s="102"/>
      <c r="K58" s="108"/>
      <c r="L58" s="98"/>
      <c r="M58" s="98"/>
      <c r="N58" s="98"/>
      <c r="O58" s="98"/>
      <c r="P58" s="98"/>
      <c r="Q58" s="98"/>
      <c r="R58" s="98"/>
      <c r="S58" s="98"/>
      <c r="T58" s="98"/>
      <c r="U58" s="98"/>
      <c r="V58" s="98"/>
      <c r="W58" s="98"/>
      <c r="X58" s="98"/>
      <c r="Y58" s="98"/>
      <c r="Z58" s="98"/>
    </row>
    <row r="59" spans="1:26" ht="18.75" x14ac:dyDescent="0.3">
      <c r="A59" s="119"/>
      <c r="B59" s="122"/>
      <c r="C59" s="101"/>
      <c r="D59" s="102"/>
      <c r="E59" s="102"/>
      <c r="F59" s="102"/>
      <c r="G59" s="102"/>
      <c r="H59" s="102"/>
      <c r="I59" s="102"/>
      <c r="J59" s="102"/>
      <c r="K59" s="108"/>
      <c r="L59" s="98"/>
      <c r="M59" s="98"/>
      <c r="N59" s="98"/>
      <c r="O59" s="98"/>
      <c r="P59" s="98"/>
      <c r="Q59" s="98"/>
      <c r="R59" s="98"/>
      <c r="S59" s="98"/>
      <c r="T59" s="98"/>
      <c r="U59" s="98"/>
      <c r="V59" s="98"/>
      <c r="W59" s="98"/>
      <c r="X59" s="98"/>
      <c r="Y59" s="98"/>
      <c r="Z59" s="98"/>
    </row>
    <row r="60" spans="1:26" ht="18.75" x14ac:dyDescent="0.3">
      <c r="A60" s="119"/>
      <c r="B60" s="122"/>
      <c r="C60" s="101"/>
      <c r="D60" s="102"/>
      <c r="E60" s="102"/>
      <c r="F60" s="102"/>
      <c r="G60" s="102"/>
      <c r="H60" s="102"/>
      <c r="I60" s="102"/>
      <c r="J60" s="102"/>
      <c r="K60" s="108"/>
      <c r="L60" s="98"/>
      <c r="M60" s="98"/>
      <c r="N60" s="98"/>
      <c r="O60" s="98"/>
      <c r="P60" s="98"/>
      <c r="Q60" s="98"/>
      <c r="R60" s="98"/>
      <c r="S60" s="98"/>
      <c r="T60" s="98"/>
      <c r="U60" s="98"/>
      <c r="V60" s="98"/>
      <c r="W60" s="98"/>
      <c r="X60" s="98"/>
      <c r="Y60" s="98"/>
      <c r="Z60" s="98"/>
    </row>
    <row r="61" spans="1:26" ht="18.75" x14ac:dyDescent="0.3">
      <c r="A61" s="119"/>
      <c r="B61" s="122"/>
      <c r="C61" s="101"/>
      <c r="D61" s="102"/>
      <c r="E61" s="102"/>
      <c r="F61" s="102"/>
      <c r="G61" s="102"/>
      <c r="H61" s="102"/>
      <c r="I61" s="102"/>
      <c r="J61" s="102"/>
      <c r="K61" s="108"/>
      <c r="L61" s="98"/>
      <c r="M61" s="98"/>
      <c r="N61" s="98"/>
      <c r="O61" s="98"/>
      <c r="P61" s="98"/>
      <c r="Q61" s="98"/>
      <c r="R61" s="98"/>
      <c r="S61" s="98"/>
      <c r="T61" s="98"/>
      <c r="U61" s="98"/>
      <c r="V61" s="98"/>
      <c r="W61" s="98"/>
      <c r="X61" s="98"/>
      <c r="Y61" s="98"/>
      <c r="Z61" s="98"/>
    </row>
    <row r="62" spans="1:26" ht="18.75" x14ac:dyDescent="0.3">
      <c r="A62" s="119"/>
      <c r="B62" s="122"/>
      <c r="C62" s="101"/>
      <c r="D62" s="102"/>
      <c r="E62" s="102"/>
      <c r="F62" s="102"/>
      <c r="G62" s="102"/>
      <c r="H62" s="102"/>
      <c r="I62" s="102"/>
      <c r="J62" s="102"/>
      <c r="K62" s="108"/>
      <c r="L62" s="98"/>
      <c r="M62" s="98"/>
      <c r="N62" s="98"/>
      <c r="O62" s="98"/>
      <c r="P62" s="98"/>
      <c r="Q62" s="98"/>
      <c r="R62" s="98"/>
      <c r="S62" s="98"/>
      <c r="T62" s="98"/>
      <c r="U62" s="98"/>
      <c r="V62" s="98"/>
      <c r="W62" s="98"/>
      <c r="X62" s="98"/>
      <c r="Y62" s="98"/>
      <c r="Z62" s="98"/>
    </row>
    <row r="63" spans="1:26" ht="18.75" x14ac:dyDescent="0.3">
      <c r="A63" s="119"/>
      <c r="B63" s="122"/>
      <c r="C63" s="101"/>
      <c r="D63" s="102"/>
      <c r="E63" s="102"/>
      <c r="F63" s="102"/>
      <c r="G63" s="102"/>
      <c r="H63" s="102"/>
      <c r="I63" s="102"/>
      <c r="J63" s="102"/>
      <c r="K63" s="108"/>
      <c r="L63" s="98"/>
      <c r="M63" s="98"/>
      <c r="N63" s="98"/>
      <c r="O63" s="98"/>
      <c r="P63" s="98"/>
      <c r="Q63" s="98"/>
      <c r="R63" s="98"/>
      <c r="S63" s="98"/>
      <c r="T63" s="98"/>
      <c r="U63" s="98"/>
      <c r="V63" s="98"/>
      <c r="W63" s="98"/>
      <c r="X63" s="98"/>
      <c r="Y63" s="98"/>
      <c r="Z63" s="98"/>
    </row>
    <row r="64" spans="1:26" ht="18.75" x14ac:dyDescent="0.3">
      <c r="A64" s="119"/>
      <c r="B64" s="122"/>
      <c r="C64" s="101"/>
      <c r="D64" s="102"/>
      <c r="E64" s="102"/>
      <c r="F64" s="102"/>
      <c r="G64" s="102"/>
      <c r="H64" s="102"/>
      <c r="I64" s="102"/>
      <c r="J64" s="102"/>
      <c r="K64" s="108"/>
      <c r="L64" s="98"/>
      <c r="M64" s="98"/>
      <c r="N64" s="98"/>
      <c r="O64" s="98"/>
      <c r="P64" s="98"/>
      <c r="Q64" s="98"/>
      <c r="R64" s="98"/>
      <c r="S64" s="98"/>
      <c r="T64" s="98"/>
      <c r="U64" s="98"/>
      <c r="V64" s="98"/>
      <c r="W64" s="98"/>
      <c r="X64" s="98"/>
      <c r="Y64" s="98"/>
      <c r="Z64" s="98"/>
    </row>
    <row r="65" spans="1:26" ht="18.75" x14ac:dyDescent="0.3">
      <c r="A65" s="119"/>
      <c r="B65" s="122"/>
      <c r="C65" s="101"/>
      <c r="D65" s="102"/>
      <c r="E65" s="102"/>
      <c r="F65" s="102"/>
      <c r="G65" s="102"/>
      <c r="H65" s="102"/>
      <c r="I65" s="102"/>
      <c r="J65" s="102"/>
      <c r="K65" s="108"/>
      <c r="L65" s="98"/>
      <c r="M65" s="98"/>
      <c r="N65" s="98"/>
      <c r="O65" s="98"/>
      <c r="P65" s="98"/>
      <c r="Q65" s="98"/>
      <c r="R65" s="98"/>
      <c r="S65" s="98"/>
      <c r="T65" s="98"/>
      <c r="U65" s="98"/>
      <c r="V65" s="98"/>
      <c r="W65" s="98"/>
      <c r="X65" s="98"/>
      <c r="Y65" s="98"/>
      <c r="Z65" s="98"/>
    </row>
    <row r="66" spans="1:26" ht="18.75" x14ac:dyDescent="0.3">
      <c r="A66" s="119"/>
      <c r="B66" s="122"/>
      <c r="C66" s="101"/>
      <c r="D66" s="102"/>
      <c r="E66" s="102"/>
      <c r="F66" s="102"/>
      <c r="G66" s="102"/>
      <c r="H66" s="102"/>
      <c r="I66" s="102"/>
      <c r="J66" s="102"/>
      <c r="K66" s="108"/>
      <c r="L66" s="98"/>
      <c r="M66" s="98"/>
      <c r="N66" s="98"/>
      <c r="O66" s="98"/>
      <c r="P66" s="98"/>
      <c r="Q66" s="98"/>
      <c r="R66" s="98"/>
      <c r="S66" s="98"/>
      <c r="T66" s="98"/>
      <c r="U66" s="98"/>
      <c r="V66" s="98"/>
      <c r="W66" s="98"/>
      <c r="X66" s="98"/>
      <c r="Y66" s="98"/>
      <c r="Z66" s="98"/>
    </row>
    <row r="67" spans="1:26" ht="18.75" x14ac:dyDescent="0.3">
      <c r="A67" s="119"/>
      <c r="B67" s="122"/>
      <c r="C67" s="101"/>
      <c r="D67" s="102"/>
      <c r="E67" s="102"/>
      <c r="F67" s="102"/>
      <c r="G67" s="102"/>
      <c r="H67" s="102"/>
      <c r="I67" s="102"/>
      <c r="J67" s="102"/>
      <c r="K67" s="108"/>
      <c r="L67" s="98"/>
      <c r="M67" s="98"/>
      <c r="N67" s="98"/>
      <c r="O67" s="98"/>
      <c r="P67" s="98"/>
      <c r="Q67" s="98"/>
      <c r="R67" s="98"/>
      <c r="S67" s="98"/>
      <c r="T67" s="98"/>
      <c r="U67" s="98"/>
      <c r="V67" s="98"/>
      <c r="W67" s="98"/>
      <c r="X67" s="98"/>
      <c r="Y67" s="98"/>
      <c r="Z67" s="98"/>
    </row>
    <row r="68" spans="1:26" ht="18.75" x14ac:dyDescent="0.3">
      <c r="A68" s="119"/>
      <c r="B68" s="122"/>
      <c r="C68" s="101"/>
      <c r="D68" s="102"/>
      <c r="E68" s="102"/>
      <c r="F68" s="102"/>
      <c r="G68" s="102"/>
      <c r="H68" s="102"/>
      <c r="I68" s="102"/>
      <c r="J68" s="102"/>
      <c r="K68" s="108"/>
      <c r="L68" s="98"/>
      <c r="M68" s="98"/>
      <c r="N68" s="98"/>
      <c r="O68" s="98"/>
      <c r="P68" s="98"/>
      <c r="Q68" s="98"/>
      <c r="R68" s="98"/>
      <c r="S68" s="98"/>
      <c r="T68" s="98"/>
      <c r="U68" s="98"/>
      <c r="V68" s="98"/>
      <c r="W68" s="98"/>
      <c r="X68" s="98"/>
      <c r="Y68" s="98"/>
      <c r="Z68" s="98"/>
    </row>
    <row r="69" spans="1:26" x14ac:dyDescent="0.25">
      <c r="A69" s="118"/>
      <c r="B69" s="11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29.25" customHeight="1" x14ac:dyDescent="0.3">
      <c r="A70" s="118"/>
      <c r="B70" s="118"/>
      <c r="C70" s="206"/>
      <c r="D70" s="98"/>
      <c r="E70" s="98"/>
      <c r="F70" s="98"/>
      <c r="G70" s="98"/>
      <c r="H70" s="98"/>
      <c r="I70" s="98"/>
      <c r="J70" s="98"/>
      <c r="K70" s="98"/>
      <c r="L70" s="98"/>
      <c r="M70" s="98"/>
      <c r="N70" s="98"/>
      <c r="O70" s="98"/>
      <c r="P70" s="98"/>
      <c r="Q70" s="98"/>
      <c r="R70" s="893" t="s">
        <v>1027</v>
      </c>
      <c r="S70" s="893"/>
      <c r="T70" s="893"/>
      <c r="U70" s="893"/>
      <c r="V70" s="893"/>
      <c r="W70" s="893"/>
      <c r="X70" s="893"/>
      <c r="Y70" s="893"/>
      <c r="Z70" s="98"/>
    </row>
    <row r="71" spans="1:26" ht="39.6" customHeight="1" x14ac:dyDescent="0.3">
      <c r="A71" s="118"/>
      <c r="B71" s="955" t="s">
        <v>727</v>
      </c>
      <c r="C71" s="956"/>
      <c r="D71" s="956"/>
      <c r="E71" s="956"/>
      <c r="F71" s="957"/>
      <c r="G71" s="98"/>
      <c r="H71" s="98"/>
      <c r="I71" s="98"/>
      <c r="J71" s="98"/>
      <c r="K71" s="98"/>
      <c r="L71" s="98"/>
      <c r="M71" s="98"/>
      <c r="N71" s="98"/>
      <c r="O71" s="98"/>
      <c r="P71" s="102"/>
      <c r="Q71" s="98"/>
      <c r="R71" s="389" t="s">
        <v>1015</v>
      </c>
      <c r="S71" s="389" t="s">
        <v>1016</v>
      </c>
      <c r="T71" s="952" t="s">
        <v>1017</v>
      </c>
      <c r="U71" s="952"/>
      <c r="V71" s="952"/>
      <c r="W71" s="952"/>
      <c r="X71" s="952"/>
      <c r="Y71" s="952"/>
      <c r="Z71" s="98"/>
    </row>
    <row r="72" spans="1:26" ht="29.25" customHeight="1" x14ac:dyDescent="0.25">
      <c r="A72" s="118"/>
      <c r="B72" s="219" t="s">
        <v>400</v>
      </c>
      <c r="C72" s="220" t="str">
        <f>E8</f>
        <v>GIMNASIO NUEVO BOLIVAR</v>
      </c>
      <c r="D72" s="953" t="str">
        <f>$E$9</f>
        <v>COMUNA 1</v>
      </c>
      <c r="E72" s="954"/>
      <c r="F72" s="221" t="str">
        <f>$E$10</f>
        <v>COMUNA 6 OFICIAL</v>
      </c>
      <c r="G72" s="98"/>
      <c r="H72" s="98"/>
      <c r="I72" s="907" t="s">
        <v>849</v>
      </c>
      <c r="J72" s="907"/>
      <c r="K72" s="907"/>
      <c r="L72" s="907"/>
      <c r="M72" s="907"/>
      <c r="N72" s="907"/>
      <c r="O72" s="98"/>
      <c r="P72" s="121"/>
      <c r="Q72" s="98"/>
      <c r="R72" s="906">
        <v>1</v>
      </c>
      <c r="S72" s="947" t="s">
        <v>719</v>
      </c>
      <c r="T72" s="948" t="s">
        <v>1023</v>
      </c>
      <c r="U72" s="948"/>
      <c r="V72" s="948"/>
      <c r="W72" s="948"/>
      <c r="X72" s="948"/>
      <c r="Y72" s="948"/>
      <c r="Z72" s="98"/>
    </row>
    <row r="73" spans="1:26" ht="43.5" customHeight="1" x14ac:dyDescent="0.3">
      <c r="A73" s="118"/>
      <c r="B73" s="207">
        <v>2016</v>
      </c>
      <c r="C73" s="191">
        <f>VLOOKUP($E$8,MATE!$A$10:$AV$171,4,0)</f>
        <v>55</v>
      </c>
      <c r="D73" s="890">
        <f>VLOOKUP($E$9,MATE!$A$10:$AV$171,4,0)</f>
        <v>51.823529411764703</v>
      </c>
      <c r="E73" s="891"/>
      <c r="F73" s="191">
        <f>VLOOKUP($E$10,MATE!$A$10:$AV$171,4,0)</f>
        <v>50.75</v>
      </c>
      <c r="G73" s="98"/>
      <c r="H73" s="98"/>
      <c r="I73" s="883" t="s">
        <v>400</v>
      </c>
      <c r="J73" s="883" t="s">
        <v>402</v>
      </c>
      <c r="K73" s="209" t="s">
        <v>719</v>
      </c>
      <c r="L73" s="210" t="s">
        <v>720</v>
      </c>
      <c r="M73" s="211" t="s">
        <v>725</v>
      </c>
      <c r="N73" s="212" t="s">
        <v>726</v>
      </c>
      <c r="O73" s="102" t="s">
        <v>723</v>
      </c>
      <c r="P73" s="108"/>
      <c r="Q73" s="98"/>
      <c r="R73" s="906"/>
      <c r="S73" s="947"/>
      <c r="T73" s="948"/>
      <c r="U73" s="948"/>
      <c r="V73" s="948"/>
      <c r="W73" s="948"/>
      <c r="X73" s="948"/>
      <c r="Y73" s="948"/>
      <c r="Z73" s="98"/>
    </row>
    <row r="74" spans="1:26" ht="21.6" customHeight="1" x14ac:dyDescent="0.25">
      <c r="A74" s="118"/>
      <c r="B74" s="207">
        <v>2017</v>
      </c>
      <c r="C74" s="191">
        <f>VLOOKUP($E$8,MATE!$A$10:$AV$171,13,0)</f>
        <v>54</v>
      </c>
      <c r="D74" s="890">
        <f>VLOOKUP($E$9,MATE!$A$10:$AV$171,13,0)</f>
        <v>51.625</v>
      </c>
      <c r="E74" s="891"/>
      <c r="F74" s="191">
        <f>VLOOKUP($E$10,MATE!$A$10:$AV$171,13,0)</f>
        <v>50.75</v>
      </c>
      <c r="G74" s="98"/>
      <c r="H74" s="98"/>
      <c r="I74" s="884"/>
      <c r="J74" s="884"/>
      <c r="K74" s="213">
        <v>1</v>
      </c>
      <c r="L74" s="214">
        <v>2</v>
      </c>
      <c r="M74" s="215">
        <v>3</v>
      </c>
      <c r="N74" s="216">
        <v>4</v>
      </c>
      <c r="O74" s="121" t="s">
        <v>853</v>
      </c>
      <c r="P74" s="108"/>
      <c r="Q74" s="98"/>
      <c r="R74" s="906"/>
      <c r="S74" s="947"/>
      <c r="T74" s="948"/>
      <c r="U74" s="948"/>
      <c r="V74" s="948"/>
      <c r="W74" s="948"/>
      <c r="X74" s="948"/>
      <c r="Y74" s="948"/>
      <c r="Z74" s="98"/>
    </row>
    <row r="75" spans="1:26" ht="21.6" customHeight="1" x14ac:dyDescent="0.25">
      <c r="A75" s="118"/>
      <c r="B75" s="207">
        <v>2018</v>
      </c>
      <c r="C75" s="191">
        <f>VLOOKUP($E$8,MATE!$A$10:$AV$171,22,0)</f>
        <v>54</v>
      </c>
      <c r="D75" s="890">
        <f>VLOOKUP($E$9,MATE!$A$10:$AV$171,22,0)</f>
        <v>51.823529411764703</v>
      </c>
      <c r="E75" s="891"/>
      <c r="F75" s="191">
        <f>VLOOKUP($E$10,MATE!$A$10:$AV$171,22,0)</f>
        <v>50.5</v>
      </c>
      <c r="G75" s="98"/>
      <c r="H75" s="98"/>
      <c r="I75" s="908">
        <v>2016</v>
      </c>
      <c r="J75" s="308" t="str">
        <f>$E$8</f>
        <v>GIMNASIO NUEVO BOLIVAR</v>
      </c>
      <c r="K75" s="194">
        <f>VLOOKUP($E$8,MATE!$A$10:$AV$171,6,0)</f>
        <v>0.05</v>
      </c>
      <c r="L75" s="223">
        <f>VLOOKUP($E$8,MATE!$A$10:$AV$171,7,0)</f>
        <v>0.27</v>
      </c>
      <c r="M75" s="309">
        <f>VLOOKUP($E$8,MATE!$A$10:$AV$171,8,0)</f>
        <v>0.66</v>
      </c>
      <c r="N75" s="310">
        <f>VLOOKUP($E$8,MATE!$A$10:$AV$171,9,0)</f>
        <v>0.02</v>
      </c>
      <c r="O75" s="108">
        <f t="shared" ref="O75:O92" si="2">K75+L75</f>
        <v>0.32</v>
      </c>
      <c r="P75" s="108"/>
      <c r="Q75" s="98"/>
      <c r="R75" s="944">
        <v>2</v>
      </c>
      <c r="S75" s="944" t="s">
        <v>720</v>
      </c>
      <c r="T75" s="896" t="s">
        <v>1024</v>
      </c>
      <c r="U75" s="897"/>
      <c r="V75" s="897"/>
      <c r="W75" s="897"/>
      <c r="X75" s="897"/>
      <c r="Y75" s="898"/>
      <c r="Z75" s="98"/>
    </row>
    <row r="76" spans="1:26" ht="20.25" x14ac:dyDescent="0.25">
      <c r="A76" s="118"/>
      <c r="B76" s="207">
        <v>2019</v>
      </c>
      <c r="C76" s="191">
        <f>VLOOKUP($E$8,MATE!$A$10:$AV$171,31,0)</f>
        <v>53</v>
      </c>
      <c r="D76" s="890">
        <f>VLOOKUP($E$9,MATE!$A$10:$AV$171,31,0)</f>
        <v>52.647058823529413</v>
      </c>
      <c r="E76" s="891"/>
      <c r="F76" s="191">
        <f>VLOOKUP($E$10,MATE!$A$10:$AV$171,31,0)</f>
        <v>51.75</v>
      </c>
      <c r="G76" s="98"/>
      <c r="H76" s="98"/>
      <c r="I76" s="909"/>
      <c r="J76" s="308" t="str">
        <f>$E$9</f>
        <v>COMUNA 1</v>
      </c>
      <c r="K76" s="194">
        <f>VLOOKUP($E$9,MATE!$A$10:$AV$171,6,0)</f>
        <v>5.4117647058823541E-2</v>
      </c>
      <c r="L76" s="223">
        <f>VLOOKUP($E$9,MATE!$A$10:$AV$171,7,0)</f>
        <v>0.39411764705882346</v>
      </c>
      <c r="M76" s="309">
        <f>VLOOKUP($E$9,MATE!$A$10:$AV$171,8,0)</f>
        <v>0.54294117647058826</v>
      </c>
      <c r="N76" s="310">
        <f>VLOOKUP($E$9,MATE!$A$10:$AV$171,9,0)</f>
        <v>9.4117647058823539E-3</v>
      </c>
      <c r="O76" s="108">
        <f t="shared" si="2"/>
        <v>0.44823529411764701</v>
      </c>
      <c r="P76" s="108"/>
      <c r="Q76" s="98"/>
      <c r="R76" s="945"/>
      <c r="S76" s="945"/>
      <c r="T76" s="899"/>
      <c r="U76" s="900"/>
      <c r="V76" s="900"/>
      <c r="W76" s="900"/>
      <c r="X76" s="900"/>
      <c r="Y76" s="901"/>
      <c r="Z76" s="98"/>
    </row>
    <row r="77" spans="1:26" ht="20.25" x14ac:dyDescent="0.25">
      <c r="A77" s="118"/>
      <c r="B77" s="207">
        <v>2020</v>
      </c>
      <c r="C77" s="191">
        <f>VLOOKUP($E$8,MATE!$A$10:$AV$171,40,0)</f>
        <v>55</v>
      </c>
      <c r="D77" s="890">
        <f>VLOOKUP($E$9,MATE!$A$10:$AV$171,40,0)</f>
        <v>53.294117647058826</v>
      </c>
      <c r="E77" s="891"/>
      <c r="F77" s="191">
        <f>VLOOKUP($E$10,MATE!$A$10:$AV$171,40,0)</f>
        <v>52.25</v>
      </c>
      <c r="G77" s="98"/>
      <c r="H77" s="98"/>
      <c r="I77" s="910"/>
      <c r="J77" s="308" t="str">
        <f>$E$10</f>
        <v>COMUNA 6 OFICIAL</v>
      </c>
      <c r="K77" s="194">
        <f>VLOOKUP($E$10,MATE!$A$10:$AV$171,6,0)</f>
        <v>0.04</v>
      </c>
      <c r="L77" s="223">
        <f>VLOOKUP($E$10,MATE!$A$10:$AV$171,7,0)</f>
        <v>0.495</v>
      </c>
      <c r="M77" s="309">
        <f>VLOOKUP($E$10,MATE!$A$10:$AV$171,8,0)</f>
        <v>0.45499999999999996</v>
      </c>
      <c r="N77" s="310">
        <f>VLOOKUP($E$10,MATE!$A$10:$AV$171,9,0)</f>
        <v>0.01</v>
      </c>
      <c r="O77" s="108">
        <f t="shared" si="2"/>
        <v>0.53500000000000003</v>
      </c>
      <c r="P77" s="108"/>
      <c r="Q77" s="98"/>
      <c r="R77" s="945"/>
      <c r="S77" s="945"/>
      <c r="T77" s="899"/>
      <c r="U77" s="900"/>
      <c r="V77" s="900"/>
      <c r="W77" s="900"/>
      <c r="X77" s="900"/>
      <c r="Y77" s="901"/>
      <c r="Z77" s="98"/>
    </row>
    <row r="78" spans="1:26" ht="20.25" x14ac:dyDescent="0.25">
      <c r="A78" s="118"/>
      <c r="B78" s="207">
        <v>2021</v>
      </c>
      <c r="C78" s="191">
        <f>VLOOKUP($E$8,MATE!$A$10:$BG$171,49,0)</f>
        <v>56</v>
      </c>
      <c r="D78" s="890">
        <f>VLOOKUP($E$9,MATE!$A$10:$BG$171,49,0)</f>
        <v>52.470588235294116</v>
      </c>
      <c r="E78" s="891"/>
      <c r="F78" s="191">
        <f>VLOOKUP($E$10,MATE!$A$10:$BG$171,49,0)</f>
        <v>49.75</v>
      </c>
      <c r="G78" s="98"/>
      <c r="H78" s="98"/>
      <c r="I78" s="908">
        <v>2017</v>
      </c>
      <c r="J78" s="308" t="str">
        <f>$E$8</f>
        <v>GIMNASIO NUEVO BOLIVAR</v>
      </c>
      <c r="K78" s="194">
        <f>VLOOKUP($E$8,MATE!$A$10:$AV$171,15,0)</f>
        <v>0</v>
      </c>
      <c r="L78" s="223">
        <f>VLOOKUP($E$8,MATE!$A$10:$AV$171,16,0)</f>
        <v>0.31</v>
      </c>
      <c r="M78" s="309">
        <f>VLOOKUP($E$8,MATE!$A$10:$AV$171,17,0)</f>
        <v>0.64</v>
      </c>
      <c r="N78" s="310">
        <f>VLOOKUP($E$8,MATE!$A$10:$AV$171,18,0)</f>
        <v>0.06</v>
      </c>
      <c r="O78" s="108">
        <f t="shared" si="2"/>
        <v>0.31</v>
      </c>
      <c r="P78" s="108"/>
      <c r="Q78" s="98"/>
      <c r="R78" s="945"/>
      <c r="S78" s="945"/>
      <c r="T78" s="899"/>
      <c r="U78" s="900"/>
      <c r="V78" s="900"/>
      <c r="W78" s="900"/>
      <c r="X78" s="900"/>
      <c r="Y78" s="901"/>
      <c r="Z78" s="98"/>
    </row>
    <row r="79" spans="1:26" ht="20.25" x14ac:dyDescent="0.25">
      <c r="A79" s="118"/>
      <c r="B79" s="207">
        <v>2022</v>
      </c>
      <c r="C79" s="191">
        <f>VLOOKUP($E$8,MATE!$A$10:$BX$171,60,0)</f>
        <v>56</v>
      </c>
      <c r="D79" s="890">
        <f>VLOOKUP($E$9,MATE!$A$10:$BX$171,60,0)</f>
        <v>52.444444444444443</v>
      </c>
      <c r="E79" s="891"/>
      <c r="F79" s="191">
        <f>VLOOKUP($E$10,MATE!$A$10:$BX$171,60,0)</f>
        <v>50.25</v>
      </c>
      <c r="G79" s="98"/>
      <c r="H79" s="98"/>
      <c r="I79" s="909"/>
      <c r="J79" s="308" t="str">
        <f>$E$9</f>
        <v>COMUNA 1</v>
      </c>
      <c r="K79" s="194">
        <f>VLOOKUP($E$9,MATE!$A$10:$AV$171,15,0)</f>
        <v>5.7222222222222209E-2</v>
      </c>
      <c r="L79" s="223">
        <f>VLOOKUP($E$9,MATE!$A$10:$AV$171,16,0)</f>
        <v>0.40166666666666667</v>
      </c>
      <c r="M79" s="309">
        <f>VLOOKUP($E$9,MATE!$A$10:$AV$171,17,0)</f>
        <v>0.51555555555555566</v>
      </c>
      <c r="N79" s="310">
        <f>VLOOKUP($E$9,MATE!$A$10:$AV$171,18,0)</f>
        <v>2.6111111111111116E-2</v>
      </c>
      <c r="O79" s="108">
        <f t="shared" si="2"/>
        <v>0.4588888888888889</v>
      </c>
      <c r="P79" s="108"/>
      <c r="Q79" s="98"/>
      <c r="R79" s="945"/>
      <c r="S79" s="945"/>
      <c r="T79" s="899"/>
      <c r="U79" s="900"/>
      <c r="V79" s="900"/>
      <c r="W79" s="900"/>
      <c r="X79" s="900"/>
      <c r="Y79" s="901"/>
      <c r="Z79" s="98"/>
    </row>
    <row r="80" spans="1:26" ht="20.25" x14ac:dyDescent="0.25">
      <c r="A80" s="118"/>
      <c r="B80" s="207">
        <v>2023</v>
      </c>
      <c r="C80" s="191">
        <f>VLOOKUP($E$8,MATE!$A$10:$CI$171,77,0)</f>
        <v>55</v>
      </c>
      <c r="D80" s="890">
        <f>VLOOKUP($E$9,MATE!$A$10:$CI$171,77,0)</f>
        <v>53.647058823529413</v>
      </c>
      <c r="E80" s="891"/>
      <c r="F80" s="191">
        <f>VLOOKUP($E$10,MATE!$A$10:$CI$171,77,0)</f>
        <v>50.5</v>
      </c>
      <c r="G80" s="98"/>
      <c r="H80" s="98"/>
      <c r="I80" s="910"/>
      <c r="J80" s="308" t="str">
        <f>$E$10</f>
        <v>COMUNA 6 OFICIAL</v>
      </c>
      <c r="K80" s="194">
        <f>VLOOKUP($E$10,MATE!$A$10:$AV$171,15,0)</f>
        <v>6.25E-2</v>
      </c>
      <c r="L80" s="223">
        <f>VLOOKUP($E$10,MATE!$A$10:$AV$171,16,0)</f>
        <v>0.42499999999999999</v>
      </c>
      <c r="M80" s="309">
        <f>VLOOKUP($E$10,MATE!$A$10:$AV$171,17,0)</f>
        <v>0.49999999999999994</v>
      </c>
      <c r="N80" s="310">
        <f>VLOOKUP($E$10,MATE!$A$10:$AV$171,18,0)</f>
        <v>1.7499999999999998E-2</v>
      </c>
      <c r="O80" s="108">
        <f t="shared" si="2"/>
        <v>0.48749999999999999</v>
      </c>
      <c r="P80" s="108"/>
      <c r="Q80" s="98"/>
      <c r="R80" s="945"/>
      <c r="S80" s="945"/>
      <c r="T80" s="899"/>
      <c r="U80" s="900"/>
      <c r="V80" s="900"/>
      <c r="W80" s="900"/>
      <c r="X80" s="900"/>
      <c r="Y80" s="901"/>
      <c r="Z80" s="98"/>
    </row>
    <row r="81" spans="1:26" ht="20.25" x14ac:dyDescent="0.25">
      <c r="A81" s="118"/>
      <c r="B81" s="207">
        <v>2024</v>
      </c>
      <c r="C81" s="191">
        <f>VLOOKUP($E$8,MATE!$A$10:$CT$171,88,0)</f>
        <v>54</v>
      </c>
      <c r="D81" s="878">
        <f>VLOOKUP($E$9,MATE!$A$10:$CT$171,88,0)</f>
        <v>53.833333333333336</v>
      </c>
      <c r="E81" s="878"/>
      <c r="F81" s="191">
        <f>VLOOKUP($E$10,MATE!$A$10:$CT$171,88,0)</f>
        <v>51.25</v>
      </c>
      <c r="G81" s="98"/>
      <c r="H81" s="98"/>
      <c r="I81" s="908">
        <v>2018</v>
      </c>
      <c r="J81" s="308" t="str">
        <f>$E$8</f>
        <v>GIMNASIO NUEVO BOLIVAR</v>
      </c>
      <c r="K81" s="194">
        <f>VLOOKUP($E$8,MATE!$A$10:$AV$171,24,0)</f>
        <v>0</v>
      </c>
      <c r="L81" s="223">
        <f>VLOOKUP($E$8,MATE!$A$10:$AV$171,25,0)</f>
        <v>0.33</v>
      </c>
      <c r="M81" s="309">
        <f>VLOOKUP($E$8,MATE!$A$10:$AV$171,26,0)</f>
        <v>0.64</v>
      </c>
      <c r="N81" s="310">
        <f>VLOOKUP($E$8,MATE!$A$10:$AV$171,27,0)</f>
        <v>0.03</v>
      </c>
      <c r="O81" s="108">
        <f t="shared" si="2"/>
        <v>0.33</v>
      </c>
      <c r="P81" s="108"/>
      <c r="Q81" s="98"/>
      <c r="R81" s="945"/>
      <c r="S81" s="945"/>
      <c r="T81" s="899"/>
      <c r="U81" s="900"/>
      <c r="V81" s="900"/>
      <c r="W81" s="900"/>
      <c r="X81" s="900"/>
      <c r="Y81" s="901"/>
      <c r="Z81" s="98"/>
    </row>
    <row r="82" spans="1:26" ht="21.6" customHeight="1" x14ac:dyDescent="0.25">
      <c r="A82" s="118"/>
      <c r="B82" s="98"/>
      <c r="C82" s="98"/>
      <c r="D82" s="201"/>
      <c r="E82" s="201"/>
      <c r="F82" s="98"/>
      <c r="G82" s="98"/>
      <c r="H82" s="98"/>
      <c r="I82" s="909"/>
      <c r="J82" s="308" t="str">
        <f>$E$9</f>
        <v>COMUNA 1</v>
      </c>
      <c r="K82" s="194">
        <f>VLOOKUP($E$9,MATE!$A$10:$AV$171,24,0)</f>
        <v>4.2777777777777783E-2</v>
      </c>
      <c r="L82" s="223">
        <f>VLOOKUP($E$9,MATE!$A$10:$AV$171,25,0)</f>
        <v>0.39777777777777773</v>
      </c>
      <c r="M82" s="309">
        <f>VLOOKUP($E$9,MATE!$A$10:$AV$171,26,0)</f>
        <v>0.52555555555555555</v>
      </c>
      <c r="N82" s="310">
        <f>VLOOKUP($E$9,MATE!$A$10:$AV$171,27,0)</f>
        <v>3.4444444444444451E-2</v>
      </c>
      <c r="O82" s="108">
        <f t="shared" si="2"/>
        <v>0.44055555555555553</v>
      </c>
      <c r="P82" s="108"/>
      <c r="Q82" s="98"/>
      <c r="R82" s="945"/>
      <c r="S82" s="945"/>
      <c r="T82" s="899"/>
      <c r="U82" s="900"/>
      <c r="V82" s="900"/>
      <c r="W82" s="900"/>
      <c r="X82" s="900"/>
      <c r="Y82" s="901"/>
      <c r="Z82" s="98"/>
    </row>
    <row r="83" spans="1:26" ht="21.6" customHeight="1" x14ac:dyDescent="0.25">
      <c r="A83" s="118"/>
      <c r="B83" s="98"/>
      <c r="C83" s="98"/>
      <c r="D83" s="201"/>
      <c r="E83" s="201"/>
      <c r="F83" s="98"/>
      <c r="G83" s="98"/>
      <c r="H83" s="98"/>
      <c r="I83" s="910"/>
      <c r="J83" s="308" t="str">
        <f>$E$10</f>
        <v>COMUNA 6 OFICIAL</v>
      </c>
      <c r="K83" s="194">
        <f>VLOOKUP($E$10,MATE!$A$10:$AV$171,24,0)</f>
        <v>5.2499999999999998E-2</v>
      </c>
      <c r="L83" s="223">
        <f>VLOOKUP($E$10,MATE!$A$10:$AV$171,25,0)</f>
        <v>0.46</v>
      </c>
      <c r="M83" s="309">
        <f>VLOOKUP($E$10,MATE!$A$10:$AV$171,26,0)</f>
        <v>0.47499999999999998</v>
      </c>
      <c r="N83" s="310">
        <f>VLOOKUP($E$10,MATE!$A$10:$AV$171,27,0)</f>
        <v>1.2500000000000001E-2</v>
      </c>
      <c r="O83" s="108">
        <f t="shared" si="2"/>
        <v>0.51250000000000007</v>
      </c>
      <c r="P83" s="108"/>
      <c r="Q83" s="98"/>
      <c r="R83" s="945"/>
      <c r="S83" s="945"/>
      <c r="T83" s="899"/>
      <c r="U83" s="900"/>
      <c r="V83" s="900"/>
      <c r="W83" s="900"/>
      <c r="X83" s="900"/>
      <c r="Y83" s="901"/>
      <c r="Z83" s="98"/>
    </row>
    <row r="84" spans="1:26" ht="21.6" customHeight="1" x14ac:dyDescent="0.3">
      <c r="A84" s="200"/>
      <c r="B84" s="208"/>
      <c r="C84" s="206"/>
      <c r="D84" s="98"/>
      <c r="E84" s="98"/>
      <c r="F84" s="98"/>
      <c r="G84" s="98"/>
      <c r="H84" s="98"/>
      <c r="I84" s="908">
        <v>2019</v>
      </c>
      <c r="J84" s="308" t="str">
        <f>$E$8</f>
        <v>GIMNASIO NUEVO BOLIVAR</v>
      </c>
      <c r="K84" s="194">
        <f>VLOOKUP($E$8,MATE!$A$10:$AV$171,33,0)</f>
        <v>0.03</v>
      </c>
      <c r="L84" s="223">
        <f>VLOOKUP($E$8,MATE!$A$10:$AV$171,34,0)</f>
        <v>0.3</v>
      </c>
      <c r="M84" s="309">
        <f>VLOOKUP($E$8,MATE!$A$10:$AV$171,35,0)</f>
        <v>0.65</v>
      </c>
      <c r="N84" s="310">
        <f>VLOOKUP($E$8,MATE!$A$10:$AV$171,36,0)</f>
        <v>0.03</v>
      </c>
      <c r="O84" s="108">
        <f t="shared" si="2"/>
        <v>0.32999999999999996</v>
      </c>
      <c r="P84" s="108"/>
      <c r="Q84" s="98"/>
      <c r="R84" s="945"/>
      <c r="S84" s="945"/>
      <c r="T84" s="899"/>
      <c r="U84" s="900"/>
      <c r="V84" s="900"/>
      <c r="W84" s="900"/>
      <c r="X84" s="900"/>
      <c r="Y84" s="901"/>
      <c r="Z84" s="98"/>
    </row>
    <row r="85" spans="1:26" ht="20.25" x14ac:dyDescent="0.3">
      <c r="A85" s="200"/>
      <c r="B85" s="208"/>
      <c r="C85" s="206"/>
      <c r="D85" s="98"/>
      <c r="E85" s="98"/>
      <c r="F85" s="98"/>
      <c r="G85" s="98"/>
      <c r="H85" s="98"/>
      <c r="I85" s="909"/>
      <c r="J85" s="308" t="str">
        <f>$E$9</f>
        <v>COMUNA 1</v>
      </c>
      <c r="K85" s="194">
        <f>VLOOKUP($E$9,MATE!$A$10:$AV$171,33,0)</f>
        <v>3.2777777777777781E-2</v>
      </c>
      <c r="L85" s="223">
        <f>VLOOKUP($E$9,MATE!$A$10:$AV$171,34,0)</f>
        <v>0.34333333333333338</v>
      </c>
      <c r="M85" s="309">
        <f>VLOOKUP($E$9,MATE!$A$10:$AV$171,35,0)</f>
        <v>0.60055555555555562</v>
      </c>
      <c r="N85" s="310">
        <f>VLOOKUP($E$9,MATE!$A$10:$AV$171,36,0)</f>
        <v>2.4444444444444446E-2</v>
      </c>
      <c r="O85" s="108">
        <f t="shared" si="2"/>
        <v>0.37611111111111117</v>
      </c>
      <c r="P85" s="108"/>
      <c r="Q85" s="98"/>
      <c r="R85" s="946"/>
      <c r="S85" s="946"/>
      <c r="T85" s="902"/>
      <c r="U85" s="903"/>
      <c r="V85" s="903"/>
      <c r="W85" s="903"/>
      <c r="X85" s="903"/>
      <c r="Y85" s="904"/>
      <c r="Z85" s="98"/>
    </row>
    <row r="86" spans="1:26" ht="21" customHeight="1" x14ac:dyDescent="0.3">
      <c r="A86" s="200"/>
      <c r="B86" s="208"/>
      <c r="C86" s="206"/>
      <c r="D86" s="98"/>
      <c r="E86" s="98"/>
      <c r="F86" s="98"/>
      <c r="G86" s="98"/>
      <c r="H86" s="98"/>
      <c r="I86" s="910"/>
      <c r="J86" s="308" t="str">
        <f>$E$10</f>
        <v>COMUNA 6 OFICIAL</v>
      </c>
      <c r="K86" s="194">
        <f>VLOOKUP($E$10,MATE!$A$10:$AV$171,33,0)</f>
        <v>4.2500000000000003E-2</v>
      </c>
      <c r="L86" s="223">
        <f>VLOOKUP($E$10,MATE!$A$10:$AV$171,34,0)</f>
        <v>0.38</v>
      </c>
      <c r="M86" s="309">
        <f>VLOOKUP($E$10,MATE!$A$10:$AV$171,35,0)</f>
        <v>0.57250000000000001</v>
      </c>
      <c r="N86" s="310">
        <f>VLOOKUP($E$10,MATE!$A$10:$AV$171,36,0)</f>
        <v>1.2500000000000001E-2</v>
      </c>
      <c r="O86" s="108">
        <f t="shared" si="2"/>
        <v>0.42249999999999999</v>
      </c>
      <c r="P86" s="108"/>
      <c r="Q86" s="98"/>
      <c r="R86" s="906">
        <v>3</v>
      </c>
      <c r="S86" s="906" t="s">
        <v>725</v>
      </c>
      <c r="T86" s="905" t="s">
        <v>1025</v>
      </c>
      <c r="U86" s="905"/>
      <c r="V86" s="905"/>
      <c r="W86" s="905"/>
      <c r="X86" s="905"/>
      <c r="Y86" s="905"/>
      <c r="Z86" s="98"/>
    </row>
    <row r="87" spans="1:26" ht="20.25" x14ac:dyDescent="0.3">
      <c r="A87" s="200"/>
      <c r="B87" s="208"/>
      <c r="C87" s="206"/>
      <c r="D87" s="98"/>
      <c r="E87" s="98"/>
      <c r="F87" s="98"/>
      <c r="G87" s="98"/>
      <c r="H87" s="98"/>
      <c r="I87" s="908">
        <v>2020</v>
      </c>
      <c r="J87" s="308" t="str">
        <f>$E$8</f>
        <v>GIMNASIO NUEVO BOLIVAR</v>
      </c>
      <c r="K87" s="194">
        <f>VLOOKUP($E$8,MATE!$A$10:$AV$171,42,0)</f>
        <v>0.03</v>
      </c>
      <c r="L87" s="223">
        <f>VLOOKUP($E$8,MATE!$A$10:$AV$171,43,0)</f>
        <v>0.28999999999999998</v>
      </c>
      <c r="M87" s="309">
        <f>VLOOKUP($E$8,MATE!$A$10:$AV$171,44,0)</f>
        <v>0.64</v>
      </c>
      <c r="N87" s="310">
        <f>VLOOKUP($E$8,MATE!$A$10:$AV$171,45,0)</f>
        <v>0.03</v>
      </c>
      <c r="O87" s="108">
        <f t="shared" si="2"/>
        <v>0.31999999999999995</v>
      </c>
      <c r="P87" s="108"/>
      <c r="Q87" s="98"/>
      <c r="R87" s="906"/>
      <c r="S87" s="906"/>
      <c r="T87" s="905"/>
      <c r="U87" s="905"/>
      <c r="V87" s="905"/>
      <c r="W87" s="905"/>
      <c r="X87" s="905"/>
      <c r="Y87" s="905"/>
      <c r="Z87" s="98"/>
    </row>
    <row r="88" spans="1:26" ht="20.25" x14ac:dyDescent="0.3">
      <c r="A88" s="200"/>
      <c r="B88" s="208"/>
      <c r="C88" s="206"/>
      <c r="D88" s="98"/>
      <c r="E88" s="98"/>
      <c r="F88" s="98"/>
      <c r="G88" s="98"/>
      <c r="H88" s="98"/>
      <c r="I88" s="909"/>
      <c r="J88" s="308" t="str">
        <f>$E$9</f>
        <v>COMUNA 1</v>
      </c>
      <c r="K88" s="194">
        <f>VLOOKUP($E$9,MATE!$A$10:$AV$171,42,0)</f>
        <v>3.529411764705883E-2</v>
      </c>
      <c r="L88" s="223">
        <f>VLOOKUP($E$9,MATE!$A$10:$AV$171,43,0)</f>
        <v>0.36000000000000004</v>
      </c>
      <c r="M88" s="309">
        <f>VLOOKUP($E$9,MATE!$A$10:$AV$171,44,0)</f>
        <v>0.57352941176470584</v>
      </c>
      <c r="N88" s="310">
        <f>VLOOKUP($E$9,MATE!$A$10:$AV$171,45,0)</f>
        <v>3.2941176470588238E-2</v>
      </c>
      <c r="O88" s="108">
        <f t="shared" si="2"/>
        <v>0.39529411764705885</v>
      </c>
      <c r="P88" s="108"/>
      <c r="Q88" s="98"/>
      <c r="R88" s="906"/>
      <c r="S88" s="906"/>
      <c r="T88" s="905"/>
      <c r="U88" s="905"/>
      <c r="V88" s="905"/>
      <c r="W88" s="905"/>
      <c r="X88" s="905"/>
      <c r="Y88" s="905"/>
      <c r="Z88" s="98"/>
    </row>
    <row r="89" spans="1:26" ht="21.6" customHeight="1" x14ac:dyDescent="0.3">
      <c r="A89" s="200"/>
      <c r="B89" s="208"/>
      <c r="C89" s="206"/>
      <c r="D89" s="98"/>
      <c r="E89" s="98"/>
      <c r="F89" s="98"/>
      <c r="G89" s="98"/>
      <c r="H89" s="98"/>
      <c r="I89" s="910"/>
      <c r="J89" s="308" t="str">
        <f>$E$10</f>
        <v>COMUNA 6 OFICIAL</v>
      </c>
      <c r="K89" s="194">
        <f>VLOOKUP($E$10,MATE!$A$10:$AV$171,42,0)</f>
        <v>2.7500000000000004E-2</v>
      </c>
      <c r="L89" s="223">
        <f>VLOOKUP($E$10,MATE!$A$10:$AV$171,43,0)</f>
        <v>0.38750000000000007</v>
      </c>
      <c r="M89" s="309">
        <f>VLOOKUP($E$10,MATE!$A$10:$AV$171,44,0)</f>
        <v>0.55000000000000004</v>
      </c>
      <c r="N89" s="310">
        <f>VLOOKUP($E$10,MATE!$A$10:$AV$171,45,0)</f>
        <v>3.5000000000000003E-2</v>
      </c>
      <c r="O89" s="108">
        <f t="shared" si="2"/>
        <v>0.41500000000000009</v>
      </c>
      <c r="P89" s="108"/>
      <c r="Q89" s="98"/>
      <c r="R89" s="906"/>
      <c r="S89" s="906"/>
      <c r="T89" s="905"/>
      <c r="U89" s="905"/>
      <c r="V89" s="905"/>
      <c r="W89" s="905"/>
      <c r="X89" s="905"/>
      <c r="Y89" s="905"/>
      <c r="Z89" s="98"/>
    </row>
    <row r="90" spans="1:26" ht="20.25" x14ac:dyDescent="0.3">
      <c r="A90" s="200"/>
      <c r="B90" s="208"/>
      <c r="C90" s="206"/>
      <c r="D90" s="98"/>
      <c r="E90" s="98"/>
      <c r="F90" s="98"/>
      <c r="G90" s="98"/>
      <c r="H90" s="98"/>
      <c r="I90" s="908">
        <v>2021</v>
      </c>
      <c r="J90" s="308" t="str">
        <f>$E$8</f>
        <v>GIMNASIO NUEVO BOLIVAR</v>
      </c>
      <c r="K90" s="194">
        <f>VLOOKUP($E$8,MATE!$A$10:$BG$171,53,0)</f>
        <v>0.04</v>
      </c>
      <c r="L90" s="223">
        <f>VLOOKUP($E$8,MATE!$A$10:$BG$171,54,0)</f>
        <v>0.23</v>
      </c>
      <c r="M90" s="309">
        <f>VLOOKUP($E$8,MATE!$A$10:$BG$171,55,0)</f>
        <v>0.68</v>
      </c>
      <c r="N90" s="310">
        <f>VLOOKUP($E$8,MATE!$A$10:$BG$171,56,0)</f>
        <v>0.06</v>
      </c>
      <c r="O90" s="108">
        <f t="shared" si="2"/>
        <v>0.27</v>
      </c>
      <c r="P90" s="108"/>
      <c r="Q90" s="98"/>
      <c r="R90" s="906"/>
      <c r="S90" s="906"/>
      <c r="T90" s="905"/>
      <c r="U90" s="905"/>
      <c r="V90" s="905"/>
      <c r="W90" s="905"/>
      <c r="X90" s="905"/>
      <c r="Y90" s="905"/>
      <c r="Z90" s="98"/>
    </row>
    <row r="91" spans="1:26" ht="20.25" x14ac:dyDescent="0.3">
      <c r="A91" s="200"/>
      <c r="B91" s="208"/>
      <c r="C91" s="206"/>
      <c r="D91" s="98"/>
      <c r="E91" s="98"/>
      <c r="F91" s="98"/>
      <c r="G91" s="98"/>
      <c r="H91" s="98"/>
      <c r="I91" s="909"/>
      <c r="J91" s="308" t="str">
        <f>$E$9</f>
        <v>COMUNA 1</v>
      </c>
      <c r="K91" s="194">
        <f>VLOOKUP($E$9,MATE!$A$10:$BG$171,53,0)</f>
        <v>4.3529411764705886E-2</v>
      </c>
      <c r="L91" s="223">
        <f>VLOOKUP($E$9,MATE!$A$10:$BG$171,54,0)</f>
        <v>0.36764705882352944</v>
      </c>
      <c r="M91" s="309">
        <f>VLOOKUP($E$9,MATE!$A$10:$BG$171,55,0)</f>
        <v>0.56176470588235294</v>
      </c>
      <c r="N91" s="310">
        <f>VLOOKUP($E$9,MATE!$A$10:$BG$171,56,0)</f>
        <v>2.7058823529411767E-2</v>
      </c>
      <c r="O91" s="108">
        <f t="shared" si="2"/>
        <v>0.41117647058823531</v>
      </c>
      <c r="P91" s="108"/>
      <c r="Q91" s="98"/>
      <c r="R91" s="906"/>
      <c r="S91" s="906"/>
      <c r="T91" s="905"/>
      <c r="U91" s="905"/>
      <c r="V91" s="905"/>
      <c r="W91" s="905"/>
      <c r="X91" s="905"/>
      <c r="Y91" s="905"/>
      <c r="Z91" s="98"/>
    </row>
    <row r="92" spans="1:26" ht="20.25" x14ac:dyDescent="0.3">
      <c r="A92" s="200"/>
      <c r="B92" s="208"/>
      <c r="C92" s="206"/>
      <c r="D92" s="98"/>
      <c r="E92" s="98"/>
      <c r="F92" s="98"/>
      <c r="G92" s="98"/>
      <c r="H92" s="98"/>
      <c r="I92" s="910"/>
      <c r="J92" s="308" t="str">
        <f>$E$10</f>
        <v>COMUNA 6 OFICIAL</v>
      </c>
      <c r="K92" s="194">
        <f>VLOOKUP($E$10,MATE!$A$10:$BG$171,53,0)</f>
        <v>5.2499999999999998E-2</v>
      </c>
      <c r="L92" s="223">
        <f>VLOOKUP($E$10,MATE!$A$10:$BG$171,54,0)</f>
        <v>0.49</v>
      </c>
      <c r="M92" s="309">
        <f>VLOOKUP($E$10,MATE!$A$10:$BG$171,55,0)</f>
        <v>0.44499999999999995</v>
      </c>
      <c r="N92" s="310">
        <f>VLOOKUP($E$10,MATE!$A$10:$BG$171,56,0)</f>
        <v>1.7500000000000002E-2</v>
      </c>
      <c r="O92" s="108">
        <f t="shared" si="2"/>
        <v>0.54249999999999998</v>
      </c>
      <c r="P92" s="108"/>
      <c r="Q92" s="98"/>
      <c r="R92" s="906"/>
      <c r="S92" s="906"/>
      <c r="T92" s="905"/>
      <c r="U92" s="905"/>
      <c r="V92" s="905"/>
      <c r="W92" s="905"/>
      <c r="X92" s="905"/>
      <c r="Y92" s="905"/>
      <c r="Z92" s="98"/>
    </row>
    <row r="93" spans="1:26" ht="20.25" x14ac:dyDescent="0.3">
      <c r="A93" s="200"/>
      <c r="B93" s="208"/>
      <c r="C93" s="206"/>
      <c r="D93" s="98"/>
      <c r="E93" s="98"/>
      <c r="F93" s="98"/>
      <c r="G93" s="98"/>
      <c r="H93" s="98"/>
      <c r="I93" s="908">
        <v>2022</v>
      </c>
      <c r="J93" s="308" t="str">
        <f>$E$8</f>
        <v>GIMNASIO NUEVO BOLIVAR</v>
      </c>
      <c r="K93" s="194">
        <f>VLOOKUP($E$8,MATE!$A$10:$BX$171,67,0)</f>
        <v>0.03</v>
      </c>
      <c r="L93" s="223">
        <f>VLOOKUP($E$8,MATE!$A$10:$BX$171,68,0)</f>
        <v>0.3</v>
      </c>
      <c r="M93" s="309">
        <f>VLOOKUP($E$8,MATE!$A$10:$BX$171,69,0)</f>
        <v>0.59</v>
      </c>
      <c r="N93" s="310">
        <f>VLOOKUP($E$8,MATE!$A$10:$BX$171,70,0)</f>
        <v>0.08</v>
      </c>
      <c r="O93" s="108">
        <f t="shared" ref="O93:O101" si="3">K93+L93</f>
        <v>0.32999999999999996</v>
      </c>
      <c r="P93" s="108"/>
      <c r="Q93" s="98"/>
      <c r="R93" s="906"/>
      <c r="S93" s="906"/>
      <c r="T93" s="905"/>
      <c r="U93" s="905"/>
      <c r="V93" s="905"/>
      <c r="W93" s="905"/>
      <c r="X93" s="905"/>
      <c r="Y93" s="905"/>
      <c r="Z93" s="98"/>
    </row>
    <row r="94" spans="1:26" ht="21.6" customHeight="1" x14ac:dyDescent="0.3">
      <c r="A94" s="200"/>
      <c r="B94" s="208"/>
      <c r="C94" s="206"/>
      <c r="D94" s="98"/>
      <c r="E94" s="98"/>
      <c r="F94" s="98"/>
      <c r="G94" s="98"/>
      <c r="H94" s="98"/>
      <c r="I94" s="909"/>
      <c r="J94" s="308" t="str">
        <f>$E$9</f>
        <v>COMUNA 1</v>
      </c>
      <c r="K94" s="194">
        <f>VLOOKUP($E$9,MATE!$A$10:$BX$171,67,0)</f>
        <v>4.9444444444444444E-2</v>
      </c>
      <c r="L94" s="223">
        <f>VLOOKUP($E$9,MATE!$A$10:$BX$171,68,0)</f>
        <v>0.35777777777777781</v>
      </c>
      <c r="M94" s="309">
        <f>VLOOKUP($E$9,MATE!$A$10:$BX$171,69,0)</f>
        <v>0.57055555555555559</v>
      </c>
      <c r="N94" s="310">
        <f>VLOOKUP($E$9,MATE!$A$10:$BX$171,70,0)</f>
        <v>2.3333333333333331E-2</v>
      </c>
      <c r="O94" s="108">
        <f t="shared" si="3"/>
        <v>0.40722222222222226</v>
      </c>
      <c r="P94" s="108"/>
      <c r="Q94" s="98"/>
      <c r="R94" s="906"/>
      <c r="S94" s="906"/>
      <c r="T94" s="905"/>
      <c r="U94" s="905"/>
      <c r="V94" s="905"/>
      <c r="W94" s="905"/>
      <c r="X94" s="905"/>
      <c r="Y94" s="905"/>
      <c r="Z94" s="98"/>
    </row>
    <row r="95" spans="1:26" ht="21.6" customHeight="1" x14ac:dyDescent="0.3">
      <c r="A95" s="200"/>
      <c r="B95" s="208"/>
      <c r="C95" s="206"/>
      <c r="D95" s="98"/>
      <c r="E95" s="98"/>
      <c r="F95" s="98"/>
      <c r="G95" s="98"/>
      <c r="H95" s="98"/>
      <c r="I95" s="910"/>
      <c r="J95" s="308" t="str">
        <f>$E$10</f>
        <v>COMUNA 6 OFICIAL</v>
      </c>
      <c r="K95" s="194">
        <f>VLOOKUP($E$10,MATE!$A$10:$BX$171,67,0)</f>
        <v>0.09</v>
      </c>
      <c r="L95" s="223">
        <f>VLOOKUP($E$10,MATE!$A$10:$BX$171,68,0)</f>
        <v>0.41750000000000004</v>
      </c>
      <c r="M95" s="309">
        <f>VLOOKUP($E$10,MATE!$A$10:$BX$171,69,0)</f>
        <v>0.48</v>
      </c>
      <c r="N95" s="310">
        <f>VLOOKUP($E$10,MATE!$A$10:$BX$171,70,0)</f>
        <v>0.01</v>
      </c>
      <c r="O95" s="108">
        <f t="shared" si="3"/>
        <v>0.50750000000000006</v>
      </c>
      <c r="P95" s="98"/>
      <c r="Q95" s="98"/>
      <c r="R95" s="906"/>
      <c r="S95" s="906"/>
      <c r="T95" s="905"/>
      <c r="U95" s="905"/>
      <c r="V95" s="905"/>
      <c r="W95" s="905"/>
      <c r="X95" s="905"/>
      <c r="Y95" s="905"/>
      <c r="Z95" s="98"/>
    </row>
    <row r="96" spans="1:26" ht="21.6" customHeight="1" x14ac:dyDescent="0.3">
      <c r="A96" s="200"/>
      <c r="B96" s="208"/>
      <c r="C96" s="206"/>
      <c r="D96" s="98"/>
      <c r="E96" s="98"/>
      <c r="F96" s="98"/>
      <c r="G96" s="98"/>
      <c r="H96" s="98"/>
      <c r="I96" s="908">
        <v>2023</v>
      </c>
      <c r="J96" s="308" t="str">
        <f>$E$8</f>
        <v>GIMNASIO NUEVO BOLIVAR</v>
      </c>
      <c r="K96" s="194">
        <f>VLOOKUP($E$8,MATE!$A$10:$CI$171,81,0)</f>
        <v>0.03</v>
      </c>
      <c r="L96" s="223">
        <f>VLOOKUP($E$8,MATE!$A$10:$CI$171,82,0)</f>
        <v>0.38</v>
      </c>
      <c r="M96" s="309">
        <f>VLOOKUP($E$8,MATE!$A$10:$CI$171,83,0)</f>
        <v>0.53</v>
      </c>
      <c r="N96" s="310">
        <f>VLOOKUP($E$8,MATE!$A$10:$CI$171,84,0)</f>
        <v>0.06</v>
      </c>
      <c r="O96" s="108">
        <f t="shared" si="3"/>
        <v>0.41000000000000003</v>
      </c>
      <c r="P96" s="98"/>
      <c r="Q96" s="98"/>
      <c r="R96" s="906"/>
      <c r="S96" s="906"/>
      <c r="T96" s="905"/>
      <c r="U96" s="905"/>
      <c r="V96" s="905"/>
      <c r="W96" s="905"/>
      <c r="X96" s="905"/>
      <c r="Y96" s="905"/>
      <c r="Z96" s="98"/>
    </row>
    <row r="97" spans="1:26" ht="20.25" x14ac:dyDescent="0.3">
      <c r="A97" s="200"/>
      <c r="B97" s="208"/>
      <c r="C97" s="206"/>
      <c r="D97" s="98"/>
      <c r="E97" s="98"/>
      <c r="F97" s="98"/>
      <c r="G97" s="98"/>
      <c r="H97" s="98"/>
      <c r="I97" s="909"/>
      <c r="J97" s="308" t="str">
        <f>$E$9</f>
        <v>COMUNA 1</v>
      </c>
      <c r="K97" s="194">
        <f>VLOOKUP($E$9,MATE!$A$10:$CI$171,81,0)</f>
        <v>3.5882352941176476E-2</v>
      </c>
      <c r="L97" s="223">
        <f>VLOOKUP($E$9,MATE!$A$10:$CI$171,82,0)</f>
        <v>0.35235294117647059</v>
      </c>
      <c r="M97" s="309">
        <f>VLOOKUP($E$9,MATE!$A$10:$CI$171,83,0)</f>
        <v>0.56294117647058817</v>
      </c>
      <c r="N97" s="310">
        <f>VLOOKUP($E$9,MATE!$A$10:$CI$171,84,0)</f>
        <v>4.8235294117647071E-2</v>
      </c>
      <c r="O97" s="108">
        <f t="shared" si="3"/>
        <v>0.38823529411764707</v>
      </c>
      <c r="P97" s="98"/>
      <c r="Q97" s="98"/>
      <c r="R97" s="906"/>
      <c r="S97" s="906"/>
      <c r="T97" s="905"/>
      <c r="U97" s="905"/>
      <c r="V97" s="905"/>
      <c r="W97" s="905"/>
      <c r="X97" s="905"/>
      <c r="Y97" s="905"/>
      <c r="Z97" s="98"/>
    </row>
    <row r="98" spans="1:26" ht="20.25" x14ac:dyDescent="0.3">
      <c r="A98" s="200"/>
      <c r="B98" s="208"/>
      <c r="C98" s="206"/>
      <c r="D98" s="98"/>
      <c r="E98" s="98"/>
      <c r="F98" s="98"/>
      <c r="G98" s="98"/>
      <c r="H98" s="98"/>
      <c r="I98" s="910"/>
      <c r="J98" s="308" t="str">
        <f>$E$10</f>
        <v>COMUNA 6 OFICIAL</v>
      </c>
      <c r="K98" s="194">
        <f>VLOOKUP($E$10,MATE!$A$10:$CI$171,81,0)</f>
        <v>7.2500000000000009E-2</v>
      </c>
      <c r="L98" s="223">
        <f>VLOOKUP($E$10,MATE!$A$10:$CI$171,82,0)</f>
        <v>0.43</v>
      </c>
      <c r="M98" s="309">
        <f>VLOOKUP($E$10,MATE!$A$10:$CI$171,83,0)</f>
        <v>0.47</v>
      </c>
      <c r="N98" s="310">
        <f>VLOOKUP($E$10,MATE!$A$10:$CI$171,84,0)</f>
        <v>3.2500000000000001E-2</v>
      </c>
      <c r="O98" s="108">
        <f t="shared" si="3"/>
        <v>0.50249999999999995</v>
      </c>
      <c r="P98" s="98"/>
      <c r="Q98" s="98"/>
      <c r="R98" s="906"/>
      <c r="S98" s="906"/>
      <c r="T98" s="905"/>
      <c r="U98" s="905"/>
      <c r="V98" s="905"/>
      <c r="W98" s="905"/>
      <c r="X98" s="905"/>
      <c r="Y98" s="905"/>
      <c r="Z98" s="98"/>
    </row>
    <row r="99" spans="1:26" ht="20.25" x14ac:dyDescent="0.3">
      <c r="A99" s="200"/>
      <c r="B99" s="208"/>
      <c r="C99" s="206"/>
      <c r="D99" s="98"/>
      <c r="E99" s="98"/>
      <c r="F99" s="98"/>
      <c r="G99" s="98"/>
      <c r="H99" s="98"/>
      <c r="I99" s="908">
        <v>2024</v>
      </c>
      <c r="J99" s="308" t="str">
        <f>$E$8</f>
        <v>GIMNASIO NUEVO BOLIVAR</v>
      </c>
      <c r="K99" s="194">
        <f>VLOOKUP($E$8,MATE!$A$10:$CT$171,92,0)</f>
        <v>0</v>
      </c>
      <c r="L99" s="223">
        <f>VLOOKUP($E$8,MATE!$A$10:$CT$171,93,0)</f>
        <v>0.31</v>
      </c>
      <c r="M99" s="309">
        <f>VLOOKUP($E$8,MATE!$A$10:$CT$171,94,0)</f>
        <v>0.64</v>
      </c>
      <c r="N99" s="310">
        <f>VLOOKUP($E$8,MATE!$A$10:$CT$171,95,0)</f>
        <v>0.06</v>
      </c>
      <c r="O99" s="108">
        <f t="shared" si="3"/>
        <v>0.31</v>
      </c>
      <c r="P99" s="98"/>
      <c r="Q99" s="98"/>
      <c r="R99" s="906"/>
      <c r="S99" s="906"/>
      <c r="T99" s="905"/>
      <c r="U99" s="905"/>
      <c r="V99" s="905"/>
      <c r="W99" s="905"/>
      <c r="X99" s="905"/>
      <c r="Y99" s="905"/>
      <c r="Z99" s="98"/>
    </row>
    <row r="100" spans="1:26" ht="20.25" x14ac:dyDescent="0.3">
      <c r="A100" s="200"/>
      <c r="B100" s="208"/>
      <c r="C100" s="206"/>
      <c r="D100" s="98"/>
      <c r="E100" s="98"/>
      <c r="F100" s="98"/>
      <c r="G100" s="98"/>
      <c r="H100" s="98"/>
      <c r="I100" s="909"/>
      <c r="J100" s="308" t="str">
        <f>$E$9</f>
        <v>COMUNA 1</v>
      </c>
      <c r="K100" s="194">
        <f>VLOOKUP($E$9,MATE!$A$10:$CT$171,92,0)</f>
        <v>4.0555555555555553E-2</v>
      </c>
      <c r="L100" s="223">
        <f>VLOOKUP($E$9,MATE!$A$10:$CT$171,93,0)</f>
        <v>0.32222222222222219</v>
      </c>
      <c r="M100" s="309">
        <f>VLOOKUP($E$9,MATE!$A$10:$CT$171,94,0)</f>
        <v>0.58444444444444466</v>
      </c>
      <c r="N100" s="310">
        <f>VLOOKUP($E$9,MATE!$A$10:$CT$171,95,0)</f>
        <v>5.3333333333333344E-2</v>
      </c>
      <c r="O100" s="108">
        <f t="shared" si="3"/>
        <v>0.36277777777777775</v>
      </c>
      <c r="P100" s="98"/>
      <c r="Q100" s="98"/>
      <c r="R100" s="906"/>
      <c r="S100" s="906"/>
      <c r="T100" s="905"/>
      <c r="U100" s="905"/>
      <c r="V100" s="905"/>
      <c r="W100" s="905"/>
      <c r="X100" s="905"/>
      <c r="Y100" s="905"/>
      <c r="Z100" s="98"/>
    </row>
    <row r="101" spans="1:26" ht="20.25" x14ac:dyDescent="0.3">
      <c r="A101" s="200"/>
      <c r="B101" s="208"/>
      <c r="C101" s="206"/>
      <c r="D101" s="98"/>
      <c r="E101" s="98"/>
      <c r="F101" s="98"/>
      <c r="G101" s="98"/>
      <c r="H101" s="98"/>
      <c r="I101" s="910"/>
      <c r="J101" s="308" t="str">
        <f>$E$10</f>
        <v>COMUNA 6 OFICIAL</v>
      </c>
      <c r="K101" s="194">
        <f>VLOOKUP($E$10,MATE!$A$10:$CT$171,92,0)</f>
        <v>6.25E-2</v>
      </c>
      <c r="L101" s="223">
        <f>VLOOKUP($E$10,MATE!$A$10:$CT$171,93,0)</f>
        <v>0.41000000000000003</v>
      </c>
      <c r="M101" s="309">
        <f>VLOOKUP($E$10,MATE!$A$10:$CT$171,94,0)</f>
        <v>0.49500000000000005</v>
      </c>
      <c r="N101" s="310">
        <f>VLOOKUP($E$10,MATE!$A$10:$CT$171,95,0)</f>
        <v>0.03</v>
      </c>
      <c r="O101" s="108">
        <f t="shared" si="3"/>
        <v>0.47250000000000003</v>
      </c>
      <c r="P101" s="98"/>
      <c r="Q101" s="98"/>
      <c r="R101" s="906"/>
      <c r="S101" s="906"/>
      <c r="T101" s="905"/>
      <c r="U101" s="905"/>
      <c r="V101" s="905"/>
      <c r="W101" s="905"/>
      <c r="X101" s="905"/>
      <c r="Y101" s="905"/>
      <c r="Z101" s="98"/>
    </row>
    <row r="102" spans="1:26" ht="20.45" customHeight="1" x14ac:dyDescent="0.3">
      <c r="A102" s="200"/>
      <c r="B102" s="208"/>
      <c r="C102" s="206"/>
      <c r="D102" s="98"/>
      <c r="E102" s="98"/>
      <c r="F102" s="98"/>
      <c r="G102" s="98"/>
      <c r="H102" s="98"/>
      <c r="I102" s="98"/>
      <c r="J102" s="98"/>
      <c r="K102" s="108"/>
      <c r="L102" s="98"/>
      <c r="M102" s="98"/>
      <c r="N102" s="98"/>
      <c r="O102" s="98"/>
      <c r="P102" s="98"/>
      <c r="Q102" s="98"/>
      <c r="R102" s="944">
        <v>4</v>
      </c>
      <c r="S102" s="944" t="s">
        <v>726</v>
      </c>
      <c r="T102" s="894" t="s">
        <v>1026</v>
      </c>
      <c r="U102" s="894"/>
      <c r="V102" s="894"/>
      <c r="W102" s="894"/>
      <c r="X102" s="894"/>
      <c r="Y102" s="894"/>
      <c r="Z102" s="98"/>
    </row>
    <row r="103" spans="1:26" ht="20.25" x14ac:dyDescent="0.3">
      <c r="A103" s="200"/>
      <c r="B103" s="208"/>
      <c r="C103" s="206"/>
      <c r="D103" s="98"/>
      <c r="E103" s="98"/>
      <c r="F103" s="98"/>
      <c r="G103" s="98"/>
      <c r="H103" s="98"/>
      <c r="I103" s="98"/>
      <c r="J103" s="98"/>
      <c r="K103" s="108"/>
      <c r="L103" s="98"/>
      <c r="M103" s="98"/>
      <c r="N103" s="98"/>
      <c r="O103" s="98"/>
      <c r="P103" s="98"/>
      <c r="Q103" s="98"/>
      <c r="R103" s="945"/>
      <c r="S103" s="945"/>
      <c r="T103" s="894"/>
      <c r="U103" s="894"/>
      <c r="V103" s="894"/>
      <c r="W103" s="894"/>
      <c r="X103" s="894"/>
      <c r="Y103" s="894"/>
      <c r="Z103" s="98"/>
    </row>
    <row r="104" spans="1:26" ht="21" customHeight="1" x14ac:dyDescent="0.3">
      <c r="A104" s="200"/>
      <c r="B104" s="208"/>
      <c r="C104" s="206"/>
      <c r="D104" s="98"/>
      <c r="E104" s="98"/>
      <c r="F104" s="98"/>
      <c r="G104" s="98"/>
      <c r="H104" s="98"/>
      <c r="I104" s="98"/>
      <c r="J104" s="98"/>
      <c r="K104" s="108"/>
      <c r="L104" s="98"/>
      <c r="M104" s="98"/>
      <c r="N104" s="98"/>
      <c r="O104" s="98"/>
      <c r="P104" s="98"/>
      <c r="Q104" s="98"/>
      <c r="R104" s="945"/>
      <c r="S104" s="945"/>
      <c r="T104" s="894"/>
      <c r="U104" s="894"/>
      <c r="V104" s="894"/>
      <c r="W104" s="894"/>
      <c r="X104" s="894"/>
      <c r="Y104" s="894"/>
      <c r="Z104" s="98"/>
    </row>
    <row r="105" spans="1:26" ht="20.25" x14ac:dyDescent="0.3">
      <c r="A105" s="200"/>
      <c r="B105" s="208"/>
      <c r="C105" s="206"/>
      <c r="D105" s="98"/>
      <c r="E105" s="98"/>
      <c r="F105" s="98"/>
      <c r="G105" s="98"/>
      <c r="H105" s="98"/>
      <c r="I105" s="98"/>
      <c r="J105" s="98"/>
      <c r="K105" s="108"/>
      <c r="L105" s="98"/>
      <c r="M105" s="98"/>
      <c r="N105" s="98"/>
      <c r="O105" s="98"/>
      <c r="P105" s="98"/>
      <c r="Q105" s="98"/>
      <c r="R105" s="945"/>
      <c r="S105" s="945"/>
      <c r="T105" s="894"/>
      <c r="U105" s="894"/>
      <c r="V105" s="894"/>
      <c r="W105" s="894"/>
      <c r="X105" s="894"/>
      <c r="Y105" s="894"/>
      <c r="Z105" s="98"/>
    </row>
    <row r="106" spans="1:26" ht="20.25" x14ac:dyDescent="0.3">
      <c r="A106" s="200"/>
      <c r="B106" s="208"/>
      <c r="C106" s="206"/>
      <c r="D106" s="98"/>
      <c r="E106" s="98"/>
      <c r="F106" s="98"/>
      <c r="G106" s="98"/>
      <c r="H106" s="98"/>
      <c r="I106" s="98"/>
      <c r="J106" s="98"/>
      <c r="K106" s="108"/>
      <c r="L106" s="98"/>
      <c r="M106" s="98"/>
      <c r="N106" s="98"/>
      <c r="O106" s="98"/>
      <c r="P106" s="98"/>
      <c r="Q106" s="98"/>
      <c r="R106" s="945"/>
      <c r="S106" s="945"/>
      <c r="T106" s="894"/>
      <c r="U106" s="894"/>
      <c r="V106" s="894"/>
      <c r="W106" s="894"/>
      <c r="X106" s="894"/>
      <c r="Y106" s="894"/>
      <c r="Z106" s="98"/>
    </row>
    <row r="107" spans="1:26" ht="20.25" x14ac:dyDescent="0.3">
      <c r="A107" s="200"/>
      <c r="B107" s="208"/>
      <c r="C107" s="206"/>
      <c r="D107" s="98"/>
      <c r="E107" s="98"/>
      <c r="F107" s="98"/>
      <c r="G107" s="98"/>
      <c r="H107" s="98"/>
      <c r="I107" s="98"/>
      <c r="J107" s="98"/>
      <c r="K107" s="108"/>
      <c r="L107" s="98"/>
      <c r="M107" s="98"/>
      <c r="N107" s="98"/>
      <c r="O107" s="98"/>
      <c r="P107" s="98"/>
      <c r="Q107" s="98"/>
      <c r="R107" s="945"/>
      <c r="S107" s="945"/>
      <c r="T107" s="894"/>
      <c r="U107" s="894"/>
      <c r="V107" s="894"/>
      <c r="W107" s="894"/>
      <c r="X107" s="894"/>
      <c r="Y107" s="894"/>
      <c r="Z107" s="98"/>
    </row>
    <row r="108" spans="1:26" ht="20.25" x14ac:dyDescent="0.3">
      <c r="A108" s="200"/>
      <c r="B108" s="208"/>
      <c r="C108" s="206"/>
      <c r="D108" s="98"/>
      <c r="E108" s="98"/>
      <c r="F108" s="98"/>
      <c r="G108" s="98"/>
      <c r="H108" s="98"/>
      <c r="I108" s="98"/>
      <c r="J108" s="98"/>
      <c r="K108" s="108"/>
      <c r="L108" s="98"/>
      <c r="M108" s="98"/>
      <c r="N108" s="98"/>
      <c r="O108" s="98"/>
      <c r="P108" s="98"/>
      <c r="Q108" s="98"/>
      <c r="R108" s="945"/>
      <c r="S108" s="945"/>
      <c r="T108" s="894"/>
      <c r="U108" s="894"/>
      <c r="V108" s="894"/>
      <c r="W108" s="894"/>
      <c r="X108" s="894"/>
      <c r="Y108" s="894"/>
      <c r="Z108" s="98"/>
    </row>
    <row r="109" spans="1:26" ht="20.25" x14ac:dyDescent="0.3">
      <c r="A109" s="200"/>
      <c r="B109" s="208"/>
      <c r="C109" s="206"/>
      <c r="D109" s="98"/>
      <c r="E109" s="98"/>
      <c r="F109" s="98"/>
      <c r="G109" s="98"/>
      <c r="H109" s="98"/>
      <c r="I109" s="98"/>
      <c r="J109" s="98"/>
      <c r="K109" s="108"/>
      <c r="L109" s="98"/>
      <c r="M109" s="98"/>
      <c r="N109" s="98"/>
      <c r="O109" s="98"/>
      <c r="P109" s="98"/>
      <c r="Q109" s="98"/>
      <c r="R109" s="945"/>
      <c r="S109" s="945"/>
      <c r="T109" s="894"/>
      <c r="U109" s="894"/>
      <c r="V109" s="894"/>
      <c r="W109" s="894"/>
      <c r="X109" s="894"/>
      <c r="Y109" s="894"/>
      <c r="Z109" s="98"/>
    </row>
    <row r="110" spans="1:26" ht="20.25" x14ac:dyDescent="0.3">
      <c r="A110" s="200"/>
      <c r="B110" s="208"/>
      <c r="C110" s="206"/>
      <c r="D110" s="98"/>
      <c r="E110" s="98"/>
      <c r="F110" s="98"/>
      <c r="G110" s="98"/>
      <c r="H110" s="98"/>
      <c r="I110" s="98"/>
      <c r="J110" s="98"/>
      <c r="K110" s="108"/>
      <c r="L110" s="98"/>
      <c r="M110" s="98"/>
      <c r="N110" s="98"/>
      <c r="O110" s="98"/>
      <c r="P110" s="98"/>
      <c r="Q110" s="98"/>
      <c r="R110" s="945"/>
      <c r="S110" s="945"/>
      <c r="T110" s="894"/>
      <c r="U110" s="894"/>
      <c r="V110" s="894"/>
      <c r="W110" s="894"/>
      <c r="X110" s="894"/>
      <c r="Y110" s="894"/>
      <c r="Z110" s="98"/>
    </row>
    <row r="111" spans="1:26" ht="20.25" x14ac:dyDescent="0.3">
      <c r="A111" s="200"/>
      <c r="B111" s="208"/>
      <c r="C111" s="206"/>
      <c r="D111" s="98"/>
      <c r="E111" s="98"/>
      <c r="F111" s="98"/>
      <c r="G111" s="98"/>
      <c r="H111" s="98"/>
      <c r="I111" s="98"/>
      <c r="J111" s="98"/>
      <c r="K111" s="108"/>
      <c r="L111" s="98"/>
      <c r="M111" s="98"/>
      <c r="N111" s="98"/>
      <c r="O111" s="98"/>
      <c r="P111" s="98"/>
      <c r="Q111" s="98"/>
      <c r="R111" s="945"/>
      <c r="S111" s="945"/>
      <c r="T111" s="894"/>
      <c r="U111" s="894"/>
      <c r="V111" s="894"/>
      <c r="W111" s="894"/>
      <c r="X111" s="894"/>
      <c r="Y111" s="894"/>
      <c r="Z111" s="98"/>
    </row>
    <row r="112" spans="1:26" ht="20.25" x14ac:dyDescent="0.3">
      <c r="A112" s="200"/>
      <c r="B112" s="208"/>
      <c r="C112" s="206"/>
      <c r="D112" s="98"/>
      <c r="E112" s="98"/>
      <c r="F112" s="98"/>
      <c r="G112" s="98"/>
      <c r="H112" s="98"/>
      <c r="I112" s="98"/>
      <c r="J112" s="98"/>
      <c r="K112" s="108"/>
      <c r="L112" s="98"/>
      <c r="M112" s="98"/>
      <c r="N112" s="98"/>
      <c r="O112" s="98"/>
      <c r="P112" s="98"/>
      <c r="Q112" s="98"/>
      <c r="R112" s="945"/>
      <c r="S112" s="945"/>
      <c r="T112" s="894"/>
      <c r="U112" s="894"/>
      <c r="V112" s="894"/>
      <c r="W112" s="894"/>
      <c r="X112" s="894"/>
      <c r="Y112" s="894"/>
      <c r="Z112" s="98"/>
    </row>
    <row r="113" spans="1:26" ht="20.25" x14ac:dyDescent="0.3">
      <c r="A113" s="200"/>
      <c r="B113" s="208"/>
      <c r="C113" s="206"/>
      <c r="D113" s="98"/>
      <c r="E113" s="98"/>
      <c r="F113" s="98"/>
      <c r="G113" s="98"/>
      <c r="H113" s="98"/>
      <c r="I113" s="98"/>
      <c r="J113" s="98"/>
      <c r="K113" s="108"/>
      <c r="L113" s="98"/>
      <c r="M113" s="98"/>
      <c r="N113" s="98"/>
      <c r="O113" s="98"/>
      <c r="P113" s="98"/>
      <c r="Q113" s="98"/>
      <c r="R113" s="945"/>
      <c r="S113" s="945"/>
      <c r="T113" s="894"/>
      <c r="U113" s="894"/>
      <c r="V113" s="894"/>
      <c r="W113" s="894"/>
      <c r="X113" s="894"/>
      <c r="Y113" s="894"/>
      <c r="Z113" s="98"/>
    </row>
    <row r="114" spans="1:26" ht="20.45" customHeight="1" x14ac:dyDescent="0.3">
      <c r="A114" s="200"/>
      <c r="B114" s="208"/>
      <c r="C114" s="206"/>
      <c r="D114" s="98"/>
      <c r="E114" s="98"/>
      <c r="F114" s="98"/>
      <c r="G114" s="98"/>
      <c r="H114" s="98"/>
      <c r="I114" s="98"/>
      <c r="J114" s="98"/>
      <c r="K114" s="108"/>
      <c r="L114" s="98"/>
      <c r="M114" s="98"/>
      <c r="N114" s="98"/>
      <c r="O114" s="98"/>
      <c r="P114" s="98"/>
      <c r="Q114" s="98"/>
      <c r="R114" s="945"/>
      <c r="S114" s="945"/>
      <c r="T114" s="894"/>
      <c r="U114" s="894"/>
      <c r="V114" s="894"/>
      <c r="W114" s="894"/>
      <c r="X114" s="894"/>
      <c r="Y114" s="894"/>
      <c r="Z114" s="98"/>
    </row>
    <row r="115" spans="1:26" ht="20.25" x14ac:dyDescent="0.3">
      <c r="A115" s="200"/>
      <c r="B115" s="208"/>
      <c r="C115" s="206"/>
      <c r="D115" s="98"/>
      <c r="E115" s="98"/>
      <c r="F115" s="98"/>
      <c r="G115" s="98"/>
      <c r="H115" s="98"/>
      <c r="I115" s="98"/>
      <c r="J115" s="98"/>
      <c r="K115" s="108"/>
      <c r="L115" s="98"/>
      <c r="M115" s="98"/>
      <c r="N115" s="98"/>
      <c r="O115" s="98"/>
      <c r="P115" s="98"/>
      <c r="Q115" s="98"/>
      <c r="R115" s="945"/>
      <c r="S115" s="945"/>
      <c r="T115" s="894"/>
      <c r="U115" s="894"/>
      <c r="V115" s="894"/>
      <c r="W115" s="894"/>
      <c r="X115" s="894"/>
      <c r="Y115" s="894"/>
      <c r="Z115" s="98"/>
    </row>
    <row r="116" spans="1:26" ht="21" customHeight="1" x14ac:dyDescent="0.3">
      <c r="A116" s="200"/>
      <c r="B116" s="208"/>
      <c r="C116" s="206"/>
      <c r="D116" s="98"/>
      <c r="E116" s="98"/>
      <c r="F116" s="98"/>
      <c r="G116" s="98"/>
      <c r="H116" s="98"/>
      <c r="I116" s="98"/>
      <c r="J116" s="98"/>
      <c r="K116" s="108"/>
      <c r="L116" s="98"/>
      <c r="M116" s="98"/>
      <c r="N116" s="98"/>
      <c r="O116" s="98"/>
      <c r="P116" s="98"/>
      <c r="Q116" s="98"/>
      <c r="R116" s="945"/>
      <c r="S116" s="945"/>
      <c r="T116" s="894"/>
      <c r="U116" s="894"/>
      <c r="V116" s="894"/>
      <c r="W116" s="894"/>
      <c r="X116" s="894"/>
      <c r="Y116" s="894"/>
      <c r="Z116" s="98"/>
    </row>
    <row r="117" spans="1:26" ht="20.25" x14ac:dyDescent="0.3">
      <c r="A117" s="200"/>
      <c r="B117" s="208"/>
      <c r="C117" s="206"/>
      <c r="D117" s="98"/>
      <c r="E117" s="98"/>
      <c r="F117" s="98"/>
      <c r="G117" s="98"/>
      <c r="H117" s="98"/>
      <c r="I117" s="98"/>
      <c r="J117" s="98"/>
      <c r="K117" s="108"/>
      <c r="L117" s="98"/>
      <c r="M117" s="98"/>
      <c r="N117" s="98"/>
      <c r="O117" s="98"/>
      <c r="P117" s="98"/>
      <c r="Q117" s="98"/>
      <c r="R117" s="946"/>
      <c r="S117" s="946"/>
      <c r="T117" s="894"/>
      <c r="U117" s="894"/>
      <c r="V117" s="894"/>
      <c r="W117" s="894"/>
      <c r="X117" s="894"/>
      <c r="Y117" s="894"/>
      <c r="Z117" s="98"/>
    </row>
    <row r="118" spans="1:26" ht="20.25" x14ac:dyDescent="0.3">
      <c r="A118" s="200"/>
      <c r="B118" s="208"/>
      <c r="C118" s="206"/>
      <c r="D118" s="98"/>
      <c r="E118" s="98"/>
      <c r="F118" s="98"/>
      <c r="G118" s="98"/>
      <c r="H118" s="98"/>
      <c r="I118" s="98"/>
      <c r="J118" s="98"/>
      <c r="K118" s="108"/>
      <c r="L118" s="98"/>
      <c r="M118" s="98"/>
      <c r="N118" s="98"/>
      <c r="O118" s="98"/>
      <c r="P118" s="98"/>
      <c r="Q118" s="98"/>
      <c r="R118" s="98"/>
      <c r="S118" s="98"/>
      <c r="T118" s="98"/>
      <c r="U118" s="98"/>
      <c r="V118" s="98"/>
      <c r="W118" s="98"/>
      <c r="X118" s="98"/>
      <c r="Y118" s="98"/>
      <c r="Z118" s="98"/>
    </row>
    <row r="119" spans="1:26" ht="20.25" x14ac:dyDescent="0.3">
      <c r="A119" s="200"/>
      <c r="B119" s="208"/>
      <c r="C119" s="206"/>
      <c r="D119" s="98"/>
      <c r="E119" s="98"/>
      <c r="F119" s="98"/>
      <c r="G119" s="98"/>
      <c r="H119" s="98"/>
      <c r="I119" s="98"/>
      <c r="J119" s="98"/>
      <c r="K119" s="108"/>
      <c r="L119" s="98"/>
      <c r="M119" s="98"/>
      <c r="N119" s="98"/>
      <c r="O119" s="98"/>
      <c r="P119" s="98"/>
      <c r="Q119" s="98"/>
      <c r="R119" s="98"/>
      <c r="S119" s="98"/>
      <c r="T119" s="98"/>
      <c r="U119" s="98"/>
      <c r="V119" s="98"/>
      <c r="W119" s="98"/>
      <c r="X119" s="98"/>
      <c r="Y119" s="98"/>
      <c r="Z119" s="98"/>
    </row>
    <row r="120" spans="1:26" ht="20.25" x14ac:dyDescent="0.3">
      <c r="A120" s="200"/>
      <c r="B120" s="208"/>
      <c r="C120" s="206"/>
      <c r="D120" s="98"/>
      <c r="E120" s="98"/>
      <c r="F120" s="98"/>
      <c r="G120" s="98"/>
      <c r="H120" s="98"/>
      <c r="I120" s="98"/>
      <c r="J120" s="98"/>
      <c r="K120" s="108"/>
      <c r="L120" s="98"/>
      <c r="M120" s="98"/>
      <c r="N120" s="98"/>
      <c r="O120" s="98"/>
      <c r="P120" s="98"/>
      <c r="Q120" s="98"/>
      <c r="R120" s="98"/>
      <c r="S120" s="98"/>
      <c r="T120" s="98"/>
      <c r="U120" s="98"/>
      <c r="V120" s="98"/>
      <c r="W120" s="98"/>
      <c r="X120" s="98"/>
      <c r="Y120" s="98"/>
      <c r="Z120" s="98"/>
    </row>
    <row r="121" spans="1:26" ht="20.25" x14ac:dyDescent="0.3">
      <c r="A121" s="200"/>
      <c r="B121" s="208"/>
      <c r="C121" s="206"/>
      <c r="D121" s="98"/>
      <c r="E121" s="98"/>
      <c r="F121" s="98"/>
      <c r="G121" s="98"/>
      <c r="H121" s="98"/>
      <c r="I121" s="98"/>
      <c r="J121" s="98"/>
      <c r="K121" s="108"/>
      <c r="L121" s="98"/>
      <c r="M121" s="98"/>
      <c r="N121" s="98"/>
      <c r="O121" s="98"/>
      <c r="P121" s="98"/>
      <c r="Q121" s="98"/>
      <c r="R121" s="98"/>
      <c r="S121" s="98"/>
      <c r="T121" s="98"/>
      <c r="U121" s="98"/>
      <c r="V121" s="98"/>
      <c r="W121" s="98"/>
      <c r="X121" s="98"/>
      <c r="Y121" s="98"/>
      <c r="Z121" s="98"/>
    </row>
    <row r="122" spans="1:26" ht="20.25" x14ac:dyDescent="0.3">
      <c r="A122" s="200"/>
      <c r="B122" s="208"/>
      <c r="C122" s="206"/>
      <c r="D122" s="98"/>
      <c r="E122" s="98"/>
      <c r="F122" s="98"/>
      <c r="G122" s="98"/>
      <c r="H122" s="98"/>
      <c r="I122" s="98"/>
      <c r="J122" s="98"/>
      <c r="K122" s="108"/>
      <c r="L122" s="98"/>
      <c r="M122" s="98"/>
      <c r="N122" s="98"/>
      <c r="O122" s="98"/>
      <c r="P122" s="98"/>
      <c r="Q122" s="98"/>
      <c r="R122" s="98"/>
      <c r="S122" s="98"/>
      <c r="T122" s="98"/>
      <c r="U122" s="98"/>
      <c r="V122" s="98"/>
      <c r="W122" s="98"/>
      <c r="X122" s="98"/>
      <c r="Y122" s="98"/>
      <c r="Z122" s="98"/>
    </row>
    <row r="123" spans="1:26" ht="20.25" x14ac:dyDescent="0.3">
      <c r="A123" s="200"/>
      <c r="B123" s="208"/>
      <c r="C123" s="206"/>
      <c r="D123" s="98"/>
      <c r="E123" s="98"/>
      <c r="F123" s="98"/>
      <c r="G123" s="98"/>
      <c r="H123" s="98"/>
      <c r="I123" s="98"/>
      <c r="J123" s="98"/>
      <c r="K123" s="108"/>
      <c r="L123" s="98"/>
      <c r="M123" s="98"/>
      <c r="N123" s="98"/>
      <c r="O123" s="98"/>
      <c r="P123" s="98"/>
      <c r="Q123" s="98"/>
      <c r="R123" s="98"/>
      <c r="S123" s="98"/>
      <c r="T123" s="98"/>
      <c r="U123" s="98"/>
      <c r="V123" s="98"/>
      <c r="W123" s="98"/>
      <c r="X123" s="98"/>
      <c r="Y123" s="98"/>
      <c r="Z123" s="98"/>
    </row>
    <row r="124" spans="1:26" ht="20.25" x14ac:dyDescent="0.3">
      <c r="A124" s="200"/>
      <c r="B124" s="208"/>
      <c r="C124" s="206"/>
      <c r="D124" s="98"/>
      <c r="E124" s="98"/>
      <c r="F124" s="98"/>
      <c r="G124" s="98"/>
      <c r="H124" s="98"/>
      <c r="I124" s="98"/>
      <c r="J124" s="98"/>
      <c r="K124" s="108"/>
      <c r="L124" s="98"/>
      <c r="M124" s="98"/>
      <c r="N124" s="98"/>
      <c r="O124" s="98"/>
      <c r="P124" s="98"/>
      <c r="Q124" s="98"/>
      <c r="R124" s="98"/>
      <c r="S124" s="98"/>
      <c r="T124" s="98"/>
      <c r="U124" s="98"/>
      <c r="V124" s="98"/>
      <c r="W124" s="98"/>
      <c r="X124" s="98"/>
      <c r="Y124" s="98"/>
      <c r="Z124" s="98"/>
    </row>
    <row r="125" spans="1:26" ht="20.25" x14ac:dyDescent="0.3">
      <c r="A125" s="200"/>
      <c r="B125" s="208"/>
      <c r="C125" s="206"/>
      <c r="D125" s="98"/>
      <c r="E125" s="98"/>
      <c r="F125" s="98"/>
      <c r="G125" s="98"/>
      <c r="H125" s="98"/>
      <c r="I125" s="98"/>
      <c r="J125" s="98"/>
      <c r="K125" s="108"/>
      <c r="L125" s="98"/>
      <c r="M125" s="98"/>
      <c r="N125" s="98"/>
      <c r="O125" s="98"/>
      <c r="P125" s="98"/>
      <c r="Q125" s="98"/>
      <c r="R125" s="98"/>
      <c r="S125" s="98"/>
      <c r="T125" s="98"/>
      <c r="U125" s="98"/>
      <c r="V125" s="98"/>
      <c r="W125" s="98"/>
      <c r="X125" s="98"/>
      <c r="Y125" s="98"/>
      <c r="Z125" s="98"/>
    </row>
    <row r="126" spans="1:26" ht="20.25" x14ac:dyDescent="0.3">
      <c r="A126" s="200"/>
      <c r="B126" s="208"/>
      <c r="C126" s="206"/>
      <c r="D126" s="98"/>
      <c r="E126" s="98"/>
      <c r="F126" s="98"/>
      <c r="G126" s="98"/>
      <c r="H126" s="98"/>
      <c r="I126" s="98"/>
      <c r="J126" s="98"/>
      <c r="K126" s="108"/>
      <c r="L126" s="98"/>
      <c r="M126" s="98"/>
      <c r="N126" s="98"/>
      <c r="O126" s="98"/>
      <c r="P126" s="98"/>
      <c r="Q126" s="98"/>
      <c r="R126" s="98"/>
      <c r="S126" s="98"/>
      <c r="T126" s="98"/>
      <c r="U126" s="98"/>
      <c r="V126" s="98"/>
      <c r="W126" s="98"/>
      <c r="X126" s="98"/>
      <c r="Y126" s="98"/>
      <c r="Z126" s="98"/>
    </row>
    <row r="127" spans="1:26" ht="20.25" x14ac:dyDescent="0.3">
      <c r="A127" s="200"/>
      <c r="B127" s="208"/>
      <c r="C127" s="206"/>
      <c r="D127" s="98"/>
      <c r="E127" s="98"/>
      <c r="F127" s="98"/>
      <c r="G127" s="98"/>
      <c r="H127" s="98"/>
      <c r="I127" s="98"/>
      <c r="J127" s="98"/>
      <c r="K127" s="108"/>
      <c r="L127" s="98"/>
      <c r="M127" s="98"/>
      <c r="N127" s="98"/>
      <c r="O127" s="98"/>
      <c r="P127" s="98"/>
      <c r="Q127" s="98"/>
      <c r="R127" s="98"/>
      <c r="S127" s="98"/>
      <c r="T127" s="98"/>
      <c r="U127" s="98"/>
      <c r="V127" s="98"/>
      <c r="W127" s="98"/>
      <c r="X127" s="98"/>
      <c r="Y127" s="98"/>
      <c r="Z127" s="98"/>
    </row>
    <row r="128" spans="1:26" ht="20.25" x14ac:dyDescent="0.3">
      <c r="A128" s="200"/>
      <c r="B128" s="208"/>
      <c r="C128" s="206"/>
      <c r="D128" s="98"/>
      <c r="E128" s="98"/>
      <c r="F128" s="98"/>
      <c r="G128" s="98"/>
      <c r="H128" s="98"/>
      <c r="I128" s="98"/>
      <c r="J128" s="98"/>
      <c r="K128" s="108"/>
      <c r="L128" s="98"/>
      <c r="M128" s="98"/>
      <c r="N128" s="98"/>
      <c r="O128" s="98"/>
      <c r="P128" s="98"/>
      <c r="Q128" s="98"/>
      <c r="R128" s="98"/>
      <c r="S128" s="98"/>
      <c r="T128" s="98"/>
      <c r="U128" s="98"/>
      <c r="V128" s="98"/>
      <c r="W128" s="98"/>
      <c r="X128" s="98"/>
      <c r="Y128" s="98"/>
      <c r="Z128" s="98"/>
    </row>
    <row r="129" spans="1:26" ht="20.25" x14ac:dyDescent="0.3">
      <c r="A129" s="200"/>
      <c r="B129" s="208"/>
      <c r="C129" s="206"/>
      <c r="D129" s="98"/>
      <c r="E129" s="98"/>
      <c r="F129" s="98"/>
      <c r="G129" s="98"/>
      <c r="H129" s="98"/>
      <c r="I129" s="98"/>
      <c r="J129" s="98"/>
      <c r="K129" s="108"/>
      <c r="L129" s="98"/>
      <c r="M129" s="98"/>
      <c r="N129" s="98"/>
      <c r="O129" s="98"/>
      <c r="P129" s="98"/>
      <c r="Q129" s="98"/>
      <c r="R129" s="98"/>
      <c r="S129" s="98"/>
      <c r="T129" s="98"/>
      <c r="U129" s="98"/>
      <c r="V129" s="98"/>
      <c r="W129" s="98"/>
      <c r="X129" s="98"/>
      <c r="Y129" s="98"/>
      <c r="Z129" s="98"/>
    </row>
    <row r="130" spans="1:26" ht="20.25" x14ac:dyDescent="0.3">
      <c r="A130" s="200"/>
      <c r="B130" s="208"/>
      <c r="C130" s="206"/>
      <c r="D130" s="98"/>
      <c r="E130" s="98"/>
      <c r="F130" s="98"/>
      <c r="G130" s="98"/>
      <c r="H130" s="98"/>
      <c r="I130" s="98"/>
      <c r="J130" s="98"/>
      <c r="K130" s="108"/>
      <c r="L130" s="98"/>
      <c r="M130" s="98"/>
      <c r="N130" s="98"/>
      <c r="O130" s="98"/>
      <c r="P130" s="98"/>
      <c r="Q130" s="98"/>
      <c r="R130" s="98"/>
      <c r="S130" s="98"/>
      <c r="T130" s="98"/>
      <c r="U130" s="98"/>
      <c r="V130" s="98"/>
      <c r="W130" s="98"/>
      <c r="X130" s="98"/>
      <c r="Y130" s="98"/>
      <c r="Z130" s="98"/>
    </row>
    <row r="131" spans="1:26" ht="20.25" x14ac:dyDescent="0.3">
      <c r="A131" s="200"/>
      <c r="B131" s="208"/>
      <c r="C131" s="206"/>
      <c r="D131" s="98"/>
      <c r="E131" s="98"/>
      <c r="F131" s="98"/>
      <c r="G131" s="98"/>
      <c r="H131" s="98"/>
      <c r="I131" s="98"/>
      <c r="J131" s="98"/>
      <c r="K131" s="108"/>
      <c r="L131" s="98"/>
      <c r="M131" s="98"/>
      <c r="N131" s="98"/>
      <c r="O131" s="98"/>
      <c r="P131" s="98"/>
      <c r="Q131" s="98"/>
      <c r="R131" s="98"/>
      <c r="S131" s="98"/>
      <c r="T131" s="98"/>
      <c r="U131" s="98"/>
      <c r="V131" s="98"/>
      <c r="W131" s="98"/>
      <c r="X131" s="98"/>
      <c r="Y131" s="98"/>
      <c r="Z131" s="98"/>
    </row>
    <row r="132" spans="1:26" ht="20.25" x14ac:dyDescent="0.3">
      <c r="A132" s="200"/>
      <c r="B132" s="208"/>
      <c r="C132" s="206"/>
      <c r="D132" s="98"/>
      <c r="E132" s="98"/>
      <c r="F132" s="98"/>
      <c r="G132" s="98"/>
      <c r="H132" s="98"/>
      <c r="I132" s="98"/>
      <c r="J132" s="98"/>
      <c r="K132" s="108"/>
      <c r="L132" s="98"/>
      <c r="M132" s="98"/>
      <c r="N132" s="98"/>
      <c r="O132" s="98"/>
      <c r="P132" s="98"/>
      <c r="Q132" s="98"/>
      <c r="R132" s="98"/>
      <c r="S132" s="98"/>
      <c r="T132" s="98"/>
      <c r="U132" s="98"/>
      <c r="V132" s="98"/>
      <c r="W132" s="98"/>
      <c r="X132" s="98"/>
      <c r="Y132" s="98"/>
      <c r="Z132" s="98"/>
    </row>
    <row r="133" spans="1:26" ht="20.25" x14ac:dyDescent="0.3">
      <c r="A133" s="200"/>
      <c r="B133" s="208"/>
      <c r="C133" s="206"/>
      <c r="D133" s="98"/>
      <c r="E133" s="98"/>
      <c r="F133" s="98"/>
      <c r="G133" s="98"/>
      <c r="H133" s="98"/>
      <c r="I133" s="98"/>
      <c r="J133" s="98"/>
      <c r="K133" s="108"/>
      <c r="L133" s="98"/>
      <c r="M133" s="98"/>
      <c r="N133" s="98"/>
      <c r="O133" s="98"/>
      <c r="P133" s="98"/>
      <c r="Q133" s="98"/>
      <c r="R133" s="98"/>
      <c r="S133" s="98"/>
      <c r="T133" s="98"/>
      <c r="U133" s="98"/>
      <c r="V133" s="98"/>
      <c r="W133" s="98"/>
      <c r="X133" s="98"/>
      <c r="Y133" s="98"/>
      <c r="Z133" s="98"/>
    </row>
    <row r="134" spans="1:26" ht="20.25" x14ac:dyDescent="0.3">
      <c r="A134" s="200"/>
      <c r="B134" s="208"/>
      <c r="C134" s="206"/>
      <c r="D134" s="98"/>
      <c r="E134" s="98"/>
      <c r="F134" s="98"/>
      <c r="G134" s="98"/>
      <c r="H134" s="98"/>
      <c r="I134" s="98"/>
      <c r="J134" s="98"/>
      <c r="K134" s="108"/>
      <c r="L134" s="98"/>
      <c r="M134" s="98"/>
      <c r="N134" s="98"/>
      <c r="O134" s="98"/>
      <c r="P134" s="98"/>
      <c r="Q134" s="98"/>
      <c r="R134" s="98"/>
      <c r="S134" s="98"/>
      <c r="T134" s="98"/>
      <c r="U134" s="98"/>
      <c r="V134" s="98"/>
      <c r="W134" s="98"/>
      <c r="X134" s="98"/>
      <c r="Y134" s="98"/>
      <c r="Z134" s="98"/>
    </row>
    <row r="135" spans="1:26" ht="26.25" customHeight="1" x14ac:dyDescent="0.25">
      <c r="A135" s="123"/>
      <c r="B135" s="955" t="s">
        <v>728</v>
      </c>
      <c r="C135" s="956"/>
      <c r="D135" s="956"/>
      <c r="E135" s="956"/>
      <c r="F135" s="957"/>
      <c r="G135" s="98"/>
      <c r="H135" s="98"/>
      <c r="I135" s="98"/>
      <c r="J135" s="98"/>
      <c r="K135" s="108"/>
      <c r="L135" s="98"/>
      <c r="M135" s="98"/>
      <c r="N135" s="98"/>
      <c r="O135" s="98"/>
      <c r="P135" s="98"/>
      <c r="Q135" s="98"/>
      <c r="R135" s="893" t="s">
        <v>1028</v>
      </c>
      <c r="S135" s="893"/>
      <c r="T135" s="893"/>
      <c r="U135" s="893"/>
      <c r="V135" s="893"/>
      <c r="W135" s="893"/>
      <c r="X135" s="893"/>
      <c r="Y135" s="893"/>
      <c r="Z135" s="98"/>
    </row>
    <row r="136" spans="1:26" ht="31.5" customHeight="1" x14ac:dyDescent="0.25">
      <c r="A136" s="118"/>
      <c r="B136" s="219" t="s">
        <v>400</v>
      </c>
      <c r="C136" s="220" t="str">
        <f>$E$8</f>
        <v>GIMNASIO NUEVO BOLIVAR</v>
      </c>
      <c r="D136" s="953" t="str">
        <f>$E$9</f>
        <v>COMUNA 1</v>
      </c>
      <c r="E136" s="954"/>
      <c r="F136" s="221" t="str">
        <f>$E$10</f>
        <v>COMUNA 6 OFICIAL</v>
      </c>
      <c r="G136" s="98"/>
      <c r="H136" s="98"/>
      <c r="I136" s="907" t="s">
        <v>850</v>
      </c>
      <c r="J136" s="907"/>
      <c r="K136" s="907"/>
      <c r="L136" s="907"/>
      <c r="M136" s="907"/>
      <c r="N136" s="907"/>
      <c r="O136" s="98"/>
      <c r="P136" s="98"/>
      <c r="Q136" s="98"/>
      <c r="R136" s="389" t="s">
        <v>1015</v>
      </c>
      <c r="S136" s="389" t="s">
        <v>1016</v>
      </c>
      <c r="T136" s="952" t="s">
        <v>1017</v>
      </c>
      <c r="U136" s="952"/>
      <c r="V136" s="952"/>
      <c r="W136" s="952"/>
      <c r="X136" s="952"/>
      <c r="Y136" s="952"/>
      <c r="Z136" s="98"/>
    </row>
    <row r="137" spans="1:26" ht="20.25" customHeight="1" x14ac:dyDescent="0.3">
      <c r="A137" s="118"/>
      <c r="B137" s="207">
        <v>2016</v>
      </c>
      <c r="C137" s="191">
        <f>VLOOKUP($E$8,SyC!$A$10:$BK$171,4,0)</f>
        <v>55</v>
      </c>
      <c r="D137" s="890">
        <f>VLOOKUP($E$9,SyC!$A$10:$BK$171,4,0)</f>
        <v>50.588235294117645</v>
      </c>
      <c r="E137" s="891"/>
      <c r="F137" s="191">
        <f>VLOOKUP($E$10,SyC!$A$10:$BK$171,4,0)</f>
        <v>50.5</v>
      </c>
      <c r="G137" s="98"/>
      <c r="H137" s="98"/>
      <c r="I137" s="886" t="s">
        <v>400</v>
      </c>
      <c r="J137" s="886" t="s">
        <v>402</v>
      </c>
      <c r="K137" s="209" t="s">
        <v>729</v>
      </c>
      <c r="L137" s="210" t="s">
        <v>730</v>
      </c>
      <c r="M137" s="211" t="s">
        <v>731</v>
      </c>
      <c r="N137" s="212" t="s">
        <v>726</v>
      </c>
      <c r="O137" s="102" t="s">
        <v>732</v>
      </c>
      <c r="P137" s="102"/>
      <c r="Q137" s="98"/>
      <c r="R137" s="906">
        <v>1</v>
      </c>
      <c r="S137" s="947" t="s">
        <v>729</v>
      </c>
      <c r="T137" s="948" t="s">
        <v>1029</v>
      </c>
      <c r="U137" s="948"/>
      <c r="V137" s="948"/>
      <c r="W137" s="948"/>
      <c r="X137" s="948"/>
      <c r="Y137" s="948"/>
      <c r="Z137" s="98"/>
    </row>
    <row r="138" spans="1:26" ht="20.25" customHeight="1" x14ac:dyDescent="0.25">
      <c r="A138" s="118"/>
      <c r="B138" s="207">
        <v>2017</v>
      </c>
      <c r="C138" s="191">
        <f>VLOOKUP($E$8,SyC!$A$10:$BK$171,16,0)</f>
        <v>54</v>
      </c>
      <c r="D138" s="890">
        <f>VLOOKUP($E$9,SyC!$A$10:$BK$171,16,0)</f>
        <v>50.8125</v>
      </c>
      <c r="E138" s="891"/>
      <c r="F138" s="191">
        <f>VLOOKUP($E$10,SyC!$A$10:$BK$171,16,0)</f>
        <v>50</v>
      </c>
      <c r="G138" s="98"/>
      <c r="H138" s="98"/>
      <c r="I138" s="886"/>
      <c r="J138" s="886"/>
      <c r="K138" s="213">
        <v>1</v>
      </c>
      <c r="L138" s="214">
        <v>2</v>
      </c>
      <c r="M138" s="215">
        <v>3</v>
      </c>
      <c r="N138" s="216">
        <v>4</v>
      </c>
      <c r="O138" s="121" t="s">
        <v>853</v>
      </c>
      <c r="P138" s="121"/>
      <c r="Q138" s="98"/>
      <c r="R138" s="906"/>
      <c r="S138" s="947"/>
      <c r="T138" s="948"/>
      <c r="U138" s="948"/>
      <c r="V138" s="948"/>
      <c r="W138" s="948"/>
      <c r="X138" s="948"/>
      <c r="Y138" s="948"/>
      <c r="Z138" s="98"/>
    </row>
    <row r="139" spans="1:26" ht="20.25" x14ac:dyDescent="0.25">
      <c r="A139" s="118"/>
      <c r="B139" s="207">
        <v>2018</v>
      </c>
      <c r="C139" s="191">
        <f>VLOOKUP($E$8,SyC!$A$10:$BK$171,28,0)</f>
        <v>50</v>
      </c>
      <c r="D139" s="890">
        <f>VLOOKUP($E$9,SyC!$A$10:$BK$171,28,0)</f>
        <v>48.882352941176471</v>
      </c>
      <c r="E139" s="891"/>
      <c r="F139" s="191">
        <f>VLOOKUP($E$10,SyC!$A$10:$BK$171,28,0)</f>
        <v>47.75</v>
      </c>
      <c r="G139" s="98"/>
      <c r="H139" s="98"/>
      <c r="I139" s="908">
        <v>2016</v>
      </c>
      <c r="J139" s="308" t="str">
        <f>$E$8</f>
        <v>GIMNASIO NUEVO BOLIVAR</v>
      </c>
      <c r="K139" s="194">
        <f>VLOOKUP($E$8,SyC!$A$10:$BK$171,6,0)</f>
        <v>0.1</v>
      </c>
      <c r="L139" s="195">
        <f>VLOOKUP($E$8,SyC!$A$10:$BK$171,7,0)</f>
        <v>0.41</v>
      </c>
      <c r="M139" s="196">
        <f>VLOOKUP($E$8,SyC!$A$10:$BK$171,8,0)</f>
        <v>0.44</v>
      </c>
      <c r="N139" s="197">
        <f>VLOOKUP($E$8,SyC!$A$10:$BK$171,9,0)</f>
        <v>0.05</v>
      </c>
      <c r="O139" s="108">
        <f t="shared" ref="O139:O156" si="4">K139+L139</f>
        <v>0.51</v>
      </c>
      <c r="P139" s="108"/>
      <c r="Q139" s="98"/>
      <c r="R139" s="906"/>
      <c r="S139" s="947"/>
      <c r="T139" s="948"/>
      <c r="U139" s="948"/>
      <c r="V139" s="948"/>
      <c r="W139" s="948"/>
      <c r="X139" s="948"/>
      <c r="Y139" s="948"/>
      <c r="Z139" s="98"/>
    </row>
    <row r="140" spans="1:26" ht="20.25" x14ac:dyDescent="0.25">
      <c r="A140" s="118"/>
      <c r="B140" s="207">
        <v>2019</v>
      </c>
      <c r="C140" s="191">
        <f>VLOOKUP($E$8,SyC!$A$10:$BK$171,40,0)</f>
        <v>50</v>
      </c>
      <c r="D140" s="890">
        <f>VLOOKUP($E$9,SyC!$A$10:$BK$171,40,0)</f>
        <v>46.941176470588232</v>
      </c>
      <c r="E140" s="891"/>
      <c r="F140" s="191">
        <f>VLOOKUP($E$10,SyC!$A$10:$BK$171,40,0)</f>
        <v>46.5</v>
      </c>
      <c r="G140" s="98"/>
      <c r="H140" s="98"/>
      <c r="I140" s="909"/>
      <c r="J140" s="308" t="str">
        <f>$E$9</f>
        <v>COMUNA 1</v>
      </c>
      <c r="K140" s="194">
        <f>VLOOKUP($E$9,SyC!$A$10:$BK$171,6,0)</f>
        <v>0.1735294117647059</v>
      </c>
      <c r="L140" s="195">
        <f>VLOOKUP($E$9,SyC!$A$10:$BK$171,7,0)</f>
        <v>0.53647058823529414</v>
      </c>
      <c r="M140" s="196">
        <f>VLOOKUP($E$9,SyC!$A$10:$BK$171,8,0)</f>
        <v>0.28764705882352942</v>
      </c>
      <c r="N140" s="197">
        <f>VLOOKUP($E$9,SyC!$A$10:$BK$171,9,0)</f>
        <v>1.764705882352941E-3</v>
      </c>
      <c r="O140" s="108">
        <f t="shared" si="4"/>
        <v>0.71000000000000008</v>
      </c>
      <c r="P140" s="108"/>
      <c r="Q140" s="98"/>
      <c r="R140" s="944">
        <v>2</v>
      </c>
      <c r="S140" s="944" t="s">
        <v>730</v>
      </c>
      <c r="T140" s="896" t="s">
        <v>1030</v>
      </c>
      <c r="U140" s="897"/>
      <c r="V140" s="897"/>
      <c r="W140" s="897"/>
      <c r="X140" s="897"/>
      <c r="Y140" s="898"/>
      <c r="Z140" s="98"/>
    </row>
    <row r="141" spans="1:26" ht="20.25" x14ac:dyDescent="0.25">
      <c r="A141" s="118"/>
      <c r="B141" s="207">
        <v>2020</v>
      </c>
      <c r="C141" s="191">
        <f>VLOOKUP($E$8,SyC!$A$10:$BK$171,52,0)</f>
        <v>52</v>
      </c>
      <c r="D141" s="890">
        <f>VLOOKUP($E$9,SyC!$A$10:$BK$171,52,0)</f>
        <v>50.058823529411768</v>
      </c>
      <c r="E141" s="891"/>
      <c r="F141" s="191">
        <f>VLOOKUP($E$10,SyC!$A$10:$BK$171,52,0)</f>
        <v>48.5</v>
      </c>
      <c r="G141" s="98"/>
      <c r="H141" s="98"/>
      <c r="I141" s="910"/>
      <c r="J141" s="308" t="str">
        <f>$E$10</f>
        <v>COMUNA 6 OFICIAL</v>
      </c>
      <c r="K141" s="194">
        <f>VLOOKUP($E$10,SyC!$A$10:$BK$171,6,0)</f>
        <v>0.14000000000000001</v>
      </c>
      <c r="L141" s="195">
        <f>VLOOKUP($E$10,SyC!$A$10:$BK$171,7,0)</f>
        <v>0.58249999999999991</v>
      </c>
      <c r="M141" s="196">
        <f>VLOOKUP($E$10,SyC!$A$10:$BK$171,8,0)</f>
        <v>0.27250000000000002</v>
      </c>
      <c r="N141" s="197">
        <f>VLOOKUP($E$10,SyC!$A$10:$BK$171,9,0)</f>
        <v>5.0000000000000001E-3</v>
      </c>
      <c r="O141" s="108">
        <f t="shared" si="4"/>
        <v>0.72249999999999992</v>
      </c>
      <c r="P141" s="108"/>
      <c r="Q141" s="98"/>
      <c r="R141" s="945"/>
      <c r="S141" s="945"/>
      <c r="T141" s="899"/>
      <c r="U141" s="900"/>
      <c r="V141" s="900"/>
      <c r="W141" s="900"/>
      <c r="X141" s="900"/>
      <c r="Y141" s="901"/>
      <c r="Z141" s="98"/>
    </row>
    <row r="142" spans="1:26" ht="20.25" x14ac:dyDescent="0.25">
      <c r="A142" s="118"/>
      <c r="B142" s="207">
        <v>2021</v>
      </c>
      <c r="C142" s="191">
        <f>VLOOKUP($E$8,SyC!$A$10:$BY$171,64,0)</f>
        <v>52</v>
      </c>
      <c r="D142" s="890">
        <f>VLOOKUP($E$9,SyC!$A$10:$BY$171,64,0)</f>
        <v>48.823529411764703</v>
      </c>
      <c r="E142" s="891"/>
      <c r="F142" s="191">
        <f>VLOOKUP($E$10,SyC!$A$10:$BY$171,64,0)</f>
        <v>46.5</v>
      </c>
      <c r="G142" s="98"/>
      <c r="H142" s="98"/>
      <c r="I142" s="908">
        <v>2017</v>
      </c>
      <c r="J142" s="308" t="str">
        <f>$E$8</f>
        <v>GIMNASIO NUEVO BOLIVAR</v>
      </c>
      <c r="K142" s="194">
        <f>VLOOKUP($E$8,SyC!$A$10:$BK$171,18,0)</f>
        <v>0.06</v>
      </c>
      <c r="L142" s="195">
        <f>VLOOKUP($E$8,SyC!$A$10:$BK$171,19,0)</f>
        <v>0.56000000000000005</v>
      </c>
      <c r="M142" s="196">
        <f>VLOOKUP($E$8,SyC!$A$10:$BK$171,20,0)</f>
        <v>0.36</v>
      </c>
      <c r="N142" s="197">
        <f>VLOOKUP($E$8,SyC!$A$10:$BK$171,21,0)</f>
        <v>0.03</v>
      </c>
      <c r="O142" s="108">
        <f t="shared" si="4"/>
        <v>0.62000000000000011</v>
      </c>
      <c r="P142" s="108"/>
      <c r="Q142" s="98"/>
      <c r="R142" s="945"/>
      <c r="S142" s="945"/>
      <c r="T142" s="899"/>
      <c r="U142" s="900"/>
      <c r="V142" s="900"/>
      <c r="W142" s="900"/>
      <c r="X142" s="900"/>
      <c r="Y142" s="901"/>
      <c r="Z142" s="98"/>
    </row>
    <row r="143" spans="1:26" ht="20.25" x14ac:dyDescent="0.25">
      <c r="A143" s="118"/>
      <c r="B143" s="207">
        <v>2022</v>
      </c>
      <c r="C143" s="191">
        <f>VLOOKUP($E$8,SyC!$A$10:$CM$171,78,0)</f>
        <v>54</v>
      </c>
      <c r="D143" s="890">
        <f>VLOOKUP($E$9,SyC!$A$10:$CM$171,78,0)</f>
        <v>49.388888888888886</v>
      </c>
      <c r="E143" s="891"/>
      <c r="F143" s="191">
        <f>VLOOKUP($E$10,SyC!$A$10:$CM$171,78,0)</f>
        <v>46.75</v>
      </c>
      <c r="G143" s="98"/>
      <c r="H143" s="98"/>
      <c r="I143" s="909"/>
      <c r="J143" s="308" t="str">
        <f>$E$9</f>
        <v>COMUNA 1</v>
      </c>
      <c r="K143" s="194">
        <f>VLOOKUP($E$9,SyC!$A$10:$BK$171,18,0)</f>
        <v>0.15624999999999994</v>
      </c>
      <c r="L143" s="195">
        <f>VLOOKUP($E$9,SyC!$A$10:$BK$171,19,0)</f>
        <v>0.51500000000000001</v>
      </c>
      <c r="M143" s="196">
        <f>VLOOKUP($E$9,SyC!$A$10:$BK$171,20,0)</f>
        <v>0.30875000000000002</v>
      </c>
      <c r="N143" s="197">
        <f>VLOOKUP($E$9,SyC!$A$10:$BK$171,21,0)</f>
        <v>1.9374999999999996E-2</v>
      </c>
      <c r="O143" s="108">
        <f t="shared" si="4"/>
        <v>0.6712499999999999</v>
      </c>
      <c r="P143" s="108"/>
      <c r="Q143" s="98"/>
      <c r="R143" s="945"/>
      <c r="S143" s="945"/>
      <c r="T143" s="899"/>
      <c r="U143" s="900"/>
      <c r="V143" s="900"/>
      <c r="W143" s="900"/>
      <c r="X143" s="900"/>
      <c r="Y143" s="901"/>
      <c r="Z143" s="98"/>
    </row>
    <row r="144" spans="1:26" ht="20.25" x14ac:dyDescent="0.25">
      <c r="A144" s="118"/>
      <c r="B144" s="207">
        <v>2023</v>
      </c>
      <c r="C144" s="191">
        <f>VLOOKUP($E$8,SyC!$A$10:DA$171,92,0)</f>
        <v>53</v>
      </c>
      <c r="D144" s="890">
        <f>VLOOKUP($E$9,SyC!$A$10:$DA$171,92,0)</f>
        <v>50.058823529411768</v>
      </c>
      <c r="E144" s="891"/>
      <c r="F144" s="191">
        <f>VLOOKUP($E$10,SyC!$A$10:$DA$171,92,0)</f>
        <v>47.5</v>
      </c>
      <c r="G144" s="98"/>
      <c r="H144" s="98"/>
      <c r="I144" s="909"/>
      <c r="J144" s="308" t="str">
        <f>$E$10</f>
        <v>COMUNA 6 OFICIAL</v>
      </c>
      <c r="K144" s="194">
        <f>VLOOKUP($E$10,SyC!$A$10:$BK$171,18,0)</f>
        <v>0.1575</v>
      </c>
      <c r="L144" s="195">
        <f>VLOOKUP($E$10,SyC!$A$10:$BK$171,19,0)</f>
        <v>0.53249999999999997</v>
      </c>
      <c r="M144" s="196">
        <f>VLOOKUP($E$10,SyC!$A$10:$BK$171,20,0)</f>
        <v>0.29749999999999999</v>
      </c>
      <c r="N144" s="197">
        <f>VLOOKUP($E$10,SyC!$A$10:$BK$171,21,0)</f>
        <v>1.4999999999999999E-2</v>
      </c>
      <c r="O144" s="108">
        <f t="shared" si="4"/>
        <v>0.69</v>
      </c>
      <c r="P144" s="108"/>
      <c r="Q144" s="98"/>
      <c r="R144" s="945"/>
      <c r="S144" s="945"/>
      <c r="T144" s="899"/>
      <c r="U144" s="900"/>
      <c r="V144" s="900"/>
      <c r="W144" s="900"/>
      <c r="X144" s="900"/>
      <c r="Y144" s="901"/>
      <c r="Z144" s="98"/>
    </row>
    <row r="145" spans="1:26" ht="20.25" x14ac:dyDescent="0.25">
      <c r="A145" s="118"/>
      <c r="B145" s="207">
        <v>2024</v>
      </c>
      <c r="C145" s="191">
        <f>VLOOKUP($E$8,SyC!$A$10:$DN$171,92,0)</f>
        <v>53</v>
      </c>
      <c r="D145" s="878">
        <f>VLOOKUP($E$9,SyC!$A$10:$DN$171,92,0)</f>
        <v>50.058823529411768</v>
      </c>
      <c r="E145" s="878"/>
      <c r="F145" s="191">
        <f>VLOOKUP($E$10,SyC!$A$10:$DN$171,92,0)</f>
        <v>47.5</v>
      </c>
      <c r="G145" s="98"/>
      <c r="H145" s="98"/>
      <c r="I145" s="908">
        <v>2018</v>
      </c>
      <c r="J145" s="308" t="str">
        <f>$E$8</f>
        <v>GIMNASIO NUEVO BOLIVAR</v>
      </c>
      <c r="K145" s="194">
        <f>VLOOKUP($E$8,SyC!$A$10:$BK$171,30,0)</f>
        <v>0.21</v>
      </c>
      <c r="L145" s="195">
        <f>VLOOKUP($E$8,SyC!$A$10:$BK$171,31,0)</f>
        <v>0.48</v>
      </c>
      <c r="M145" s="196">
        <f>VLOOKUP($E$8,SyC!$A$10:$BK$171,32,0)</f>
        <v>0.3</v>
      </c>
      <c r="N145" s="197">
        <f>VLOOKUP($E$8,SyC!$A$10:$BK$171,33,0)</f>
        <v>0</v>
      </c>
      <c r="O145" s="108">
        <f t="shared" si="4"/>
        <v>0.69</v>
      </c>
      <c r="P145" s="108"/>
      <c r="Q145" s="98"/>
      <c r="R145" s="945"/>
      <c r="S145" s="945"/>
      <c r="T145" s="899"/>
      <c r="U145" s="900"/>
      <c r="V145" s="900"/>
      <c r="W145" s="900"/>
      <c r="X145" s="900"/>
      <c r="Y145" s="901"/>
      <c r="Z145" s="98"/>
    </row>
    <row r="146" spans="1:26" ht="20.25" x14ac:dyDescent="0.25">
      <c r="A146" s="118"/>
      <c r="B146" s="118"/>
      <c r="C146" s="98"/>
      <c r="D146" s="98"/>
      <c r="E146" s="98"/>
      <c r="F146" s="98"/>
      <c r="G146" s="98"/>
      <c r="H146" s="98"/>
      <c r="I146" s="909"/>
      <c r="J146" s="308" t="str">
        <f>$E$9</f>
        <v>COMUNA 1</v>
      </c>
      <c r="K146" s="194">
        <f>VLOOKUP($E$9,SyC!$A$10:$BK$171,30,0)</f>
        <v>0.23117647058823532</v>
      </c>
      <c r="L146" s="195">
        <f>VLOOKUP($E$9,SyC!$A$10:$BK$171,31,0)</f>
        <v>0.49411764705882355</v>
      </c>
      <c r="M146" s="196">
        <f>VLOOKUP($E$9,SyC!$A$10:$BK$171,32,0)</f>
        <v>0.25352941176470584</v>
      </c>
      <c r="N146" s="197">
        <f>VLOOKUP($E$9,SyC!$A$10:$BK$171,33,0)</f>
        <v>2.2352941176470589E-2</v>
      </c>
      <c r="O146" s="108">
        <f t="shared" si="4"/>
        <v>0.72529411764705887</v>
      </c>
      <c r="P146" s="108"/>
      <c r="Q146" s="98"/>
      <c r="R146" s="945"/>
      <c r="S146" s="945"/>
      <c r="T146" s="899"/>
      <c r="U146" s="900"/>
      <c r="V146" s="900"/>
      <c r="W146" s="900"/>
      <c r="X146" s="900"/>
      <c r="Y146" s="901"/>
      <c r="Z146" s="98"/>
    </row>
    <row r="147" spans="1:26" ht="20.25" x14ac:dyDescent="0.25">
      <c r="A147" s="123"/>
      <c r="B147" s="217"/>
      <c r="C147" s="98"/>
      <c r="D147" s="98"/>
      <c r="E147" s="98"/>
      <c r="F147" s="98"/>
      <c r="G147" s="98"/>
      <c r="H147" s="98"/>
      <c r="I147" s="909"/>
      <c r="J147" s="308" t="str">
        <f>$E$10</f>
        <v>COMUNA 6 OFICIAL</v>
      </c>
      <c r="K147" s="194">
        <f>VLOOKUP($E$10,SyC!$A$10:$BK$171,30,0)</f>
        <v>0.26500000000000001</v>
      </c>
      <c r="L147" s="195">
        <f>VLOOKUP($E$10,SyC!$A$10:$BK$171,31,0)</f>
        <v>0.49249999999999999</v>
      </c>
      <c r="M147" s="196">
        <f>VLOOKUP($E$10,SyC!$A$10:$BK$171,32,0)</f>
        <v>0.23</v>
      </c>
      <c r="N147" s="197">
        <f>VLOOKUP($E$10,SyC!$A$10:$BK$171,33,0)</f>
        <v>1.5000000000000001E-2</v>
      </c>
      <c r="O147" s="108">
        <f t="shared" si="4"/>
        <v>0.75750000000000006</v>
      </c>
      <c r="P147" s="108"/>
      <c r="Q147" s="98"/>
      <c r="R147" s="945"/>
      <c r="S147" s="945"/>
      <c r="T147" s="899"/>
      <c r="U147" s="900"/>
      <c r="V147" s="900"/>
      <c r="W147" s="900"/>
      <c r="X147" s="900"/>
      <c r="Y147" s="901"/>
      <c r="Z147" s="98"/>
    </row>
    <row r="148" spans="1:26" ht="20.25" x14ac:dyDescent="0.25">
      <c r="A148" s="123"/>
      <c r="B148" s="218"/>
      <c r="C148" s="98"/>
      <c r="D148" s="98"/>
      <c r="E148" s="98"/>
      <c r="F148" s="98"/>
      <c r="G148" s="98"/>
      <c r="H148" s="98"/>
      <c r="I148" s="908">
        <v>2019</v>
      </c>
      <c r="J148" s="308" t="str">
        <f>$E$8</f>
        <v>GIMNASIO NUEVO BOLIVAR</v>
      </c>
      <c r="K148" s="194">
        <f>VLOOKUP($E$8,SyC!$A$10:$BK$171,42,0)</f>
        <v>0.16</v>
      </c>
      <c r="L148" s="195">
        <f>VLOOKUP($E$8,SyC!$A$10:$BK$171,43,0)</f>
        <v>0.51</v>
      </c>
      <c r="M148" s="196">
        <f>VLOOKUP($E$8,SyC!$A$10:$BK$171,44,0)</f>
        <v>0.3</v>
      </c>
      <c r="N148" s="197">
        <f>VLOOKUP($E$8,SyC!$A$10:$BK$171,45,0)</f>
        <v>0.03</v>
      </c>
      <c r="O148" s="108">
        <f t="shared" si="4"/>
        <v>0.67</v>
      </c>
      <c r="P148" s="108"/>
      <c r="Q148" s="98"/>
      <c r="R148" s="945"/>
      <c r="S148" s="945"/>
      <c r="T148" s="899"/>
      <c r="U148" s="900"/>
      <c r="V148" s="900"/>
      <c r="W148" s="900"/>
      <c r="X148" s="900"/>
      <c r="Y148" s="901"/>
      <c r="Z148" s="98"/>
    </row>
    <row r="149" spans="1:26" ht="20.25" x14ac:dyDescent="0.25">
      <c r="A149" s="123"/>
      <c r="B149" s="218"/>
      <c r="C149" s="98"/>
      <c r="D149" s="98"/>
      <c r="E149" s="98"/>
      <c r="F149" s="98"/>
      <c r="G149" s="98"/>
      <c r="H149" s="98"/>
      <c r="I149" s="909"/>
      <c r="J149" s="308" t="str">
        <f>$E$9</f>
        <v>COMUNA 1</v>
      </c>
      <c r="K149" s="194">
        <f>VLOOKUP($E$9,SyC!$A$10:$BK$171,42,0)</f>
        <v>0.29705882352941188</v>
      </c>
      <c r="L149" s="195">
        <f>VLOOKUP($E$9,SyC!$A$10:$BK$171,43,0)</f>
        <v>0.48235294117647065</v>
      </c>
      <c r="M149" s="196">
        <f>VLOOKUP($E$9,SyC!$A$10:$BK$171,44,0)</f>
        <v>0.21411764705882352</v>
      </c>
      <c r="N149" s="197">
        <f>VLOOKUP($E$9,SyC!$A$10:$BK$171,45,0)</f>
        <v>8.8235294117647058E-3</v>
      </c>
      <c r="O149" s="108">
        <f t="shared" si="4"/>
        <v>0.77941176470588247</v>
      </c>
      <c r="P149" s="108"/>
      <c r="Q149" s="98"/>
      <c r="R149" s="945"/>
      <c r="S149" s="945"/>
      <c r="T149" s="899"/>
      <c r="U149" s="900"/>
      <c r="V149" s="900"/>
      <c r="W149" s="900"/>
      <c r="X149" s="900"/>
      <c r="Y149" s="901"/>
      <c r="Z149" s="98"/>
    </row>
    <row r="150" spans="1:26" ht="20.25" x14ac:dyDescent="0.25">
      <c r="A150" s="123"/>
      <c r="B150" s="218"/>
      <c r="C150" s="98"/>
      <c r="D150" s="98"/>
      <c r="E150" s="98"/>
      <c r="F150" s="98"/>
      <c r="G150" s="98"/>
      <c r="H150" s="98"/>
      <c r="I150" s="909"/>
      <c r="J150" s="308" t="str">
        <f>$E$10</f>
        <v>COMUNA 6 OFICIAL</v>
      </c>
      <c r="K150" s="194">
        <f>VLOOKUP($E$10,SyC!$A$10:$BK$171,42,0)</f>
        <v>0.3125</v>
      </c>
      <c r="L150" s="195">
        <f>VLOOKUP($E$10,SyC!$A$10:$BK$171,43,0)</f>
        <v>0.50750000000000006</v>
      </c>
      <c r="M150" s="196">
        <f>VLOOKUP($E$10,SyC!$A$10:$BK$171,44,0)</f>
        <v>0.16750000000000001</v>
      </c>
      <c r="N150" s="197">
        <f>VLOOKUP($E$10,SyC!$A$10:$BK$171,45,0)</f>
        <v>1.2500000000000001E-2</v>
      </c>
      <c r="O150" s="108">
        <f t="shared" si="4"/>
        <v>0.82000000000000006</v>
      </c>
      <c r="P150" s="108"/>
      <c r="Q150" s="98"/>
      <c r="R150" s="946"/>
      <c r="S150" s="946"/>
      <c r="T150" s="902"/>
      <c r="U150" s="903"/>
      <c r="V150" s="903"/>
      <c r="W150" s="903"/>
      <c r="X150" s="903"/>
      <c r="Y150" s="904"/>
      <c r="Z150" s="98"/>
    </row>
    <row r="151" spans="1:26" ht="21" customHeight="1" x14ac:dyDescent="0.25">
      <c r="A151" s="123"/>
      <c r="B151" s="218"/>
      <c r="C151" s="98"/>
      <c r="D151" s="98"/>
      <c r="E151" s="98"/>
      <c r="F151" s="98"/>
      <c r="G151" s="98"/>
      <c r="H151" s="98"/>
      <c r="I151" s="908">
        <v>2020</v>
      </c>
      <c r="J151" s="308" t="str">
        <f>$E$8</f>
        <v>GIMNASIO NUEVO BOLIVAR</v>
      </c>
      <c r="K151" s="194">
        <f>VLOOKUP($E$8,SyC!$A$10:$BK$171,54,0)</f>
        <v>0.08</v>
      </c>
      <c r="L151" s="195">
        <f>VLOOKUP($E$8,SyC!$A$10:$BK$171,55,0)</f>
        <v>0.56000000000000005</v>
      </c>
      <c r="M151" s="196">
        <f>VLOOKUP($E$8,SyC!$A$10:$BK$171,56,0)</f>
        <v>0.36</v>
      </c>
      <c r="N151" s="197">
        <f>VLOOKUP($E$8,SyC!$A$10:$BK$171,57,0)</f>
        <v>0</v>
      </c>
      <c r="O151" s="108">
        <f t="shared" si="4"/>
        <v>0.64</v>
      </c>
      <c r="P151" s="108"/>
      <c r="Q151" s="98"/>
      <c r="R151" s="906">
        <v>3</v>
      </c>
      <c r="S151" s="906" t="s">
        <v>731</v>
      </c>
      <c r="T151" s="905" t="s">
        <v>1031</v>
      </c>
      <c r="U151" s="905"/>
      <c r="V151" s="905"/>
      <c r="W151" s="905"/>
      <c r="X151" s="905"/>
      <c r="Y151" s="905"/>
      <c r="Z151" s="98"/>
    </row>
    <row r="152" spans="1:26" ht="20.25" x14ac:dyDescent="0.25">
      <c r="A152" s="123"/>
      <c r="B152" s="218"/>
      <c r="C152" s="98"/>
      <c r="D152" s="98"/>
      <c r="E152" s="98"/>
      <c r="F152" s="98"/>
      <c r="G152" s="98"/>
      <c r="H152" s="98"/>
      <c r="I152" s="909"/>
      <c r="J152" s="308" t="str">
        <f>$E$9</f>
        <v>COMUNA 1</v>
      </c>
      <c r="K152" s="194">
        <f>VLOOKUP($E$9,SyC!$A$10:$BK$171,54,0)</f>
        <v>0.20705882352941171</v>
      </c>
      <c r="L152" s="195">
        <f>VLOOKUP($E$9,SyC!$A$10:$BK$171,55,0)</f>
        <v>0.47764705882352937</v>
      </c>
      <c r="M152" s="196">
        <f>VLOOKUP($E$9,SyC!$A$10:$BK$171,56,0)</f>
        <v>0.29647058823529415</v>
      </c>
      <c r="N152" s="197">
        <f>VLOOKUP($E$9,SyC!$A$10:$BK$171,57,0)</f>
        <v>1.8823529411764708E-2</v>
      </c>
      <c r="O152" s="108">
        <f t="shared" si="4"/>
        <v>0.68470588235294105</v>
      </c>
      <c r="P152" s="108"/>
      <c r="Q152" s="98"/>
      <c r="R152" s="906"/>
      <c r="S152" s="906"/>
      <c r="T152" s="905"/>
      <c r="U152" s="905"/>
      <c r="V152" s="905"/>
      <c r="W152" s="905"/>
      <c r="X152" s="905"/>
      <c r="Y152" s="905"/>
      <c r="Z152" s="98"/>
    </row>
    <row r="153" spans="1:26" ht="20.25" x14ac:dyDescent="0.25">
      <c r="A153" s="123"/>
      <c r="B153" s="218"/>
      <c r="C153" s="98"/>
      <c r="D153" s="98"/>
      <c r="E153" s="98"/>
      <c r="F153" s="98"/>
      <c r="G153" s="98"/>
      <c r="H153" s="98"/>
      <c r="I153" s="909"/>
      <c r="J153" s="308" t="str">
        <f>$E$10</f>
        <v>COMUNA 6 OFICIAL</v>
      </c>
      <c r="K153" s="194">
        <f>VLOOKUP($E$10,SyC!$A$10:$BK$171,54,0)</f>
        <v>0.23249999999999998</v>
      </c>
      <c r="L153" s="195">
        <f>VLOOKUP($E$10,SyC!$A$10:$BK$171,55,0)</f>
        <v>0.50750000000000006</v>
      </c>
      <c r="M153" s="196">
        <f>VLOOKUP($E$10,SyC!$A$10:$BK$171,56,0)</f>
        <v>0.24249999999999999</v>
      </c>
      <c r="N153" s="197">
        <f>VLOOKUP($E$10,SyC!$A$10:$BK$171,57,0)</f>
        <v>1.7499999999999998E-2</v>
      </c>
      <c r="O153" s="108">
        <f t="shared" si="4"/>
        <v>0.74</v>
      </c>
      <c r="P153" s="108"/>
      <c r="Q153" s="98"/>
      <c r="R153" s="906"/>
      <c r="S153" s="906"/>
      <c r="T153" s="905"/>
      <c r="U153" s="905"/>
      <c r="V153" s="905"/>
      <c r="W153" s="905"/>
      <c r="X153" s="905"/>
      <c r="Y153" s="905"/>
      <c r="Z153" s="98"/>
    </row>
    <row r="154" spans="1:26" ht="20.25" x14ac:dyDescent="0.25">
      <c r="A154" s="123"/>
      <c r="B154" s="218"/>
      <c r="C154" s="98"/>
      <c r="D154" s="98"/>
      <c r="E154" s="98"/>
      <c r="F154" s="98"/>
      <c r="G154" s="98"/>
      <c r="H154" s="98"/>
      <c r="I154" s="879">
        <v>2021</v>
      </c>
      <c r="J154" s="308" t="str">
        <f>$E$8</f>
        <v>GIMNASIO NUEVO BOLIVAR</v>
      </c>
      <c r="K154" s="194">
        <f>VLOOKUP($E$8,SyC!$A$10:$BY$171,68,0)</f>
        <v>0.19</v>
      </c>
      <c r="L154" s="195">
        <f>VLOOKUP($E$8,SyC!$A$10:$BY$171,69,0)</f>
        <v>0.4</v>
      </c>
      <c r="M154" s="196">
        <f>VLOOKUP($E$8,SyC!$A$10:$BY$171,70,0)</f>
        <v>0.38</v>
      </c>
      <c r="N154" s="197">
        <f>VLOOKUP($E$8,SyC!$A$10:$BY$171,71,0)</f>
        <v>0.04</v>
      </c>
      <c r="O154" s="108">
        <f t="shared" si="4"/>
        <v>0.59000000000000008</v>
      </c>
      <c r="P154" s="108"/>
      <c r="Q154" s="98"/>
      <c r="R154" s="906"/>
      <c r="S154" s="906"/>
      <c r="T154" s="905"/>
      <c r="U154" s="905"/>
      <c r="V154" s="905"/>
      <c r="W154" s="905"/>
      <c r="X154" s="905"/>
      <c r="Y154" s="905"/>
      <c r="Z154" s="98"/>
    </row>
    <row r="155" spans="1:26" ht="20.25" x14ac:dyDescent="0.25">
      <c r="A155" s="123"/>
      <c r="B155" s="218"/>
      <c r="C155" s="98"/>
      <c r="D155" s="98"/>
      <c r="E155" s="98"/>
      <c r="F155" s="98"/>
      <c r="G155" s="98"/>
      <c r="H155" s="98"/>
      <c r="I155" s="879"/>
      <c r="J155" s="308" t="str">
        <f>$E$9</f>
        <v>COMUNA 1</v>
      </c>
      <c r="K155" s="194">
        <f>VLOOKUP($E$9,SyC!$A$10:$BY$171,68,0)</f>
        <v>0.21411764705882352</v>
      </c>
      <c r="L155" s="195">
        <f>VLOOKUP($E$9,SyC!$A$10:$BY$171,69,0)</f>
        <v>0.53117647058823536</v>
      </c>
      <c r="M155" s="196">
        <f>VLOOKUP($E$9,SyC!$A$10:$BY$171,70,0)</f>
        <v>0.24117647058823527</v>
      </c>
      <c r="N155" s="197">
        <f>VLOOKUP($E$9,SyC!$A$10:$BY$171,71,0)</f>
        <v>1.3529411764705882E-2</v>
      </c>
      <c r="O155" s="108">
        <f t="shared" si="4"/>
        <v>0.74529411764705888</v>
      </c>
      <c r="P155" s="108"/>
      <c r="Q155" s="98"/>
      <c r="R155" s="906"/>
      <c r="S155" s="906"/>
      <c r="T155" s="905"/>
      <c r="U155" s="905"/>
      <c r="V155" s="905"/>
      <c r="W155" s="905"/>
      <c r="X155" s="905"/>
      <c r="Y155" s="905"/>
      <c r="Z155" s="98"/>
    </row>
    <row r="156" spans="1:26" ht="20.25" x14ac:dyDescent="0.25">
      <c r="A156" s="123"/>
      <c r="B156" s="218"/>
      <c r="C156" s="98"/>
      <c r="D156" s="98"/>
      <c r="E156" s="98"/>
      <c r="F156" s="98"/>
      <c r="G156" s="98"/>
      <c r="H156" s="98"/>
      <c r="I156" s="879"/>
      <c r="J156" s="308" t="str">
        <f>$E$10</f>
        <v>COMUNA 6 OFICIAL</v>
      </c>
      <c r="K156" s="194">
        <f>VLOOKUP($E$10,SyC!$A$10:$BY$171,68,0)</f>
        <v>0.29500000000000004</v>
      </c>
      <c r="L156" s="195">
        <f>VLOOKUP($E$10,SyC!$A$10:$BY$171,69,0)</f>
        <v>0.51249999999999996</v>
      </c>
      <c r="M156" s="196">
        <f>VLOOKUP($E$10,SyC!$A$10:$BY$171,70,0)</f>
        <v>0.19500000000000001</v>
      </c>
      <c r="N156" s="197">
        <f>VLOOKUP($E$10,SyC!$A$10:$BY$171,71,0)</f>
        <v>5.0000000000000001E-3</v>
      </c>
      <c r="O156" s="108">
        <f t="shared" si="4"/>
        <v>0.8075</v>
      </c>
      <c r="P156" s="108"/>
      <c r="Q156" s="98"/>
      <c r="R156" s="906"/>
      <c r="S156" s="906"/>
      <c r="T156" s="905"/>
      <c r="U156" s="905"/>
      <c r="V156" s="905"/>
      <c r="W156" s="905"/>
      <c r="X156" s="905"/>
      <c r="Y156" s="905"/>
      <c r="Z156" s="98"/>
    </row>
    <row r="157" spans="1:26" ht="20.25" x14ac:dyDescent="0.25">
      <c r="A157" s="123"/>
      <c r="B157" s="218"/>
      <c r="C157" s="98"/>
      <c r="D157" s="98"/>
      <c r="E157" s="98"/>
      <c r="F157" s="98"/>
      <c r="G157" s="98"/>
      <c r="H157" s="98"/>
      <c r="I157" s="879">
        <v>2022</v>
      </c>
      <c r="J157" s="308" t="str">
        <f>$E$8</f>
        <v>GIMNASIO NUEVO BOLIVAR</v>
      </c>
      <c r="K157" s="194">
        <f>VLOOKUP($E$8,SyC!$A$10:$CM$171,82,0)</f>
        <v>0.08</v>
      </c>
      <c r="L157" s="195">
        <f>VLOOKUP($E$8,SyC!$A$10:$CM$171,83,0)</f>
        <v>0.46</v>
      </c>
      <c r="M157" s="196">
        <f>VLOOKUP($E$8,SyC!$A$10:$CM$171,84,0)</f>
        <v>0.41</v>
      </c>
      <c r="N157" s="197">
        <f>VLOOKUP($E$8,SyC!$A$10:$CM$171,85,0)</f>
        <v>0.05</v>
      </c>
      <c r="O157" s="108">
        <f t="shared" ref="O157:O165" si="5">K157+L157</f>
        <v>0.54</v>
      </c>
      <c r="P157" s="108"/>
      <c r="Q157" s="98"/>
      <c r="R157" s="906"/>
      <c r="S157" s="906"/>
      <c r="T157" s="905"/>
      <c r="U157" s="905"/>
      <c r="V157" s="905"/>
      <c r="W157" s="905"/>
      <c r="X157" s="905"/>
      <c r="Y157" s="905"/>
      <c r="Z157" s="98"/>
    </row>
    <row r="158" spans="1:26" ht="20.25" x14ac:dyDescent="0.25">
      <c r="A158" s="123"/>
      <c r="B158" s="218"/>
      <c r="C158" s="98"/>
      <c r="D158" s="98"/>
      <c r="E158" s="98"/>
      <c r="F158" s="98"/>
      <c r="G158" s="98"/>
      <c r="H158" s="98"/>
      <c r="I158" s="879"/>
      <c r="J158" s="308" t="str">
        <f>$E$9</f>
        <v>COMUNA 1</v>
      </c>
      <c r="K158" s="194">
        <f>VLOOKUP($E$9,SyC!$A$10:$CM$171,82,0)</f>
        <v>0.2277777777777778</v>
      </c>
      <c r="L158" s="195">
        <f>VLOOKUP($E$9,SyC!$A$10:$CM$171,83,0)</f>
        <v>0.43555555555555553</v>
      </c>
      <c r="M158" s="196">
        <f>VLOOKUP($E$9,SyC!$A$10:$CM$171,84,0)</f>
        <v>0.3255555555555556</v>
      </c>
      <c r="N158" s="197">
        <f>VLOOKUP($E$9,SyC!$A$10:$CM$171,85,0)</f>
        <v>1.0000000000000002E-2</v>
      </c>
      <c r="O158" s="108">
        <f t="shared" si="5"/>
        <v>0.66333333333333333</v>
      </c>
      <c r="P158" s="108"/>
      <c r="Q158" s="98"/>
      <c r="R158" s="906"/>
      <c r="S158" s="906"/>
      <c r="T158" s="905"/>
      <c r="U158" s="905"/>
      <c r="V158" s="905"/>
      <c r="W158" s="905"/>
      <c r="X158" s="905"/>
      <c r="Y158" s="905"/>
      <c r="Z158" s="98"/>
    </row>
    <row r="159" spans="1:26" ht="20.25" x14ac:dyDescent="0.25">
      <c r="A159" s="123"/>
      <c r="B159" s="218"/>
      <c r="C159" s="98"/>
      <c r="D159" s="98"/>
      <c r="E159" s="98"/>
      <c r="F159" s="98"/>
      <c r="G159" s="98"/>
      <c r="H159" s="98"/>
      <c r="I159" s="879"/>
      <c r="J159" s="308" t="str">
        <f>$E$10</f>
        <v>COMUNA 6 OFICIAL</v>
      </c>
      <c r="K159" s="194">
        <f>VLOOKUP($E$10,SyC!$A$10:$CM$171,82,0)</f>
        <v>0.30999999999999994</v>
      </c>
      <c r="L159" s="195">
        <f>VLOOKUP($E$10,SyC!$A$10:$CM$171,83,0)</f>
        <v>0.46499999999999997</v>
      </c>
      <c r="M159" s="196">
        <f>VLOOKUP($E$10,SyC!$A$10:$CM$171,84,0)</f>
        <v>0.2175</v>
      </c>
      <c r="N159" s="197">
        <f>VLOOKUP($E$10,SyC!$A$10:$CM$171,85,0)</f>
        <v>5.0000000000000001E-3</v>
      </c>
      <c r="O159" s="108">
        <f t="shared" si="5"/>
        <v>0.77499999999999991</v>
      </c>
      <c r="P159" s="108"/>
      <c r="Q159" s="98"/>
      <c r="R159" s="906"/>
      <c r="S159" s="906"/>
      <c r="T159" s="905"/>
      <c r="U159" s="905"/>
      <c r="V159" s="905"/>
      <c r="W159" s="905"/>
      <c r="X159" s="905"/>
      <c r="Y159" s="905"/>
      <c r="Z159" s="98"/>
    </row>
    <row r="160" spans="1:26" ht="20.25" x14ac:dyDescent="0.25">
      <c r="A160" s="123"/>
      <c r="B160" s="218"/>
      <c r="C160" s="98"/>
      <c r="D160" s="98"/>
      <c r="E160" s="98"/>
      <c r="F160" s="98"/>
      <c r="G160" s="98"/>
      <c r="H160" s="98"/>
      <c r="I160" s="879">
        <v>2023</v>
      </c>
      <c r="J160" s="308" t="str">
        <f>$E$8</f>
        <v>GIMNASIO NUEVO BOLIVAR</v>
      </c>
      <c r="K160" s="194">
        <f>VLOOKUP($E$8,SyC!$A$10:$DA$171,96,0)</f>
        <v>0.12</v>
      </c>
      <c r="L160" s="195">
        <f>VLOOKUP($E$8,SyC!$A$10:$DA$171,97,0)</f>
        <v>0.47</v>
      </c>
      <c r="M160" s="196">
        <f>VLOOKUP($E$8,SyC!$A$10:$DA$171,98,0)</f>
        <v>0.38</v>
      </c>
      <c r="N160" s="197">
        <f>VLOOKUP($E$8,SyC!$A$10:$DA$171,99,0)</f>
        <v>0.03</v>
      </c>
      <c r="O160" s="108">
        <f t="shared" si="5"/>
        <v>0.59</v>
      </c>
      <c r="P160" s="108"/>
      <c r="Q160" s="98"/>
      <c r="R160" s="906"/>
      <c r="S160" s="906"/>
      <c r="T160" s="905"/>
      <c r="U160" s="905"/>
      <c r="V160" s="905"/>
      <c r="W160" s="905"/>
      <c r="X160" s="905"/>
      <c r="Y160" s="905"/>
      <c r="Z160" s="98"/>
    </row>
    <row r="161" spans="1:26" ht="20.25" x14ac:dyDescent="0.25">
      <c r="A161" s="123"/>
      <c r="B161" s="218"/>
      <c r="C161" s="98"/>
      <c r="D161" s="98"/>
      <c r="E161" s="98"/>
      <c r="F161" s="98"/>
      <c r="G161" s="98"/>
      <c r="H161" s="98"/>
      <c r="I161" s="879"/>
      <c r="J161" s="308" t="str">
        <f>$E$9</f>
        <v>COMUNA 1</v>
      </c>
      <c r="K161" s="194">
        <f>VLOOKUP($E$9,SyC!$A$10:$DA$171,96,0)</f>
        <v>0.18470588235294116</v>
      </c>
      <c r="L161" s="195">
        <f>VLOOKUP($E$9,SyC!$A$10:$DA$171,97,0)</f>
        <v>0.5</v>
      </c>
      <c r="M161" s="196">
        <f>VLOOKUP($E$9,SyC!$A$10:$DA$171,98,0)</f>
        <v>0.3023529411764706</v>
      </c>
      <c r="N161" s="197">
        <f>VLOOKUP($E$9,SyC!$A$10:$DA$171,99,0)</f>
        <v>1.2941176470588235E-2</v>
      </c>
      <c r="O161" s="108">
        <f t="shared" si="5"/>
        <v>0.68470588235294116</v>
      </c>
      <c r="P161" s="108"/>
      <c r="Q161" s="98"/>
      <c r="R161" s="906"/>
      <c r="S161" s="906"/>
      <c r="T161" s="905"/>
      <c r="U161" s="905"/>
      <c r="V161" s="905"/>
      <c r="W161" s="905"/>
      <c r="X161" s="905"/>
      <c r="Y161" s="905"/>
      <c r="Z161" s="98"/>
    </row>
    <row r="162" spans="1:26" ht="20.25" x14ac:dyDescent="0.25">
      <c r="A162" s="123"/>
      <c r="B162" s="218"/>
      <c r="C162" s="98"/>
      <c r="D162" s="98"/>
      <c r="E162" s="98"/>
      <c r="F162" s="98"/>
      <c r="G162" s="98"/>
      <c r="H162" s="98"/>
      <c r="I162" s="879"/>
      <c r="J162" s="308" t="str">
        <f>$E$10</f>
        <v>COMUNA 6 OFICIAL</v>
      </c>
      <c r="K162" s="194">
        <f>VLOOKUP($E$10,SyC!$A$10:$DA$171,96,0)</f>
        <v>0.27</v>
      </c>
      <c r="L162" s="195">
        <f>VLOOKUP($E$10,SyC!$A$10:$DA$171,97,0)</f>
        <v>0.5</v>
      </c>
      <c r="M162" s="196">
        <f>VLOOKUP($E$10,SyC!$A$10:$DA$171,98,0)</f>
        <v>0.22500000000000001</v>
      </c>
      <c r="N162" s="197">
        <f>VLOOKUP($E$10,SyC!$A$10:$DA$171,99,0)</f>
        <v>2.5000000000000001E-3</v>
      </c>
      <c r="O162" s="108">
        <f t="shared" si="5"/>
        <v>0.77</v>
      </c>
      <c r="P162" s="108"/>
      <c r="Q162" s="98"/>
      <c r="R162" s="906"/>
      <c r="S162" s="906"/>
      <c r="T162" s="905"/>
      <c r="U162" s="905"/>
      <c r="V162" s="905"/>
      <c r="W162" s="905"/>
      <c r="X162" s="905"/>
      <c r="Y162" s="905"/>
      <c r="Z162" s="98"/>
    </row>
    <row r="163" spans="1:26" ht="20.25" x14ac:dyDescent="0.25">
      <c r="A163" s="123"/>
      <c r="B163" s="218"/>
      <c r="C163" s="98"/>
      <c r="D163" s="98"/>
      <c r="E163" s="98"/>
      <c r="F163" s="98"/>
      <c r="G163" s="98"/>
      <c r="H163" s="98"/>
      <c r="I163" s="879">
        <v>2024</v>
      </c>
      <c r="J163" s="308" t="str">
        <f>$E$8</f>
        <v>GIMNASIO NUEVO BOLIVAR</v>
      </c>
      <c r="K163" s="194">
        <f>VLOOKUP($E$8,SyC!$A$10:$DN$171,110,0)</f>
        <v>0.19</v>
      </c>
      <c r="L163" s="195">
        <f>VLOOKUP($E$8,SyC!$A$10:$DN$171,111,0)</f>
        <v>0.42</v>
      </c>
      <c r="M163" s="196">
        <f>VLOOKUP($E$8,SyC!$A$10:$DN$171,112,0)</f>
        <v>0.33</v>
      </c>
      <c r="N163" s="197">
        <f>VLOOKUP($E$8,SyC!$A$10:$DN$171,113,0)</f>
        <v>0.06</v>
      </c>
      <c r="O163" s="108">
        <f t="shared" si="5"/>
        <v>0.61</v>
      </c>
      <c r="P163" s="108"/>
      <c r="Q163" s="98"/>
      <c r="R163" s="906"/>
      <c r="S163" s="906"/>
      <c r="T163" s="905"/>
      <c r="U163" s="905"/>
      <c r="V163" s="905"/>
      <c r="W163" s="905"/>
      <c r="X163" s="905"/>
      <c r="Y163" s="905"/>
      <c r="Z163" s="98"/>
    </row>
    <row r="164" spans="1:26" ht="20.25" x14ac:dyDescent="0.25">
      <c r="A164" s="123"/>
      <c r="B164" s="218"/>
      <c r="C164" s="98"/>
      <c r="D164" s="98"/>
      <c r="E164" s="98"/>
      <c r="F164" s="98"/>
      <c r="G164" s="98"/>
      <c r="H164" s="98"/>
      <c r="I164" s="879"/>
      <c r="J164" s="308" t="str">
        <f>$E$9</f>
        <v>COMUNA 1</v>
      </c>
      <c r="K164" s="194">
        <f>VLOOKUP($E$9,SyC!$A$10:$DN$171,110,0)</f>
        <v>0.20111111111111113</v>
      </c>
      <c r="L164" s="195">
        <f>VLOOKUP($E$9,SyC!$A$10:$DN$171,111,0)</f>
        <v>0.48055555555555557</v>
      </c>
      <c r="M164" s="196">
        <f>VLOOKUP($E$9,SyC!$A$10:$DN$171,112,0)</f>
        <v>0.2961111111111111</v>
      </c>
      <c r="N164" s="197">
        <f>VLOOKUP($E$9,SyC!$A$10:$DN$171,113,0)</f>
        <v>2.0000000000000004E-2</v>
      </c>
      <c r="O164" s="108">
        <f t="shared" si="5"/>
        <v>0.68166666666666664</v>
      </c>
      <c r="P164" s="108"/>
      <c r="Q164" s="98"/>
      <c r="R164" s="906"/>
      <c r="S164" s="906"/>
      <c r="T164" s="905"/>
      <c r="U164" s="905"/>
      <c r="V164" s="905"/>
      <c r="W164" s="905"/>
      <c r="X164" s="905"/>
      <c r="Y164" s="905"/>
      <c r="Z164" s="98"/>
    </row>
    <row r="165" spans="1:26" ht="20.25" x14ac:dyDescent="0.25">
      <c r="A165" s="123"/>
      <c r="B165" s="218"/>
      <c r="C165" s="98"/>
      <c r="D165" s="98"/>
      <c r="E165" s="98"/>
      <c r="F165" s="98"/>
      <c r="G165" s="98"/>
      <c r="H165" s="98"/>
      <c r="I165" s="879"/>
      <c r="J165" s="308" t="str">
        <f>$E$10</f>
        <v>COMUNA 6 OFICIAL</v>
      </c>
      <c r="K165" s="194">
        <f>VLOOKUP($E$10,SyC!$A$10:$DN$171,110,0)</f>
        <v>0.26</v>
      </c>
      <c r="L165" s="195">
        <f>VLOOKUP($E$10,SyC!$A$10:$DN$171,111,0)</f>
        <v>0.48499999999999999</v>
      </c>
      <c r="M165" s="196">
        <f>VLOOKUP($E$10,SyC!$A$10:$DN$171,112,0)</f>
        <v>0.24249999999999999</v>
      </c>
      <c r="N165" s="197">
        <f>VLOOKUP($E$10,SyC!$A$10:$DN$171,113,0)</f>
        <v>1.4999999999999999E-2</v>
      </c>
      <c r="O165" s="108">
        <f t="shared" si="5"/>
        <v>0.745</v>
      </c>
      <c r="P165" s="108"/>
      <c r="Q165" s="98"/>
      <c r="R165" s="906"/>
      <c r="S165" s="906"/>
      <c r="T165" s="905"/>
      <c r="U165" s="905"/>
      <c r="V165" s="905"/>
      <c r="W165" s="905"/>
      <c r="X165" s="905"/>
      <c r="Y165" s="905"/>
      <c r="Z165" s="98"/>
    </row>
    <row r="166" spans="1:26" ht="20.25" x14ac:dyDescent="0.25">
      <c r="A166" s="123"/>
      <c r="B166" s="218"/>
      <c r="C166" s="98"/>
      <c r="D166" s="98"/>
      <c r="E166" s="98"/>
      <c r="F166" s="98"/>
      <c r="G166" s="98"/>
      <c r="H166" s="98"/>
      <c r="I166" s="98"/>
      <c r="J166" s="98"/>
      <c r="K166" s="108"/>
      <c r="L166" s="98"/>
      <c r="M166" s="98"/>
      <c r="N166" s="98"/>
      <c r="O166" s="108"/>
      <c r="P166" s="108"/>
      <c r="Q166" s="98"/>
      <c r="R166" s="906"/>
      <c r="S166" s="906"/>
      <c r="T166" s="905"/>
      <c r="U166" s="905"/>
      <c r="V166" s="905"/>
      <c r="W166" s="905"/>
      <c r="X166" s="905"/>
      <c r="Y166" s="905"/>
      <c r="Z166" s="98"/>
    </row>
    <row r="167" spans="1:26" ht="20.25" x14ac:dyDescent="0.25">
      <c r="A167" s="123"/>
      <c r="B167" s="218"/>
      <c r="C167" s="98"/>
      <c r="D167" s="98"/>
      <c r="E167" s="98"/>
      <c r="F167" s="98"/>
      <c r="G167" s="98"/>
      <c r="H167" s="98"/>
      <c r="I167" s="98"/>
      <c r="J167" s="98"/>
      <c r="K167" s="108"/>
      <c r="L167" s="98"/>
      <c r="M167" s="98"/>
      <c r="N167" s="98"/>
      <c r="O167" s="108"/>
      <c r="P167" s="108"/>
      <c r="Q167" s="98"/>
      <c r="R167" s="906"/>
      <c r="S167" s="906"/>
      <c r="T167" s="905"/>
      <c r="U167" s="905"/>
      <c r="V167" s="905"/>
      <c r="W167" s="905"/>
      <c r="X167" s="905"/>
      <c r="Y167" s="905"/>
      <c r="Z167" s="98"/>
    </row>
    <row r="168" spans="1:26" ht="20.45" customHeight="1" x14ac:dyDescent="0.25">
      <c r="A168" s="123"/>
      <c r="B168" s="218"/>
      <c r="C168" s="98"/>
      <c r="D168" s="98"/>
      <c r="E168" s="98"/>
      <c r="F168" s="98"/>
      <c r="G168" s="98"/>
      <c r="H168" s="98"/>
      <c r="I168" s="98"/>
      <c r="J168" s="98"/>
      <c r="K168" s="108"/>
      <c r="L168" s="98"/>
      <c r="M168" s="98"/>
      <c r="N168" s="98"/>
      <c r="O168" s="108"/>
      <c r="P168" s="108"/>
      <c r="Q168" s="98"/>
      <c r="R168" s="895">
        <v>4</v>
      </c>
      <c r="S168" s="895" t="s">
        <v>726</v>
      </c>
      <c r="T168" s="894" t="s">
        <v>1032</v>
      </c>
      <c r="U168" s="894"/>
      <c r="V168" s="894"/>
      <c r="W168" s="894"/>
      <c r="X168" s="894"/>
      <c r="Y168" s="894"/>
      <c r="Z168" s="98"/>
    </row>
    <row r="169" spans="1:26" ht="20.25" x14ac:dyDescent="0.25">
      <c r="A169" s="123"/>
      <c r="B169" s="218"/>
      <c r="C169" s="98"/>
      <c r="D169" s="98"/>
      <c r="E169" s="98"/>
      <c r="F169" s="98"/>
      <c r="G169" s="98"/>
      <c r="H169" s="98"/>
      <c r="I169" s="98"/>
      <c r="J169" s="98"/>
      <c r="K169" s="108"/>
      <c r="L169" s="98"/>
      <c r="M169" s="98"/>
      <c r="N169" s="98"/>
      <c r="O169" s="108"/>
      <c r="P169" s="108"/>
      <c r="Q169" s="98"/>
      <c r="R169" s="895"/>
      <c r="S169" s="895"/>
      <c r="T169" s="894"/>
      <c r="U169" s="894"/>
      <c r="V169" s="894"/>
      <c r="W169" s="894"/>
      <c r="X169" s="894"/>
      <c r="Y169" s="894"/>
      <c r="Z169" s="98"/>
    </row>
    <row r="170" spans="1:26" ht="20.25" x14ac:dyDescent="0.25">
      <c r="A170" s="123"/>
      <c r="B170" s="218"/>
      <c r="C170" s="98"/>
      <c r="D170" s="98"/>
      <c r="E170" s="98"/>
      <c r="F170" s="98"/>
      <c r="G170" s="98"/>
      <c r="H170" s="98"/>
      <c r="I170" s="98"/>
      <c r="J170" s="98"/>
      <c r="K170" s="108"/>
      <c r="L170" s="98"/>
      <c r="M170" s="98"/>
      <c r="N170" s="98"/>
      <c r="O170" s="108"/>
      <c r="P170" s="108"/>
      <c r="Q170" s="98"/>
      <c r="R170" s="895"/>
      <c r="S170" s="895"/>
      <c r="T170" s="894"/>
      <c r="U170" s="894"/>
      <c r="V170" s="894"/>
      <c r="W170" s="894"/>
      <c r="X170" s="894"/>
      <c r="Y170" s="894"/>
      <c r="Z170" s="98"/>
    </row>
    <row r="171" spans="1:26" ht="20.25" x14ac:dyDescent="0.25">
      <c r="A171" s="123"/>
      <c r="B171" s="218"/>
      <c r="C171" s="98"/>
      <c r="D171" s="98"/>
      <c r="E171" s="98"/>
      <c r="F171" s="98"/>
      <c r="G171" s="98"/>
      <c r="H171" s="98"/>
      <c r="I171" s="98"/>
      <c r="J171" s="98"/>
      <c r="K171" s="108"/>
      <c r="L171" s="98"/>
      <c r="M171" s="98"/>
      <c r="N171" s="98"/>
      <c r="O171" s="108"/>
      <c r="P171" s="108"/>
      <c r="Q171" s="98"/>
      <c r="R171" s="895"/>
      <c r="S171" s="895"/>
      <c r="T171" s="894"/>
      <c r="U171" s="894"/>
      <c r="V171" s="894"/>
      <c r="W171" s="894"/>
      <c r="X171" s="894"/>
      <c r="Y171" s="894"/>
      <c r="Z171" s="98"/>
    </row>
    <row r="172" spans="1:26" ht="20.25" x14ac:dyDescent="0.25">
      <c r="A172" s="123"/>
      <c r="B172" s="218"/>
      <c r="C172" s="98"/>
      <c r="D172" s="98"/>
      <c r="E172" s="98"/>
      <c r="F172" s="98"/>
      <c r="G172" s="98"/>
      <c r="H172" s="98"/>
      <c r="I172" s="98"/>
      <c r="J172" s="98"/>
      <c r="K172" s="108"/>
      <c r="L172" s="98"/>
      <c r="M172" s="98"/>
      <c r="N172" s="98"/>
      <c r="O172" s="108"/>
      <c r="P172" s="108"/>
      <c r="Q172" s="98"/>
      <c r="R172" s="895"/>
      <c r="S172" s="895"/>
      <c r="T172" s="894"/>
      <c r="U172" s="894"/>
      <c r="V172" s="894"/>
      <c r="W172" s="894"/>
      <c r="X172" s="894"/>
      <c r="Y172" s="894"/>
      <c r="Z172" s="98"/>
    </row>
    <row r="173" spans="1:26" ht="20.25" x14ac:dyDescent="0.25">
      <c r="A173" s="123"/>
      <c r="B173" s="218"/>
      <c r="C173" s="98"/>
      <c r="D173" s="98"/>
      <c r="E173" s="98"/>
      <c r="F173" s="98"/>
      <c r="G173" s="98"/>
      <c r="H173" s="98"/>
      <c r="I173" s="98"/>
      <c r="J173" s="98"/>
      <c r="K173" s="108"/>
      <c r="L173" s="98"/>
      <c r="M173" s="98"/>
      <c r="N173" s="98"/>
      <c r="O173" s="108"/>
      <c r="P173" s="108"/>
      <c r="Q173" s="98"/>
      <c r="R173" s="895"/>
      <c r="S173" s="895"/>
      <c r="T173" s="894"/>
      <c r="U173" s="894"/>
      <c r="V173" s="894"/>
      <c r="W173" s="894"/>
      <c r="X173" s="894"/>
      <c r="Y173" s="894"/>
      <c r="Z173" s="98"/>
    </row>
    <row r="174" spans="1:26" ht="20.25" x14ac:dyDescent="0.25">
      <c r="A174" s="123"/>
      <c r="B174" s="218"/>
      <c r="C174" s="98"/>
      <c r="D174" s="98"/>
      <c r="E174" s="98"/>
      <c r="F174" s="98"/>
      <c r="G174" s="98"/>
      <c r="H174" s="98"/>
      <c r="I174" s="98"/>
      <c r="J174" s="98"/>
      <c r="K174" s="108"/>
      <c r="L174" s="98"/>
      <c r="M174" s="98"/>
      <c r="N174" s="98"/>
      <c r="O174" s="108"/>
      <c r="P174" s="108"/>
      <c r="Q174" s="98"/>
      <c r="R174" s="895"/>
      <c r="S174" s="895"/>
      <c r="T174" s="894"/>
      <c r="U174" s="894"/>
      <c r="V174" s="894"/>
      <c r="W174" s="894"/>
      <c r="X174" s="894"/>
      <c r="Y174" s="894"/>
      <c r="Z174" s="98"/>
    </row>
    <row r="175" spans="1:26" ht="20.25" x14ac:dyDescent="0.25">
      <c r="A175" s="123"/>
      <c r="B175" s="218"/>
      <c r="C175" s="98"/>
      <c r="D175" s="98"/>
      <c r="E175" s="98"/>
      <c r="F175" s="98"/>
      <c r="G175" s="98"/>
      <c r="H175" s="98"/>
      <c r="I175" s="98"/>
      <c r="J175" s="98"/>
      <c r="K175" s="108"/>
      <c r="L175" s="98"/>
      <c r="M175" s="98"/>
      <c r="N175" s="98"/>
      <c r="O175" s="108"/>
      <c r="P175" s="108"/>
      <c r="Q175" s="98"/>
      <c r="R175" s="895"/>
      <c r="S175" s="895"/>
      <c r="T175" s="894"/>
      <c r="U175" s="894"/>
      <c r="V175" s="894"/>
      <c r="W175" s="894"/>
      <c r="X175" s="894"/>
      <c r="Y175" s="894"/>
      <c r="Z175" s="98"/>
    </row>
    <row r="176" spans="1:26" ht="20.25" x14ac:dyDescent="0.25">
      <c r="A176" s="123"/>
      <c r="B176" s="218"/>
      <c r="C176" s="98"/>
      <c r="D176" s="98"/>
      <c r="E176" s="98"/>
      <c r="F176" s="98"/>
      <c r="G176" s="98"/>
      <c r="H176" s="98"/>
      <c r="I176" s="98"/>
      <c r="J176" s="98"/>
      <c r="K176" s="108"/>
      <c r="L176" s="98"/>
      <c r="M176" s="98"/>
      <c r="N176" s="98"/>
      <c r="O176" s="108"/>
      <c r="P176" s="108"/>
      <c r="Q176" s="98"/>
      <c r="R176" s="895"/>
      <c r="S176" s="895"/>
      <c r="T176" s="894"/>
      <c r="U176" s="894"/>
      <c r="V176" s="894"/>
      <c r="W176" s="894"/>
      <c r="X176" s="894"/>
      <c r="Y176" s="894"/>
      <c r="Z176" s="98"/>
    </row>
    <row r="177" spans="1:26" ht="20.25" x14ac:dyDescent="0.25">
      <c r="A177" s="123"/>
      <c r="B177" s="218"/>
      <c r="C177" s="98"/>
      <c r="D177" s="98"/>
      <c r="E177" s="98"/>
      <c r="F177" s="98"/>
      <c r="G177" s="98"/>
      <c r="H177" s="98"/>
      <c r="I177" s="98"/>
      <c r="J177" s="98"/>
      <c r="K177" s="108"/>
      <c r="L177" s="98"/>
      <c r="M177" s="98"/>
      <c r="N177" s="98"/>
      <c r="O177" s="108"/>
      <c r="P177" s="108"/>
      <c r="Q177" s="98"/>
      <c r="R177" s="895"/>
      <c r="S177" s="895"/>
      <c r="T177" s="894"/>
      <c r="U177" s="894"/>
      <c r="V177" s="894"/>
      <c r="W177" s="894"/>
      <c r="X177" s="894"/>
      <c r="Y177" s="894"/>
      <c r="Z177" s="98"/>
    </row>
    <row r="178" spans="1:26" ht="20.25" x14ac:dyDescent="0.25">
      <c r="A178" s="123"/>
      <c r="B178" s="218"/>
      <c r="C178" s="98"/>
      <c r="D178" s="98"/>
      <c r="E178" s="98"/>
      <c r="F178" s="98"/>
      <c r="G178" s="98"/>
      <c r="H178" s="98"/>
      <c r="I178" s="98"/>
      <c r="J178" s="98"/>
      <c r="K178" s="108"/>
      <c r="L178" s="98"/>
      <c r="M178" s="98"/>
      <c r="N178" s="98"/>
      <c r="O178" s="108"/>
      <c r="P178" s="108"/>
      <c r="Q178" s="98"/>
      <c r="R178" s="895"/>
      <c r="S178" s="895"/>
      <c r="T178" s="894"/>
      <c r="U178" s="894"/>
      <c r="V178" s="894"/>
      <c r="W178" s="894"/>
      <c r="X178" s="894"/>
      <c r="Y178" s="894"/>
      <c r="Z178" s="98"/>
    </row>
    <row r="179" spans="1:26" ht="20.25" x14ac:dyDescent="0.25">
      <c r="A179" s="123"/>
      <c r="B179" s="218"/>
      <c r="C179" s="98"/>
      <c r="D179" s="98"/>
      <c r="E179" s="98"/>
      <c r="F179" s="98"/>
      <c r="G179" s="98"/>
      <c r="H179" s="98"/>
      <c r="I179" s="98"/>
      <c r="J179" s="98"/>
      <c r="K179" s="108"/>
      <c r="L179" s="98"/>
      <c r="M179" s="98"/>
      <c r="N179" s="98"/>
      <c r="O179" s="108"/>
      <c r="P179" s="108"/>
      <c r="Q179" s="98"/>
      <c r="R179" s="895"/>
      <c r="S179" s="895"/>
      <c r="T179" s="894"/>
      <c r="U179" s="894"/>
      <c r="V179" s="894"/>
      <c r="W179" s="894"/>
      <c r="X179" s="894"/>
      <c r="Y179" s="894"/>
      <c r="Z179" s="98"/>
    </row>
    <row r="180" spans="1:26" ht="20.25" x14ac:dyDescent="0.25">
      <c r="A180" s="123"/>
      <c r="B180" s="218"/>
      <c r="C180" s="98"/>
      <c r="D180" s="98"/>
      <c r="E180" s="98"/>
      <c r="F180" s="98"/>
      <c r="G180" s="98"/>
      <c r="H180" s="98"/>
      <c r="I180" s="98"/>
      <c r="J180" s="98"/>
      <c r="K180" s="108"/>
      <c r="L180" s="98"/>
      <c r="M180" s="98"/>
      <c r="N180" s="98"/>
      <c r="O180" s="108"/>
      <c r="P180" s="108"/>
      <c r="Q180" s="98"/>
      <c r="R180" s="895"/>
      <c r="S180" s="895"/>
      <c r="T180" s="894"/>
      <c r="U180" s="894"/>
      <c r="V180" s="894"/>
      <c r="W180" s="894"/>
      <c r="X180" s="894"/>
      <c r="Y180" s="894"/>
      <c r="Z180" s="98"/>
    </row>
    <row r="181" spans="1:26" ht="20.25" x14ac:dyDescent="0.25">
      <c r="A181" s="123"/>
      <c r="B181" s="218"/>
      <c r="C181" s="98"/>
      <c r="D181" s="98"/>
      <c r="E181" s="98"/>
      <c r="F181" s="98"/>
      <c r="G181" s="98"/>
      <c r="H181" s="98"/>
      <c r="I181" s="98"/>
      <c r="J181" s="98"/>
      <c r="K181" s="108"/>
      <c r="L181" s="98"/>
      <c r="M181" s="98"/>
      <c r="N181" s="98"/>
      <c r="O181" s="108"/>
      <c r="P181" s="108"/>
      <c r="Q181" s="98"/>
      <c r="R181" s="895"/>
      <c r="S181" s="895"/>
      <c r="T181" s="894"/>
      <c r="U181" s="894"/>
      <c r="V181" s="894"/>
      <c r="W181" s="894"/>
      <c r="X181" s="894"/>
      <c r="Y181" s="894"/>
      <c r="Z181" s="98"/>
    </row>
    <row r="182" spans="1:26" ht="20.25" x14ac:dyDescent="0.25">
      <c r="A182" s="123"/>
      <c r="B182" s="218"/>
      <c r="C182" s="98"/>
      <c r="D182" s="98"/>
      <c r="E182" s="98"/>
      <c r="F182" s="98"/>
      <c r="G182" s="98"/>
      <c r="H182" s="98"/>
      <c r="I182" s="98"/>
      <c r="J182" s="98"/>
      <c r="K182" s="108"/>
      <c r="L182" s="98"/>
      <c r="M182" s="98"/>
      <c r="N182" s="98"/>
      <c r="O182" s="108"/>
      <c r="P182" s="108"/>
      <c r="Q182" s="98"/>
      <c r="R182" s="895"/>
      <c r="S182" s="895"/>
      <c r="T182" s="894"/>
      <c r="U182" s="894"/>
      <c r="V182" s="894"/>
      <c r="W182" s="894"/>
      <c r="X182" s="894"/>
      <c r="Y182" s="894"/>
      <c r="Z182" s="98"/>
    </row>
    <row r="183" spans="1:26" ht="20.25" x14ac:dyDescent="0.25">
      <c r="A183" s="123"/>
      <c r="B183" s="218"/>
      <c r="C183" s="98"/>
      <c r="D183" s="98"/>
      <c r="E183" s="98"/>
      <c r="F183" s="98"/>
      <c r="G183" s="98"/>
      <c r="H183" s="98"/>
      <c r="I183" s="98"/>
      <c r="J183" s="98"/>
      <c r="K183" s="108"/>
      <c r="L183" s="98"/>
      <c r="M183" s="98"/>
      <c r="N183" s="98"/>
      <c r="O183" s="108"/>
      <c r="P183" s="108"/>
      <c r="Q183" s="98"/>
      <c r="R183" s="895"/>
      <c r="S183" s="895"/>
      <c r="T183" s="894"/>
      <c r="U183" s="894"/>
      <c r="V183" s="894"/>
      <c r="W183" s="894"/>
      <c r="X183" s="894"/>
      <c r="Y183" s="894"/>
      <c r="Z183" s="98"/>
    </row>
    <row r="184" spans="1:26" ht="20.25" x14ac:dyDescent="0.25">
      <c r="A184" s="123"/>
      <c r="B184" s="218"/>
      <c r="C184" s="98"/>
      <c r="D184" s="98"/>
      <c r="E184" s="98"/>
      <c r="F184" s="98"/>
      <c r="G184" s="98"/>
      <c r="H184" s="98"/>
      <c r="I184" s="98"/>
      <c r="J184" s="98"/>
      <c r="K184" s="108"/>
      <c r="L184" s="98"/>
      <c r="M184" s="98"/>
      <c r="N184" s="98"/>
      <c r="O184" s="108"/>
      <c r="P184" s="108"/>
      <c r="Q184" s="98"/>
      <c r="R184" s="895"/>
      <c r="S184" s="895"/>
      <c r="T184" s="894"/>
      <c r="U184" s="894"/>
      <c r="V184" s="894"/>
      <c r="W184" s="894"/>
      <c r="X184" s="894"/>
      <c r="Y184" s="894"/>
      <c r="Z184" s="98"/>
    </row>
    <row r="185" spans="1:26" ht="20.25" x14ac:dyDescent="0.25">
      <c r="A185" s="123"/>
      <c r="B185" s="218"/>
      <c r="C185" s="98"/>
      <c r="D185" s="98"/>
      <c r="E185" s="98"/>
      <c r="F185" s="98"/>
      <c r="G185" s="98"/>
      <c r="H185" s="98"/>
      <c r="I185" s="98"/>
      <c r="J185" s="98"/>
      <c r="K185" s="108"/>
      <c r="L185" s="98"/>
      <c r="M185" s="98"/>
      <c r="N185" s="98"/>
      <c r="O185" s="108"/>
      <c r="P185" s="108"/>
      <c r="Q185" s="98"/>
      <c r="R185" s="895"/>
      <c r="S185" s="895"/>
      <c r="T185" s="894"/>
      <c r="U185" s="894"/>
      <c r="V185" s="894"/>
      <c r="W185" s="894"/>
      <c r="X185" s="894"/>
      <c r="Y185" s="894"/>
      <c r="Z185" s="98"/>
    </row>
    <row r="186" spans="1:26" ht="20.25" x14ac:dyDescent="0.25">
      <c r="A186" s="123"/>
      <c r="B186" s="218"/>
      <c r="C186" s="98"/>
      <c r="D186" s="98"/>
      <c r="E186" s="98"/>
      <c r="F186" s="98"/>
      <c r="G186" s="98"/>
      <c r="H186" s="98"/>
      <c r="I186" s="98"/>
      <c r="J186" s="98"/>
      <c r="K186" s="108"/>
      <c r="L186" s="98"/>
      <c r="M186" s="98"/>
      <c r="N186" s="98"/>
      <c r="O186" s="108"/>
      <c r="P186" s="108"/>
      <c r="Q186" s="98"/>
      <c r="R186" s="895"/>
      <c r="S186" s="895"/>
      <c r="T186" s="894"/>
      <c r="U186" s="894"/>
      <c r="V186" s="894"/>
      <c r="W186" s="894"/>
      <c r="X186" s="894"/>
      <c r="Y186" s="894"/>
      <c r="Z186" s="98"/>
    </row>
    <row r="187" spans="1:26" ht="20.25" x14ac:dyDescent="0.25">
      <c r="A187" s="123"/>
      <c r="B187" s="218"/>
      <c r="C187" s="98"/>
      <c r="D187" s="98"/>
      <c r="E187" s="98"/>
      <c r="F187" s="98"/>
      <c r="G187" s="98"/>
      <c r="H187" s="98"/>
      <c r="I187" s="98"/>
      <c r="J187" s="98"/>
      <c r="K187" s="108"/>
      <c r="L187" s="98"/>
      <c r="M187" s="98"/>
      <c r="N187" s="98"/>
      <c r="O187" s="108"/>
      <c r="P187" s="108"/>
      <c r="Q187" s="98"/>
      <c r="R187" s="895"/>
      <c r="S187" s="895"/>
      <c r="T187" s="894"/>
      <c r="U187" s="894"/>
      <c r="V187" s="894"/>
      <c r="W187" s="894"/>
      <c r="X187" s="894"/>
      <c r="Y187" s="894"/>
      <c r="Z187" s="98"/>
    </row>
    <row r="188" spans="1:26" ht="20.25" x14ac:dyDescent="0.25">
      <c r="A188" s="123"/>
      <c r="B188" s="218"/>
      <c r="C188" s="98"/>
      <c r="D188" s="98"/>
      <c r="E188" s="98"/>
      <c r="F188" s="98"/>
      <c r="G188" s="98"/>
      <c r="H188" s="98"/>
      <c r="I188" s="98"/>
      <c r="J188" s="98"/>
      <c r="K188" s="108"/>
      <c r="L188" s="98"/>
      <c r="M188" s="98"/>
      <c r="N188" s="98"/>
      <c r="O188" s="108"/>
      <c r="P188" s="108"/>
      <c r="Q188" s="98"/>
      <c r="R188" s="98"/>
      <c r="S188" s="98"/>
      <c r="T188" s="98"/>
      <c r="U188" s="98"/>
      <c r="V188" s="98"/>
      <c r="W188" s="98"/>
      <c r="X188" s="98"/>
      <c r="Y188" s="98"/>
      <c r="Z188" s="98"/>
    </row>
    <row r="189" spans="1:26" ht="20.25" x14ac:dyDescent="0.25">
      <c r="A189" s="123"/>
      <c r="B189" s="218"/>
      <c r="C189" s="98"/>
      <c r="D189" s="98"/>
      <c r="E189" s="98"/>
      <c r="F189" s="98"/>
      <c r="G189" s="98"/>
      <c r="H189" s="98"/>
      <c r="I189" s="98"/>
      <c r="J189" s="98"/>
      <c r="K189" s="108"/>
      <c r="L189" s="98"/>
      <c r="M189" s="98"/>
      <c r="N189" s="98"/>
      <c r="O189" s="108"/>
      <c r="P189" s="108"/>
      <c r="Q189" s="98"/>
      <c r="R189" s="98"/>
      <c r="S189" s="98"/>
      <c r="T189" s="98"/>
      <c r="U189" s="98"/>
      <c r="V189" s="98"/>
      <c r="W189" s="98"/>
      <c r="X189" s="98"/>
      <c r="Y189" s="98"/>
      <c r="Z189" s="98"/>
    </row>
    <row r="190" spans="1:26" ht="20.25" x14ac:dyDescent="0.25">
      <c r="A190" s="123"/>
      <c r="B190" s="218"/>
      <c r="C190" s="98"/>
      <c r="D190" s="98"/>
      <c r="E190" s="98"/>
      <c r="F190" s="98"/>
      <c r="G190" s="98"/>
      <c r="H190" s="98"/>
      <c r="I190" s="98"/>
      <c r="J190" s="98"/>
      <c r="K190" s="108"/>
      <c r="L190" s="98"/>
      <c r="M190" s="98"/>
      <c r="N190" s="98"/>
      <c r="O190" s="108"/>
      <c r="P190" s="108"/>
      <c r="Q190" s="98"/>
      <c r="R190" s="98"/>
      <c r="S190" s="98"/>
      <c r="T190" s="98"/>
      <c r="U190" s="98"/>
      <c r="V190" s="98"/>
      <c r="W190" s="98"/>
      <c r="X190" s="98"/>
      <c r="Y190" s="98"/>
      <c r="Z190" s="98"/>
    </row>
    <row r="191" spans="1:26" x14ac:dyDescent="0.25">
      <c r="A191" s="118"/>
      <c r="B191" s="11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x14ac:dyDescent="0.25">
      <c r="A192" s="118"/>
      <c r="B192" s="11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x14ac:dyDescent="0.25">
      <c r="A193" s="118"/>
      <c r="B193" s="11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x14ac:dyDescent="0.25">
      <c r="A194" s="118"/>
      <c r="B194" s="11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x14ac:dyDescent="0.25">
      <c r="A195" s="118"/>
      <c r="B195" s="11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x14ac:dyDescent="0.25">
      <c r="A196" s="118"/>
      <c r="B196" s="11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x14ac:dyDescent="0.25">
      <c r="A197" s="118"/>
      <c r="B197" s="11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x14ac:dyDescent="0.25">
      <c r="A198" s="118"/>
      <c r="B198" s="11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37.9" customHeight="1" x14ac:dyDescent="0.25">
      <c r="A199" s="98"/>
      <c r="B199" s="222"/>
      <c r="C199" s="222"/>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36" customHeight="1" x14ac:dyDescent="0.3">
      <c r="A200" s="98"/>
      <c r="B200" s="892" t="s">
        <v>733</v>
      </c>
      <c r="C200" s="892"/>
      <c r="D200" s="892"/>
      <c r="E200" s="892"/>
      <c r="F200" s="892"/>
      <c r="G200" s="98"/>
      <c r="H200" s="98"/>
      <c r="I200" s="907" t="s">
        <v>851</v>
      </c>
      <c r="J200" s="907"/>
      <c r="K200" s="907"/>
      <c r="L200" s="907"/>
      <c r="M200" s="907"/>
      <c r="N200" s="907"/>
      <c r="O200" s="98"/>
      <c r="P200" s="102"/>
      <c r="Q200" s="98"/>
      <c r="R200" s="893" t="s">
        <v>1033</v>
      </c>
      <c r="S200" s="893"/>
      <c r="T200" s="893"/>
      <c r="U200" s="893"/>
      <c r="V200" s="893"/>
      <c r="W200" s="893"/>
      <c r="X200" s="893"/>
      <c r="Y200" s="893"/>
      <c r="Z200" s="98"/>
    </row>
    <row r="201" spans="1:26" ht="43.5" customHeight="1" x14ac:dyDescent="0.3">
      <c r="A201" s="98"/>
      <c r="B201" s="219" t="s">
        <v>400</v>
      </c>
      <c r="C201" s="220" t="str">
        <f>$E$8</f>
        <v>GIMNASIO NUEVO BOLIVAR</v>
      </c>
      <c r="D201" s="877" t="str">
        <f>$E$9</f>
        <v>COMUNA 1</v>
      </c>
      <c r="E201" s="877"/>
      <c r="F201" s="221" t="str">
        <f>$E$10</f>
        <v>COMUNA 6 OFICIAL</v>
      </c>
      <c r="G201" s="98"/>
      <c r="H201" s="98"/>
      <c r="I201" s="299" t="s">
        <v>400</v>
      </c>
      <c r="J201" s="299" t="s">
        <v>402</v>
      </c>
      <c r="K201" s="209" t="s">
        <v>729</v>
      </c>
      <c r="L201" s="210" t="s">
        <v>730</v>
      </c>
      <c r="M201" s="211" t="s">
        <v>731</v>
      </c>
      <c r="N201" s="212" t="s">
        <v>726</v>
      </c>
      <c r="O201" s="102" t="s">
        <v>732</v>
      </c>
      <c r="P201" s="121"/>
      <c r="Q201" s="98"/>
      <c r="R201" s="389" t="s">
        <v>1015</v>
      </c>
      <c r="S201" s="389" t="s">
        <v>1016</v>
      </c>
      <c r="T201" s="887" t="s">
        <v>1017</v>
      </c>
      <c r="U201" s="888"/>
      <c r="V201" s="888"/>
      <c r="W201" s="888"/>
      <c r="X201" s="888"/>
      <c r="Y201" s="889"/>
      <c r="Z201" s="98"/>
    </row>
    <row r="202" spans="1:26" ht="20.25" x14ac:dyDescent="0.25">
      <c r="A202" s="98"/>
      <c r="B202" s="207">
        <v>2016</v>
      </c>
      <c r="C202" s="191">
        <f>VLOOKUP($E$8,CN!$A$10:$FA$171,4,0)</f>
        <v>56</v>
      </c>
      <c r="D202" s="878">
        <f>VLOOKUP($E$9,CN!$A$10:$FA$171,4,0)</f>
        <v>53.176470588235297</v>
      </c>
      <c r="E202" s="878"/>
      <c r="F202" s="191">
        <f>VLOOKUP($E$10,CN!$A$10:$FA$171,4,0)</f>
        <v>53</v>
      </c>
      <c r="G202" s="98"/>
      <c r="H202" s="98"/>
      <c r="I202" s="307"/>
      <c r="J202" s="307"/>
      <c r="K202" s="213">
        <v>1</v>
      </c>
      <c r="L202" s="214">
        <v>2</v>
      </c>
      <c r="M202" s="215">
        <v>3</v>
      </c>
      <c r="N202" s="216">
        <v>4</v>
      </c>
      <c r="O202" s="121" t="s">
        <v>853</v>
      </c>
      <c r="P202" s="108"/>
      <c r="Q202" s="98"/>
      <c r="R202" s="923">
        <v>1</v>
      </c>
      <c r="S202" s="920" t="s">
        <v>729</v>
      </c>
      <c r="T202" s="911" t="s">
        <v>1034</v>
      </c>
      <c r="U202" s="912"/>
      <c r="V202" s="912"/>
      <c r="W202" s="912"/>
      <c r="X202" s="912"/>
      <c r="Y202" s="913"/>
      <c r="Z202" s="98"/>
    </row>
    <row r="203" spans="1:26" ht="21" customHeight="1" x14ac:dyDescent="0.25">
      <c r="A203" s="98"/>
      <c r="B203" s="207">
        <v>2017</v>
      </c>
      <c r="C203" s="191">
        <f>VLOOKUP($E$8,CN!$A$10:$FA$171,34,0)</f>
        <v>55</v>
      </c>
      <c r="D203" s="878">
        <f>VLOOKUP($E$9,CN!$A$10:$FA$171,34,0)</f>
        <v>52.625</v>
      </c>
      <c r="E203" s="878"/>
      <c r="F203" s="191">
        <f>VLOOKUP($E$10,CN!$A$10:$FA$171,34,0)</f>
        <v>52</v>
      </c>
      <c r="G203" s="98"/>
      <c r="H203" s="98"/>
      <c r="I203" s="908">
        <v>2016</v>
      </c>
      <c r="J203" s="308" t="str">
        <f>$E$8</f>
        <v>GIMNASIO NUEVO BOLIVAR</v>
      </c>
      <c r="K203" s="194">
        <f>VLOOKUP($E$8,CN!$A$10:$FA$171,6,0)</f>
        <v>0</v>
      </c>
      <c r="L203" s="223">
        <f>VLOOKUP($E$8,CN!$A$10:$FA$171,7,0)</f>
        <v>0.51</v>
      </c>
      <c r="M203" s="196">
        <f>VLOOKUP($E$8,CN!$A$10:$FA$171,8,0)</f>
        <v>0.49</v>
      </c>
      <c r="N203" s="197">
        <f>VLOOKUP($E$8,CN!$A$10:$FA$171,9,0)</f>
        <v>0</v>
      </c>
      <c r="O203" s="108">
        <f t="shared" ref="O203:O220" si="6">K203+L203</f>
        <v>0.51</v>
      </c>
      <c r="P203" s="108"/>
      <c r="Q203" s="98"/>
      <c r="R203" s="924"/>
      <c r="S203" s="921"/>
      <c r="T203" s="914"/>
      <c r="U203" s="915"/>
      <c r="V203" s="915"/>
      <c r="W203" s="915"/>
      <c r="X203" s="915"/>
      <c r="Y203" s="916"/>
      <c r="Z203" s="98"/>
    </row>
    <row r="204" spans="1:26" ht="20.25" x14ac:dyDescent="0.25">
      <c r="A204" s="98"/>
      <c r="B204" s="207">
        <v>2018</v>
      </c>
      <c r="C204" s="191">
        <f>VLOOKUP($E$8,CN!$A$10:$FA$171,65,0)</f>
        <v>52</v>
      </c>
      <c r="D204" s="878">
        <f>VLOOKUP($E$9,CN!$A$10:$FA$171,65,0)</f>
        <v>50.764705882352942</v>
      </c>
      <c r="E204" s="878"/>
      <c r="F204" s="191">
        <f>VLOOKUP($E$10,CN!$A$10:$FA$171,65,0)</f>
        <v>50.25</v>
      </c>
      <c r="G204" s="98"/>
      <c r="H204" s="98"/>
      <c r="I204" s="909"/>
      <c r="J204" s="308" t="str">
        <f>$E$9</f>
        <v>COMUNA 1</v>
      </c>
      <c r="K204" s="194">
        <f>VLOOKUP($E$9,CN!$A$10:$FA$171,6,0)</f>
        <v>5.1764705882352963E-2</v>
      </c>
      <c r="L204" s="223">
        <f>VLOOKUP($E$9,CN!$A$10:$FA$171,7,0)</f>
        <v>0.59176470588235297</v>
      </c>
      <c r="M204" s="196">
        <f>VLOOKUP($E$9,CN!$A$10:$FA$171,8,0)</f>
        <v>0.35235294117647054</v>
      </c>
      <c r="N204" s="197">
        <f>VLOOKUP($E$9,CN!$A$10:$FA$171,9,0)</f>
        <v>3.529411764705882E-3</v>
      </c>
      <c r="O204" s="108">
        <f t="shared" si="6"/>
        <v>0.64352941176470591</v>
      </c>
      <c r="P204" s="108"/>
      <c r="Q204" s="98"/>
      <c r="R204" s="925"/>
      <c r="S204" s="922"/>
      <c r="T204" s="917"/>
      <c r="U204" s="918"/>
      <c r="V204" s="918"/>
      <c r="W204" s="918"/>
      <c r="X204" s="918"/>
      <c r="Y204" s="919"/>
      <c r="Z204" s="98"/>
    </row>
    <row r="205" spans="1:26" ht="20.25" x14ac:dyDescent="0.25">
      <c r="A205" s="98"/>
      <c r="B205" s="207">
        <v>2019</v>
      </c>
      <c r="C205" s="191">
        <f>VLOOKUP($E$8,CN!$A$10:$FA$171,97,0)</f>
        <v>52</v>
      </c>
      <c r="D205" s="878">
        <f>VLOOKUP($E$9,CN!$A$10:$FA$171,97,0)</f>
        <v>49.470588235294116</v>
      </c>
      <c r="E205" s="878"/>
      <c r="F205" s="191">
        <f>VLOOKUP($E$10,CN!$A$10:$FA$171,97,0)</f>
        <v>48.25</v>
      </c>
      <c r="G205" s="98"/>
      <c r="H205" s="98"/>
      <c r="I205" s="910"/>
      <c r="J205" s="308" t="str">
        <f>$E$10</f>
        <v>COMUNA 6 OFICIAL</v>
      </c>
      <c r="K205" s="194">
        <f>VLOOKUP($E$10,CN!$A$10:$FA$171,6,0)</f>
        <v>4.4999999999999998E-2</v>
      </c>
      <c r="L205" s="223">
        <f>VLOOKUP($E$10,CN!$A$10:$FA$171,7,0)</f>
        <v>0.62</v>
      </c>
      <c r="M205" s="196">
        <f>VLOOKUP($E$10,CN!$A$10:$FA$171,8,0)</f>
        <v>0.33250000000000002</v>
      </c>
      <c r="N205" s="197">
        <f>VLOOKUP($E$10,CN!$A$10:$FA$171,9,0)</f>
        <v>0</v>
      </c>
      <c r="O205" s="108">
        <f t="shared" si="6"/>
        <v>0.66500000000000004</v>
      </c>
      <c r="P205" s="108"/>
      <c r="Q205" s="98"/>
      <c r="R205" s="944">
        <v>2</v>
      </c>
      <c r="S205" s="944" t="s">
        <v>730</v>
      </c>
      <c r="T205" s="896" t="s">
        <v>1035</v>
      </c>
      <c r="U205" s="897"/>
      <c r="V205" s="897"/>
      <c r="W205" s="897"/>
      <c r="X205" s="897"/>
      <c r="Y205" s="898"/>
      <c r="Z205" s="98"/>
    </row>
    <row r="206" spans="1:26" ht="20.25" x14ac:dyDescent="0.25">
      <c r="A206" s="98"/>
      <c r="B206" s="207">
        <v>2020</v>
      </c>
      <c r="C206" s="191">
        <f>VLOOKUP($E$8,CN!$A$10:$FA$171,128,0)</f>
        <v>51</v>
      </c>
      <c r="D206" s="878">
        <f>VLOOKUP($E$9,CN!$A$10:$FA$171,128,0)</f>
        <v>49.588235294117645</v>
      </c>
      <c r="E206" s="878"/>
      <c r="F206" s="191">
        <f>VLOOKUP($E$10,CN!$A$10:$FA$171,128,0)</f>
        <v>48.5</v>
      </c>
      <c r="G206" s="98"/>
      <c r="H206" s="98"/>
      <c r="I206" s="908">
        <v>2017</v>
      </c>
      <c r="J206" s="308" t="str">
        <f>$E$8</f>
        <v>GIMNASIO NUEVO BOLIVAR</v>
      </c>
      <c r="K206" s="194">
        <f>VLOOKUP($E$8,CN!$A$10:$FA$171,36,0)</f>
        <v>0.06</v>
      </c>
      <c r="L206" s="195">
        <f>VLOOKUP($E$8,CN!$A$10:$FA$171,37,0)</f>
        <v>0.5</v>
      </c>
      <c r="M206" s="196">
        <f>VLOOKUP($E$8,CN!$A$10:$FA$171,38,0)</f>
        <v>0.39</v>
      </c>
      <c r="N206" s="197">
        <f>VLOOKUP($E$8,CN!$A$10:$FA$171,39,0)</f>
        <v>0.06</v>
      </c>
      <c r="O206" s="108">
        <f t="shared" si="6"/>
        <v>0.56000000000000005</v>
      </c>
      <c r="P206" s="108"/>
      <c r="Q206" s="98"/>
      <c r="R206" s="945"/>
      <c r="S206" s="945"/>
      <c r="T206" s="899"/>
      <c r="U206" s="900"/>
      <c r="V206" s="900"/>
      <c r="W206" s="900"/>
      <c r="X206" s="900"/>
      <c r="Y206" s="901"/>
      <c r="Z206" s="98"/>
    </row>
    <row r="207" spans="1:26" ht="20.25" x14ac:dyDescent="0.25">
      <c r="A207" s="98"/>
      <c r="B207" s="207">
        <v>2021</v>
      </c>
      <c r="C207" s="191">
        <f>VLOOKUP($E$8,CN!$A$10:$GI$171,158,0)</f>
        <v>53</v>
      </c>
      <c r="D207" s="878">
        <f>VLOOKUP($E$9,CN!$A$10:$GI$171,158,0)</f>
        <v>49.705882352941174</v>
      </c>
      <c r="E207" s="878"/>
      <c r="F207" s="191">
        <f>VLOOKUP($E$10,CN!$A$10:$GI$171,158,0)</f>
        <v>47.75</v>
      </c>
      <c r="G207" s="98"/>
      <c r="H207" s="98"/>
      <c r="I207" s="909"/>
      <c r="J207" s="308" t="str">
        <f>$E$9</f>
        <v>COMUNA 1</v>
      </c>
      <c r="K207" s="194">
        <f>VLOOKUP($E$9,CN!$A$10:$FA$171,36,0)</f>
        <v>6.5000000000000016E-2</v>
      </c>
      <c r="L207" s="195">
        <f>VLOOKUP($E$9,CN!$A$10:$FA$171,37,0)</f>
        <v>0.55312500000000009</v>
      </c>
      <c r="M207" s="196">
        <f>VLOOKUP($E$9,CN!$A$10:$FA$171,38,0)</f>
        <v>0.375</v>
      </c>
      <c r="N207" s="197">
        <f>VLOOKUP($E$9,CN!$A$10:$FA$171,39,0)</f>
        <v>6.875E-3</v>
      </c>
      <c r="O207" s="108">
        <f t="shared" si="6"/>
        <v>0.61812500000000015</v>
      </c>
      <c r="P207" s="108"/>
      <c r="Q207" s="98"/>
      <c r="R207" s="945"/>
      <c r="S207" s="945"/>
      <c r="T207" s="899"/>
      <c r="U207" s="900"/>
      <c r="V207" s="900"/>
      <c r="W207" s="900"/>
      <c r="X207" s="900"/>
      <c r="Y207" s="901"/>
      <c r="Z207" s="98"/>
    </row>
    <row r="208" spans="1:26" ht="20.25" x14ac:dyDescent="0.25">
      <c r="A208" s="98"/>
      <c r="B208" s="207">
        <v>2022</v>
      </c>
      <c r="C208" s="191">
        <f>VLOOKUP($E$8,CN!$A$10:$HQ$171,192,0)</f>
        <v>54</v>
      </c>
      <c r="D208" s="878">
        <f>VLOOKUP($E$9,CN!$A$10:$HQ$171,192,0)</f>
        <v>50.388888888888886</v>
      </c>
      <c r="E208" s="878"/>
      <c r="F208" s="191">
        <f>VLOOKUP($E$10,CN!$A$10:$HQ$171,192,0)</f>
        <v>48.5</v>
      </c>
      <c r="G208" s="98"/>
      <c r="H208" s="98"/>
      <c r="I208" s="910"/>
      <c r="J208" s="308" t="str">
        <f>$E$10</f>
        <v>COMUNA 6 OFICIAL</v>
      </c>
      <c r="K208" s="194">
        <f>VLOOKUP($E$10,CN!$A$10:$FA$171,36,0)</f>
        <v>9.2499999999999999E-2</v>
      </c>
      <c r="L208" s="195">
        <f>VLOOKUP($E$10,CN!$A$10:$FA$171,37,0)</f>
        <v>0.5625</v>
      </c>
      <c r="M208" s="196">
        <f>VLOOKUP($E$10,CN!$A$10:$FA$171,38,0)</f>
        <v>0.34499999999999997</v>
      </c>
      <c r="N208" s="197">
        <f>VLOOKUP($E$10,CN!$A$10:$FA$171,39,0)</f>
        <v>2.5000000000000001E-3</v>
      </c>
      <c r="O208" s="108">
        <f t="shared" si="6"/>
        <v>0.65500000000000003</v>
      </c>
      <c r="P208" s="108"/>
      <c r="Q208" s="98"/>
      <c r="R208" s="945"/>
      <c r="S208" s="945"/>
      <c r="T208" s="899"/>
      <c r="U208" s="900"/>
      <c r="V208" s="900"/>
      <c r="W208" s="900"/>
      <c r="X208" s="900"/>
      <c r="Y208" s="901"/>
      <c r="Z208" s="98"/>
    </row>
    <row r="209" spans="1:26" ht="20.25" x14ac:dyDescent="0.25">
      <c r="A209" s="98"/>
      <c r="B209" s="207">
        <v>2023</v>
      </c>
      <c r="C209" s="191">
        <f>VLOOKUP($E$8,CN!$A$10:$IY$171,226,0)</f>
        <v>53</v>
      </c>
      <c r="D209" s="878">
        <f>VLOOKUP($E$9,CN!$A$10:$IY$171,226,0)</f>
        <v>51.411764705882355</v>
      </c>
      <c r="E209" s="878"/>
      <c r="F209" s="191">
        <f>VLOOKUP($E$10,CN!$A$10:$IY$171,226,0)</f>
        <v>49</v>
      </c>
      <c r="G209" s="98"/>
      <c r="H209" s="98"/>
      <c r="I209" s="908">
        <v>2018</v>
      </c>
      <c r="J209" s="308" t="str">
        <f>$E$8</f>
        <v>GIMNASIO NUEVO BOLIVAR</v>
      </c>
      <c r="K209" s="194">
        <f>VLOOKUP($E$8,CN!$A$10:$FA$171,67,0)</f>
        <v>0.03</v>
      </c>
      <c r="L209" s="195">
        <f>VLOOKUP($E$8,CN!$A$10:$FA$171,68,0)</f>
        <v>0.67</v>
      </c>
      <c r="M209" s="196">
        <f>VLOOKUP($E$8,CN!$A$10:$FA$171,69,0)</f>
        <v>0.3</v>
      </c>
      <c r="N209" s="197">
        <f>VLOOKUP($E$8,CN!$A$10:$FA$171,70,0)</f>
        <v>0</v>
      </c>
      <c r="O209" s="108">
        <f t="shared" si="6"/>
        <v>0.70000000000000007</v>
      </c>
      <c r="P209" s="108"/>
      <c r="Q209" s="98"/>
      <c r="R209" s="945"/>
      <c r="S209" s="945"/>
      <c r="T209" s="899"/>
      <c r="U209" s="900"/>
      <c r="V209" s="900"/>
      <c r="W209" s="900"/>
      <c r="X209" s="900"/>
      <c r="Y209" s="901"/>
      <c r="Z209" s="98"/>
    </row>
    <row r="210" spans="1:26" ht="20.25" x14ac:dyDescent="0.25">
      <c r="A210" s="123"/>
      <c r="B210" s="207">
        <v>2024</v>
      </c>
      <c r="C210" s="191">
        <f>VLOOKUP($E$8,CN!$A$10:$KG$171,226,0)</f>
        <v>53</v>
      </c>
      <c r="D210" s="878">
        <f>VLOOKUP($E$9,CN!$A$10:$IY$171,226,0)</f>
        <v>51.411764705882355</v>
      </c>
      <c r="E210" s="878"/>
      <c r="F210" s="191">
        <f>VLOOKUP($E$10,CN!$A$10:$IY$171,226,0)</f>
        <v>49</v>
      </c>
      <c r="G210" s="98"/>
      <c r="H210" s="98"/>
      <c r="I210" s="909"/>
      <c r="J210" s="308" t="str">
        <f>$E$9</f>
        <v>COMUNA 1</v>
      </c>
      <c r="K210" s="194">
        <f>VLOOKUP($E$9,CN!$A$10:$FA$171,67,0)</f>
        <v>9.8235294117647087E-2</v>
      </c>
      <c r="L210" s="195">
        <f>VLOOKUP($E$9,CN!$A$10:$FA$171,68,0)</f>
        <v>0.61823529411764711</v>
      </c>
      <c r="M210" s="196">
        <f>VLOOKUP($E$9,CN!$A$10:$FA$171,69,0)</f>
        <v>0.27705882352941175</v>
      </c>
      <c r="N210" s="197">
        <f>VLOOKUP($E$9,CN!$A$10:$FA$171,70,0)</f>
        <v>8.2352941176470577E-3</v>
      </c>
      <c r="O210" s="108">
        <f t="shared" si="6"/>
        <v>0.71647058823529419</v>
      </c>
      <c r="P210" s="108"/>
      <c r="Q210" s="98"/>
      <c r="R210" s="945"/>
      <c r="S210" s="945"/>
      <c r="T210" s="899"/>
      <c r="U210" s="900"/>
      <c r="V210" s="900"/>
      <c r="W210" s="900"/>
      <c r="X210" s="900"/>
      <c r="Y210" s="901"/>
      <c r="Z210" s="98"/>
    </row>
    <row r="211" spans="1:26" ht="20.25" x14ac:dyDescent="0.25">
      <c r="A211" s="123"/>
      <c r="B211" s="218"/>
      <c r="C211" s="98"/>
      <c r="D211" s="98"/>
      <c r="E211" s="98"/>
      <c r="F211" s="98"/>
      <c r="G211" s="98"/>
      <c r="H211" s="98"/>
      <c r="I211" s="910"/>
      <c r="J211" s="308" t="str">
        <f>$E$10</f>
        <v>COMUNA 6 OFICIAL</v>
      </c>
      <c r="K211" s="194">
        <f>VLOOKUP($E$10,CN!$A$10:$FA$171,67,0)</f>
        <v>0.115</v>
      </c>
      <c r="L211" s="195">
        <f>VLOOKUP($E$10,CN!$A$10:$FA$171,68,0)</f>
        <v>0.62999999999999989</v>
      </c>
      <c r="M211" s="196">
        <f>VLOOKUP($E$10,CN!$A$10:$FA$171,69,0)</f>
        <v>0.2525</v>
      </c>
      <c r="N211" s="197">
        <f>VLOOKUP($E$10,CN!$A$10:$FA$171,70,0)</f>
        <v>2.5000000000000001E-3</v>
      </c>
      <c r="O211" s="108">
        <f t="shared" si="6"/>
        <v>0.74499999999999988</v>
      </c>
      <c r="P211" s="108"/>
      <c r="Q211" s="98"/>
      <c r="R211" s="945"/>
      <c r="S211" s="945"/>
      <c r="T211" s="899"/>
      <c r="U211" s="900"/>
      <c r="V211" s="900"/>
      <c r="W211" s="900"/>
      <c r="X211" s="900"/>
      <c r="Y211" s="901"/>
      <c r="Z211" s="98"/>
    </row>
    <row r="212" spans="1:26" ht="21" customHeight="1" x14ac:dyDescent="0.25">
      <c r="A212" s="123"/>
      <c r="B212" s="218"/>
      <c r="C212" s="98"/>
      <c r="D212" s="98"/>
      <c r="E212" s="98"/>
      <c r="F212" s="98"/>
      <c r="G212" s="98"/>
      <c r="H212" s="98"/>
      <c r="I212" s="908">
        <v>2019</v>
      </c>
      <c r="J212" s="308" t="str">
        <f>$E$8</f>
        <v>GIMNASIO NUEVO BOLIVAR</v>
      </c>
      <c r="K212" s="194">
        <f>VLOOKUP($E$8,CN!$A$10:$FA$171,99,0)</f>
        <v>0.05</v>
      </c>
      <c r="L212" s="195">
        <f>VLOOKUP($E$8,CN!$A$10:$FA$171,100,0)</f>
        <v>0.59</v>
      </c>
      <c r="M212" s="196">
        <f>VLOOKUP($E$8,CN!$A$10:$FA$171,101,0)</f>
        <v>0.32</v>
      </c>
      <c r="N212" s="197">
        <f>VLOOKUP($E$8,CN!$A$10:$FA$171,102,0)</f>
        <v>0.03</v>
      </c>
      <c r="O212" s="108">
        <f t="shared" si="6"/>
        <v>0.64</v>
      </c>
      <c r="P212" s="108"/>
      <c r="Q212" s="98"/>
      <c r="R212" s="945"/>
      <c r="S212" s="945"/>
      <c r="T212" s="899"/>
      <c r="U212" s="900"/>
      <c r="V212" s="900"/>
      <c r="W212" s="900"/>
      <c r="X212" s="900"/>
      <c r="Y212" s="901"/>
      <c r="Z212" s="98"/>
    </row>
    <row r="213" spans="1:26" ht="21" customHeight="1" x14ac:dyDescent="0.25">
      <c r="A213" s="123"/>
      <c r="B213" s="218"/>
      <c r="C213" s="98"/>
      <c r="D213" s="98"/>
      <c r="E213" s="98"/>
      <c r="F213" s="98"/>
      <c r="G213" s="98"/>
      <c r="H213" s="98"/>
      <c r="I213" s="909"/>
      <c r="J213" s="308" t="str">
        <f>$E$9</f>
        <v>COMUNA 1</v>
      </c>
      <c r="K213" s="194">
        <f>VLOOKUP($E$9,CN!$A$10:$FA$171,99,0)</f>
        <v>0.15117647058823527</v>
      </c>
      <c r="L213" s="195">
        <f>VLOOKUP($E$9,CN!$A$10:$FA$171,100,0)</f>
        <v>0.61882352941176466</v>
      </c>
      <c r="M213" s="196">
        <f>VLOOKUP($E$9,CN!$A$10:$FA$171,101,0)</f>
        <v>0.2205882352941177</v>
      </c>
      <c r="N213" s="197">
        <f>VLOOKUP($E$9,CN!$A$10:$FA$171,102,0)</f>
        <v>9.9999999999999985E-3</v>
      </c>
      <c r="O213" s="108">
        <f t="shared" si="6"/>
        <v>0.76999999999999991</v>
      </c>
      <c r="P213" s="108"/>
      <c r="Q213" s="98"/>
      <c r="R213" s="946"/>
      <c r="S213" s="946"/>
      <c r="T213" s="902"/>
      <c r="U213" s="903"/>
      <c r="V213" s="903"/>
      <c r="W213" s="903"/>
      <c r="X213" s="903"/>
      <c r="Y213" s="904"/>
      <c r="Z213" s="98"/>
    </row>
    <row r="214" spans="1:26" ht="20.25" x14ac:dyDescent="0.25">
      <c r="A214" s="123"/>
      <c r="B214" s="218"/>
      <c r="C214" s="98"/>
      <c r="D214" s="98"/>
      <c r="E214" s="98"/>
      <c r="F214" s="98"/>
      <c r="G214" s="98"/>
      <c r="H214" s="98"/>
      <c r="I214" s="910"/>
      <c r="J214" s="308" t="str">
        <f>$E$10</f>
        <v>COMUNA 6 OFICIAL</v>
      </c>
      <c r="K214" s="194">
        <f>VLOOKUP($E$10,CN!$A$10:$FA$171,99,0)</f>
        <v>0.14250000000000002</v>
      </c>
      <c r="L214" s="195">
        <f>VLOOKUP($E$10,CN!$A$10:$FA$171,100,0)</f>
        <v>0.67249999999999999</v>
      </c>
      <c r="M214" s="196">
        <f>VLOOKUP($E$10,CN!$A$10:$FA$171,101,0)</f>
        <v>0.185</v>
      </c>
      <c r="N214" s="197">
        <f>VLOOKUP($E$10,CN!$A$10:$FA$171,102,0)</f>
        <v>5.0000000000000001E-3</v>
      </c>
      <c r="O214" s="108">
        <f t="shared" si="6"/>
        <v>0.81499999999999995</v>
      </c>
      <c r="P214" s="108"/>
      <c r="Q214" s="98"/>
      <c r="R214" s="923">
        <v>3</v>
      </c>
      <c r="S214" s="923" t="s">
        <v>731</v>
      </c>
      <c r="T214" s="926" t="s">
        <v>1036</v>
      </c>
      <c r="U214" s="927"/>
      <c r="V214" s="927"/>
      <c r="W214" s="927"/>
      <c r="X214" s="927"/>
      <c r="Y214" s="928"/>
      <c r="Z214" s="98"/>
    </row>
    <row r="215" spans="1:26" ht="20.25" x14ac:dyDescent="0.25">
      <c r="A215" s="123"/>
      <c r="B215" s="218"/>
      <c r="C215" s="98"/>
      <c r="D215" s="98"/>
      <c r="E215" s="98"/>
      <c r="F215" s="98"/>
      <c r="G215" s="98"/>
      <c r="H215" s="98"/>
      <c r="I215" s="908">
        <v>2020</v>
      </c>
      <c r="J215" s="308" t="str">
        <f>$E$8</f>
        <v>GIMNASIO NUEVO BOLIVAR</v>
      </c>
      <c r="K215" s="194">
        <f>VLOOKUP($E$8,CN!$A$10:$FA$171,130,0)</f>
        <v>0.12</v>
      </c>
      <c r="L215" s="195">
        <f>VLOOKUP($E$8,CN!$A$10:$FA$171,131,0)</f>
        <v>0.54</v>
      </c>
      <c r="M215" s="196">
        <f>VLOOKUP($E$8,CN!$A$10:$FA$171,132,0)</f>
        <v>0.34</v>
      </c>
      <c r="N215" s="197">
        <f>VLOOKUP($E$8,CN!$A$10:$FA$171,133,0)</f>
        <v>0</v>
      </c>
      <c r="O215" s="108">
        <f t="shared" si="6"/>
        <v>0.66</v>
      </c>
      <c r="P215" s="108"/>
      <c r="Q215" s="98"/>
      <c r="R215" s="924"/>
      <c r="S215" s="924"/>
      <c r="T215" s="929"/>
      <c r="U215" s="930"/>
      <c r="V215" s="930"/>
      <c r="W215" s="930"/>
      <c r="X215" s="930"/>
      <c r="Y215" s="931"/>
      <c r="Z215" s="98"/>
    </row>
    <row r="216" spans="1:26" ht="20.25" x14ac:dyDescent="0.25">
      <c r="A216" s="123"/>
      <c r="B216" s="218"/>
      <c r="C216" s="98"/>
      <c r="D216" s="98"/>
      <c r="E216" s="98"/>
      <c r="F216" s="98"/>
      <c r="G216" s="98"/>
      <c r="H216" s="98"/>
      <c r="I216" s="909"/>
      <c r="J216" s="308" t="str">
        <f>$E$9</f>
        <v>COMUNA 1</v>
      </c>
      <c r="K216" s="194">
        <f>VLOOKUP($E$9,CN!$A$10:$FA$171,130,0)</f>
        <v>0.15411764705882353</v>
      </c>
      <c r="L216" s="195">
        <f>VLOOKUP($E$9,CN!$A$10:$FA$171,131,0)</f>
        <v>0.5776470588235294</v>
      </c>
      <c r="M216" s="196">
        <f>VLOOKUP($E$9,CN!$A$10:$FA$171,132,0)</f>
        <v>0.26352941176470585</v>
      </c>
      <c r="N216" s="197">
        <f>VLOOKUP($E$9,CN!$A$10:$FA$171,133,0)</f>
        <v>5.8823529411764705E-3</v>
      </c>
      <c r="O216" s="108">
        <f t="shared" si="6"/>
        <v>0.73176470588235287</v>
      </c>
      <c r="P216" s="108"/>
      <c r="Q216" s="98"/>
      <c r="R216" s="924"/>
      <c r="S216" s="924"/>
      <c r="T216" s="929"/>
      <c r="U216" s="930"/>
      <c r="V216" s="930"/>
      <c r="W216" s="930"/>
      <c r="X216" s="930"/>
      <c r="Y216" s="931"/>
      <c r="Z216" s="98"/>
    </row>
    <row r="217" spans="1:26" ht="20.25" x14ac:dyDescent="0.25">
      <c r="A217" s="123"/>
      <c r="B217" s="218"/>
      <c r="C217" s="98"/>
      <c r="D217" s="98"/>
      <c r="E217" s="98"/>
      <c r="F217" s="98"/>
      <c r="G217" s="98"/>
      <c r="H217" s="98"/>
      <c r="I217" s="910"/>
      <c r="J217" s="308" t="str">
        <f>$E$10</f>
        <v>COMUNA 6 OFICIAL</v>
      </c>
      <c r="K217" s="194">
        <f>VLOOKUP($E$10,CN!$A$10:$FA$171,130,0)</f>
        <v>0.20499999999999999</v>
      </c>
      <c r="L217" s="195">
        <f>VLOOKUP($E$10,CN!$A$10:$FA$171,131,0)</f>
        <v>0.59499999999999997</v>
      </c>
      <c r="M217" s="196">
        <f>VLOOKUP($E$10,CN!$A$10:$FA$171,132,0)</f>
        <v>0.19500000000000001</v>
      </c>
      <c r="N217" s="197">
        <f>VLOOKUP($E$10,CN!$A$10:$FA$171,133,0)</f>
        <v>5.0000000000000001E-3</v>
      </c>
      <c r="O217" s="108">
        <f t="shared" si="6"/>
        <v>0.79999999999999993</v>
      </c>
      <c r="P217" s="108"/>
      <c r="Q217" s="98"/>
      <c r="R217" s="924"/>
      <c r="S217" s="924"/>
      <c r="T217" s="929"/>
      <c r="U217" s="930"/>
      <c r="V217" s="930"/>
      <c r="W217" s="930"/>
      <c r="X217" s="930"/>
      <c r="Y217" s="931"/>
      <c r="Z217" s="98"/>
    </row>
    <row r="218" spans="1:26" ht="20.25" x14ac:dyDescent="0.25">
      <c r="A218" s="123"/>
      <c r="B218" s="218"/>
      <c r="C218" s="98"/>
      <c r="D218" s="98"/>
      <c r="E218" s="98"/>
      <c r="F218" s="98"/>
      <c r="G218" s="98"/>
      <c r="H218" s="98"/>
      <c r="I218" s="908">
        <v>2021</v>
      </c>
      <c r="J218" s="308" t="str">
        <f>$E$8</f>
        <v>GIMNASIO NUEVO BOLIVAR</v>
      </c>
      <c r="K218" s="194">
        <f>VLOOKUP($E$8,CN!$A$10:$GI$171,162,0)</f>
        <v>0.09</v>
      </c>
      <c r="L218" s="195">
        <f>VLOOKUP($E$8,CN!$A$10:$GI$171,163,0)</f>
        <v>0.53</v>
      </c>
      <c r="M218" s="196">
        <f>VLOOKUP($E$8,CN!$A$10:$GI$171,164,0)</f>
        <v>0.34</v>
      </c>
      <c r="N218" s="197">
        <f>VLOOKUP($E$8,CN!$A$10:$GI$171,165,0)</f>
        <v>0.04</v>
      </c>
      <c r="O218" s="108">
        <f t="shared" si="6"/>
        <v>0.62</v>
      </c>
      <c r="P218" s="108"/>
      <c r="Q218" s="98"/>
      <c r="R218" s="924"/>
      <c r="S218" s="924"/>
      <c r="T218" s="929"/>
      <c r="U218" s="930"/>
      <c r="V218" s="930"/>
      <c r="W218" s="930"/>
      <c r="X218" s="930"/>
      <c r="Y218" s="931"/>
      <c r="Z218" s="98"/>
    </row>
    <row r="219" spans="1:26" ht="20.25" x14ac:dyDescent="0.25">
      <c r="A219" s="123"/>
      <c r="B219" s="218"/>
      <c r="C219" s="98"/>
      <c r="D219" s="98"/>
      <c r="E219" s="98"/>
      <c r="F219" s="98"/>
      <c r="G219" s="98"/>
      <c r="H219" s="98"/>
      <c r="I219" s="909"/>
      <c r="J219" s="308" t="str">
        <f>$E$9</f>
        <v>COMUNA 1</v>
      </c>
      <c r="K219" s="194">
        <f>VLOOKUP($E$9,CN!$A$10:$GI$171,162,0)</f>
        <v>0.13058823529411764</v>
      </c>
      <c r="L219" s="195">
        <f>VLOOKUP($E$9,CN!$A$10:$GI$171,163,0)</f>
        <v>0.621764705882353</v>
      </c>
      <c r="M219" s="196">
        <f>VLOOKUP($E$9,CN!$A$10:$GI$171,164,0)</f>
        <v>0.24176470588235291</v>
      </c>
      <c r="N219" s="197">
        <f>VLOOKUP($E$9,CN!$A$10:$GI$171,165,0)</f>
        <v>7.6470588235294122E-3</v>
      </c>
      <c r="O219" s="108">
        <f t="shared" si="6"/>
        <v>0.75235294117647067</v>
      </c>
      <c r="P219" s="108"/>
      <c r="Q219" s="98"/>
      <c r="R219" s="924"/>
      <c r="S219" s="924"/>
      <c r="T219" s="929"/>
      <c r="U219" s="930"/>
      <c r="V219" s="930"/>
      <c r="W219" s="930"/>
      <c r="X219" s="930"/>
      <c r="Y219" s="931"/>
      <c r="Z219" s="98"/>
    </row>
    <row r="220" spans="1:26" ht="20.25" x14ac:dyDescent="0.25">
      <c r="A220" s="123"/>
      <c r="B220" s="218"/>
      <c r="C220" s="98"/>
      <c r="D220" s="98"/>
      <c r="E220" s="98"/>
      <c r="F220" s="98"/>
      <c r="G220" s="98"/>
      <c r="H220" s="98"/>
      <c r="I220" s="910"/>
      <c r="J220" s="308" t="str">
        <f>$E$10</f>
        <v>COMUNA 6 OFICIAL</v>
      </c>
      <c r="K220" s="194">
        <f>VLOOKUP($E$10,CN!$A$10:$GI$171,162,0)</f>
        <v>0.17250000000000001</v>
      </c>
      <c r="L220" s="195">
        <f>VLOOKUP($E$10,CN!$A$10:$GI$171,163,0)</f>
        <v>0.68249999999999988</v>
      </c>
      <c r="M220" s="196">
        <f>VLOOKUP($E$10,CN!$A$10:$GI$171,164,0)</f>
        <v>0.14500000000000002</v>
      </c>
      <c r="N220" s="197">
        <f>VLOOKUP($E$10,CN!$A$10:$GI$171,165,0)</f>
        <v>2.5000000000000001E-3</v>
      </c>
      <c r="O220" s="108">
        <f t="shared" si="6"/>
        <v>0.85499999999999987</v>
      </c>
      <c r="P220" s="108"/>
      <c r="Q220" s="98"/>
      <c r="R220" s="924"/>
      <c r="S220" s="924"/>
      <c r="T220" s="929"/>
      <c r="U220" s="930"/>
      <c r="V220" s="930"/>
      <c r="W220" s="930"/>
      <c r="X220" s="930"/>
      <c r="Y220" s="931"/>
      <c r="Z220" s="98"/>
    </row>
    <row r="221" spans="1:26" ht="21" customHeight="1" x14ac:dyDescent="0.25">
      <c r="A221" s="123"/>
      <c r="B221" s="218"/>
      <c r="C221" s="98"/>
      <c r="D221" s="98"/>
      <c r="E221" s="98"/>
      <c r="F221" s="98"/>
      <c r="G221" s="98"/>
      <c r="H221" s="98"/>
      <c r="I221" s="908">
        <v>2022</v>
      </c>
      <c r="J221" s="308" t="str">
        <f>$E$8</f>
        <v>GIMNASIO NUEVO BOLIVAR</v>
      </c>
      <c r="K221" s="194">
        <f>VLOOKUP($E$8,CN!$A$10:$HQ$171,196,0)</f>
        <v>0.05</v>
      </c>
      <c r="L221" s="195">
        <f>VLOOKUP($E$8,CN!$A$10:$HQ$171,197,0)</f>
        <v>0.49</v>
      </c>
      <c r="M221" s="196">
        <f>VLOOKUP($E$8,CN!$A$10:$HQ$171,198,0)</f>
        <v>0.46</v>
      </c>
      <c r="N221" s="197">
        <f>VLOOKUP($E$8,CN!$A$10:$HQ$171,199,0)</f>
        <v>0</v>
      </c>
      <c r="O221" s="108">
        <f t="shared" ref="O221:O229" si="7">K221+L221</f>
        <v>0.54</v>
      </c>
      <c r="P221" s="108"/>
      <c r="Q221" s="98"/>
      <c r="R221" s="924"/>
      <c r="S221" s="924"/>
      <c r="T221" s="929"/>
      <c r="U221" s="930"/>
      <c r="V221" s="930"/>
      <c r="W221" s="930"/>
      <c r="X221" s="930"/>
      <c r="Y221" s="931"/>
      <c r="Z221" s="98"/>
    </row>
    <row r="222" spans="1:26" ht="21" customHeight="1" x14ac:dyDescent="0.25">
      <c r="A222" s="123"/>
      <c r="B222" s="218"/>
      <c r="C222" s="98"/>
      <c r="D222" s="98"/>
      <c r="E222" s="98"/>
      <c r="F222" s="98"/>
      <c r="G222" s="98"/>
      <c r="H222" s="98"/>
      <c r="I222" s="909"/>
      <c r="J222" s="308" t="str">
        <f>$E$9</f>
        <v>COMUNA 1</v>
      </c>
      <c r="K222" s="194">
        <f>VLOOKUP($E$9,CN!$A$10:$HQ$171,196,0)</f>
        <v>0.15166666666666667</v>
      </c>
      <c r="L222" s="195">
        <f>VLOOKUP($E$9,CN!$A$10:$HQ$171,197,0)</f>
        <v>0.55388888888888888</v>
      </c>
      <c r="M222" s="196">
        <f>VLOOKUP($E$9,CN!$A$10:$HQ$171,198,0)</f>
        <v>0.28666666666666674</v>
      </c>
      <c r="N222" s="197">
        <f>VLOOKUP($E$9,CN!$A$10:$HQ$171,199,0)</f>
        <v>7.7777777777777767E-3</v>
      </c>
      <c r="O222" s="108">
        <f t="shared" si="7"/>
        <v>0.70555555555555549</v>
      </c>
      <c r="P222" s="108"/>
      <c r="Q222" s="98"/>
      <c r="R222" s="925"/>
      <c r="S222" s="925"/>
      <c r="T222" s="932"/>
      <c r="U222" s="933"/>
      <c r="V222" s="933"/>
      <c r="W222" s="933"/>
      <c r="X222" s="933"/>
      <c r="Y222" s="934"/>
      <c r="Z222" s="98"/>
    </row>
    <row r="223" spans="1:26" ht="20.25" x14ac:dyDescent="0.25">
      <c r="A223" s="123"/>
      <c r="B223" s="218"/>
      <c r="C223" s="98"/>
      <c r="D223" s="98"/>
      <c r="E223" s="98"/>
      <c r="F223" s="98"/>
      <c r="G223" s="98"/>
      <c r="H223" s="98"/>
      <c r="I223" s="910"/>
      <c r="J223" s="308" t="str">
        <f>$E$10</f>
        <v>COMUNA 6 OFICIAL</v>
      </c>
      <c r="K223" s="194">
        <f>VLOOKUP($E$10,CN!$A$10:$HQ$171,196,0)</f>
        <v>0.1875</v>
      </c>
      <c r="L223" s="195">
        <f>VLOOKUP($E$10,CN!$A$10:$HQ$171,197,0)</f>
        <v>0.6</v>
      </c>
      <c r="M223" s="196">
        <f>VLOOKUP($E$10,CN!$A$10:$HQ$171,198,0)</f>
        <v>0.21</v>
      </c>
      <c r="N223" s="197">
        <f>VLOOKUP($E$10,CN!$A$10:$HQ$171,199,0)</f>
        <v>2.5000000000000001E-3</v>
      </c>
      <c r="O223" s="108">
        <f t="shared" si="7"/>
        <v>0.78749999999999998</v>
      </c>
      <c r="P223" s="108"/>
      <c r="Q223" s="98"/>
      <c r="R223" s="944">
        <v>4</v>
      </c>
      <c r="S223" s="944" t="s">
        <v>726</v>
      </c>
      <c r="T223" s="935" t="s">
        <v>1037</v>
      </c>
      <c r="U223" s="936"/>
      <c r="V223" s="936"/>
      <c r="W223" s="936"/>
      <c r="X223" s="936"/>
      <c r="Y223" s="937"/>
      <c r="Z223" s="98"/>
    </row>
    <row r="224" spans="1:26" ht="21" customHeight="1" x14ac:dyDescent="0.25">
      <c r="A224" s="123"/>
      <c r="B224" s="218"/>
      <c r="C224" s="98"/>
      <c r="D224" s="98"/>
      <c r="E224" s="98"/>
      <c r="F224" s="98"/>
      <c r="G224" s="98"/>
      <c r="H224" s="98"/>
      <c r="I224" s="908">
        <v>2023</v>
      </c>
      <c r="J224" s="308" t="str">
        <f>$E$8</f>
        <v>GIMNASIO NUEVO BOLIVAR</v>
      </c>
      <c r="K224" s="194">
        <f>VLOOKUP($E$8,CN!$A$10:$IY$171,230,0)</f>
        <v>0.09</v>
      </c>
      <c r="L224" s="195">
        <f>VLOOKUP($E$8,CN!$A$10:$IY$171,231,0)</f>
        <v>0.56000000000000005</v>
      </c>
      <c r="M224" s="196">
        <f>VLOOKUP($E$8,CN!$A$10:$IY$171,232,0)</f>
        <v>0.28999999999999998</v>
      </c>
      <c r="N224" s="197">
        <f>VLOOKUP($E$8,CN!$A$10:$IY$171,233,0)</f>
        <v>0.06</v>
      </c>
      <c r="O224" s="108">
        <f t="shared" si="7"/>
        <v>0.65</v>
      </c>
      <c r="P224" s="108"/>
      <c r="Q224" s="98"/>
      <c r="R224" s="945"/>
      <c r="S224" s="945"/>
      <c r="T224" s="938"/>
      <c r="U224" s="939"/>
      <c r="V224" s="939"/>
      <c r="W224" s="939"/>
      <c r="X224" s="939"/>
      <c r="Y224" s="940"/>
      <c r="Z224" s="98"/>
    </row>
    <row r="225" spans="1:26" ht="20.25" x14ac:dyDescent="0.25">
      <c r="A225" s="123"/>
      <c r="B225" s="218"/>
      <c r="C225" s="98"/>
      <c r="D225" s="98"/>
      <c r="E225" s="98"/>
      <c r="F225" s="98"/>
      <c r="G225" s="98"/>
      <c r="H225" s="98"/>
      <c r="I225" s="909"/>
      <c r="J225" s="308" t="str">
        <f>$E$9</f>
        <v>COMUNA 1</v>
      </c>
      <c r="K225" s="194">
        <f>VLOOKUP($E$9,CN!$A$10:$IY$171,230,0)</f>
        <v>0.11352941176470591</v>
      </c>
      <c r="L225" s="195">
        <f>VLOOKUP($E$9,CN!$A$10:$IY$171,231,0)</f>
        <v>0.57529411764705873</v>
      </c>
      <c r="M225" s="196">
        <f>VLOOKUP($E$9,CN!$A$10:$IY$171,232,0)</f>
        <v>0.29647058823529404</v>
      </c>
      <c r="N225" s="197">
        <f>VLOOKUP($E$9,CN!$A$10:$IY$171,233,0)</f>
        <v>1.4117647058823528E-2</v>
      </c>
      <c r="O225" s="108">
        <f t="shared" si="7"/>
        <v>0.68882352941176461</v>
      </c>
      <c r="P225" s="108"/>
      <c r="Q225" s="98"/>
      <c r="R225" s="945"/>
      <c r="S225" s="945"/>
      <c r="T225" s="938"/>
      <c r="U225" s="939"/>
      <c r="V225" s="939"/>
      <c r="W225" s="939"/>
      <c r="X225" s="939"/>
      <c r="Y225" s="940"/>
      <c r="Z225" s="98"/>
    </row>
    <row r="226" spans="1:26" ht="20.25" x14ac:dyDescent="0.25">
      <c r="A226" s="123"/>
      <c r="B226" s="218"/>
      <c r="C226" s="98"/>
      <c r="D226" s="98"/>
      <c r="E226" s="98"/>
      <c r="F226" s="98"/>
      <c r="G226" s="98"/>
      <c r="H226" s="98"/>
      <c r="I226" s="910"/>
      <c r="J226" s="308" t="str">
        <f>$E$10</f>
        <v>COMUNA 6 OFICIAL</v>
      </c>
      <c r="K226" s="194">
        <f>VLOOKUP($E$10,CN!$A$10:$IY$171,230,0)</f>
        <v>0.17250000000000001</v>
      </c>
      <c r="L226" s="195">
        <f>VLOOKUP($E$10,CN!$A$10:$IY$171,231,0)</f>
        <v>0.59499999999999997</v>
      </c>
      <c r="M226" s="196">
        <f>VLOOKUP($E$10,CN!$A$10:$IY$171,232,0)</f>
        <v>0.2225</v>
      </c>
      <c r="N226" s="197">
        <f>VLOOKUP($E$10,CN!$A$10:$IY$171,233,0)</f>
        <v>7.4999999999999997E-3</v>
      </c>
      <c r="O226" s="108">
        <f t="shared" si="7"/>
        <v>0.76749999999999996</v>
      </c>
      <c r="P226" s="108"/>
      <c r="Q226" s="98"/>
      <c r="R226" s="945"/>
      <c r="S226" s="945"/>
      <c r="T226" s="938"/>
      <c r="U226" s="939"/>
      <c r="V226" s="939"/>
      <c r="W226" s="939"/>
      <c r="X226" s="939"/>
      <c r="Y226" s="940"/>
      <c r="Z226" s="98"/>
    </row>
    <row r="227" spans="1:26" ht="20.25" x14ac:dyDescent="0.25">
      <c r="A227" s="123"/>
      <c r="B227" s="218"/>
      <c r="C227" s="98"/>
      <c r="D227" s="98"/>
      <c r="E227" s="98"/>
      <c r="F227" s="98"/>
      <c r="G227" s="98"/>
      <c r="H227" s="98"/>
      <c r="I227" s="908">
        <v>2024</v>
      </c>
      <c r="J227" s="308" t="str">
        <f>$E$8</f>
        <v>GIMNASIO NUEVO BOLIVAR</v>
      </c>
      <c r="K227" s="194">
        <f>VLOOKUP($E$8,CN!$A$10:$KG$171,264,0)</f>
        <v>0.17</v>
      </c>
      <c r="L227" s="195">
        <f>VLOOKUP($E$8,CN!$A$10:$KG$171,265,0)</f>
        <v>0.47</v>
      </c>
      <c r="M227" s="196">
        <f>VLOOKUP($E$8,CN!$A$10:$KG$171,266,0)</f>
        <v>0.36</v>
      </c>
      <c r="N227" s="197">
        <f>VLOOKUP($E$8,CN!$A$10:$KG$171,267,0)</f>
        <v>0</v>
      </c>
      <c r="O227" s="108">
        <f t="shared" si="7"/>
        <v>0.64</v>
      </c>
      <c r="P227" s="108"/>
      <c r="Q227" s="98"/>
      <c r="R227" s="945"/>
      <c r="S227" s="945"/>
      <c r="T227" s="938"/>
      <c r="U227" s="939"/>
      <c r="V227" s="939"/>
      <c r="W227" s="939"/>
      <c r="X227" s="939"/>
      <c r="Y227" s="940"/>
      <c r="Z227" s="98"/>
    </row>
    <row r="228" spans="1:26" ht="20.25" x14ac:dyDescent="0.25">
      <c r="A228" s="123"/>
      <c r="B228" s="218"/>
      <c r="C228" s="98"/>
      <c r="D228" s="98"/>
      <c r="E228" s="98"/>
      <c r="F228" s="98"/>
      <c r="G228" s="98"/>
      <c r="H228" s="98"/>
      <c r="I228" s="909"/>
      <c r="J228" s="308" t="str">
        <f>$E$9</f>
        <v>COMUNA 1</v>
      </c>
      <c r="K228" s="194">
        <f>VLOOKUP($E$9,CN!$A$10:$KG$171,264,0)</f>
        <v>0.10555555555555557</v>
      </c>
      <c r="L228" s="195">
        <f>VLOOKUP($E$9,CN!$A$10:$KG$171,265,0)</f>
        <v>0.56555555555555548</v>
      </c>
      <c r="M228" s="196">
        <f>VLOOKUP($E$9,CN!$A$10:$KG$171,266,0)</f>
        <v>0.3216666666666666</v>
      </c>
      <c r="N228" s="197">
        <f>VLOOKUP($E$9,CN!$A$10:$KG$171,267,0)</f>
        <v>7.7777777777777784E-3</v>
      </c>
      <c r="O228" s="108">
        <f t="shared" si="7"/>
        <v>0.67111111111111099</v>
      </c>
      <c r="P228" s="108"/>
      <c r="Q228" s="98"/>
      <c r="R228" s="945"/>
      <c r="S228" s="945"/>
      <c r="T228" s="938"/>
      <c r="U228" s="939"/>
      <c r="V228" s="939"/>
      <c r="W228" s="939"/>
      <c r="X228" s="939"/>
      <c r="Y228" s="940"/>
      <c r="Z228" s="98"/>
    </row>
    <row r="229" spans="1:26" ht="20.25" x14ac:dyDescent="0.25">
      <c r="A229" s="123"/>
      <c r="B229" s="218"/>
      <c r="C229" s="98"/>
      <c r="D229" s="98"/>
      <c r="E229" s="98"/>
      <c r="F229" s="98"/>
      <c r="G229" s="98"/>
      <c r="H229" s="98"/>
      <c r="I229" s="910"/>
      <c r="J229" s="308" t="str">
        <f>$E$10</f>
        <v>COMUNA 6 OFICIAL</v>
      </c>
      <c r="K229" s="194">
        <f>VLOOKUP($E$10,CN!$A$10:$KG$171,264,0)</f>
        <v>0.16500000000000001</v>
      </c>
      <c r="L229" s="195">
        <f>VLOOKUP($E$10,CN!$A$10:$KG$171,265,0)</f>
        <v>0.58499999999999996</v>
      </c>
      <c r="M229" s="196">
        <f>VLOOKUP($E$10,CN!$A$10:$KG$171,266,0)</f>
        <v>0.245</v>
      </c>
      <c r="N229" s="197">
        <f>VLOOKUP($E$10,CN!$A$10:$KG$171,267,0)</f>
        <v>7.4999999999999997E-3</v>
      </c>
      <c r="O229" s="108">
        <f t="shared" si="7"/>
        <v>0.75</v>
      </c>
      <c r="P229" s="108"/>
      <c r="Q229" s="98"/>
      <c r="R229" s="945"/>
      <c r="S229" s="945"/>
      <c r="T229" s="938"/>
      <c r="U229" s="939"/>
      <c r="V229" s="939"/>
      <c r="W229" s="939"/>
      <c r="X229" s="939"/>
      <c r="Y229" s="940"/>
      <c r="Z229" s="98"/>
    </row>
    <row r="230" spans="1:26" ht="20.25" x14ac:dyDescent="0.25">
      <c r="A230" s="123"/>
      <c r="B230" s="218"/>
      <c r="C230" s="98"/>
      <c r="D230" s="98"/>
      <c r="E230" s="98"/>
      <c r="F230" s="98"/>
      <c r="G230" s="98"/>
      <c r="H230" s="98"/>
      <c r="I230" s="189"/>
      <c r="J230" s="473"/>
      <c r="K230" s="192"/>
      <c r="L230" s="193"/>
      <c r="M230" s="193"/>
      <c r="N230" s="193"/>
      <c r="O230" s="108"/>
      <c r="P230" s="108"/>
      <c r="Q230" s="98"/>
      <c r="R230" s="945"/>
      <c r="S230" s="945"/>
      <c r="T230" s="938"/>
      <c r="U230" s="939"/>
      <c r="V230" s="939"/>
      <c r="W230" s="939"/>
      <c r="X230" s="939"/>
      <c r="Y230" s="940"/>
      <c r="Z230" s="98"/>
    </row>
    <row r="231" spans="1:26" ht="20.25" x14ac:dyDescent="0.25">
      <c r="A231" s="123"/>
      <c r="B231" s="218"/>
      <c r="C231" s="98"/>
      <c r="D231" s="98"/>
      <c r="E231" s="98"/>
      <c r="F231" s="98"/>
      <c r="G231" s="98"/>
      <c r="H231" s="98"/>
      <c r="I231" s="189"/>
      <c r="J231" s="189"/>
      <c r="K231" s="192"/>
      <c r="L231" s="193"/>
      <c r="M231" s="193"/>
      <c r="N231" s="193"/>
      <c r="O231" s="108"/>
      <c r="P231" s="108"/>
      <c r="Q231" s="98"/>
      <c r="R231" s="945"/>
      <c r="S231" s="945"/>
      <c r="T231" s="938"/>
      <c r="U231" s="939"/>
      <c r="V231" s="939"/>
      <c r="W231" s="939"/>
      <c r="X231" s="939"/>
      <c r="Y231" s="940"/>
      <c r="Z231" s="98"/>
    </row>
    <row r="232" spans="1:26" ht="20.25" x14ac:dyDescent="0.25">
      <c r="A232" s="123"/>
      <c r="B232" s="218"/>
      <c r="C232" s="98"/>
      <c r="D232" s="98"/>
      <c r="E232" s="98"/>
      <c r="F232" s="98"/>
      <c r="G232" s="98"/>
      <c r="H232" s="98"/>
      <c r="I232" s="189"/>
      <c r="J232" s="189"/>
      <c r="K232" s="192"/>
      <c r="L232" s="193"/>
      <c r="M232" s="193"/>
      <c r="N232" s="193"/>
      <c r="O232" s="108"/>
      <c r="P232" s="108"/>
      <c r="Q232" s="98"/>
      <c r="R232" s="945"/>
      <c r="S232" s="945"/>
      <c r="T232" s="938"/>
      <c r="U232" s="939"/>
      <c r="V232" s="939"/>
      <c r="W232" s="939"/>
      <c r="X232" s="939"/>
      <c r="Y232" s="940"/>
      <c r="Z232" s="98"/>
    </row>
    <row r="233" spans="1:26" ht="20.25" x14ac:dyDescent="0.25">
      <c r="A233" s="123"/>
      <c r="B233" s="218"/>
      <c r="C233" s="98"/>
      <c r="D233" s="98"/>
      <c r="E233" s="98"/>
      <c r="F233" s="98"/>
      <c r="G233" s="98"/>
      <c r="H233" s="98"/>
      <c r="I233" s="189"/>
      <c r="J233" s="189"/>
      <c r="K233" s="192"/>
      <c r="L233" s="193"/>
      <c r="M233" s="193"/>
      <c r="N233" s="193"/>
      <c r="O233" s="108"/>
      <c r="P233" s="108"/>
      <c r="Q233" s="98"/>
      <c r="R233" s="945"/>
      <c r="S233" s="945"/>
      <c r="T233" s="938"/>
      <c r="U233" s="939"/>
      <c r="V233" s="939"/>
      <c r="W233" s="939"/>
      <c r="X233" s="939"/>
      <c r="Y233" s="940"/>
      <c r="Z233" s="98"/>
    </row>
    <row r="234" spans="1:26" ht="21.75" customHeight="1" x14ac:dyDescent="0.3">
      <c r="A234" s="123"/>
      <c r="B234" s="218"/>
      <c r="C234" s="98"/>
      <c r="D234" s="98"/>
      <c r="E234" s="98"/>
      <c r="F234" s="98"/>
      <c r="G234" s="98"/>
      <c r="H234" s="98"/>
      <c r="I234" s="102"/>
      <c r="J234" s="102"/>
      <c r="K234" s="102"/>
      <c r="L234" s="102"/>
      <c r="M234" s="102"/>
      <c r="N234" s="102"/>
      <c r="O234" s="108"/>
      <c r="P234" s="108"/>
      <c r="Q234" s="98"/>
      <c r="R234" s="946"/>
      <c r="S234" s="946"/>
      <c r="T234" s="941"/>
      <c r="U234" s="942"/>
      <c r="V234" s="942"/>
      <c r="W234" s="942"/>
      <c r="X234" s="942"/>
      <c r="Y234" s="943"/>
      <c r="Z234" s="98"/>
    </row>
    <row r="235" spans="1:26" ht="21.75" customHeight="1" x14ac:dyDescent="0.3">
      <c r="A235" s="123"/>
      <c r="B235" s="218"/>
      <c r="C235" s="98"/>
      <c r="D235" s="98"/>
      <c r="E235" s="98"/>
      <c r="F235" s="98"/>
      <c r="G235" s="98"/>
      <c r="H235" s="98"/>
      <c r="I235" s="102"/>
      <c r="J235" s="102"/>
      <c r="K235" s="102"/>
      <c r="L235" s="102"/>
      <c r="M235" s="102"/>
      <c r="N235" s="102"/>
      <c r="O235" s="108"/>
      <c r="P235" s="108"/>
      <c r="Q235" s="98"/>
      <c r="R235" s="108"/>
      <c r="S235" s="108"/>
      <c r="T235" s="108"/>
      <c r="U235" s="108"/>
      <c r="V235" s="108"/>
      <c r="W235" s="108"/>
      <c r="X235" s="108"/>
      <c r="Y235" s="108"/>
      <c r="Z235" s="108"/>
    </row>
    <row r="236" spans="1:26" ht="21.75" customHeight="1" x14ac:dyDescent="0.3">
      <c r="A236" s="123"/>
      <c r="B236" s="218"/>
      <c r="C236" s="98"/>
      <c r="D236" s="98"/>
      <c r="E236" s="98"/>
      <c r="F236" s="98"/>
      <c r="G236" s="98"/>
      <c r="H236" s="98"/>
      <c r="I236" s="102"/>
      <c r="J236" s="102"/>
      <c r="K236" s="102"/>
      <c r="L236" s="102"/>
      <c r="M236" s="102"/>
      <c r="N236" s="102"/>
      <c r="O236" s="108"/>
      <c r="P236" s="108"/>
      <c r="Q236" s="98"/>
      <c r="R236" s="108"/>
      <c r="S236" s="108"/>
      <c r="T236" s="108"/>
      <c r="U236" s="108"/>
      <c r="V236" s="108"/>
      <c r="W236" s="108"/>
      <c r="X236" s="108"/>
      <c r="Y236" s="108"/>
      <c r="Z236" s="108"/>
    </row>
    <row r="237" spans="1:26" ht="21.75" customHeight="1" x14ac:dyDescent="0.3">
      <c r="A237" s="123"/>
      <c r="B237" s="218"/>
      <c r="C237" s="98"/>
      <c r="D237" s="98"/>
      <c r="E237" s="98"/>
      <c r="F237" s="98"/>
      <c r="G237" s="98"/>
      <c r="H237" s="98"/>
      <c r="I237" s="102"/>
      <c r="J237" s="102"/>
      <c r="K237" s="102"/>
      <c r="L237" s="102"/>
      <c r="M237" s="102"/>
      <c r="N237" s="102"/>
      <c r="O237" s="108"/>
      <c r="P237" s="108"/>
      <c r="Q237" s="98"/>
      <c r="R237" s="108"/>
      <c r="S237" s="108"/>
      <c r="T237" s="108"/>
      <c r="U237" s="108"/>
      <c r="V237" s="108"/>
      <c r="W237" s="108"/>
      <c r="X237" s="108"/>
      <c r="Y237" s="108"/>
      <c r="Z237" s="108"/>
    </row>
    <row r="238" spans="1:26" ht="21.75" customHeight="1" x14ac:dyDescent="0.3">
      <c r="A238" s="123"/>
      <c r="B238" s="218"/>
      <c r="C238" s="98"/>
      <c r="D238" s="98"/>
      <c r="E238" s="98"/>
      <c r="F238" s="98"/>
      <c r="G238" s="98"/>
      <c r="H238" s="98"/>
      <c r="I238" s="102"/>
      <c r="J238" s="102"/>
      <c r="K238" s="102"/>
      <c r="L238" s="102"/>
      <c r="M238" s="102"/>
      <c r="N238" s="102"/>
      <c r="O238" s="108"/>
      <c r="P238" s="108"/>
      <c r="Q238" s="98"/>
      <c r="R238" s="108"/>
      <c r="S238" s="108"/>
      <c r="T238" s="108"/>
      <c r="U238" s="108"/>
      <c r="V238" s="108"/>
      <c r="W238" s="108"/>
      <c r="X238" s="108"/>
      <c r="Y238" s="108"/>
      <c r="Z238" s="108"/>
    </row>
    <row r="239" spans="1:26" ht="21.75" customHeight="1" x14ac:dyDescent="0.3">
      <c r="A239" s="123"/>
      <c r="B239" s="218"/>
      <c r="C239" s="98"/>
      <c r="D239" s="98"/>
      <c r="E239" s="98"/>
      <c r="F239" s="98"/>
      <c r="G239" s="98"/>
      <c r="H239" s="98"/>
      <c r="I239" s="102"/>
      <c r="J239" s="102"/>
      <c r="K239" s="102"/>
      <c r="L239" s="102"/>
      <c r="M239" s="102"/>
      <c r="N239" s="102"/>
      <c r="O239" s="108"/>
      <c r="P239" s="108"/>
      <c r="Q239" s="98"/>
      <c r="R239" s="108"/>
      <c r="S239" s="108"/>
      <c r="T239" s="108"/>
      <c r="U239" s="108"/>
      <c r="V239" s="108"/>
      <c r="W239" s="108"/>
      <c r="X239" s="108"/>
      <c r="Y239" s="108"/>
      <c r="Z239" s="108"/>
    </row>
    <row r="240" spans="1:26" ht="21.75" customHeight="1" x14ac:dyDescent="0.3">
      <c r="A240" s="123"/>
      <c r="B240" s="218"/>
      <c r="C240" s="98"/>
      <c r="D240" s="98"/>
      <c r="E240" s="98"/>
      <c r="F240" s="98"/>
      <c r="G240" s="98"/>
      <c r="H240" s="98"/>
      <c r="I240" s="102"/>
      <c r="J240" s="102"/>
      <c r="K240" s="102"/>
      <c r="L240" s="102"/>
      <c r="M240" s="102"/>
      <c r="N240" s="102"/>
      <c r="O240" s="108"/>
      <c r="P240" s="108"/>
      <c r="Q240" s="98"/>
      <c r="R240" s="108"/>
      <c r="S240" s="108"/>
      <c r="T240" s="108"/>
      <c r="U240" s="108"/>
      <c r="V240" s="108"/>
      <c r="W240" s="108"/>
      <c r="X240" s="108"/>
      <c r="Y240" s="108"/>
      <c r="Z240" s="108"/>
    </row>
    <row r="241" spans="1:26" ht="21.75" customHeight="1" x14ac:dyDescent="0.3">
      <c r="A241" s="123"/>
      <c r="B241" s="218"/>
      <c r="C241" s="98"/>
      <c r="D241" s="98"/>
      <c r="E241" s="98"/>
      <c r="F241" s="98"/>
      <c r="G241" s="98"/>
      <c r="H241" s="98"/>
      <c r="I241" s="102"/>
      <c r="J241" s="102"/>
      <c r="K241" s="102"/>
      <c r="L241" s="102"/>
      <c r="M241" s="102"/>
      <c r="N241" s="102"/>
      <c r="O241" s="108"/>
      <c r="P241" s="108"/>
      <c r="Q241" s="98"/>
      <c r="R241" s="108"/>
      <c r="S241" s="108"/>
      <c r="T241" s="108"/>
      <c r="U241" s="108"/>
      <c r="V241" s="108"/>
      <c r="W241" s="108"/>
      <c r="X241" s="108"/>
      <c r="Y241" s="108"/>
      <c r="Z241" s="108"/>
    </row>
    <row r="242" spans="1:26" ht="21.75" customHeight="1" x14ac:dyDescent="0.3">
      <c r="A242" s="123"/>
      <c r="B242" s="218"/>
      <c r="C242" s="98"/>
      <c r="D242" s="98"/>
      <c r="E242" s="98"/>
      <c r="F242" s="98"/>
      <c r="G242" s="98"/>
      <c r="H242" s="98"/>
      <c r="I242" s="102"/>
      <c r="J242" s="102"/>
      <c r="K242" s="102"/>
      <c r="L242" s="102"/>
      <c r="M242" s="102"/>
      <c r="N242" s="102"/>
      <c r="O242" s="108"/>
      <c r="P242" s="108"/>
      <c r="Q242" s="98"/>
      <c r="R242" s="108"/>
      <c r="S242" s="108"/>
      <c r="T242" s="108"/>
      <c r="U242" s="108"/>
      <c r="V242" s="108"/>
      <c r="W242" s="108"/>
      <c r="X242" s="108"/>
      <c r="Y242" s="108"/>
      <c r="Z242" s="108"/>
    </row>
    <row r="243" spans="1:26" ht="21.75" customHeight="1" x14ac:dyDescent="0.3">
      <c r="A243" s="123"/>
      <c r="B243" s="218"/>
      <c r="C243" s="98"/>
      <c r="D243" s="98"/>
      <c r="E243" s="98"/>
      <c r="F243" s="98"/>
      <c r="G243" s="98"/>
      <c r="H243" s="98"/>
      <c r="I243" s="102"/>
      <c r="J243" s="102"/>
      <c r="K243" s="102"/>
      <c r="L243" s="102"/>
      <c r="M243" s="102"/>
      <c r="N243" s="102"/>
      <c r="O243" s="108"/>
      <c r="P243" s="108"/>
      <c r="Q243" s="98"/>
      <c r="R243" s="108"/>
      <c r="S243" s="108"/>
      <c r="T243" s="108"/>
      <c r="U243" s="108"/>
      <c r="V243" s="108"/>
      <c r="W243" s="108"/>
      <c r="X243" s="108"/>
      <c r="Y243" s="108"/>
      <c r="Z243" s="108"/>
    </row>
    <row r="244" spans="1:26" ht="21.75" customHeight="1" x14ac:dyDescent="0.3">
      <c r="A244" s="123"/>
      <c r="B244" s="218"/>
      <c r="C244" s="98"/>
      <c r="D244" s="98"/>
      <c r="E244" s="98"/>
      <c r="F244" s="98"/>
      <c r="G244" s="98"/>
      <c r="H244" s="98"/>
      <c r="I244" s="102"/>
      <c r="J244" s="102"/>
      <c r="K244" s="102"/>
      <c r="L244" s="102"/>
      <c r="M244" s="102"/>
      <c r="N244" s="102"/>
      <c r="O244" s="108"/>
      <c r="P244" s="108"/>
      <c r="Q244" s="98"/>
      <c r="R244" s="108"/>
      <c r="S244" s="108"/>
      <c r="T244" s="108"/>
      <c r="U244" s="108"/>
      <c r="V244" s="108"/>
      <c r="W244" s="108"/>
      <c r="X244" s="108"/>
      <c r="Y244" s="108"/>
      <c r="Z244" s="108"/>
    </row>
    <row r="245" spans="1:26" ht="21.75" customHeight="1" x14ac:dyDescent="0.3">
      <c r="A245" s="123"/>
      <c r="B245" s="218"/>
      <c r="C245" s="98"/>
      <c r="D245" s="98"/>
      <c r="E245" s="98"/>
      <c r="F245" s="98"/>
      <c r="G245" s="98"/>
      <c r="H245" s="98"/>
      <c r="I245" s="102"/>
      <c r="J245" s="102"/>
      <c r="K245" s="102"/>
      <c r="L245" s="102"/>
      <c r="M245" s="102"/>
      <c r="N245" s="102"/>
      <c r="O245" s="108"/>
      <c r="P245" s="108"/>
      <c r="Q245" s="98"/>
      <c r="R245" s="108"/>
      <c r="S245" s="108"/>
      <c r="T245" s="108"/>
      <c r="U245" s="108"/>
      <c r="V245" s="108"/>
      <c r="W245" s="108"/>
      <c r="X245" s="108"/>
      <c r="Y245" s="108"/>
      <c r="Z245" s="108"/>
    </row>
    <row r="246" spans="1:26" ht="21.75" customHeight="1" x14ac:dyDescent="0.3">
      <c r="A246" s="123"/>
      <c r="B246" s="218"/>
      <c r="C246" s="98"/>
      <c r="D246" s="98"/>
      <c r="E246" s="98"/>
      <c r="F246" s="98"/>
      <c r="G246" s="98"/>
      <c r="H246" s="98"/>
      <c r="I246" s="102"/>
      <c r="J246" s="102"/>
      <c r="K246" s="102"/>
      <c r="L246" s="102"/>
      <c r="M246" s="102"/>
      <c r="N246" s="102"/>
      <c r="O246" s="108"/>
      <c r="P246" s="108"/>
      <c r="Q246" s="98"/>
      <c r="R246" s="108"/>
      <c r="S246" s="108"/>
      <c r="T246" s="108"/>
      <c r="U246" s="108"/>
      <c r="V246" s="108"/>
      <c r="W246" s="108"/>
      <c r="X246" s="108"/>
      <c r="Y246" s="108"/>
      <c r="Z246" s="108"/>
    </row>
    <row r="247" spans="1:26" ht="21.75" customHeight="1" x14ac:dyDescent="0.3">
      <c r="A247" s="123"/>
      <c r="B247" s="218"/>
      <c r="C247" s="98"/>
      <c r="D247" s="98"/>
      <c r="E247" s="98"/>
      <c r="F247" s="98"/>
      <c r="G247" s="98"/>
      <c r="H247" s="98"/>
      <c r="I247" s="102"/>
      <c r="J247" s="102"/>
      <c r="K247" s="102"/>
      <c r="L247" s="102"/>
      <c r="M247" s="102"/>
      <c r="N247" s="102"/>
      <c r="O247" s="108"/>
      <c r="P247" s="108"/>
      <c r="Q247" s="98"/>
      <c r="R247" s="108"/>
      <c r="S247" s="108"/>
      <c r="T247" s="108"/>
      <c r="U247" s="108"/>
      <c r="V247" s="108"/>
      <c r="W247" s="108"/>
      <c r="X247" s="108"/>
      <c r="Y247" s="108"/>
      <c r="Z247" s="108"/>
    </row>
    <row r="248" spans="1:26" ht="21.75" customHeight="1" x14ac:dyDescent="0.3">
      <c r="A248" s="123"/>
      <c r="B248" s="218"/>
      <c r="C248" s="98"/>
      <c r="D248" s="98"/>
      <c r="E248" s="98"/>
      <c r="F248" s="98"/>
      <c r="G248" s="98"/>
      <c r="H248" s="98"/>
      <c r="I248" s="102"/>
      <c r="J248" s="102"/>
      <c r="K248" s="102"/>
      <c r="L248" s="102"/>
      <c r="M248" s="102"/>
      <c r="N248" s="102"/>
      <c r="O248" s="108"/>
      <c r="P248" s="108"/>
      <c r="Q248" s="98"/>
      <c r="R248" s="108"/>
      <c r="S248" s="108"/>
      <c r="T248" s="108"/>
      <c r="U248" s="108"/>
      <c r="V248" s="108"/>
      <c r="W248" s="108"/>
      <c r="X248" s="108"/>
      <c r="Y248" s="108"/>
      <c r="Z248" s="108"/>
    </row>
    <row r="249" spans="1:26" ht="21.75" customHeight="1" x14ac:dyDescent="0.3">
      <c r="A249" s="123"/>
      <c r="B249" s="218"/>
      <c r="C249" s="98"/>
      <c r="D249" s="98"/>
      <c r="E249" s="98"/>
      <c r="F249" s="98"/>
      <c r="G249" s="98"/>
      <c r="H249" s="98"/>
      <c r="I249" s="102"/>
      <c r="J249" s="102"/>
      <c r="K249" s="102"/>
      <c r="L249" s="102"/>
      <c r="M249" s="102"/>
      <c r="N249" s="102"/>
      <c r="O249" s="108"/>
      <c r="P249" s="108"/>
      <c r="Q249" s="98"/>
      <c r="R249" s="108"/>
      <c r="S249" s="108"/>
      <c r="T249" s="108"/>
      <c r="U249" s="108"/>
      <c r="V249" s="108"/>
      <c r="W249" s="108"/>
      <c r="X249" s="108"/>
      <c r="Y249" s="108"/>
      <c r="Z249" s="108"/>
    </row>
    <row r="250" spans="1:26" ht="21.75" customHeight="1" x14ac:dyDescent="0.3">
      <c r="A250" s="123"/>
      <c r="B250" s="218"/>
      <c r="C250" s="98"/>
      <c r="D250" s="98"/>
      <c r="E250" s="98"/>
      <c r="F250" s="98"/>
      <c r="G250" s="98"/>
      <c r="H250" s="98"/>
      <c r="I250" s="102"/>
      <c r="J250" s="102"/>
      <c r="K250" s="102"/>
      <c r="L250" s="102"/>
      <c r="M250" s="102"/>
      <c r="N250" s="102"/>
      <c r="O250" s="108"/>
      <c r="P250" s="108"/>
      <c r="Q250" s="98"/>
      <c r="R250" s="108"/>
      <c r="S250" s="108"/>
      <c r="T250" s="108"/>
      <c r="U250" s="108"/>
      <c r="V250" s="108"/>
      <c r="W250" s="108"/>
      <c r="X250" s="108"/>
      <c r="Y250" s="108"/>
      <c r="Z250" s="108"/>
    </row>
    <row r="251" spans="1:26" ht="21.75" customHeight="1" x14ac:dyDescent="0.3">
      <c r="A251" s="123"/>
      <c r="B251" s="218"/>
      <c r="C251" s="98"/>
      <c r="D251" s="98"/>
      <c r="E251" s="98"/>
      <c r="F251" s="98"/>
      <c r="G251" s="98"/>
      <c r="H251" s="98"/>
      <c r="I251" s="102"/>
      <c r="J251" s="102"/>
      <c r="K251" s="102"/>
      <c r="L251" s="102"/>
      <c r="M251" s="102"/>
      <c r="N251" s="102"/>
      <c r="O251" s="108"/>
      <c r="P251" s="108"/>
      <c r="Q251" s="98"/>
      <c r="R251" s="108"/>
      <c r="S251" s="108"/>
      <c r="T251" s="108"/>
      <c r="U251" s="108"/>
      <c r="V251" s="108"/>
      <c r="W251" s="108"/>
      <c r="X251" s="108"/>
      <c r="Y251" s="108"/>
      <c r="Z251" s="108"/>
    </row>
    <row r="252" spans="1:26" ht="21.75" customHeight="1" x14ac:dyDescent="0.3">
      <c r="A252" s="123"/>
      <c r="B252" s="218"/>
      <c r="C252" s="98"/>
      <c r="D252" s="98"/>
      <c r="E252" s="98"/>
      <c r="F252" s="98"/>
      <c r="G252" s="98"/>
      <c r="H252" s="98"/>
      <c r="I252" s="102"/>
      <c r="J252" s="102"/>
      <c r="K252" s="102"/>
      <c r="L252" s="102"/>
      <c r="M252" s="102"/>
      <c r="N252" s="102"/>
      <c r="O252" s="108"/>
      <c r="P252" s="108"/>
      <c r="Q252" s="98"/>
      <c r="R252" s="108"/>
      <c r="S252" s="108"/>
      <c r="T252" s="108"/>
      <c r="U252" s="108"/>
      <c r="V252" s="108"/>
      <c r="W252" s="108"/>
      <c r="X252" s="108"/>
      <c r="Y252" s="108"/>
      <c r="Z252" s="108"/>
    </row>
    <row r="253" spans="1:26" ht="21.75" customHeight="1" x14ac:dyDescent="0.3">
      <c r="A253" s="123"/>
      <c r="B253" s="218"/>
      <c r="C253" s="98"/>
      <c r="D253" s="98"/>
      <c r="E253" s="98"/>
      <c r="F253" s="98"/>
      <c r="G253" s="98"/>
      <c r="H253" s="98"/>
      <c r="I253" s="102"/>
      <c r="J253" s="102"/>
      <c r="K253" s="102"/>
      <c r="L253" s="102"/>
      <c r="M253" s="102"/>
      <c r="N253" s="102"/>
      <c r="O253" s="108"/>
      <c r="P253" s="108"/>
      <c r="Q253" s="98"/>
      <c r="R253" s="98"/>
      <c r="S253" s="98"/>
      <c r="T253" s="98"/>
      <c r="U253" s="98"/>
      <c r="V253" s="98"/>
      <c r="W253" s="98"/>
      <c r="X253" s="98"/>
      <c r="Y253" s="98"/>
      <c r="Z253" s="98"/>
    </row>
    <row r="254" spans="1:26" ht="21.75" customHeight="1" x14ac:dyDescent="0.3">
      <c r="A254" s="123"/>
      <c r="B254" s="218"/>
      <c r="C254" s="98"/>
      <c r="D254" s="98"/>
      <c r="E254" s="98"/>
      <c r="F254" s="98"/>
      <c r="G254" s="98"/>
      <c r="H254" s="98"/>
      <c r="I254" s="102"/>
      <c r="J254" s="102"/>
      <c r="K254" s="102"/>
      <c r="L254" s="102"/>
      <c r="M254" s="102"/>
      <c r="N254" s="102"/>
      <c r="O254" s="108"/>
      <c r="P254" s="108"/>
      <c r="Q254" s="98"/>
      <c r="R254" s="98"/>
      <c r="S254" s="98"/>
      <c r="T254" s="98"/>
      <c r="U254" s="98"/>
      <c r="V254" s="98"/>
      <c r="W254" s="98"/>
      <c r="X254" s="98"/>
      <c r="Y254" s="98"/>
      <c r="Z254" s="98"/>
    </row>
    <row r="255" spans="1:26" ht="21.75" customHeight="1" x14ac:dyDescent="0.3">
      <c r="A255" s="123"/>
      <c r="B255" s="218"/>
      <c r="C255" s="98"/>
      <c r="D255" s="98"/>
      <c r="E255" s="98"/>
      <c r="F255" s="98"/>
      <c r="G255" s="98"/>
      <c r="H255" s="98"/>
      <c r="I255" s="102"/>
      <c r="J255" s="102"/>
      <c r="K255" s="102"/>
      <c r="L255" s="102"/>
      <c r="M255" s="102"/>
      <c r="N255" s="102"/>
      <c r="O255" s="108"/>
      <c r="P255" s="108"/>
      <c r="Q255" s="98"/>
      <c r="R255" s="98"/>
      <c r="S255" s="98"/>
      <c r="T255" s="98"/>
      <c r="U255" s="98"/>
      <c r="V255" s="98"/>
      <c r="W255" s="98"/>
      <c r="X255" s="98"/>
      <c r="Y255" s="98"/>
      <c r="Z255" s="98"/>
    </row>
    <row r="256" spans="1:26" ht="21.75" customHeight="1" x14ac:dyDescent="0.3">
      <c r="A256" s="123"/>
      <c r="B256" s="218"/>
      <c r="C256" s="98"/>
      <c r="D256" s="98"/>
      <c r="E256" s="98"/>
      <c r="F256" s="98"/>
      <c r="G256" s="98"/>
      <c r="H256" s="98"/>
      <c r="I256" s="102"/>
      <c r="J256" s="102"/>
      <c r="K256" s="102"/>
      <c r="L256" s="102"/>
      <c r="M256" s="102"/>
      <c r="N256" s="102"/>
      <c r="O256" s="108"/>
      <c r="P256" s="108"/>
      <c r="Q256" s="98"/>
      <c r="R256" s="98"/>
      <c r="S256" s="98"/>
      <c r="T256" s="98"/>
      <c r="U256" s="98"/>
      <c r="V256" s="98"/>
      <c r="W256" s="98"/>
      <c r="X256" s="98"/>
      <c r="Y256" s="98"/>
      <c r="Z256" s="98"/>
    </row>
    <row r="257" spans="1:26" ht="21.75" customHeight="1" x14ac:dyDescent="0.3">
      <c r="A257" s="123"/>
      <c r="B257" s="218"/>
      <c r="C257" s="98"/>
      <c r="D257" s="98"/>
      <c r="E257" s="98"/>
      <c r="F257" s="98"/>
      <c r="G257" s="98"/>
      <c r="H257" s="98"/>
      <c r="I257" s="102"/>
      <c r="J257" s="102"/>
      <c r="K257" s="102"/>
      <c r="L257" s="102"/>
      <c r="M257" s="102"/>
      <c r="N257" s="102"/>
      <c r="O257" s="108"/>
      <c r="P257" s="108"/>
      <c r="Q257" s="98"/>
      <c r="R257" s="98"/>
      <c r="S257" s="98"/>
      <c r="T257" s="98"/>
      <c r="U257" s="98"/>
      <c r="V257" s="98"/>
      <c r="W257" s="98"/>
      <c r="X257" s="98"/>
      <c r="Y257" s="98"/>
      <c r="Z257" s="98"/>
    </row>
    <row r="258" spans="1:26" ht="21.75" customHeight="1" x14ac:dyDescent="0.3">
      <c r="A258" s="123"/>
      <c r="B258" s="218"/>
      <c r="C258" s="98"/>
      <c r="D258" s="98"/>
      <c r="E258" s="98"/>
      <c r="F258" s="98"/>
      <c r="G258" s="98"/>
      <c r="H258" s="98"/>
      <c r="I258" s="102"/>
      <c r="J258" s="102"/>
      <c r="K258" s="102"/>
      <c r="L258" s="102"/>
      <c r="M258" s="102"/>
      <c r="N258" s="102"/>
      <c r="O258" s="108"/>
      <c r="P258" s="108"/>
      <c r="Q258" s="98"/>
      <c r="R258" s="98"/>
      <c r="S258" s="98"/>
      <c r="T258" s="98"/>
      <c r="U258" s="98"/>
      <c r="V258" s="98"/>
      <c r="W258" s="98"/>
      <c r="X258" s="98"/>
      <c r="Y258" s="98"/>
      <c r="Z258" s="98"/>
    </row>
    <row r="259" spans="1:26" x14ac:dyDescent="0.25">
      <c r="A259" s="118"/>
      <c r="B259" s="118"/>
      <c r="C259" s="98"/>
      <c r="D259" s="98"/>
      <c r="E259" s="98"/>
      <c r="F259" s="98"/>
      <c r="G259" s="98"/>
      <c r="H259" s="98"/>
      <c r="I259" s="98"/>
      <c r="J259" s="98"/>
      <c r="K259" s="108"/>
      <c r="L259" s="98"/>
      <c r="M259" s="98"/>
      <c r="N259" s="98"/>
      <c r="O259" s="98"/>
      <c r="P259" s="98"/>
      <c r="Q259" s="98"/>
      <c r="R259" s="98"/>
      <c r="S259" s="98"/>
      <c r="T259" s="98"/>
      <c r="U259" s="98"/>
      <c r="V259" s="98"/>
      <c r="W259" s="98"/>
      <c r="X259" s="98"/>
      <c r="Y259" s="98"/>
      <c r="Z259" s="98"/>
    </row>
    <row r="260" spans="1:26" x14ac:dyDescent="0.25">
      <c r="A260" s="118"/>
      <c r="B260" s="11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33" customHeight="1" x14ac:dyDescent="0.25">
      <c r="A261" s="118"/>
      <c r="B261" s="876" t="s">
        <v>734</v>
      </c>
      <c r="C261" s="876"/>
      <c r="D261" s="876"/>
      <c r="E261" s="876"/>
      <c r="F261" s="876"/>
      <c r="G261" s="98"/>
      <c r="H261" s="98"/>
      <c r="I261" s="880" t="s">
        <v>852</v>
      </c>
      <c r="J261" s="881"/>
      <c r="K261" s="881"/>
      <c r="L261" s="881"/>
      <c r="M261" s="881"/>
      <c r="N261" s="881"/>
      <c r="O261" s="882"/>
      <c r="P261" s="98"/>
      <c r="Q261" s="98"/>
      <c r="R261" s="98"/>
      <c r="S261" s="98"/>
      <c r="T261" s="98"/>
      <c r="U261" s="98"/>
      <c r="V261" s="98"/>
      <c r="W261" s="98"/>
      <c r="X261" s="98"/>
      <c r="Y261" s="98"/>
      <c r="Z261" s="98"/>
    </row>
    <row r="262" spans="1:26" ht="45" customHeight="1" x14ac:dyDescent="0.3">
      <c r="A262" s="118"/>
      <c r="B262" s="219" t="s">
        <v>400</v>
      </c>
      <c r="C262" s="220" t="str">
        <f>$E$8</f>
        <v>GIMNASIO NUEVO BOLIVAR</v>
      </c>
      <c r="D262" s="877" t="str">
        <f>$E$9</f>
        <v>COMUNA 1</v>
      </c>
      <c r="E262" s="877"/>
      <c r="F262" s="221" t="str">
        <f>$E$10</f>
        <v>COMUNA 6 OFICIAL</v>
      </c>
      <c r="G262" s="98"/>
      <c r="H262" s="885"/>
      <c r="I262" s="886" t="s">
        <v>400</v>
      </c>
      <c r="J262" s="883" t="s">
        <v>402</v>
      </c>
      <c r="K262" s="225" t="s">
        <v>735</v>
      </c>
      <c r="L262" s="226" t="s">
        <v>736</v>
      </c>
      <c r="M262" s="210" t="s">
        <v>737</v>
      </c>
      <c r="N262" s="211" t="s">
        <v>738</v>
      </c>
      <c r="O262" s="212" t="s">
        <v>739</v>
      </c>
      <c r="P262" s="102" t="s">
        <v>740</v>
      </c>
      <c r="Q262" s="98"/>
      <c r="R262" s="98"/>
      <c r="S262" s="98"/>
      <c r="T262" s="98"/>
      <c r="U262" s="98"/>
      <c r="V262" s="98"/>
      <c r="W262" s="98"/>
      <c r="X262" s="98"/>
      <c r="Y262" s="98"/>
      <c r="Z262" s="98"/>
    </row>
    <row r="263" spans="1:26" ht="26.25" customHeight="1" x14ac:dyDescent="0.25">
      <c r="A263" s="118"/>
      <c r="B263" s="207">
        <v>2016</v>
      </c>
      <c r="C263" s="191">
        <f>VLOOKUP($E$8,INGLES!$A$10:$AL$171,4,0)</f>
        <v>62</v>
      </c>
      <c r="D263" s="878">
        <f>VLOOKUP($E$9,INGLES!$A$10:$AL$171,4,0)</f>
        <v>52.647058823529413</v>
      </c>
      <c r="E263" s="878"/>
      <c r="F263" s="191">
        <f>VLOOKUP($E$10,INGLES!$A$10:$AL$171,4,0)</f>
        <v>52.5</v>
      </c>
      <c r="G263" s="98"/>
      <c r="H263" s="885"/>
      <c r="I263" s="886"/>
      <c r="J263" s="884"/>
      <c r="K263" s="227" t="s">
        <v>310</v>
      </c>
      <c r="L263" s="213" t="s">
        <v>311</v>
      </c>
      <c r="M263" s="214" t="s">
        <v>312</v>
      </c>
      <c r="N263" s="215" t="s">
        <v>313</v>
      </c>
      <c r="O263" s="216" t="s">
        <v>314</v>
      </c>
      <c r="P263" s="121" t="s">
        <v>741</v>
      </c>
      <c r="Q263" s="98"/>
      <c r="R263" s="98"/>
      <c r="S263" s="98"/>
      <c r="T263" s="98"/>
      <c r="U263" s="98"/>
      <c r="V263" s="98"/>
      <c r="W263" s="98"/>
      <c r="X263" s="98"/>
      <c r="Y263" s="98"/>
      <c r="Z263" s="98"/>
    </row>
    <row r="264" spans="1:26" ht="20.25" x14ac:dyDescent="0.25">
      <c r="A264" s="118"/>
      <c r="B264" s="207">
        <v>2017</v>
      </c>
      <c r="C264" s="191">
        <f>VLOOKUP($E$8,INGLES!$A$10:$AL$171,11,0)</f>
        <v>56</v>
      </c>
      <c r="D264" s="878">
        <f>VLOOKUP($E$9,INGLES!$A$10:$AL$171,11,0)</f>
        <v>50.4375</v>
      </c>
      <c r="E264" s="878"/>
      <c r="F264" s="191">
        <f>VLOOKUP($E$10,INGLES!$A$10:$AL$171,11,0)</f>
        <v>50</v>
      </c>
      <c r="G264" s="98"/>
      <c r="H264" s="958"/>
      <c r="I264" s="879">
        <v>2016</v>
      </c>
      <c r="J264" s="308" t="str">
        <f>$E$8</f>
        <v>GIMNASIO NUEVO BOLIVAR</v>
      </c>
      <c r="K264" s="228">
        <f>VLOOKUP($E$8,INGLES!$A$10:$AL$171,6,0)</f>
        <v>0.02</v>
      </c>
      <c r="L264" s="229">
        <f>VLOOKUP($E$8,INGLES!$A$10:$AL$171,7,0)</f>
        <v>0.22</v>
      </c>
      <c r="M264" s="195">
        <f>VLOOKUP($E$8,INGLES!$A$10:$AL$171,8,0)</f>
        <v>0.51</v>
      </c>
      <c r="N264" s="196">
        <f>VLOOKUP($E$8,INGLES!$A$10:$AL$171,9,0)</f>
        <v>0.24</v>
      </c>
      <c r="O264" s="197">
        <f>VLOOKUP($E$8,INGLES!$A$10:$AL$171,10,0)</f>
        <v>0</v>
      </c>
      <c r="P264" s="108">
        <f t="shared" ref="P264:P281" si="8">K264+L264</f>
        <v>0.24</v>
      </c>
      <c r="Q264" s="98"/>
      <c r="R264" s="98"/>
      <c r="S264" s="98"/>
      <c r="T264" s="98"/>
      <c r="U264" s="98"/>
      <c r="V264" s="98"/>
      <c r="W264" s="98"/>
      <c r="X264" s="98"/>
      <c r="Y264" s="98"/>
      <c r="Z264" s="98"/>
    </row>
    <row r="265" spans="1:26" ht="20.25" x14ac:dyDescent="0.25">
      <c r="A265" s="118"/>
      <c r="B265" s="207">
        <v>2018</v>
      </c>
      <c r="C265" s="191">
        <f>VLOOKUP($E$8,INGLES!$A$10:$AL$171,18,0)</f>
        <v>60</v>
      </c>
      <c r="D265" s="878">
        <f>VLOOKUP($E$9,INGLES!$A$10:$AL$171,18,0)</f>
        <v>52.117647058823529</v>
      </c>
      <c r="E265" s="878"/>
      <c r="F265" s="191">
        <f>VLOOKUP($E$10,INGLES!$A$10:$AL$171,18,0)</f>
        <v>51</v>
      </c>
      <c r="G265" s="98"/>
      <c r="H265" s="958"/>
      <c r="I265" s="879"/>
      <c r="J265" s="308" t="str">
        <f>$E$9</f>
        <v>COMUNA 1</v>
      </c>
      <c r="K265" s="228">
        <f>VLOOKUP($E$9,INGLES!$A$10:$AL$171,6,0)</f>
        <v>0.29882352941176465</v>
      </c>
      <c r="L265" s="229">
        <f>VLOOKUP($E$9,INGLES!$A$10:$AL$171,7,0)</f>
        <v>0.4611764705882353</v>
      </c>
      <c r="M265" s="195">
        <f>VLOOKUP($E$9,INGLES!$A$10:$AL$171,8,0)</f>
        <v>0.18470588235294122</v>
      </c>
      <c r="N265" s="196">
        <f>VLOOKUP($E$9,INGLES!$A$10:$AL$171,9,0)</f>
        <v>5.4705882352941181E-2</v>
      </c>
      <c r="O265" s="197">
        <f>VLOOKUP($E$9,INGLES!$A$10:$AL$171,10,0)</f>
        <v>0</v>
      </c>
      <c r="P265" s="108">
        <f t="shared" si="8"/>
        <v>0.76</v>
      </c>
      <c r="Q265" s="98"/>
      <c r="R265" s="98"/>
      <c r="S265" s="98"/>
      <c r="T265" s="98"/>
      <c r="U265" s="98"/>
      <c r="V265" s="98"/>
      <c r="W265" s="98"/>
      <c r="X265" s="98"/>
      <c r="Y265" s="98"/>
      <c r="Z265" s="98"/>
    </row>
    <row r="266" spans="1:26" ht="20.25" x14ac:dyDescent="0.25">
      <c r="A266" s="118"/>
      <c r="B266" s="207">
        <v>2019</v>
      </c>
      <c r="C266" s="191">
        <f>VLOOKUP($E$8,INGLES!$A$10:$AL$171,25,0)</f>
        <v>56</v>
      </c>
      <c r="D266" s="878">
        <f>VLOOKUP($E$9,INGLES!$A$10:$AL$171,25,0)</f>
        <v>50.058823529411768</v>
      </c>
      <c r="E266" s="878"/>
      <c r="F266" s="191">
        <f>VLOOKUP($E$10,INGLES!$A$10:$AL$171,25,0)</f>
        <v>49.75</v>
      </c>
      <c r="G266" s="98"/>
      <c r="H266" s="958"/>
      <c r="I266" s="879"/>
      <c r="J266" s="308" t="str">
        <f>$E$10</f>
        <v>COMUNA 6 OFICIAL</v>
      </c>
      <c r="K266" s="228">
        <f>VLOOKUP($E$10,INGLES!$A$10:$AL$171,6,0)</f>
        <v>0.32</v>
      </c>
      <c r="L266" s="229">
        <f>VLOOKUP($E$10,INGLES!$A$10:$AL$171,7,0)</f>
        <v>0.39749999999999996</v>
      </c>
      <c r="M266" s="195">
        <f>VLOOKUP($E$10,INGLES!$A$10:$AL$171,8,0)</f>
        <v>0.23</v>
      </c>
      <c r="N266" s="196">
        <f>VLOOKUP($E$10,INGLES!$A$10:$AL$171,9,0)</f>
        <v>5.5E-2</v>
      </c>
      <c r="O266" s="197">
        <f>VLOOKUP($E$10,INGLES!$A$10:$AL$171,10,0)</f>
        <v>0</v>
      </c>
      <c r="P266" s="108">
        <f t="shared" si="8"/>
        <v>0.71750000000000003</v>
      </c>
      <c r="Q266" s="98"/>
      <c r="R266" s="98"/>
      <c r="S266" s="98"/>
      <c r="T266" s="98"/>
      <c r="U266" s="98"/>
      <c r="V266" s="98"/>
      <c r="W266" s="98"/>
      <c r="X266" s="98"/>
      <c r="Y266" s="98"/>
      <c r="Z266" s="98"/>
    </row>
    <row r="267" spans="1:26" ht="20.25" x14ac:dyDescent="0.25">
      <c r="A267" s="118"/>
      <c r="B267" s="207">
        <v>2020</v>
      </c>
      <c r="C267" s="191">
        <f>VLOOKUP($E$8,INGLES!$A$10:$AL$171,32,0)</f>
        <v>54</v>
      </c>
      <c r="D267" s="878">
        <f>VLOOKUP($E$9,INGLES!$A$10:$AL$171,32,0)</f>
        <v>48.058823529411768</v>
      </c>
      <c r="E267" s="878"/>
      <c r="F267" s="191">
        <f>VLOOKUP($E$10,INGLES!$A$10:$AL$171,32,0)</f>
        <v>47.25</v>
      </c>
      <c r="G267" s="98"/>
      <c r="H267" s="958"/>
      <c r="I267" s="908">
        <v>2017</v>
      </c>
      <c r="J267" s="308" t="str">
        <f>$E$8</f>
        <v>GIMNASIO NUEVO BOLIVAR</v>
      </c>
      <c r="K267" s="228">
        <f>VLOOKUP($E$8,INGLES!$A$10:$AL$171,13,0)</f>
        <v>0.11</v>
      </c>
      <c r="L267" s="194">
        <f>VLOOKUP($E$8,INGLES!$A$10:$AL$171,14,0)</f>
        <v>0.44</v>
      </c>
      <c r="M267" s="195">
        <f>VLOOKUP($E$8,INGLES!$A$10:$AL$171,15,0)</f>
        <v>0.39</v>
      </c>
      <c r="N267" s="196">
        <f>VLOOKUP($E$8,INGLES!$A$10:$AL$171,16,0)</f>
        <v>0.06</v>
      </c>
      <c r="O267" s="197">
        <f>VLOOKUP($E$8,INGLES!$A$10:$AL$171,17,0)</f>
        <v>0</v>
      </c>
      <c r="P267" s="108">
        <f t="shared" si="8"/>
        <v>0.55000000000000004</v>
      </c>
      <c r="Q267" s="98"/>
      <c r="R267" s="98"/>
      <c r="S267" s="98"/>
      <c r="T267" s="98"/>
      <c r="U267" s="98"/>
      <c r="V267" s="98"/>
      <c r="W267" s="98"/>
      <c r="X267" s="98"/>
      <c r="Y267" s="98"/>
      <c r="Z267" s="98"/>
    </row>
    <row r="268" spans="1:26" ht="20.25" x14ac:dyDescent="0.25">
      <c r="A268" s="118"/>
      <c r="B268" s="207">
        <v>2021</v>
      </c>
      <c r="C268" s="191">
        <f>VLOOKUP($E$8,INGLES!$A$10:$AU$171,39,0)</f>
        <v>58</v>
      </c>
      <c r="D268" s="878">
        <f>VLOOKUP($E$9,INGLES!$A$10:$AU$171,39,0)</f>
        <v>52</v>
      </c>
      <c r="E268" s="878"/>
      <c r="F268" s="191">
        <f>VLOOKUP($E$10,INGLES!$A$10:$AU$171,39,0)</f>
        <v>50.25</v>
      </c>
      <c r="G268" s="98"/>
      <c r="H268" s="958"/>
      <c r="I268" s="909"/>
      <c r="J268" s="308" t="str">
        <f>$E$9</f>
        <v>COMUNA 1</v>
      </c>
      <c r="K268" s="228">
        <f>VLOOKUP($E$9,INGLES!$A$10:$AL$171,13,0)</f>
        <v>0.41125</v>
      </c>
      <c r="L268" s="194">
        <f>VLOOKUP($E$9,INGLES!$A$10:$AL$171,14,0)</f>
        <v>0.38874999999999998</v>
      </c>
      <c r="M268" s="195">
        <f>VLOOKUP($E$9,INGLES!$A$10:$AL$171,15,0)</f>
        <v>0.15812500000000004</v>
      </c>
      <c r="N268" s="196">
        <f>VLOOKUP($E$9,INGLES!$A$10:$AL$171,16,0)</f>
        <v>4.2499999999999996E-2</v>
      </c>
      <c r="O268" s="197">
        <f>VLOOKUP($E$9,INGLES!$A$10:$AL$171,17,0)</f>
        <v>6.2500000000000001E-4</v>
      </c>
      <c r="P268" s="108">
        <f t="shared" si="8"/>
        <v>0.8</v>
      </c>
      <c r="Q268" s="98"/>
      <c r="R268" s="98"/>
      <c r="S268" s="98"/>
      <c r="T268" s="98"/>
      <c r="U268" s="98"/>
      <c r="V268" s="98"/>
      <c r="W268" s="98"/>
      <c r="X268" s="98"/>
      <c r="Y268" s="98"/>
      <c r="Z268" s="98"/>
    </row>
    <row r="269" spans="1:26" ht="20.25" x14ac:dyDescent="0.25">
      <c r="A269" s="118"/>
      <c r="B269" s="207">
        <v>2022</v>
      </c>
      <c r="C269" s="191">
        <f>VLOOKUP($E$8,INGLES!$A$10:$BD$171,48,0)</f>
        <v>61</v>
      </c>
      <c r="D269" s="878">
        <f>VLOOKUP($E$9,INGLES!$A$10:$BD$171,48,0)</f>
        <v>52</v>
      </c>
      <c r="E269" s="878"/>
      <c r="F269" s="191">
        <f>VLOOKUP($E$10,INGLES!$A$10:$BD$171,48,0)</f>
        <v>51.5</v>
      </c>
      <c r="G269" s="98"/>
      <c r="H269" s="958"/>
      <c r="I269" s="910"/>
      <c r="J269" s="308" t="str">
        <f>$E$10</f>
        <v>COMUNA 6 OFICIAL</v>
      </c>
      <c r="K269" s="228">
        <f>VLOOKUP($E$10,INGLES!$A$10:$AL$171,13,0)</f>
        <v>0.44750000000000001</v>
      </c>
      <c r="L269" s="194">
        <f>VLOOKUP($E$10,INGLES!$A$10:$AL$171,14,0)</f>
        <v>0.33749999999999997</v>
      </c>
      <c r="M269" s="195">
        <f>VLOOKUP($E$10,INGLES!$A$10:$AL$171,15,0)</f>
        <v>0.16500000000000001</v>
      </c>
      <c r="N269" s="196">
        <f>VLOOKUP($E$10,INGLES!$A$10:$AL$171,16,0)</f>
        <v>4.4999999999999991E-2</v>
      </c>
      <c r="O269" s="197">
        <f>VLOOKUP($E$10,INGLES!$A$10:$AL$171,17,0)</f>
        <v>5.0000000000000001E-3</v>
      </c>
      <c r="P269" s="108">
        <f t="shared" si="8"/>
        <v>0.78499999999999992</v>
      </c>
      <c r="Q269" s="98"/>
      <c r="R269" s="98"/>
      <c r="S269" s="98"/>
      <c r="T269" s="98"/>
      <c r="U269" s="98"/>
      <c r="V269" s="98"/>
      <c r="W269" s="98"/>
      <c r="X269" s="98"/>
      <c r="Y269" s="98"/>
      <c r="Z269" s="98"/>
    </row>
    <row r="270" spans="1:26" ht="20.25" x14ac:dyDescent="0.25">
      <c r="A270" s="118"/>
      <c r="B270" s="207">
        <v>2023</v>
      </c>
      <c r="C270" s="191">
        <f>VLOOKUP($E$8,INGLES!$A$10:$BM$171,57,0)</f>
        <v>58</v>
      </c>
      <c r="D270" s="878">
        <f>VLOOKUP($E$9,INGLES!$A$10:$BM$171,57,0)</f>
        <v>53.058823529411768</v>
      </c>
      <c r="E270" s="878"/>
      <c r="F270" s="191">
        <f>VLOOKUP($E$10,INGLES!$A$10:$BM$171,57,0)</f>
        <v>50.75</v>
      </c>
      <c r="G270" s="98"/>
      <c r="H270" s="958"/>
      <c r="I270" s="908">
        <v>2018</v>
      </c>
      <c r="J270" s="308" t="str">
        <f>$E$8</f>
        <v>GIMNASIO NUEVO BOLIVAR</v>
      </c>
      <c r="K270" s="228">
        <f>VLOOKUP($E$8,INGLES!$A$10:$AL$171,20,0)</f>
        <v>0.03</v>
      </c>
      <c r="L270" s="194">
        <f>VLOOKUP($E$8,INGLES!$A$10:$AL$171,21,0)</f>
        <v>0.39</v>
      </c>
      <c r="M270" s="195">
        <f>VLOOKUP($E$8,INGLES!$A$10:$AL$171,22,0)</f>
        <v>0.45</v>
      </c>
      <c r="N270" s="196">
        <f>VLOOKUP($E$8,INGLES!$A$10:$AL$171,23,0)</f>
        <v>0.12</v>
      </c>
      <c r="O270" s="197">
        <f>VLOOKUP($E$8,INGLES!$A$10:$AL$171,24,0)</f>
        <v>0</v>
      </c>
      <c r="P270" s="108">
        <f t="shared" si="8"/>
        <v>0.42000000000000004</v>
      </c>
      <c r="Q270" s="98"/>
      <c r="R270" s="98"/>
      <c r="S270" s="98"/>
      <c r="T270" s="98"/>
      <c r="U270" s="98"/>
      <c r="V270" s="98"/>
      <c r="W270" s="98"/>
      <c r="X270" s="98"/>
      <c r="Y270" s="98"/>
      <c r="Z270" s="98"/>
    </row>
    <row r="271" spans="1:26" ht="20.25" x14ac:dyDescent="0.25">
      <c r="A271" s="118"/>
      <c r="B271" s="207">
        <v>2024</v>
      </c>
      <c r="C271" s="191">
        <f>VLOOKUP($E$8,INGLES!$A$10:$BV$171,66,0)</f>
        <v>58</v>
      </c>
      <c r="D271" s="878">
        <f>VLOOKUP($E$9,INGLES!$A$10:$BV$171,66,0)</f>
        <v>54</v>
      </c>
      <c r="E271" s="878"/>
      <c r="F271" s="191">
        <f>VLOOKUP($E$10,INGLES!$A$10:$BV$171,66,0)</f>
        <v>51.75</v>
      </c>
      <c r="G271" s="98"/>
      <c r="H271" s="958"/>
      <c r="I271" s="909"/>
      <c r="J271" s="308" t="str">
        <f>$E$9</f>
        <v>COMUNA 1</v>
      </c>
      <c r="K271" s="228">
        <f>VLOOKUP($E$9,INGLES!$A$10:$AL$171,20,0)</f>
        <v>0.30294117647058827</v>
      </c>
      <c r="L271" s="194">
        <f>VLOOKUP($E$9,INGLES!$A$10:$AL$171,21,0)</f>
        <v>0.42352941176470588</v>
      </c>
      <c r="M271" s="195">
        <f>VLOOKUP($E$9,INGLES!$A$10:$AL$171,22,0)</f>
        <v>0.24117647058823521</v>
      </c>
      <c r="N271" s="196">
        <f>VLOOKUP($E$9,INGLES!$A$10:$AL$171,23,0)</f>
        <v>3.2352941176470591E-2</v>
      </c>
      <c r="O271" s="197">
        <f>VLOOKUP($E$9,INGLES!$A$10:$AL$171,24,0)</f>
        <v>1.1764705882352942E-3</v>
      </c>
      <c r="P271" s="108">
        <f t="shared" si="8"/>
        <v>0.7264705882352942</v>
      </c>
      <c r="Q271" s="98"/>
      <c r="R271" s="98"/>
      <c r="S271" s="98"/>
      <c r="T271" s="98"/>
      <c r="U271" s="98"/>
      <c r="V271" s="98"/>
      <c r="W271" s="98"/>
      <c r="X271" s="98"/>
      <c r="Y271" s="98"/>
      <c r="Z271" s="98"/>
    </row>
    <row r="272" spans="1:26" ht="20.25" x14ac:dyDescent="0.25">
      <c r="A272" s="118"/>
      <c r="B272" s="200"/>
      <c r="C272" s="208"/>
      <c r="D272" s="224"/>
      <c r="E272" s="224"/>
      <c r="F272" s="98"/>
      <c r="G272" s="98"/>
      <c r="H272" s="958"/>
      <c r="I272" s="910"/>
      <c r="J272" s="308" t="str">
        <f>$E$10</f>
        <v>COMUNA 6 OFICIAL</v>
      </c>
      <c r="K272" s="228">
        <f>VLOOKUP($E$10,INGLES!$A$10:$AL$171,20,0)</f>
        <v>0.33250000000000002</v>
      </c>
      <c r="L272" s="194">
        <f>VLOOKUP($E$10,INGLES!$A$10:$AL$171,21,0)</f>
        <v>0.45999999999999996</v>
      </c>
      <c r="M272" s="195">
        <f>VLOOKUP($E$10,INGLES!$A$10:$AL$171,22,0)</f>
        <v>0.16250000000000001</v>
      </c>
      <c r="N272" s="196">
        <f>VLOOKUP($E$10,INGLES!$A$10:$AL$171,23,0)</f>
        <v>4.4999999999999998E-2</v>
      </c>
      <c r="O272" s="197">
        <f>VLOOKUP($E$10,INGLES!$A$10:$AL$171,24,0)</f>
        <v>0</v>
      </c>
      <c r="P272" s="108">
        <f t="shared" si="8"/>
        <v>0.79249999999999998</v>
      </c>
      <c r="Q272" s="98"/>
      <c r="R272" s="98"/>
      <c r="S272" s="98"/>
      <c r="T272" s="98"/>
      <c r="U272" s="98"/>
      <c r="V272" s="98"/>
      <c r="W272" s="98"/>
      <c r="X272" s="98"/>
      <c r="Y272" s="98"/>
      <c r="Z272" s="98"/>
    </row>
    <row r="273" spans="1:26" ht="20.25" x14ac:dyDescent="0.25">
      <c r="A273" s="118"/>
      <c r="B273" s="224"/>
      <c r="C273" s="224"/>
      <c r="D273" s="224"/>
      <c r="E273" s="224"/>
      <c r="F273" s="98"/>
      <c r="G273" s="98"/>
      <c r="H273" s="958"/>
      <c r="I273" s="908">
        <v>2019</v>
      </c>
      <c r="J273" s="308" t="str">
        <f>$E$8</f>
        <v>GIMNASIO NUEVO BOLIVAR</v>
      </c>
      <c r="K273" s="228">
        <f>VLOOKUP($E$8,INGLES!$A$10:$AL$171,27,0)</f>
        <v>0.24</v>
      </c>
      <c r="L273" s="194">
        <f>VLOOKUP($E$8,INGLES!$A$10:$AL$171,28,0)</f>
        <v>0.32</v>
      </c>
      <c r="M273" s="195">
        <f>VLOOKUP($E$8,INGLES!$A$10:$AL$171,29,0)</f>
        <v>0.3</v>
      </c>
      <c r="N273" s="196">
        <f>VLOOKUP($E$8,INGLES!$A$10:$AL$171,30,0)</f>
        <v>0.14000000000000001</v>
      </c>
      <c r="O273" s="197">
        <f>VLOOKUP($E$8,INGLES!$A$10:$AL$171,31,0)</f>
        <v>0</v>
      </c>
      <c r="P273" s="108">
        <f t="shared" si="8"/>
        <v>0.56000000000000005</v>
      </c>
      <c r="Q273" s="98"/>
      <c r="R273" s="98"/>
      <c r="S273" s="98"/>
      <c r="T273" s="98"/>
      <c r="U273" s="98"/>
      <c r="V273" s="98"/>
      <c r="W273" s="98"/>
      <c r="X273" s="98"/>
      <c r="Y273" s="98"/>
      <c r="Z273" s="98"/>
    </row>
    <row r="274" spans="1:26" ht="20.25" x14ac:dyDescent="0.25">
      <c r="A274" s="118"/>
      <c r="B274" s="224"/>
      <c r="C274" s="224"/>
      <c r="D274" s="224"/>
      <c r="E274" s="224"/>
      <c r="F274" s="98"/>
      <c r="G274" s="98"/>
      <c r="H274" s="958"/>
      <c r="I274" s="909"/>
      <c r="J274" s="308" t="str">
        <f>$E$9</f>
        <v>COMUNA 1</v>
      </c>
      <c r="K274" s="228">
        <f>VLOOKUP($E$9,INGLES!$A$10:$AL$171,27,0)</f>
        <v>0.37470588235294122</v>
      </c>
      <c r="L274" s="194">
        <f>VLOOKUP($E$9,INGLES!$A$10:$AL$171,28,0)</f>
        <v>0.42352941176470582</v>
      </c>
      <c r="M274" s="195">
        <f>VLOOKUP($E$9,INGLES!$A$10:$AL$171,29,0)</f>
        <v>0.16705882352941182</v>
      </c>
      <c r="N274" s="196">
        <f>VLOOKUP($E$9,INGLES!$A$10:$AL$171,30,0)</f>
        <v>3.529411764705883E-2</v>
      </c>
      <c r="O274" s="197">
        <f>VLOOKUP($E$9,INGLES!$A$10:$AL$171,31,0)</f>
        <v>1.764705882352941E-3</v>
      </c>
      <c r="P274" s="108">
        <f t="shared" si="8"/>
        <v>0.79823529411764704</v>
      </c>
      <c r="Q274" s="98"/>
      <c r="R274" s="98"/>
      <c r="S274" s="98"/>
      <c r="T274" s="98"/>
      <c r="U274" s="98"/>
      <c r="V274" s="98"/>
      <c r="W274" s="98"/>
      <c r="X274" s="98"/>
      <c r="Y274" s="98"/>
      <c r="Z274" s="98"/>
    </row>
    <row r="275" spans="1:26" ht="20.25" x14ac:dyDescent="0.25">
      <c r="A275" s="118"/>
      <c r="B275" s="224"/>
      <c r="C275" s="224"/>
      <c r="D275" s="224"/>
      <c r="E275" s="224"/>
      <c r="F275" s="98"/>
      <c r="G275" s="98"/>
      <c r="H275" s="958"/>
      <c r="I275" s="910"/>
      <c r="J275" s="308" t="str">
        <f>$E$10</f>
        <v>COMUNA 6 OFICIAL</v>
      </c>
      <c r="K275" s="228">
        <f>VLOOKUP($E$10,INGLES!$A$10:$AL$171,27,0)</f>
        <v>0.39749999999999996</v>
      </c>
      <c r="L275" s="194">
        <f>VLOOKUP($E$10,INGLES!$A$10:$AL$171,28,0)</f>
        <v>0.39999999999999997</v>
      </c>
      <c r="M275" s="195">
        <f>VLOOKUP($E$10,INGLES!$A$10:$AL$171,29,0)</f>
        <v>0.17</v>
      </c>
      <c r="N275" s="196">
        <f>VLOOKUP($E$10,INGLES!$A$10:$AL$171,30,0)</f>
        <v>0.04</v>
      </c>
      <c r="O275" s="197">
        <f>VLOOKUP($E$10,INGLES!$A$10:$AL$171,31,0)</f>
        <v>0</v>
      </c>
      <c r="P275" s="108">
        <f t="shared" si="8"/>
        <v>0.79749999999999988</v>
      </c>
      <c r="Q275" s="98"/>
      <c r="R275" s="98"/>
      <c r="S275" s="98"/>
      <c r="T275" s="98"/>
      <c r="U275" s="98"/>
      <c r="V275" s="98"/>
      <c r="W275" s="98"/>
      <c r="X275" s="98"/>
      <c r="Y275" s="98"/>
      <c r="Z275" s="98"/>
    </row>
    <row r="276" spans="1:26" ht="20.25" x14ac:dyDescent="0.25">
      <c r="A276" s="118"/>
      <c r="B276" s="224"/>
      <c r="C276" s="224"/>
      <c r="D276" s="224"/>
      <c r="E276" s="224"/>
      <c r="F276" s="98"/>
      <c r="G276" s="98"/>
      <c r="H276" s="958"/>
      <c r="I276" s="908">
        <v>2020</v>
      </c>
      <c r="J276" s="308" t="str">
        <f>$E$8</f>
        <v>GIMNASIO NUEVO BOLIVAR</v>
      </c>
      <c r="K276" s="228">
        <f>VLOOKUP($E$8,INGLES!$A$10:$AL$171,34,0)</f>
        <v>0.28999999999999998</v>
      </c>
      <c r="L276" s="194">
        <f>VLOOKUP($E$8,INGLES!$A$10:$AL$171,35,0)</f>
        <v>0.37</v>
      </c>
      <c r="M276" s="195">
        <f>VLOOKUP($E$8,INGLES!$A$10:$AL$171,36,0)</f>
        <v>0.17</v>
      </c>
      <c r="N276" s="196">
        <f>VLOOKUP($E$8,INGLES!$A$10:$AL$171,37,0)</f>
        <v>0.17</v>
      </c>
      <c r="O276" s="197">
        <f>VLOOKUP($E$8,INGLES!$A$10:$AL$171,38,0)</f>
        <v>0</v>
      </c>
      <c r="P276" s="108">
        <f t="shared" si="8"/>
        <v>0.65999999999999992</v>
      </c>
      <c r="Q276" s="98"/>
      <c r="R276" s="98"/>
      <c r="S276" s="98"/>
      <c r="T276" s="98"/>
      <c r="U276" s="98"/>
      <c r="V276" s="98"/>
      <c r="W276" s="98"/>
      <c r="X276" s="98"/>
      <c r="Y276" s="98"/>
      <c r="Z276" s="98"/>
    </row>
    <row r="277" spans="1:26" ht="20.25" x14ac:dyDescent="0.25">
      <c r="A277" s="118"/>
      <c r="B277" s="224"/>
      <c r="C277" s="224"/>
      <c r="D277" s="224"/>
      <c r="E277" s="224"/>
      <c r="F277" s="98"/>
      <c r="G277" s="98"/>
      <c r="H277" s="958"/>
      <c r="I277" s="909"/>
      <c r="J277" s="308" t="str">
        <f>$E$9</f>
        <v>COMUNA 1</v>
      </c>
      <c r="K277" s="228">
        <f>VLOOKUP($E$9,INGLES!$A$10:$AL$171,34,0)</f>
        <v>0.52176470588235302</v>
      </c>
      <c r="L277" s="194">
        <f>VLOOKUP($E$9,INGLES!$A$10:$AL$171,35,0)</f>
        <v>0.33882352941176475</v>
      </c>
      <c r="M277" s="195">
        <f>VLOOKUP($E$9,INGLES!$A$10:$AL$171,36,0)</f>
        <v>0.10764705882352942</v>
      </c>
      <c r="N277" s="196">
        <f>VLOOKUP($E$9,INGLES!$A$10:$AL$171,37,0)</f>
        <v>2.9411764705882349E-2</v>
      </c>
      <c r="O277" s="197">
        <f>VLOOKUP($E$9,INGLES!$A$10:$AL$171,38,0)</f>
        <v>2.9411764705882353E-3</v>
      </c>
      <c r="P277" s="108">
        <f t="shared" si="8"/>
        <v>0.86058823529411776</v>
      </c>
      <c r="Q277" s="98"/>
      <c r="R277" s="98"/>
      <c r="S277" s="98"/>
      <c r="T277" s="98"/>
      <c r="U277" s="98"/>
      <c r="V277" s="98"/>
      <c r="W277" s="98"/>
      <c r="X277" s="98"/>
      <c r="Y277" s="98"/>
      <c r="Z277" s="98"/>
    </row>
    <row r="278" spans="1:26" ht="20.25" x14ac:dyDescent="0.25">
      <c r="A278" s="118"/>
      <c r="B278" s="224"/>
      <c r="C278" s="224"/>
      <c r="D278" s="224"/>
      <c r="E278" s="224"/>
      <c r="F278" s="98"/>
      <c r="G278" s="98"/>
      <c r="H278" s="958"/>
      <c r="I278" s="910"/>
      <c r="J278" s="308" t="str">
        <f>$E$10</f>
        <v>COMUNA 6 OFICIAL</v>
      </c>
      <c r="K278" s="228">
        <f>VLOOKUP($E$10,INGLES!$A$10:$AL$171,34,0)</f>
        <v>0.55500000000000005</v>
      </c>
      <c r="L278" s="194">
        <f>VLOOKUP($E$10,INGLES!$A$10:$AL$171,35,0)</f>
        <v>0.33999999999999997</v>
      </c>
      <c r="M278" s="195">
        <f>VLOOKUP($E$10,INGLES!$A$10:$AL$171,36,0)</f>
        <v>8.7500000000000008E-2</v>
      </c>
      <c r="N278" s="196">
        <f>VLOOKUP($E$10,INGLES!$A$10:$AL$171,37,0)</f>
        <v>1.4999999999999999E-2</v>
      </c>
      <c r="O278" s="197">
        <f>VLOOKUP($E$10,INGLES!$A$10:$AL$171,38,0)</f>
        <v>2.5000000000000001E-3</v>
      </c>
      <c r="P278" s="108">
        <f t="shared" si="8"/>
        <v>0.89500000000000002</v>
      </c>
      <c r="Q278" s="98"/>
      <c r="R278" s="98"/>
      <c r="S278" s="98"/>
      <c r="T278" s="98"/>
      <c r="U278" s="98"/>
      <c r="V278" s="98"/>
      <c r="W278" s="98"/>
      <c r="X278" s="98"/>
      <c r="Y278" s="98"/>
      <c r="Z278" s="98"/>
    </row>
    <row r="279" spans="1:26" ht="20.25" x14ac:dyDescent="0.25">
      <c r="A279" s="118"/>
      <c r="B279" s="224"/>
      <c r="C279" s="224"/>
      <c r="D279" s="224"/>
      <c r="E279" s="224"/>
      <c r="F279" s="98"/>
      <c r="G279" s="98"/>
      <c r="H279" s="958"/>
      <c r="I279" s="908">
        <v>2021</v>
      </c>
      <c r="J279" s="308" t="str">
        <f>$E$8</f>
        <v>GIMNASIO NUEVO BOLIVAR</v>
      </c>
      <c r="K279" s="228">
        <f>VLOOKUP($E$8,INGLES!$A$10:$AU$171,43,0)</f>
        <v>0.17</v>
      </c>
      <c r="L279" s="194">
        <f>VLOOKUP($E$8,INGLES!$A$10:$AU$171,44,0)</f>
        <v>0.36</v>
      </c>
      <c r="M279" s="195">
        <f>VLOOKUP($E$8,INGLES!$A$10:$AUL$171,45,0)</f>
        <v>0.26</v>
      </c>
      <c r="N279" s="196">
        <f>VLOOKUP($E$8,INGLES!$A$10:$AU$171,46,0)</f>
        <v>0.21</v>
      </c>
      <c r="O279" s="197">
        <f>VLOOKUP($E$8,INGLES!$A$10:$AU$171,47,0)</f>
        <v>0</v>
      </c>
      <c r="P279" s="108">
        <f t="shared" si="8"/>
        <v>0.53</v>
      </c>
      <c r="Q279" s="98"/>
      <c r="R279" s="98"/>
      <c r="S279" s="98"/>
      <c r="T279" s="98"/>
      <c r="U279" s="98"/>
      <c r="V279" s="98"/>
      <c r="W279" s="98"/>
      <c r="X279" s="98"/>
      <c r="Y279" s="98"/>
      <c r="Z279" s="98"/>
    </row>
    <row r="280" spans="1:26" ht="20.25" x14ac:dyDescent="0.25">
      <c r="A280" s="118"/>
      <c r="B280" s="224"/>
      <c r="C280" s="224"/>
      <c r="D280" s="224"/>
      <c r="E280" s="224"/>
      <c r="F280" s="98"/>
      <c r="G280" s="98"/>
      <c r="H280" s="958"/>
      <c r="I280" s="909"/>
      <c r="J280" s="308" t="str">
        <f>$E$9</f>
        <v>COMUNA 1</v>
      </c>
      <c r="K280" s="228">
        <f>VLOOKUP($E$9,INGLES!$A$10:$AU$171,43,0)</f>
        <v>0.30294117647058816</v>
      </c>
      <c r="L280" s="194">
        <f>VLOOKUP($E$9,INGLES!$A$10:$AU$171,44,0)</f>
        <v>0.40941176470588231</v>
      </c>
      <c r="M280" s="195">
        <f>VLOOKUP($E$9,INGLES!$A$10:$AUL$171,45,0)</f>
        <v>0.23176470588235296</v>
      </c>
      <c r="N280" s="196">
        <f>VLOOKUP($E$9,INGLES!$A$10:$AU$171,46,0)</f>
        <v>5.2352941176470595E-2</v>
      </c>
      <c r="O280" s="197">
        <f>VLOOKUP($E$9,INGLES!$A$10:$AU$171,47,0)</f>
        <v>4.7058823529411769E-3</v>
      </c>
      <c r="P280" s="108">
        <f t="shared" si="8"/>
        <v>0.71235294117647041</v>
      </c>
      <c r="Q280" s="98"/>
      <c r="R280" s="98"/>
      <c r="S280" s="98"/>
      <c r="T280" s="98"/>
      <c r="U280" s="98"/>
      <c r="V280" s="98"/>
      <c r="W280" s="98"/>
      <c r="X280" s="98"/>
      <c r="Y280" s="98"/>
      <c r="Z280" s="98"/>
    </row>
    <row r="281" spans="1:26" ht="20.25" x14ac:dyDescent="0.25">
      <c r="A281" s="118"/>
      <c r="B281" s="224"/>
      <c r="C281" s="224"/>
      <c r="D281" s="224"/>
      <c r="E281" s="224"/>
      <c r="F281" s="98"/>
      <c r="G281" s="98"/>
      <c r="H281" s="958"/>
      <c r="I281" s="910"/>
      <c r="J281" s="308" t="str">
        <f>$E$10</f>
        <v>COMUNA 6 OFICIAL</v>
      </c>
      <c r="K281" s="228">
        <f>VLOOKUP($E$10,INGLES!$A$10:$AU$171,43,0)</f>
        <v>0.40249999999999997</v>
      </c>
      <c r="L281" s="194">
        <f>VLOOKUP($E$10,INGLES!$A$10:$AU$171,44,0)</f>
        <v>0.38750000000000001</v>
      </c>
      <c r="M281" s="195">
        <f>VLOOKUP($E$10,INGLES!$A$10:$AUL$171,45,0)</f>
        <v>0.14500000000000002</v>
      </c>
      <c r="N281" s="196">
        <f>VLOOKUP($E$10,INGLES!$A$10:$AU$171,46,0)</f>
        <v>6.5000000000000002E-2</v>
      </c>
      <c r="O281" s="197">
        <f>VLOOKUP($E$10,INGLES!$A$10:$AU$171,47,0)</f>
        <v>2.5000000000000001E-3</v>
      </c>
      <c r="P281" s="108">
        <f t="shared" si="8"/>
        <v>0.79</v>
      </c>
      <c r="Q281" s="98"/>
      <c r="R281" s="98"/>
      <c r="S281" s="98"/>
      <c r="T281" s="98"/>
      <c r="U281" s="98"/>
      <c r="V281" s="98"/>
      <c r="W281" s="98"/>
      <c r="X281" s="98"/>
      <c r="Y281" s="98"/>
      <c r="Z281" s="98"/>
    </row>
    <row r="282" spans="1:26" ht="20.25" x14ac:dyDescent="0.25">
      <c r="A282" s="118"/>
      <c r="B282" s="224"/>
      <c r="C282" s="224"/>
      <c r="D282" s="224"/>
      <c r="E282" s="224"/>
      <c r="F282" s="98"/>
      <c r="G282" s="98"/>
      <c r="H282" s="189"/>
      <c r="I282" s="908">
        <v>2022</v>
      </c>
      <c r="J282" s="308" t="str">
        <f>$E$8</f>
        <v>GIMNASIO NUEVO BOLIVAR</v>
      </c>
      <c r="K282" s="228">
        <f>VLOOKUP($E$8,INGLES!$A$10:$BD$171,52,0)</f>
        <v>0.03</v>
      </c>
      <c r="L282" s="194">
        <f>VLOOKUP($E$8,INGLES!$A$10:$BD$171,53,0)</f>
        <v>0.27</v>
      </c>
      <c r="M282" s="195">
        <f>VLOOKUP($E$8,INGLES!$A$10:$BD$171,54,0)</f>
        <v>0.46</v>
      </c>
      <c r="N282" s="196">
        <f>VLOOKUP($E$8,INGLES!$A$10:$BD$171,55,0)</f>
        <v>0.22</v>
      </c>
      <c r="O282" s="197">
        <f>VLOOKUP($E$8,INGLES!$A$10:$BD$171,56,0)</f>
        <v>0.03</v>
      </c>
      <c r="P282" s="108">
        <f t="shared" ref="P282:P290" si="9">K282+L282</f>
        <v>0.30000000000000004</v>
      </c>
      <c r="Q282" s="98"/>
      <c r="R282" s="98"/>
      <c r="S282" s="98"/>
      <c r="T282" s="98"/>
      <c r="U282" s="98"/>
      <c r="V282" s="98"/>
      <c r="W282" s="98"/>
      <c r="X282" s="98"/>
      <c r="Y282" s="98"/>
      <c r="Z282" s="98"/>
    </row>
    <row r="283" spans="1:26" ht="20.25" x14ac:dyDescent="0.25">
      <c r="A283" s="118"/>
      <c r="B283" s="123"/>
      <c r="C283" s="218"/>
      <c r="D283" s="98"/>
      <c r="E283" s="98"/>
      <c r="F283" s="98"/>
      <c r="G283" s="98"/>
      <c r="H283" s="98"/>
      <c r="I283" s="909"/>
      <c r="J283" s="308" t="str">
        <f>$E$9</f>
        <v>COMUNA 1</v>
      </c>
      <c r="K283" s="228">
        <f>VLOOKUP($E$9,INGLES!$A$10:$BD$171,52,0)</f>
        <v>0.3288888888888889</v>
      </c>
      <c r="L283" s="194">
        <f>VLOOKUP($E$9,INGLES!$A$10:$BD$171,53,0)</f>
        <v>0.37388888888888883</v>
      </c>
      <c r="M283" s="195">
        <f>VLOOKUP($E$9,INGLES!$A$10:$BD$171,54,0)</f>
        <v>0.21944444444444444</v>
      </c>
      <c r="N283" s="196">
        <f>VLOOKUP($E$9,INGLES!$A$10:$BD$171,55,0)</f>
        <v>7.0555555555555552E-2</v>
      </c>
      <c r="O283" s="197">
        <f>VLOOKUP($E$9,INGLES!$A$10:$BD$171,56,0)</f>
        <v>8.333333333333335E-3</v>
      </c>
      <c r="P283" s="108">
        <f t="shared" si="9"/>
        <v>0.70277777777777772</v>
      </c>
      <c r="Q283" s="98"/>
      <c r="R283" s="98"/>
      <c r="S283" s="98"/>
      <c r="T283" s="98"/>
      <c r="U283" s="98"/>
      <c r="V283" s="98"/>
      <c r="W283" s="98"/>
      <c r="X283" s="98"/>
      <c r="Y283" s="98"/>
      <c r="Z283" s="98"/>
    </row>
    <row r="284" spans="1:26" ht="20.25" x14ac:dyDescent="0.25">
      <c r="A284" s="118"/>
      <c r="B284" s="123"/>
      <c r="C284" s="218"/>
      <c r="D284" s="98"/>
      <c r="E284" s="98"/>
      <c r="F284" s="98"/>
      <c r="G284" s="98"/>
      <c r="H284" s="98"/>
      <c r="I284" s="910"/>
      <c r="J284" s="308" t="str">
        <f>$E$10</f>
        <v>COMUNA 6 OFICIAL</v>
      </c>
      <c r="K284" s="228">
        <f>VLOOKUP($E$10,INGLES!$A$10:$BD$171,52,0)</f>
        <v>0.32</v>
      </c>
      <c r="L284" s="194">
        <f>VLOOKUP($E$10,INGLES!$A$10:$BD$171,53,0)</f>
        <v>0.42</v>
      </c>
      <c r="M284" s="195">
        <f>VLOOKUP($E$10,INGLES!$A$10:$BD$171,54,0)</f>
        <v>0.19500000000000001</v>
      </c>
      <c r="N284" s="196">
        <f>VLOOKUP($E$10,INGLES!$A$10:$BD$171,55,0)</f>
        <v>6.0000000000000005E-2</v>
      </c>
      <c r="O284" s="197">
        <f>VLOOKUP($E$10,INGLES!$A$10:$BD$171,56,0)</f>
        <v>5.0000000000000001E-3</v>
      </c>
      <c r="P284" s="108">
        <f t="shared" si="9"/>
        <v>0.74</v>
      </c>
      <c r="Q284" s="98"/>
      <c r="R284" s="98"/>
      <c r="S284" s="98"/>
      <c r="T284" s="98"/>
      <c r="U284" s="98"/>
      <c r="V284" s="98"/>
      <c r="W284" s="98"/>
      <c r="X284" s="98"/>
      <c r="Y284" s="98"/>
      <c r="Z284" s="98"/>
    </row>
    <row r="285" spans="1:26" ht="20.25" x14ac:dyDescent="0.25">
      <c r="A285" s="118"/>
      <c r="B285" s="123"/>
      <c r="C285" s="218"/>
      <c r="D285" s="98"/>
      <c r="E285" s="98"/>
      <c r="F285" s="98"/>
      <c r="G285" s="98"/>
      <c r="H285" s="98"/>
      <c r="I285" s="908">
        <v>2023</v>
      </c>
      <c r="J285" s="308" t="str">
        <f>$E$8</f>
        <v>GIMNASIO NUEVO BOLIVAR</v>
      </c>
      <c r="K285" s="228">
        <f>VLOOKUP($E$8,INGLES!$A$10:$BM$171,61,0)</f>
        <v>0.26</v>
      </c>
      <c r="L285" s="194">
        <f>VLOOKUP($E$8,INGLES!$A$10:$BM$171,62,0)</f>
        <v>0.26</v>
      </c>
      <c r="M285" s="195">
        <f>VLOOKUP($E$8,INGLES!$A$10:$BM$171,63,0)</f>
        <v>0.24</v>
      </c>
      <c r="N285" s="196">
        <f>VLOOKUP($E$8,INGLES!$A$10:$BM$171,64,0)</f>
        <v>0.21</v>
      </c>
      <c r="O285" s="197">
        <f>VLOOKUP($E$8,INGLES!$A$10:$BM$171,65,0)</f>
        <v>0.03</v>
      </c>
      <c r="P285" s="108">
        <f t="shared" si="9"/>
        <v>0.52</v>
      </c>
      <c r="Q285" s="98"/>
      <c r="R285" s="98"/>
      <c r="S285" s="98"/>
      <c r="T285" s="98"/>
      <c r="U285" s="98"/>
      <c r="V285" s="98"/>
      <c r="W285" s="98"/>
      <c r="X285" s="98"/>
      <c r="Y285" s="98"/>
      <c r="Z285" s="98"/>
    </row>
    <row r="286" spans="1:26" ht="20.25" x14ac:dyDescent="0.25">
      <c r="A286" s="118"/>
      <c r="B286" s="123"/>
      <c r="C286" s="218"/>
      <c r="D286" s="98"/>
      <c r="E286" s="98"/>
      <c r="F286" s="98"/>
      <c r="G286" s="98"/>
      <c r="H286" s="98"/>
      <c r="I286" s="909"/>
      <c r="J286" s="308" t="str">
        <f>$E$9</f>
        <v>COMUNA 1</v>
      </c>
      <c r="K286" s="228">
        <f>VLOOKUP($E$9,INGLES!$A$10:$BM$171,61,0)</f>
        <v>0.29529411764705887</v>
      </c>
      <c r="L286" s="194">
        <f>VLOOKUP($E$9,INGLES!$A$10:$BM$171,62,0)</f>
        <v>0.40352941176470591</v>
      </c>
      <c r="M286" s="195">
        <f>VLOOKUP($E$9,INGLES!$A$10:$BM$171,63,0)</f>
        <v>0.21647058823529414</v>
      </c>
      <c r="N286" s="196">
        <f>VLOOKUP($E$9,INGLES!$A$10:$BM$171,64,0)</f>
        <v>7.7058823529411763E-2</v>
      </c>
      <c r="O286" s="197">
        <f>VLOOKUP($E$9,INGLES!$A$10:$BM$171,65,0)</f>
        <v>7.6470588235294122E-3</v>
      </c>
      <c r="P286" s="108">
        <f t="shared" si="9"/>
        <v>0.69882352941176484</v>
      </c>
      <c r="Q286" s="98"/>
      <c r="R286" s="98"/>
      <c r="S286" s="98"/>
      <c r="T286" s="98"/>
      <c r="U286" s="98"/>
      <c r="V286" s="98"/>
      <c r="W286" s="98"/>
      <c r="X286" s="98"/>
      <c r="Y286" s="98"/>
      <c r="Z286" s="98"/>
    </row>
    <row r="287" spans="1:26" ht="20.25" x14ac:dyDescent="0.25">
      <c r="A287" s="118"/>
      <c r="B287" s="123"/>
      <c r="C287" s="218"/>
      <c r="D287" s="98"/>
      <c r="E287" s="98"/>
      <c r="F287" s="98"/>
      <c r="G287" s="98"/>
      <c r="H287" s="98"/>
      <c r="I287" s="910"/>
      <c r="J287" s="308" t="str">
        <f>$E$10</f>
        <v>COMUNA 6 OFICIAL</v>
      </c>
      <c r="K287" s="228">
        <f>VLOOKUP($E$10,INGLES!$A$10:$BM$171,61,0)</f>
        <v>0.375</v>
      </c>
      <c r="L287" s="194">
        <f>VLOOKUP($E$10,INGLES!$A$10:$BM$171,62,0)</f>
        <v>0.41750000000000004</v>
      </c>
      <c r="M287" s="195">
        <f>VLOOKUP($E$10,INGLES!$A$10:$BM$171,63,0)</f>
        <v>0.155</v>
      </c>
      <c r="N287" s="196">
        <f>VLOOKUP($E$10,INGLES!$A$10:$BM$171,64,0)</f>
        <v>0.05</v>
      </c>
      <c r="O287" s="197">
        <f>VLOOKUP($E$10,INGLES!$A$10:$BM$171,65,0)</f>
        <v>2.5000000000000001E-3</v>
      </c>
      <c r="P287" s="108">
        <f t="shared" si="9"/>
        <v>0.79249999999999998</v>
      </c>
      <c r="Q287" s="98"/>
      <c r="R287" s="98"/>
      <c r="S287" s="98"/>
      <c r="T287" s="98"/>
      <c r="U287" s="98"/>
      <c r="V287" s="98"/>
      <c r="W287" s="98"/>
      <c r="X287" s="98"/>
      <c r="Y287" s="98"/>
      <c r="Z287" s="98"/>
    </row>
    <row r="288" spans="1:26" ht="20.25" x14ac:dyDescent="0.25">
      <c r="A288" s="118"/>
      <c r="B288" s="123"/>
      <c r="C288" s="218"/>
      <c r="D288" s="98"/>
      <c r="E288" s="98"/>
      <c r="F288" s="98"/>
      <c r="G288" s="98"/>
      <c r="H288" s="98"/>
      <c r="I288" s="908">
        <v>2024</v>
      </c>
      <c r="J288" s="308" t="str">
        <f>$E$8</f>
        <v>GIMNASIO NUEVO BOLIVAR</v>
      </c>
      <c r="K288" s="228">
        <f>VLOOKUP($E$8,INGLES!$A$10:$BV$171,70,0)</f>
        <v>0.14000000000000001</v>
      </c>
      <c r="L288" s="194">
        <f>VLOOKUP($E$8,INGLES!$A$10:$BV$171,71,0)</f>
        <v>0.33</v>
      </c>
      <c r="M288" s="195">
        <f>VLOOKUP($E$8,INGLES!$A$10:$BV$171,72,0)</f>
        <v>0.31</v>
      </c>
      <c r="N288" s="196">
        <f>VLOOKUP($E$8,INGLES!$A$10:$BV$171,73,0)</f>
        <v>0.22</v>
      </c>
      <c r="O288" s="197">
        <f>VLOOKUP($E$8,INGLES!$A$10:$BV$171,74,0)</f>
        <v>0</v>
      </c>
      <c r="P288" s="108">
        <f t="shared" si="9"/>
        <v>0.47000000000000003</v>
      </c>
      <c r="Q288" s="98"/>
      <c r="R288" s="98"/>
      <c r="S288" s="98"/>
      <c r="T288" s="98"/>
      <c r="U288" s="98"/>
      <c r="V288" s="98"/>
      <c r="W288" s="98"/>
      <c r="X288" s="98"/>
      <c r="Y288" s="98"/>
      <c r="Z288" s="98"/>
    </row>
    <row r="289" spans="1:26" ht="20.25" x14ac:dyDescent="0.25">
      <c r="A289" s="118"/>
      <c r="B289" s="123"/>
      <c r="C289" s="218"/>
      <c r="D289" s="98"/>
      <c r="E289" s="98"/>
      <c r="F289" s="98"/>
      <c r="G289" s="98"/>
      <c r="H289" s="98"/>
      <c r="I289" s="909"/>
      <c r="J289" s="308" t="str">
        <f>$E$9</f>
        <v>COMUNA 1</v>
      </c>
      <c r="K289" s="228">
        <f>VLOOKUP($E$9,INGLES!$A$10:$BV$171,70,0)</f>
        <v>0.25722222222222224</v>
      </c>
      <c r="L289" s="194">
        <f>VLOOKUP($E$9,INGLES!$A$10:$BV$171,71,0)</f>
        <v>0.41166666666666663</v>
      </c>
      <c r="M289" s="195">
        <f>VLOOKUP($E$9,INGLES!$A$10:$BV$171,72,0)</f>
        <v>0.23777777777777775</v>
      </c>
      <c r="N289" s="196">
        <f>VLOOKUP($E$9,INGLES!$A$10:$BV$171,73,0)</f>
        <v>8.4444444444444461E-2</v>
      </c>
      <c r="O289" s="197">
        <f>VLOOKUP($E$9,INGLES!$A$10:$BV$171,74,0)</f>
        <v>8.8888888888888889E-3</v>
      </c>
      <c r="P289" s="108">
        <f t="shared" si="9"/>
        <v>0.66888888888888887</v>
      </c>
      <c r="Q289" s="98"/>
      <c r="R289" s="98"/>
      <c r="S289" s="98"/>
      <c r="T289" s="98"/>
      <c r="U289" s="98"/>
      <c r="V289" s="98"/>
      <c r="W289" s="98"/>
      <c r="X289" s="98"/>
      <c r="Y289" s="98"/>
      <c r="Z289" s="98"/>
    </row>
    <row r="290" spans="1:26" ht="20.25" x14ac:dyDescent="0.25">
      <c r="A290" s="118"/>
      <c r="B290" s="123"/>
      <c r="C290" s="218"/>
      <c r="D290" s="98"/>
      <c r="E290" s="98"/>
      <c r="F290" s="98"/>
      <c r="G290" s="98"/>
      <c r="H290" s="98"/>
      <c r="I290" s="910"/>
      <c r="J290" s="308" t="str">
        <f>$E$10</f>
        <v>COMUNA 6 OFICIAL</v>
      </c>
      <c r="K290" s="228">
        <f>VLOOKUP($E$10,INGLES!$A$10:$BV$171,70,0)</f>
        <v>0.35</v>
      </c>
      <c r="L290" s="194">
        <f>VLOOKUP($E$10,INGLES!$A$10:$BV$171,71,0)</f>
        <v>0.37</v>
      </c>
      <c r="M290" s="195">
        <f>VLOOKUP($E$10,INGLES!$A$10:$BV$171,72,0)</f>
        <v>0.20249999999999999</v>
      </c>
      <c r="N290" s="196">
        <f>VLOOKUP($E$10,INGLES!$A$10:$BV$171,73,0)</f>
        <v>7.0000000000000007E-2</v>
      </c>
      <c r="O290" s="197">
        <f>VLOOKUP($E$10,INGLES!$A$10:$BV$171,74,0)</f>
        <v>0.01</v>
      </c>
      <c r="P290" s="108">
        <f t="shared" si="9"/>
        <v>0.72</v>
      </c>
      <c r="Q290" s="98"/>
      <c r="R290" s="98"/>
      <c r="S290" s="98"/>
      <c r="T290" s="98"/>
      <c r="U290" s="98"/>
      <c r="V290" s="98"/>
      <c r="W290" s="98"/>
      <c r="X290" s="98"/>
      <c r="Y290" s="98"/>
      <c r="Z290" s="98"/>
    </row>
    <row r="291" spans="1:26" ht="20.25" x14ac:dyDescent="0.25">
      <c r="A291" s="118"/>
      <c r="B291" s="123"/>
      <c r="C291" s="218"/>
      <c r="D291" s="98"/>
      <c r="E291" s="98"/>
      <c r="F291" s="98"/>
      <c r="G291" s="98"/>
      <c r="H291" s="98"/>
      <c r="I291" s="189"/>
      <c r="J291" s="473"/>
      <c r="K291" s="192"/>
      <c r="L291" s="192"/>
      <c r="M291" s="193"/>
      <c r="N291" s="193"/>
      <c r="O291" s="193"/>
      <c r="P291" s="108"/>
      <c r="Q291" s="98"/>
      <c r="R291" s="98"/>
      <c r="S291" s="98"/>
      <c r="T291" s="98"/>
      <c r="U291" s="98"/>
      <c r="V291" s="98"/>
      <c r="W291" s="98"/>
      <c r="X291" s="98"/>
      <c r="Y291" s="98"/>
      <c r="Z291" s="98"/>
    </row>
    <row r="292" spans="1:26" x14ac:dyDescent="0.25">
      <c r="A292" s="124"/>
      <c r="B292" s="11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x14ac:dyDescent="0.25">
      <c r="A293" s="124"/>
      <c r="B293" s="11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x14ac:dyDescent="0.25">
      <c r="A294" s="124"/>
      <c r="B294" s="11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x14ac:dyDescent="0.25">
      <c r="A295" s="124"/>
      <c r="B295" s="11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x14ac:dyDescent="0.25">
      <c r="A296" s="124"/>
      <c r="B296" s="11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x14ac:dyDescent="0.25">
      <c r="A297" s="124"/>
      <c r="B297" s="11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x14ac:dyDescent="0.25">
      <c r="A298" s="124"/>
      <c r="B298" s="11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x14ac:dyDescent="0.25">
      <c r="A299" s="124"/>
      <c r="B299" s="11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x14ac:dyDescent="0.25">
      <c r="A300" s="124"/>
      <c r="B300" s="11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x14ac:dyDescent="0.25">
      <c r="A301" s="124"/>
      <c r="B301" s="11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x14ac:dyDescent="0.25">
      <c r="A302" s="124"/>
      <c r="B302" s="11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x14ac:dyDescent="0.25">
      <c r="A303" s="124"/>
      <c r="B303" s="11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x14ac:dyDescent="0.25">
      <c r="A304" s="124"/>
      <c r="B304" s="11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x14ac:dyDescent="0.25">
      <c r="A305" s="124"/>
      <c r="B305" s="11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x14ac:dyDescent="0.25">
      <c r="A306" s="124"/>
      <c r="B306" s="11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x14ac:dyDescent="0.25">
      <c r="A307" s="124"/>
      <c r="B307" s="11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x14ac:dyDescent="0.25">
      <c r="A308" s="124"/>
      <c r="B308" s="11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x14ac:dyDescent="0.25">
      <c r="A309" s="124"/>
      <c r="B309" s="11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x14ac:dyDescent="0.25">
      <c r="A310" s="124"/>
      <c r="B310" s="11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x14ac:dyDescent="0.25">
      <c r="A311" s="124"/>
      <c r="B311" s="11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x14ac:dyDescent="0.25">
      <c r="A312" s="124"/>
      <c r="B312" s="11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x14ac:dyDescent="0.25">
      <c r="A313" s="124"/>
      <c r="B313" s="11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x14ac:dyDescent="0.25">
      <c r="A314" s="124"/>
      <c r="B314" s="11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x14ac:dyDescent="0.25">
      <c r="A315" s="124"/>
      <c r="B315" s="11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x14ac:dyDescent="0.25">
      <c r="A316" s="124"/>
      <c r="B316" s="11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x14ac:dyDescent="0.25">
      <c r="A317" s="124"/>
      <c r="B317" s="11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x14ac:dyDescent="0.25">
      <c r="A318" s="124"/>
      <c r="B318" s="11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x14ac:dyDescent="0.25">
      <c r="A319" s="124"/>
      <c r="B319" s="11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x14ac:dyDescent="0.25">
      <c r="A320" s="124"/>
      <c r="B320" s="11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x14ac:dyDescent="0.25">
      <c r="A321" s="124"/>
      <c r="B321" s="11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x14ac:dyDescent="0.25">
      <c r="A322" s="124"/>
      <c r="B322" s="11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x14ac:dyDescent="0.25">
      <c r="A323" s="124"/>
      <c r="B323" s="11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x14ac:dyDescent="0.25">
      <c r="A324" s="124"/>
      <c r="B324" s="11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x14ac:dyDescent="0.25">
      <c r="A325" s="124"/>
      <c r="B325" s="11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x14ac:dyDescent="0.25">
      <c r="A326" s="124"/>
      <c r="B326" s="11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x14ac:dyDescent="0.25">
      <c r="A327" s="118"/>
      <c r="B327" s="11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x14ac:dyDescent="0.25">
      <c r="A328" s="118"/>
      <c r="B328" s="11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x14ac:dyDescent="0.25">
      <c r="A329" s="118"/>
      <c r="B329" s="11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x14ac:dyDescent="0.25">
      <c r="A330" s="118"/>
      <c r="B330" s="11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x14ac:dyDescent="0.25">
      <c r="A331" s="118"/>
      <c r="B331" s="11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x14ac:dyDescent="0.25">
      <c r="A332" s="118"/>
      <c r="B332" s="11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x14ac:dyDescent="0.25">
      <c r="A333" s="118"/>
      <c r="B333" s="11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x14ac:dyDescent="0.25">
      <c r="A334" s="118"/>
      <c r="B334" s="11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customHeight="1" x14ac:dyDescent="0.25">
      <c r="A335" s="118"/>
      <c r="B335" s="834" t="s">
        <v>939</v>
      </c>
      <c r="C335" s="834"/>
      <c r="D335" s="834"/>
      <c r="E335" s="834"/>
      <c r="F335" s="834"/>
      <c r="G335" s="834"/>
      <c r="H335" s="834"/>
      <c r="I335" s="834"/>
      <c r="J335" s="834"/>
      <c r="K335" s="834"/>
      <c r="L335" s="834"/>
      <c r="M335" s="834"/>
      <c r="N335" s="834"/>
      <c r="O335" s="834"/>
      <c r="P335" s="834"/>
      <c r="Q335" s="834"/>
      <c r="R335" s="98"/>
      <c r="S335" s="98"/>
      <c r="T335" s="98"/>
      <c r="U335" s="98"/>
      <c r="V335" s="98"/>
      <c r="W335" s="98"/>
      <c r="X335" s="98"/>
      <c r="Y335" s="98"/>
      <c r="Z335" s="98"/>
    </row>
  </sheetData>
  <sheetProtection algorithmName="SHA-512" hashValue="x0TCIvpM1xNubxrwnCnICcSqqQaTadLLNse8nt4lcEqLYe1BRKhmzMlfAZOUqvzVtCIX449LUcU8nVD+ZQCtyw==" saltValue="a5ndzChGq3JluwkTPEqCSA==" spinCount="100000" sheet="1" scenarios="1"/>
  <mergeCells count="177">
    <mergeCell ref="B8:D8"/>
    <mergeCell ref="E8:J8"/>
    <mergeCell ref="E9:J9"/>
    <mergeCell ref="E10:J10"/>
    <mergeCell ref="B6:V6"/>
    <mergeCell ref="R11:Y11"/>
    <mergeCell ref="I15:I17"/>
    <mergeCell ref="I18:I20"/>
    <mergeCell ref="I21:I23"/>
    <mergeCell ref="T23:Y34"/>
    <mergeCell ref="S23:S34"/>
    <mergeCell ref="T12:Y12"/>
    <mergeCell ref="T13:Y13"/>
    <mergeCell ref="T14:Y22"/>
    <mergeCell ref="R14:R22"/>
    <mergeCell ref="S14:S22"/>
    <mergeCell ref="R23:R34"/>
    <mergeCell ref="I30:I32"/>
    <mergeCell ref="I33:I35"/>
    <mergeCell ref="D22:E22"/>
    <mergeCell ref="I12:N12"/>
    <mergeCell ref="I24:I26"/>
    <mergeCell ref="B12:F12"/>
    <mergeCell ref="D13:E13"/>
    <mergeCell ref="I145:I147"/>
    <mergeCell ref="I136:N136"/>
    <mergeCell ref="I72:N72"/>
    <mergeCell ref="I73:I74"/>
    <mergeCell ref="J73:J74"/>
    <mergeCell ref="I75:I77"/>
    <mergeCell ref="D73:E73"/>
    <mergeCell ref="D74:E74"/>
    <mergeCell ref="D75:E75"/>
    <mergeCell ref="D76:E76"/>
    <mergeCell ref="D77:E77"/>
    <mergeCell ref="I81:I83"/>
    <mergeCell ref="I84:I86"/>
    <mergeCell ref="I87:I89"/>
    <mergeCell ref="I90:I92"/>
    <mergeCell ref="I78:I80"/>
    <mergeCell ref="I93:I95"/>
    <mergeCell ref="D81:E81"/>
    <mergeCell ref="I99:I101"/>
    <mergeCell ref="D145:E145"/>
    <mergeCell ref="D80:E80"/>
    <mergeCell ref="I224:I226"/>
    <mergeCell ref="D202:E202"/>
    <mergeCell ref="D203:E203"/>
    <mergeCell ref="D204:E204"/>
    <mergeCell ref="D205:E205"/>
    <mergeCell ref="D206:E206"/>
    <mergeCell ref="D207:E207"/>
    <mergeCell ref="D208:E208"/>
    <mergeCell ref="D209:E209"/>
    <mergeCell ref="D210:E210"/>
    <mergeCell ref="B335:Q335"/>
    <mergeCell ref="H273:H275"/>
    <mergeCell ref="I273:I275"/>
    <mergeCell ref="H276:H278"/>
    <mergeCell ref="I276:I278"/>
    <mergeCell ref="H279:H281"/>
    <mergeCell ref="I279:I281"/>
    <mergeCell ref="H267:H272"/>
    <mergeCell ref="I267:I269"/>
    <mergeCell ref="I270:I272"/>
    <mergeCell ref="I285:I287"/>
    <mergeCell ref="D267:E267"/>
    <mergeCell ref="D268:E268"/>
    <mergeCell ref="D269:E269"/>
    <mergeCell ref="D271:E271"/>
    <mergeCell ref="I288:I290"/>
    <mergeCell ref="D270:E270"/>
    <mergeCell ref="D14:E14"/>
    <mergeCell ref="D15:E15"/>
    <mergeCell ref="D16:E16"/>
    <mergeCell ref="D17:E17"/>
    <mergeCell ref="I157:I159"/>
    <mergeCell ref="I282:I284"/>
    <mergeCell ref="I203:I205"/>
    <mergeCell ref="I206:I208"/>
    <mergeCell ref="I209:I211"/>
    <mergeCell ref="I212:I214"/>
    <mergeCell ref="I215:I217"/>
    <mergeCell ref="I218:I220"/>
    <mergeCell ref="I221:I223"/>
    <mergeCell ref="I163:I165"/>
    <mergeCell ref="I227:I229"/>
    <mergeCell ref="I151:I153"/>
    <mergeCell ref="I148:I150"/>
    <mergeCell ref="I154:I156"/>
    <mergeCell ref="I137:I138"/>
    <mergeCell ref="I96:I98"/>
    <mergeCell ref="I160:I162"/>
    <mergeCell ref="H264:H266"/>
    <mergeCell ref="D78:E78"/>
    <mergeCell ref="D79:E79"/>
    <mergeCell ref="I27:I29"/>
    <mergeCell ref="D18:E18"/>
    <mergeCell ref="D19:E19"/>
    <mergeCell ref="D20:E20"/>
    <mergeCell ref="D21:E21"/>
    <mergeCell ref="I39:I41"/>
    <mergeCell ref="I36:I38"/>
    <mergeCell ref="R135:Y135"/>
    <mergeCell ref="T136:Y136"/>
    <mergeCell ref="T35:Y47"/>
    <mergeCell ref="S35:S47"/>
    <mergeCell ref="R35:R47"/>
    <mergeCell ref="R70:Y70"/>
    <mergeCell ref="T71:Y71"/>
    <mergeCell ref="D72:E72"/>
    <mergeCell ref="B71:F71"/>
    <mergeCell ref="B135:F135"/>
    <mergeCell ref="D136:E136"/>
    <mergeCell ref="S137:S139"/>
    <mergeCell ref="T137:Y139"/>
    <mergeCell ref="R140:R150"/>
    <mergeCell ref="S140:S150"/>
    <mergeCell ref="T72:Y74"/>
    <mergeCell ref="S72:S74"/>
    <mergeCell ref="R72:R74"/>
    <mergeCell ref="T102:Y117"/>
    <mergeCell ref="S102:S117"/>
    <mergeCell ref="T75:Y85"/>
    <mergeCell ref="S75:S85"/>
    <mergeCell ref="R75:R85"/>
    <mergeCell ref="T86:Y101"/>
    <mergeCell ref="R86:R101"/>
    <mergeCell ref="S86:S101"/>
    <mergeCell ref="R102:R117"/>
    <mergeCell ref="T202:Y204"/>
    <mergeCell ref="S202:S204"/>
    <mergeCell ref="R202:R204"/>
    <mergeCell ref="R214:R222"/>
    <mergeCell ref="S214:S222"/>
    <mergeCell ref="T214:Y222"/>
    <mergeCell ref="T223:Y234"/>
    <mergeCell ref="S223:S234"/>
    <mergeCell ref="R223:R234"/>
    <mergeCell ref="R205:R213"/>
    <mergeCell ref="S205:S213"/>
    <mergeCell ref="T205:Y213"/>
    <mergeCell ref="T201:Y201"/>
    <mergeCell ref="D137:E137"/>
    <mergeCell ref="D138:E138"/>
    <mergeCell ref="D139:E139"/>
    <mergeCell ref="D140:E140"/>
    <mergeCell ref="D141:E141"/>
    <mergeCell ref="D142:E142"/>
    <mergeCell ref="D143:E143"/>
    <mergeCell ref="D144:E144"/>
    <mergeCell ref="D201:E201"/>
    <mergeCell ref="B200:F200"/>
    <mergeCell ref="R200:Y200"/>
    <mergeCell ref="T168:Y187"/>
    <mergeCell ref="S168:S187"/>
    <mergeCell ref="R168:R187"/>
    <mergeCell ref="T140:Y150"/>
    <mergeCell ref="T151:Y167"/>
    <mergeCell ref="S151:S167"/>
    <mergeCell ref="R151:R167"/>
    <mergeCell ref="I200:N200"/>
    <mergeCell ref="J137:J138"/>
    <mergeCell ref="I139:I141"/>
    <mergeCell ref="I142:I144"/>
    <mergeCell ref="R137:R139"/>
    <mergeCell ref="B261:F261"/>
    <mergeCell ref="D262:E262"/>
    <mergeCell ref="D263:E263"/>
    <mergeCell ref="D264:E264"/>
    <mergeCell ref="D265:E265"/>
    <mergeCell ref="D266:E266"/>
    <mergeCell ref="I264:I266"/>
    <mergeCell ref="I261:O261"/>
    <mergeCell ref="J262:J263"/>
    <mergeCell ref="H262:H263"/>
    <mergeCell ref="I262:I263"/>
  </mergeCells>
  <conditionalFormatting sqref="B33:B68">
    <cfRule type="dataBar" priority="16">
      <dataBar>
        <cfvo type="min"/>
        <cfvo type="max"/>
        <color rgb="FF63C384"/>
      </dataBar>
      <extLst>
        <ext xmlns:x14="http://schemas.microsoft.com/office/spreadsheetml/2009/9/main" uri="{B025F937-C7B1-47D3-B67F-A62EFF666E3E}">
          <x14:id>{4710D71D-D70D-41D4-B4AF-76750AE3D7B8}</x14:id>
        </ext>
      </extLst>
    </cfRule>
    <cfRule type="colorScale" priority="17">
      <colorScale>
        <cfvo type="min"/>
        <cfvo type="max"/>
        <color rgb="FFFCFCFF"/>
        <color rgb="FFF8696B"/>
      </colorScale>
    </cfRule>
  </conditionalFormatting>
  <conditionalFormatting sqref="O33:O35">
    <cfRule type="dataBar" priority="12">
      <dataBar>
        <cfvo type="min"/>
        <cfvo type="max"/>
        <color rgb="FFFF555A"/>
      </dataBar>
      <extLst>
        <ext xmlns:x14="http://schemas.microsoft.com/office/spreadsheetml/2009/9/main" uri="{B025F937-C7B1-47D3-B67F-A62EFF666E3E}">
          <x14:id>{020B2140-739E-4784-9EAC-318086C6DFB8}</x14:id>
        </ext>
      </extLst>
    </cfRule>
  </conditionalFormatting>
  <conditionalFormatting sqref="O36:O41">
    <cfRule type="dataBar" priority="7">
      <dataBar>
        <cfvo type="min"/>
        <cfvo type="max"/>
        <color rgb="FFFF555A"/>
      </dataBar>
      <extLst>
        <ext xmlns:x14="http://schemas.microsoft.com/office/spreadsheetml/2009/9/main" uri="{B025F937-C7B1-47D3-B67F-A62EFF666E3E}">
          <x14:id>{25EEA246-FFDC-4698-904B-9E6713D0BE97}</x14:id>
        </ext>
      </extLst>
    </cfRule>
  </conditionalFormatting>
  <conditionalFormatting sqref="O93:O95">
    <cfRule type="dataBar" priority="11">
      <dataBar>
        <cfvo type="min"/>
        <cfvo type="max"/>
        <color rgb="FFFF555A"/>
      </dataBar>
      <extLst>
        <ext xmlns:x14="http://schemas.microsoft.com/office/spreadsheetml/2009/9/main" uri="{B025F937-C7B1-47D3-B67F-A62EFF666E3E}">
          <x14:id>{92CACA9D-C524-4BA5-A654-C315E54A4D41}</x14:id>
        </ext>
      </extLst>
    </cfRule>
  </conditionalFormatting>
  <conditionalFormatting sqref="O96:O101">
    <cfRule type="dataBar" priority="6">
      <dataBar>
        <cfvo type="min"/>
        <cfvo type="max"/>
        <color rgb="FFFF555A"/>
      </dataBar>
      <extLst>
        <ext xmlns:x14="http://schemas.microsoft.com/office/spreadsheetml/2009/9/main" uri="{B025F937-C7B1-47D3-B67F-A62EFF666E3E}">
          <x14:id>{7FD7CDB6-0184-4579-972F-507733F94304}</x14:id>
        </ext>
      </extLst>
    </cfRule>
  </conditionalFormatting>
  <conditionalFormatting sqref="O157:O159">
    <cfRule type="dataBar" priority="10">
      <dataBar>
        <cfvo type="min"/>
        <cfvo type="max"/>
        <color rgb="FFFF555A"/>
      </dataBar>
      <extLst>
        <ext xmlns:x14="http://schemas.microsoft.com/office/spreadsheetml/2009/9/main" uri="{B025F937-C7B1-47D3-B67F-A62EFF666E3E}">
          <x14:id>{C1D06F01-22FB-4C7A-B66C-FF56166C5574}</x14:id>
        </ext>
      </extLst>
    </cfRule>
  </conditionalFormatting>
  <conditionalFormatting sqref="O160:O165">
    <cfRule type="dataBar" priority="5">
      <dataBar>
        <cfvo type="min"/>
        <cfvo type="max"/>
        <color rgb="FFFF555A"/>
      </dataBar>
      <extLst>
        <ext xmlns:x14="http://schemas.microsoft.com/office/spreadsheetml/2009/9/main" uri="{B025F937-C7B1-47D3-B67F-A62EFF666E3E}">
          <x14:id>{26D0303E-5915-4C1D-B5FC-6650DA96CA07}</x14:id>
        </ext>
      </extLst>
    </cfRule>
  </conditionalFormatting>
  <conditionalFormatting sqref="O221:O223">
    <cfRule type="dataBar" priority="8">
      <dataBar>
        <cfvo type="min"/>
        <cfvo type="max"/>
        <color rgb="FFFF555A"/>
      </dataBar>
      <extLst>
        <ext xmlns:x14="http://schemas.microsoft.com/office/spreadsheetml/2009/9/main" uri="{B025F937-C7B1-47D3-B67F-A62EFF666E3E}">
          <x14:id>{4A8A15BD-FED7-4074-BE2A-4B392CB82947}</x14:id>
        </ext>
      </extLst>
    </cfRule>
  </conditionalFormatting>
  <conditionalFormatting sqref="O224:O230">
    <cfRule type="dataBar" priority="4">
      <dataBar>
        <cfvo type="min"/>
        <cfvo type="max"/>
        <color rgb="FFFF555A"/>
      </dataBar>
      <extLst>
        <ext xmlns:x14="http://schemas.microsoft.com/office/spreadsheetml/2009/9/main" uri="{B025F937-C7B1-47D3-B67F-A62EFF666E3E}">
          <x14:id>{AF5E2763-0136-41B8-B567-1DF81AFDC0EA}</x14:id>
        </ext>
      </extLst>
    </cfRule>
  </conditionalFormatting>
  <conditionalFormatting sqref="O166:P190 O139:P156 P157:P165">
    <cfRule type="dataBar" priority="22">
      <dataBar>
        <cfvo type="min"/>
        <cfvo type="max"/>
        <color rgb="FFFF555A"/>
      </dataBar>
      <extLst>
        <ext xmlns:x14="http://schemas.microsoft.com/office/spreadsheetml/2009/9/main" uri="{B025F937-C7B1-47D3-B67F-A62EFF666E3E}">
          <x14:id>{313A9737-11AB-461C-8002-AE0EC70DCDD2}</x14:id>
        </ext>
      </extLst>
    </cfRule>
  </conditionalFormatting>
  <conditionalFormatting sqref="O231:P258 O203:O220 P202:P230">
    <cfRule type="dataBar" priority="19">
      <dataBar>
        <cfvo type="min"/>
        <cfvo type="max"/>
        <color rgb="FFFF555A"/>
      </dataBar>
      <extLst>
        <ext xmlns:x14="http://schemas.microsoft.com/office/spreadsheetml/2009/9/main" uri="{B025F937-C7B1-47D3-B67F-A62EFF666E3E}">
          <x14:id>{61824C9F-FAA4-445D-A1BC-3A810CF0E8C1}</x14:id>
        </ext>
      </extLst>
    </cfRule>
  </conditionalFormatting>
  <conditionalFormatting sqref="P14:P32 O15:O32">
    <cfRule type="dataBar" priority="27">
      <dataBar>
        <cfvo type="min"/>
        <cfvo type="max"/>
        <color rgb="FFFF555A"/>
      </dataBar>
      <extLst>
        <ext xmlns:x14="http://schemas.microsoft.com/office/spreadsheetml/2009/9/main" uri="{B025F937-C7B1-47D3-B67F-A62EFF666E3E}">
          <x14:id>{F243A6CC-7E45-4426-859A-F14B1CA7BD9D}</x14:id>
        </ext>
      </extLst>
    </cfRule>
  </conditionalFormatting>
  <conditionalFormatting sqref="P73:P94 O75:O92">
    <cfRule type="dataBar" priority="32">
      <dataBar>
        <cfvo type="min"/>
        <cfvo type="max"/>
        <color rgb="FFFF555A"/>
      </dataBar>
      <extLst>
        <ext xmlns:x14="http://schemas.microsoft.com/office/spreadsheetml/2009/9/main" uri="{B025F937-C7B1-47D3-B67F-A62EFF666E3E}">
          <x14:id>{C0BF279A-7CFA-49D9-874C-F748911A8D1C}</x14:id>
        </ext>
      </extLst>
    </cfRule>
  </conditionalFormatting>
  <conditionalFormatting sqref="P264:P281">
    <cfRule type="dataBar" priority="33">
      <dataBar>
        <cfvo type="min"/>
        <cfvo type="max"/>
        <color rgb="FFFF555A"/>
      </dataBar>
      <extLst>
        <ext xmlns:x14="http://schemas.microsoft.com/office/spreadsheetml/2009/9/main" uri="{B025F937-C7B1-47D3-B67F-A62EFF666E3E}">
          <x14:id>{360EA38B-BE35-41D8-9C28-57384539D4AF}</x14:id>
        </ext>
      </extLst>
    </cfRule>
  </conditionalFormatting>
  <conditionalFormatting sqref="P282:P284">
    <cfRule type="dataBar" priority="9">
      <dataBar>
        <cfvo type="min"/>
        <cfvo type="max"/>
        <color rgb="FFFF555A"/>
      </dataBar>
      <extLst>
        <ext xmlns:x14="http://schemas.microsoft.com/office/spreadsheetml/2009/9/main" uri="{B025F937-C7B1-47D3-B67F-A62EFF666E3E}">
          <x14:id>{D6724C28-3CAD-40FE-B2D2-1353C8BD9D8B}</x14:id>
        </ext>
      </extLst>
    </cfRule>
  </conditionalFormatting>
  <conditionalFormatting sqref="P285:P291">
    <cfRule type="dataBar" priority="2">
      <dataBar>
        <cfvo type="min"/>
        <cfvo type="max"/>
        <color rgb="FFFF555A"/>
      </dataBar>
      <extLst>
        <ext xmlns:x14="http://schemas.microsoft.com/office/spreadsheetml/2009/9/main" uri="{B025F937-C7B1-47D3-B67F-A62EFF666E3E}">
          <x14:id>{646B6FA7-363F-4810-BF0A-9B24E961D38C}</x14:id>
        </ext>
      </extLst>
    </cfRule>
  </conditionalFormatting>
  <conditionalFormatting sqref="R235:Z252">
    <cfRule type="dataBar" priority="1">
      <dataBar>
        <cfvo type="min"/>
        <cfvo type="max"/>
        <color rgb="FFFF555A"/>
      </dataBar>
      <extLst>
        <ext xmlns:x14="http://schemas.microsoft.com/office/spreadsheetml/2009/9/main" uri="{B025F937-C7B1-47D3-B67F-A62EFF666E3E}">
          <x14:id>{F324D215-C8F5-4583-B9C6-4946F6C12B48}</x14:id>
        </ext>
      </extLst>
    </cfRule>
  </conditionalFormatting>
  <pageMargins left="0.39370078740157483" right="0.39370078740157483" top="0.39370078740157483" bottom="0.39370078740157483" header="0.31496062992125984" footer="0.31496062992125984"/>
  <pageSetup scale="60" orientation="portrait" r:id="rId1"/>
  <drawing r:id="rId2"/>
  <extLst>
    <ext xmlns:x14="http://schemas.microsoft.com/office/spreadsheetml/2009/9/main" uri="{78C0D931-6437-407d-A8EE-F0AAD7539E65}">
      <x14:conditionalFormattings>
        <x14:conditionalFormatting xmlns:xm="http://schemas.microsoft.com/office/excel/2006/main">
          <x14:cfRule type="dataBar" id="{4710D71D-D70D-41D4-B4AF-76750AE3D7B8}">
            <x14:dataBar minLength="0" maxLength="100" border="1" negativeBarBorderColorSameAsPositive="0">
              <x14:cfvo type="autoMin"/>
              <x14:cfvo type="autoMax"/>
              <x14:borderColor rgb="FF63C384"/>
              <x14:negativeFillColor rgb="FFFF0000"/>
              <x14:negativeBorderColor rgb="FFFF0000"/>
              <x14:axisColor rgb="FF000000"/>
            </x14:dataBar>
          </x14:cfRule>
          <xm:sqref>B33:B68</xm:sqref>
        </x14:conditionalFormatting>
        <x14:conditionalFormatting xmlns:xm="http://schemas.microsoft.com/office/excel/2006/main">
          <x14:cfRule type="dataBar" id="{020B2140-739E-4784-9EAC-318086C6DFB8}">
            <x14:dataBar minLength="0" maxLength="100" border="1" negativeBarBorderColorSameAsPositive="0">
              <x14:cfvo type="autoMin"/>
              <x14:cfvo type="autoMax"/>
              <x14:borderColor rgb="FFFF555A"/>
              <x14:negativeFillColor rgb="FFFF0000"/>
              <x14:negativeBorderColor rgb="FFFF0000"/>
              <x14:axisColor rgb="FF000000"/>
            </x14:dataBar>
          </x14:cfRule>
          <xm:sqref>O33:O35</xm:sqref>
        </x14:conditionalFormatting>
        <x14:conditionalFormatting xmlns:xm="http://schemas.microsoft.com/office/excel/2006/main">
          <x14:cfRule type="dataBar" id="{25EEA246-FFDC-4698-904B-9E6713D0BE97}">
            <x14:dataBar minLength="0" maxLength="100" border="1" negativeBarBorderColorSameAsPositive="0">
              <x14:cfvo type="autoMin"/>
              <x14:cfvo type="autoMax"/>
              <x14:borderColor rgb="FFFF555A"/>
              <x14:negativeFillColor rgb="FFFF0000"/>
              <x14:negativeBorderColor rgb="FFFF0000"/>
              <x14:axisColor rgb="FF000000"/>
            </x14:dataBar>
          </x14:cfRule>
          <xm:sqref>O36:O41</xm:sqref>
        </x14:conditionalFormatting>
        <x14:conditionalFormatting xmlns:xm="http://schemas.microsoft.com/office/excel/2006/main">
          <x14:cfRule type="dataBar" id="{92CACA9D-C524-4BA5-A654-C315E54A4D41}">
            <x14:dataBar minLength="0" maxLength="100" border="1" negativeBarBorderColorSameAsPositive="0">
              <x14:cfvo type="autoMin"/>
              <x14:cfvo type="autoMax"/>
              <x14:borderColor rgb="FFFF555A"/>
              <x14:negativeFillColor rgb="FFFF0000"/>
              <x14:negativeBorderColor rgb="FFFF0000"/>
              <x14:axisColor rgb="FF000000"/>
            </x14:dataBar>
          </x14:cfRule>
          <xm:sqref>O93:O95</xm:sqref>
        </x14:conditionalFormatting>
        <x14:conditionalFormatting xmlns:xm="http://schemas.microsoft.com/office/excel/2006/main">
          <x14:cfRule type="dataBar" id="{7FD7CDB6-0184-4579-972F-507733F94304}">
            <x14:dataBar minLength="0" maxLength="100" border="1" negativeBarBorderColorSameAsPositive="0">
              <x14:cfvo type="autoMin"/>
              <x14:cfvo type="autoMax"/>
              <x14:borderColor rgb="FFFF555A"/>
              <x14:negativeFillColor rgb="FFFF0000"/>
              <x14:negativeBorderColor rgb="FFFF0000"/>
              <x14:axisColor rgb="FF000000"/>
            </x14:dataBar>
          </x14:cfRule>
          <xm:sqref>O96:O101</xm:sqref>
        </x14:conditionalFormatting>
        <x14:conditionalFormatting xmlns:xm="http://schemas.microsoft.com/office/excel/2006/main">
          <x14:cfRule type="dataBar" id="{C1D06F01-22FB-4C7A-B66C-FF56166C5574}">
            <x14:dataBar minLength="0" maxLength="100" border="1" negativeBarBorderColorSameAsPositive="0">
              <x14:cfvo type="autoMin"/>
              <x14:cfvo type="autoMax"/>
              <x14:borderColor rgb="FFFF555A"/>
              <x14:negativeFillColor rgb="FFFF0000"/>
              <x14:negativeBorderColor rgb="FFFF0000"/>
              <x14:axisColor rgb="FF000000"/>
            </x14:dataBar>
          </x14:cfRule>
          <xm:sqref>O157:O159</xm:sqref>
        </x14:conditionalFormatting>
        <x14:conditionalFormatting xmlns:xm="http://schemas.microsoft.com/office/excel/2006/main">
          <x14:cfRule type="dataBar" id="{26D0303E-5915-4C1D-B5FC-6650DA96CA07}">
            <x14:dataBar minLength="0" maxLength="100" border="1" negativeBarBorderColorSameAsPositive="0">
              <x14:cfvo type="autoMin"/>
              <x14:cfvo type="autoMax"/>
              <x14:borderColor rgb="FFFF555A"/>
              <x14:negativeFillColor rgb="FFFF0000"/>
              <x14:negativeBorderColor rgb="FFFF0000"/>
              <x14:axisColor rgb="FF000000"/>
            </x14:dataBar>
          </x14:cfRule>
          <xm:sqref>O160:O165</xm:sqref>
        </x14:conditionalFormatting>
        <x14:conditionalFormatting xmlns:xm="http://schemas.microsoft.com/office/excel/2006/main">
          <x14:cfRule type="dataBar" id="{4A8A15BD-FED7-4074-BE2A-4B392CB82947}">
            <x14:dataBar minLength="0" maxLength="100" border="1" negativeBarBorderColorSameAsPositive="0">
              <x14:cfvo type="autoMin"/>
              <x14:cfvo type="autoMax"/>
              <x14:borderColor rgb="FFFF555A"/>
              <x14:negativeFillColor rgb="FFFF0000"/>
              <x14:negativeBorderColor rgb="FFFF0000"/>
              <x14:axisColor rgb="FF000000"/>
            </x14:dataBar>
          </x14:cfRule>
          <xm:sqref>O221:O223</xm:sqref>
        </x14:conditionalFormatting>
        <x14:conditionalFormatting xmlns:xm="http://schemas.microsoft.com/office/excel/2006/main">
          <x14:cfRule type="dataBar" id="{AF5E2763-0136-41B8-B567-1DF81AFDC0EA}">
            <x14:dataBar minLength="0" maxLength="100" border="1" negativeBarBorderColorSameAsPositive="0">
              <x14:cfvo type="autoMin"/>
              <x14:cfvo type="autoMax"/>
              <x14:borderColor rgb="FFFF555A"/>
              <x14:negativeFillColor rgb="FFFF0000"/>
              <x14:negativeBorderColor rgb="FFFF0000"/>
              <x14:axisColor rgb="FF000000"/>
            </x14:dataBar>
          </x14:cfRule>
          <xm:sqref>O224:O230</xm:sqref>
        </x14:conditionalFormatting>
        <x14:conditionalFormatting xmlns:xm="http://schemas.microsoft.com/office/excel/2006/main">
          <x14:cfRule type="dataBar" id="{313A9737-11AB-461C-8002-AE0EC70DCDD2}">
            <x14:dataBar minLength="0" maxLength="100" border="1" negativeBarBorderColorSameAsPositive="0">
              <x14:cfvo type="autoMin"/>
              <x14:cfvo type="autoMax"/>
              <x14:borderColor rgb="FFFF555A"/>
              <x14:negativeFillColor rgb="FFFF0000"/>
              <x14:negativeBorderColor rgb="FFFF0000"/>
              <x14:axisColor rgb="FF000000"/>
            </x14:dataBar>
          </x14:cfRule>
          <xm:sqref>O166:P190 O139:P156 P157:P165</xm:sqref>
        </x14:conditionalFormatting>
        <x14:conditionalFormatting xmlns:xm="http://schemas.microsoft.com/office/excel/2006/main">
          <x14:cfRule type="dataBar" id="{61824C9F-FAA4-445D-A1BC-3A810CF0E8C1}">
            <x14:dataBar minLength="0" maxLength="100" border="1" negativeBarBorderColorSameAsPositive="0">
              <x14:cfvo type="autoMin"/>
              <x14:cfvo type="autoMax"/>
              <x14:borderColor rgb="FFFF555A"/>
              <x14:negativeFillColor rgb="FFFF0000"/>
              <x14:negativeBorderColor rgb="FFFF0000"/>
              <x14:axisColor rgb="FF000000"/>
            </x14:dataBar>
          </x14:cfRule>
          <xm:sqref>O231:P258 O203:O220 P202:P230</xm:sqref>
        </x14:conditionalFormatting>
        <x14:conditionalFormatting xmlns:xm="http://schemas.microsoft.com/office/excel/2006/main">
          <x14:cfRule type="dataBar" id="{F243A6CC-7E45-4426-859A-F14B1CA7BD9D}">
            <x14:dataBar minLength="0" maxLength="100" border="1" negativeBarBorderColorSameAsPositive="0">
              <x14:cfvo type="autoMin"/>
              <x14:cfvo type="autoMax"/>
              <x14:borderColor rgb="FFFF555A"/>
              <x14:negativeFillColor rgb="FFFF0000"/>
              <x14:negativeBorderColor rgb="FFFF0000"/>
              <x14:axisColor rgb="FF000000"/>
            </x14:dataBar>
          </x14:cfRule>
          <xm:sqref>P14:P32 O15:O32</xm:sqref>
        </x14:conditionalFormatting>
        <x14:conditionalFormatting xmlns:xm="http://schemas.microsoft.com/office/excel/2006/main">
          <x14:cfRule type="dataBar" id="{C0BF279A-7CFA-49D9-874C-F748911A8D1C}">
            <x14:dataBar minLength="0" maxLength="100" border="1" negativeBarBorderColorSameAsPositive="0">
              <x14:cfvo type="autoMin"/>
              <x14:cfvo type="autoMax"/>
              <x14:borderColor rgb="FFFF555A"/>
              <x14:negativeFillColor rgb="FFFF0000"/>
              <x14:negativeBorderColor rgb="FFFF0000"/>
              <x14:axisColor rgb="FF000000"/>
            </x14:dataBar>
          </x14:cfRule>
          <xm:sqref>P73:P94 O75:O92</xm:sqref>
        </x14:conditionalFormatting>
        <x14:conditionalFormatting xmlns:xm="http://schemas.microsoft.com/office/excel/2006/main">
          <x14:cfRule type="dataBar" id="{360EA38B-BE35-41D8-9C28-57384539D4AF}">
            <x14:dataBar minLength="0" maxLength="100" border="1" negativeBarBorderColorSameAsPositive="0">
              <x14:cfvo type="autoMin"/>
              <x14:cfvo type="autoMax"/>
              <x14:borderColor rgb="FFFF555A"/>
              <x14:negativeFillColor rgb="FFFF0000"/>
              <x14:negativeBorderColor rgb="FFFF0000"/>
              <x14:axisColor rgb="FF000000"/>
            </x14:dataBar>
          </x14:cfRule>
          <xm:sqref>P264:P281</xm:sqref>
        </x14:conditionalFormatting>
        <x14:conditionalFormatting xmlns:xm="http://schemas.microsoft.com/office/excel/2006/main">
          <x14:cfRule type="dataBar" id="{D6724C28-3CAD-40FE-B2D2-1353C8BD9D8B}">
            <x14:dataBar minLength="0" maxLength="100" border="1" negativeBarBorderColorSameAsPositive="0">
              <x14:cfvo type="autoMin"/>
              <x14:cfvo type="autoMax"/>
              <x14:borderColor rgb="FFFF555A"/>
              <x14:negativeFillColor rgb="FFFF0000"/>
              <x14:negativeBorderColor rgb="FFFF0000"/>
              <x14:axisColor rgb="FF000000"/>
            </x14:dataBar>
          </x14:cfRule>
          <xm:sqref>P282:P284</xm:sqref>
        </x14:conditionalFormatting>
        <x14:conditionalFormatting xmlns:xm="http://schemas.microsoft.com/office/excel/2006/main">
          <x14:cfRule type="dataBar" id="{646B6FA7-363F-4810-BF0A-9B24E961D38C}">
            <x14:dataBar minLength="0" maxLength="100" border="1" negativeBarBorderColorSameAsPositive="0">
              <x14:cfvo type="autoMin"/>
              <x14:cfvo type="autoMax"/>
              <x14:borderColor rgb="FFFF555A"/>
              <x14:negativeFillColor rgb="FFFF0000"/>
              <x14:negativeBorderColor rgb="FFFF0000"/>
              <x14:axisColor rgb="FF000000"/>
            </x14:dataBar>
          </x14:cfRule>
          <xm:sqref>P285:P291</xm:sqref>
        </x14:conditionalFormatting>
        <x14:conditionalFormatting xmlns:xm="http://schemas.microsoft.com/office/excel/2006/main">
          <x14:cfRule type="dataBar" id="{F324D215-C8F5-4583-B9C6-4946F6C12B48}">
            <x14:dataBar minLength="0" maxLength="100" border="1" negativeBarBorderColorSameAsPositive="0">
              <x14:cfvo type="autoMin"/>
              <x14:cfvo type="autoMax"/>
              <x14:borderColor rgb="FFFF555A"/>
              <x14:negativeFillColor rgb="FFFF0000"/>
              <x14:negativeBorderColor rgb="FFFF0000"/>
              <x14:axisColor rgb="FF000000"/>
            </x14:dataBar>
          </x14:cfRule>
          <xm:sqref>R235:Z252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D30C852-AD8E-47C5-95FC-B1185D5A1E49}">
          <x14:formula1>
            <xm:f>PGLOBAL!$A$11:$A$172</xm:f>
          </x14:formula1>
          <xm:sqref>E8:J8</xm:sqref>
        </x14:dataValidation>
        <x14:dataValidation type="list" allowBlank="1" showInputMessage="1" showErrorMessage="1" xr:uid="{7D9CA368-2464-40A8-AFC4-5E9E86B21B1F}">
          <x14:formula1>
            <xm:f>PGLOBAL!$A$10:$A$172</xm:f>
          </x14:formula1>
          <xm:sqref>E9:J10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CS390"/>
  <sheetViews>
    <sheetView zoomScale="80" zoomScaleNormal="80" workbookViewId="0">
      <pane xSplit="1" topLeftCell="AM1" activePane="topRight" state="frozen"/>
      <selection activeCell="K23" sqref="K23"/>
      <selection pane="topRight" activeCell="AS25" sqref="AS25"/>
    </sheetView>
  </sheetViews>
  <sheetFormatPr baseColWidth="10" defaultColWidth="9.140625" defaultRowHeight="12.75" x14ac:dyDescent="0.2"/>
  <cols>
    <col min="1" max="1" width="73" bestFit="1" customWidth="1"/>
    <col min="2" max="2" width="16.7109375" customWidth="1"/>
    <col min="3" max="3" width="11" customWidth="1"/>
    <col min="4" max="4" width="9.5703125" customWidth="1"/>
    <col min="5" max="5" width="15" bestFit="1" customWidth="1"/>
    <col min="6" max="6" width="10.5703125" customWidth="1"/>
    <col min="7" max="7" width="10.42578125" customWidth="1"/>
    <col min="8" max="8" width="12.28515625" customWidth="1"/>
    <col min="9" max="9" width="11.140625" customWidth="1"/>
    <col min="10" max="10" width="13.5703125" customWidth="1"/>
    <col min="11" max="11" width="14.7109375" customWidth="1"/>
    <col min="12" max="12" width="12.85546875" customWidth="1"/>
    <col min="13" max="13" width="10" customWidth="1"/>
    <col min="14" max="14" width="10.85546875" customWidth="1"/>
    <col min="15" max="15" width="11.28515625" customWidth="1"/>
    <col min="16" max="16" width="10.85546875" customWidth="1"/>
    <col min="17" max="17" width="10" customWidth="1"/>
    <col min="18" max="18" width="11.85546875" customWidth="1"/>
    <col min="19" max="19" width="12.28515625" customWidth="1"/>
    <col min="20" max="20" width="15.85546875" customWidth="1"/>
    <col min="21" max="21" width="14.42578125" customWidth="1"/>
    <col min="22" max="22" width="11.140625" customWidth="1"/>
    <col min="23" max="23" width="9.7109375" customWidth="1"/>
    <col min="24" max="25" width="7.28515625" style="67" customWidth="1"/>
    <col min="26" max="26" width="10.42578125" style="67" customWidth="1"/>
    <col min="27" max="27" width="7.28515625" style="67" customWidth="1"/>
    <col min="28" max="28" width="16.5703125" style="67" customWidth="1"/>
    <col min="29" max="29" width="14.42578125" style="67" customWidth="1"/>
    <col min="30" max="30" width="13" style="67" customWidth="1"/>
    <col min="31" max="31" width="7.7109375" customWidth="1"/>
    <col min="32" max="34" width="8" customWidth="1"/>
    <col min="35" max="35" width="7.85546875" customWidth="1"/>
    <col min="36" max="36" width="9.28515625" customWidth="1"/>
    <col min="37" max="37" width="9.140625" customWidth="1"/>
    <col min="38" max="38" width="8.85546875" customWidth="1"/>
    <col min="39" max="39" width="13.42578125" customWidth="1"/>
    <col min="40" max="40" width="11.42578125" customWidth="1"/>
    <col min="41" max="41" width="11" customWidth="1"/>
    <col min="42" max="42" width="11.42578125" customWidth="1"/>
    <col min="43" max="43" width="10.42578125" customWidth="1"/>
    <col min="44" max="44" width="11.5703125" customWidth="1"/>
    <col min="45" max="45" width="11.28515625" customWidth="1"/>
    <col min="46" max="46" width="16.5703125" customWidth="1"/>
    <col min="47" max="47" width="14.7109375" customWidth="1"/>
    <col min="48" max="48" width="15" customWidth="1"/>
    <col min="49" max="49" width="9.5703125" bestFit="1" customWidth="1"/>
    <col min="51" max="51" width="9.28515625" bestFit="1" customWidth="1"/>
    <col min="57" max="57" width="17.85546875" customWidth="1"/>
    <col min="58" max="58" width="16.7109375" customWidth="1"/>
    <col min="59" max="59" width="17.7109375" customWidth="1"/>
  </cols>
  <sheetData>
    <row r="1" spans="1:92" x14ac:dyDescent="0.2">
      <c r="A1" s="846"/>
      <c r="B1" s="846"/>
      <c r="C1" s="846"/>
      <c r="D1" s="846"/>
      <c r="E1" s="846"/>
      <c r="F1" s="846"/>
      <c r="G1" s="846"/>
      <c r="H1" s="846"/>
      <c r="I1" s="846"/>
      <c r="J1" s="846"/>
      <c r="K1" s="846"/>
      <c r="L1" s="846"/>
      <c r="M1" s="846"/>
      <c r="N1" s="846"/>
    </row>
    <row r="3" spans="1:92" x14ac:dyDescent="0.2">
      <c r="A3" s="846"/>
      <c r="B3" s="846"/>
      <c r="C3" s="846"/>
      <c r="D3" s="846"/>
      <c r="E3" s="846"/>
      <c r="F3" s="846"/>
      <c r="G3" s="846"/>
      <c r="H3" s="846"/>
      <c r="I3" s="846"/>
      <c r="J3" s="846"/>
      <c r="K3" s="846"/>
      <c r="L3" s="846"/>
      <c r="M3" s="846"/>
      <c r="N3" s="846"/>
    </row>
    <row r="4" spans="1:92" x14ac:dyDescent="0.2">
      <c r="A4" s="846"/>
      <c r="B4" s="846"/>
      <c r="C4" s="846"/>
      <c r="D4" s="846"/>
      <c r="E4" s="846"/>
      <c r="F4" s="846"/>
      <c r="G4" s="846"/>
      <c r="H4" s="846"/>
      <c r="I4" s="846"/>
      <c r="J4" s="846"/>
      <c r="K4" s="846"/>
      <c r="L4" s="846"/>
      <c r="M4" s="846"/>
      <c r="N4" s="846"/>
    </row>
    <row r="5" spans="1:92" x14ac:dyDescent="0.2">
      <c r="A5">
        <v>1</v>
      </c>
      <c r="B5">
        <v>2</v>
      </c>
      <c r="C5">
        <v>3</v>
      </c>
      <c r="D5">
        <v>4</v>
      </c>
      <c r="E5">
        <v>5</v>
      </c>
      <c r="F5">
        <v>6</v>
      </c>
      <c r="G5">
        <v>7</v>
      </c>
      <c r="H5">
        <v>8</v>
      </c>
      <c r="I5">
        <v>9</v>
      </c>
      <c r="J5">
        <v>10</v>
      </c>
      <c r="K5">
        <v>11</v>
      </c>
      <c r="L5">
        <v>12</v>
      </c>
      <c r="M5">
        <v>13</v>
      </c>
      <c r="N5">
        <v>14</v>
      </c>
      <c r="O5">
        <v>15</v>
      </c>
      <c r="P5">
        <v>16</v>
      </c>
      <c r="Q5">
        <v>17</v>
      </c>
      <c r="R5">
        <v>18</v>
      </c>
      <c r="S5">
        <v>19</v>
      </c>
      <c r="T5">
        <v>20</v>
      </c>
      <c r="U5">
        <v>21</v>
      </c>
      <c r="V5">
        <v>22</v>
      </c>
      <c r="W5">
        <v>23</v>
      </c>
      <c r="X5">
        <v>24</v>
      </c>
      <c r="Y5">
        <v>25</v>
      </c>
      <c r="Z5">
        <v>26</v>
      </c>
      <c r="AA5">
        <v>27</v>
      </c>
      <c r="AB5">
        <v>28</v>
      </c>
      <c r="AC5">
        <v>29</v>
      </c>
      <c r="AD5">
        <v>30</v>
      </c>
      <c r="AE5">
        <v>31</v>
      </c>
      <c r="AF5">
        <v>32</v>
      </c>
      <c r="AG5">
        <v>33</v>
      </c>
      <c r="AH5">
        <v>34</v>
      </c>
      <c r="AI5">
        <v>35</v>
      </c>
      <c r="AJ5">
        <v>36</v>
      </c>
      <c r="AK5">
        <v>37</v>
      </c>
      <c r="AL5">
        <v>38</v>
      </c>
      <c r="AM5">
        <v>39</v>
      </c>
      <c r="AN5">
        <v>40</v>
      </c>
      <c r="AO5">
        <v>41</v>
      </c>
      <c r="AP5">
        <v>42</v>
      </c>
      <c r="AQ5">
        <v>43</v>
      </c>
      <c r="AR5">
        <v>44</v>
      </c>
      <c r="AS5">
        <v>45</v>
      </c>
      <c r="AT5">
        <v>46</v>
      </c>
      <c r="AU5">
        <v>47</v>
      </c>
      <c r="AV5">
        <v>48</v>
      </c>
      <c r="AW5">
        <v>49</v>
      </c>
      <c r="AX5">
        <v>50</v>
      </c>
      <c r="AY5">
        <v>51</v>
      </c>
      <c r="AZ5">
        <v>52</v>
      </c>
      <c r="BA5">
        <v>53</v>
      </c>
      <c r="BB5">
        <v>54</v>
      </c>
      <c r="BC5">
        <v>55</v>
      </c>
      <c r="BD5">
        <v>56</v>
      </c>
      <c r="BE5">
        <v>57</v>
      </c>
      <c r="BF5">
        <v>58</v>
      </c>
      <c r="BG5">
        <v>59</v>
      </c>
      <c r="BH5">
        <v>60</v>
      </c>
      <c r="BI5">
        <v>61</v>
      </c>
      <c r="BJ5">
        <v>62</v>
      </c>
      <c r="BK5">
        <v>63</v>
      </c>
      <c r="BL5">
        <v>64</v>
      </c>
      <c r="BM5">
        <v>65</v>
      </c>
      <c r="BN5">
        <v>66</v>
      </c>
      <c r="BO5">
        <v>67</v>
      </c>
      <c r="BP5">
        <v>68</v>
      </c>
      <c r="BQ5">
        <v>69</v>
      </c>
      <c r="BR5">
        <v>70</v>
      </c>
      <c r="BS5">
        <v>71</v>
      </c>
      <c r="BT5">
        <v>72</v>
      </c>
      <c r="BU5">
        <v>73</v>
      </c>
      <c r="BV5">
        <v>74</v>
      </c>
      <c r="BW5">
        <v>75</v>
      </c>
      <c r="BX5">
        <v>76</v>
      </c>
      <c r="BY5">
        <v>77</v>
      </c>
      <c r="BZ5">
        <v>78</v>
      </c>
      <c r="CA5">
        <v>79</v>
      </c>
      <c r="CB5">
        <v>80</v>
      </c>
      <c r="CC5">
        <v>81</v>
      </c>
      <c r="CD5">
        <v>82</v>
      </c>
      <c r="CE5">
        <v>83</v>
      </c>
      <c r="CF5">
        <v>84</v>
      </c>
      <c r="CG5">
        <v>85</v>
      </c>
      <c r="CH5">
        <v>86</v>
      </c>
      <c r="CI5">
        <v>87</v>
      </c>
      <c r="CJ5">
        <v>88</v>
      </c>
      <c r="CK5">
        <v>89</v>
      </c>
      <c r="CL5">
        <v>90</v>
      </c>
      <c r="CM5">
        <v>91</v>
      </c>
      <c r="CN5">
        <v>92</v>
      </c>
    </row>
    <row r="7" spans="1:92" x14ac:dyDescent="0.2">
      <c r="A7" s="839" t="s">
        <v>5</v>
      </c>
      <c r="B7" s="839" t="s">
        <v>242</v>
      </c>
      <c r="C7" s="839" t="s">
        <v>243</v>
      </c>
      <c r="D7" s="842">
        <v>2016</v>
      </c>
      <c r="E7" s="845"/>
      <c r="F7" s="845"/>
      <c r="G7" s="845"/>
      <c r="H7" s="845"/>
      <c r="I7" s="845"/>
      <c r="J7" s="845"/>
      <c r="K7" s="845"/>
      <c r="L7" s="843"/>
      <c r="M7" s="842">
        <v>2017</v>
      </c>
      <c r="N7" s="845"/>
      <c r="O7" s="845"/>
      <c r="P7" s="845"/>
      <c r="Q7" s="845"/>
      <c r="R7" s="845"/>
      <c r="S7" s="845"/>
      <c r="T7" s="845"/>
      <c r="U7" s="843"/>
      <c r="V7" s="838">
        <v>2018</v>
      </c>
      <c r="W7" s="839"/>
      <c r="X7" s="839"/>
      <c r="Y7" s="839"/>
      <c r="Z7" s="839"/>
      <c r="AA7" s="839"/>
      <c r="AB7" s="839"/>
      <c r="AC7" s="839"/>
      <c r="AD7" s="839"/>
      <c r="AE7" s="838">
        <v>2019</v>
      </c>
      <c r="AF7" s="839"/>
      <c r="AG7" s="839"/>
      <c r="AH7" s="839"/>
      <c r="AI7" s="839"/>
      <c r="AJ7" s="839"/>
      <c r="AK7" s="839"/>
      <c r="AL7" s="839"/>
      <c r="AM7" s="839"/>
      <c r="AN7" s="838">
        <v>2020</v>
      </c>
      <c r="AO7" s="839"/>
      <c r="AP7" s="839"/>
      <c r="AQ7" s="839"/>
      <c r="AR7" s="839"/>
      <c r="AS7" s="839"/>
      <c r="AT7" s="839"/>
      <c r="AU7" s="839"/>
      <c r="AV7" s="839"/>
      <c r="AW7" s="838">
        <v>2021</v>
      </c>
      <c r="AX7" s="839"/>
      <c r="AY7" s="839"/>
      <c r="AZ7" s="839"/>
      <c r="BA7" s="839"/>
      <c r="BB7" s="839"/>
      <c r="BC7" s="839"/>
      <c r="BD7" s="839"/>
      <c r="BE7" s="839"/>
      <c r="BF7" s="839"/>
      <c r="BG7" s="839"/>
      <c r="BH7" s="838">
        <v>2022</v>
      </c>
      <c r="BI7" s="839"/>
      <c r="BJ7" s="839"/>
      <c r="BK7" s="839"/>
      <c r="BL7" s="839"/>
      <c r="BM7" s="839"/>
      <c r="BN7" s="839"/>
      <c r="BO7" s="839"/>
      <c r="BP7" s="839"/>
      <c r="BQ7" s="839"/>
      <c r="BR7" s="839"/>
      <c r="BS7" s="838">
        <v>2023</v>
      </c>
      <c r="BT7" s="839"/>
      <c r="BU7" s="839"/>
      <c r="BV7" s="839"/>
      <c r="BW7" s="839"/>
      <c r="BX7" s="839"/>
      <c r="BY7" s="839"/>
      <c r="BZ7" s="839"/>
      <c r="CA7" s="839"/>
      <c r="CB7" s="839"/>
      <c r="CC7" s="839"/>
      <c r="CD7" s="838">
        <v>2024</v>
      </c>
      <c r="CE7" s="839"/>
      <c r="CF7" s="839"/>
      <c r="CG7" s="839"/>
      <c r="CH7" s="839"/>
      <c r="CI7" s="839"/>
      <c r="CJ7" s="839"/>
      <c r="CK7" s="839"/>
      <c r="CL7" s="839"/>
      <c r="CM7" s="839"/>
      <c r="CN7" s="839"/>
    </row>
    <row r="8" spans="1:92" ht="38.25" customHeight="1" x14ac:dyDescent="0.2">
      <c r="A8" s="839"/>
      <c r="B8" s="839"/>
      <c r="C8" s="839"/>
      <c r="D8" s="981" t="s">
        <v>218</v>
      </c>
      <c r="E8" s="980" t="s">
        <v>217</v>
      </c>
      <c r="F8" s="973" t="s">
        <v>278</v>
      </c>
      <c r="G8" s="846"/>
      <c r="H8" s="846"/>
      <c r="I8" s="846"/>
      <c r="J8" s="973" t="s">
        <v>279</v>
      </c>
      <c r="K8" s="846"/>
      <c r="L8" s="846"/>
      <c r="M8" s="981" t="s">
        <v>218</v>
      </c>
      <c r="N8" s="980" t="s">
        <v>217</v>
      </c>
      <c r="O8" s="982" t="s">
        <v>278</v>
      </c>
      <c r="P8" s="983"/>
      <c r="Q8" s="983"/>
      <c r="R8" s="983"/>
      <c r="S8" s="982" t="s">
        <v>279</v>
      </c>
      <c r="T8" s="983"/>
      <c r="U8" s="983"/>
      <c r="V8" s="970" t="s">
        <v>218</v>
      </c>
      <c r="W8" s="969" t="s">
        <v>217</v>
      </c>
      <c r="X8" s="973" t="s">
        <v>278</v>
      </c>
      <c r="Y8" s="846"/>
      <c r="Z8" s="846"/>
      <c r="AA8" s="846"/>
      <c r="AB8" s="973" t="s">
        <v>279</v>
      </c>
      <c r="AC8" s="846"/>
      <c r="AD8" s="846"/>
      <c r="AE8" s="984" t="s">
        <v>218</v>
      </c>
      <c r="AF8" s="986" t="s">
        <v>217</v>
      </c>
      <c r="AG8" s="973" t="s">
        <v>278</v>
      </c>
      <c r="AH8" s="846"/>
      <c r="AI8" s="846"/>
      <c r="AJ8" s="846"/>
      <c r="AK8" s="973" t="s">
        <v>279</v>
      </c>
      <c r="AL8" s="846"/>
      <c r="AM8" s="846"/>
      <c r="AN8" s="970" t="s">
        <v>218</v>
      </c>
      <c r="AO8" s="969" t="s">
        <v>217</v>
      </c>
      <c r="AP8" s="973" t="s">
        <v>278</v>
      </c>
      <c r="AQ8" s="846"/>
      <c r="AR8" s="846"/>
      <c r="AS8" s="846"/>
      <c r="AT8" s="973" t="s">
        <v>279</v>
      </c>
      <c r="AU8" s="846"/>
      <c r="AV8" s="846"/>
      <c r="AW8" s="970" t="s">
        <v>218</v>
      </c>
      <c r="AX8" s="969" t="s">
        <v>880</v>
      </c>
      <c r="AY8" s="969" t="s">
        <v>217</v>
      </c>
      <c r="AZ8" s="969" t="s">
        <v>881</v>
      </c>
      <c r="BA8" s="973" t="s">
        <v>278</v>
      </c>
      <c r="BB8" s="846"/>
      <c r="BC8" s="846"/>
      <c r="BD8" s="846"/>
      <c r="BE8" s="973" t="s">
        <v>279</v>
      </c>
      <c r="BF8" s="846"/>
      <c r="BG8" s="846"/>
      <c r="BH8" s="970" t="s">
        <v>218</v>
      </c>
      <c r="BI8" s="969" t="s">
        <v>880</v>
      </c>
      <c r="BJ8" s="969" t="s">
        <v>217</v>
      </c>
      <c r="BK8" s="969" t="s">
        <v>881</v>
      </c>
      <c r="BL8" s="973" t="s">
        <v>278</v>
      </c>
      <c r="BM8" s="846"/>
      <c r="BN8" s="846"/>
      <c r="BO8" s="846"/>
      <c r="BP8" s="973" t="s">
        <v>279</v>
      </c>
      <c r="BQ8" s="846"/>
      <c r="BR8" s="846"/>
      <c r="BS8" s="970" t="s">
        <v>218</v>
      </c>
      <c r="BT8" s="969" t="s">
        <v>880</v>
      </c>
      <c r="BU8" s="969" t="s">
        <v>217</v>
      </c>
      <c r="BV8" s="969" t="s">
        <v>881</v>
      </c>
      <c r="BW8" s="973" t="s">
        <v>278</v>
      </c>
      <c r="BX8" s="846"/>
      <c r="BY8" s="846"/>
      <c r="BZ8" s="846"/>
      <c r="CA8" s="973" t="s">
        <v>279</v>
      </c>
      <c r="CB8" s="846"/>
      <c r="CC8" s="846"/>
      <c r="CD8" s="970" t="s">
        <v>218</v>
      </c>
      <c r="CE8" s="969" t="s">
        <v>880</v>
      </c>
      <c r="CF8" s="969" t="s">
        <v>217</v>
      </c>
      <c r="CG8" s="969" t="s">
        <v>881</v>
      </c>
      <c r="CH8" s="973" t="s">
        <v>278</v>
      </c>
      <c r="CI8" s="846"/>
      <c r="CJ8" s="846"/>
      <c r="CK8" s="846"/>
      <c r="CL8" s="973" t="s">
        <v>279</v>
      </c>
      <c r="CM8" s="846"/>
      <c r="CN8" s="846"/>
    </row>
    <row r="9" spans="1:92" ht="73.5" customHeight="1" x14ac:dyDescent="0.2">
      <c r="A9" s="855"/>
      <c r="B9" s="855"/>
      <c r="C9" s="855"/>
      <c r="D9" s="971"/>
      <c r="E9" s="972"/>
      <c r="F9" s="7" t="s">
        <v>190</v>
      </c>
      <c r="G9" s="7" t="s">
        <v>79</v>
      </c>
      <c r="H9" s="7" t="s">
        <v>156</v>
      </c>
      <c r="I9" s="7" t="s">
        <v>95</v>
      </c>
      <c r="J9" s="7" t="s">
        <v>327</v>
      </c>
      <c r="K9" s="7" t="s">
        <v>328</v>
      </c>
      <c r="L9" s="7" t="s">
        <v>330</v>
      </c>
      <c r="M9" s="971"/>
      <c r="N9" s="972"/>
      <c r="O9" s="16" t="s">
        <v>190</v>
      </c>
      <c r="P9" s="16" t="s">
        <v>79</v>
      </c>
      <c r="Q9" s="16" t="s">
        <v>156</v>
      </c>
      <c r="R9" s="16" t="s">
        <v>95</v>
      </c>
      <c r="S9" s="16" t="s">
        <v>327</v>
      </c>
      <c r="T9" s="16" t="s">
        <v>328</v>
      </c>
      <c r="U9" s="16" t="s">
        <v>330</v>
      </c>
      <c r="V9" s="971"/>
      <c r="W9" s="972"/>
      <c r="X9" s="7" t="s">
        <v>190</v>
      </c>
      <c r="Y9" s="7" t="s">
        <v>79</v>
      </c>
      <c r="Z9" s="7" t="s">
        <v>156</v>
      </c>
      <c r="AA9" s="7" t="s">
        <v>95</v>
      </c>
      <c r="AB9" s="7" t="s">
        <v>329</v>
      </c>
      <c r="AC9" s="7" t="s">
        <v>323</v>
      </c>
      <c r="AD9" s="7" t="s">
        <v>325</v>
      </c>
      <c r="AE9" s="985"/>
      <c r="AF9" s="987"/>
      <c r="AG9" s="7" t="s">
        <v>190</v>
      </c>
      <c r="AH9" s="7" t="s">
        <v>79</v>
      </c>
      <c r="AI9" s="7" t="s">
        <v>156</v>
      </c>
      <c r="AJ9" s="7" t="s">
        <v>95</v>
      </c>
      <c r="AK9" s="7" t="s">
        <v>321</v>
      </c>
      <c r="AL9" s="7" t="s">
        <v>326</v>
      </c>
      <c r="AM9" s="7" t="s">
        <v>325</v>
      </c>
      <c r="AN9" s="971"/>
      <c r="AO9" s="972"/>
      <c r="AP9" s="7" t="s">
        <v>190</v>
      </c>
      <c r="AQ9" s="7" t="s">
        <v>79</v>
      </c>
      <c r="AR9" s="7" t="s">
        <v>156</v>
      </c>
      <c r="AS9" s="7" t="s">
        <v>95</v>
      </c>
      <c r="AT9" s="7" t="s">
        <v>321</v>
      </c>
      <c r="AU9" s="7" t="s">
        <v>324</v>
      </c>
      <c r="AV9" s="7" t="s">
        <v>322</v>
      </c>
      <c r="AW9" s="971"/>
      <c r="AX9" s="972"/>
      <c r="AY9" s="972"/>
      <c r="AZ9" s="972"/>
      <c r="BA9" s="7" t="s">
        <v>190</v>
      </c>
      <c r="BB9" s="7" t="s">
        <v>79</v>
      </c>
      <c r="BC9" s="7" t="s">
        <v>156</v>
      </c>
      <c r="BD9" s="7" t="s">
        <v>95</v>
      </c>
      <c r="BE9" s="7" t="s">
        <v>321</v>
      </c>
      <c r="BF9" s="7" t="s">
        <v>879</v>
      </c>
      <c r="BG9" s="7" t="s">
        <v>325</v>
      </c>
      <c r="BH9" s="971"/>
      <c r="BI9" s="972"/>
      <c r="BJ9" s="972"/>
      <c r="BK9" s="972"/>
      <c r="BL9" s="7" t="s">
        <v>190</v>
      </c>
      <c r="BM9" s="7" t="s">
        <v>79</v>
      </c>
      <c r="BN9" s="7" t="s">
        <v>156</v>
      </c>
      <c r="BO9" s="7" t="s">
        <v>95</v>
      </c>
      <c r="BP9" s="7" t="s">
        <v>321</v>
      </c>
      <c r="BQ9" s="7" t="s">
        <v>879</v>
      </c>
      <c r="BR9" s="7" t="s">
        <v>325</v>
      </c>
      <c r="BS9" s="971"/>
      <c r="BT9" s="972"/>
      <c r="BU9" s="972"/>
      <c r="BV9" s="972"/>
      <c r="BW9" s="7" t="s">
        <v>190</v>
      </c>
      <c r="BX9" s="7" t="s">
        <v>79</v>
      </c>
      <c r="BY9" s="7" t="s">
        <v>156</v>
      </c>
      <c r="BZ9" s="7" t="s">
        <v>95</v>
      </c>
      <c r="CA9" s="7" t="s">
        <v>879</v>
      </c>
      <c r="CB9" s="7" t="s">
        <v>321</v>
      </c>
      <c r="CC9" s="7" t="s">
        <v>325</v>
      </c>
      <c r="CD9" s="971"/>
      <c r="CE9" s="972"/>
      <c r="CF9" s="972"/>
      <c r="CG9" s="972"/>
      <c r="CH9" s="7">
        <v>1</v>
      </c>
      <c r="CI9" s="7">
        <v>2</v>
      </c>
      <c r="CJ9" s="7">
        <v>3</v>
      </c>
      <c r="CK9" s="7">
        <v>4</v>
      </c>
      <c r="CL9" s="7" t="s">
        <v>321</v>
      </c>
      <c r="CM9" s="7" t="s">
        <v>879</v>
      </c>
      <c r="CN9" s="7" t="s">
        <v>325</v>
      </c>
    </row>
    <row r="10" spans="1:92" ht="24.95" customHeight="1" x14ac:dyDescent="0.2">
      <c r="A10" s="3" t="s">
        <v>10</v>
      </c>
      <c r="B10" s="3"/>
      <c r="C10" s="3"/>
      <c r="D10" s="17">
        <v>54</v>
      </c>
      <c r="E10" s="17">
        <v>9</v>
      </c>
      <c r="F10" s="37">
        <v>0.02</v>
      </c>
      <c r="G10" s="37">
        <v>0.37</v>
      </c>
      <c r="H10" s="37">
        <v>0.5</v>
      </c>
      <c r="I10" s="37">
        <v>0.1</v>
      </c>
      <c r="J10" s="37">
        <v>0.45</v>
      </c>
      <c r="K10" s="37">
        <v>0.5</v>
      </c>
      <c r="L10" s="8" t="s">
        <v>284</v>
      </c>
      <c r="M10" s="18">
        <v>54</v>
      </c>
      <c r="N10" s="18">
        <v>10</v>
      </c>
      <c r="O10" s="58">
        <v>0.02</v>
      </c>
      <c r="P10" s="58">
        <v>0.33</v>
      </c>
      <c r="Q10" s="58">
        <v>0.52</v>
      </c>
      <c r="R10" s="58">
        <v>0.13</v>
      </c>
      <c r="S10" s="58">
        <v>0.43</v>
      </c>
      <c r="T10" s="58">
        <v>0.47</v>
      </c>
      <c r="U10" s="58">
        <v>0.46</v>
      </c>
      <c r="V10" s="18">
        <v>54</v>
      </c>
      <c r="W10" s="18">
        <v>10</v>
      </c>
      <c r="X10" s="64">
        <v>0.03</v>
      </c>
      <c r="Y10" s="64">
        <v>0.35</v>
      </c>
      <c r="Z10" s="64">
        <v>0.49</v>
      </c>
      <c r="AA10" s="64">
        <v>0.13</v>
      </c>
      <c r="AB10" s="64">
        <v>0.44</v>
      </c>
      <c r="AC10" s="64">
        <v>0.47</v>
      </c>
      <c r="AD10" s="64">
        <v>0.51</v>
      </c>
      <c r="AE10" s="18">
        <v>53</v>
      </c>
      <c r="AF10" s="18">
        <v>10</v>
      </c>
      <c r="AG10" s="37">
        <v>0.04</v>
      </c>
      <c r="AH10" s="37">
        <v>0.34</v>
      </c>
      <c r="AI10" s="37">
        <v>0.49</v>
      </c>
      <c r="AJ10" s="37">
        <v>0.12</v>
      </c>
      <c r="AK10" s="37">
        <v>0.43</v>
      </c>
      <c r="AL10" s="37">
        <v>0.37</v>
      </c>
      <c r="AM10" s="37">
        <v>0.43</v>
      </c>
      <c r="AN10" s="8">
        <v>53</v>
      </c>
      <c r="AO10" s="8">
        <v>10</v>
      </c>
      <c r="AP10" s="37">
        <v>0.04</v>
      </c>
      <c r="AQ10" s="37">
        <v>0.36</v>
      </c>
      <c r="AR10" s="37">
        <v>0.49</v>
      </c>
      <c r="AS10" s="37">
        <v>0.1</v>
      </c>
      <c r="AT10" s="37">
        <v>0.48</v>
      </c>
      <c r="AU10" s="37">
        <v>0.39</v>
      </c>
      <c r="AV10" s="37">
        <v>0.43</v>
      </c>
      <c r="AW10" s="246">
        <v>53</v>
      </c>
      <c r="AX10" s="246" t="s">
        <v>874</v>
      </c>
      <c r="AY10" s="246">
        <v>11</v>
      </c>
      <c r="AZ10" s="246" t="s">
        <v>875</v>
      </c>
      <c r="BA10" s="261">
        <v>0.04</v>
      </c>
      <c r="BB10" s="261">
        <v>0.37</v>
      </c>
      <c r="BC10" s="261">
        <v>0.45</v>
      </c>
      <c r="BD10" s="261">
        <v>0.13</v>
      </c>
      <c r="BE10" s="261">
        <v>0.45</v>
      </c>
      <c r="BF10" s="261">
        <v>0.36</v>
      </c>
      <c r="BG10" s="261">
        <v>0.55000000000000004</v>
      </c>
      <c r="BH10" s="315">
        <v>54</v>
      </c>
      <c r="BI10" s="315" t="s">
        <v>874</v>
      </c>
      <c r="BJ10" s="315">
        <v>11</v>
      </c>
      <c r="BK10" s="315" t="s">
        <v>875</v>
      </c>
      <c r="BL10" s="289">
        <v>0.05</v>
      </c>
      <c r="BM10" s="289">
        <v>0.34</v>
      </c>
      <c r="BN10" s="289">
        <v>0.47</v>
      </c>
      <c r="BO10" s="289">
        <v>0.14000000000000001</v>
      </c>
      <c r="BP10" s="289">
        <v>0.47</v>
      </c>
      <c r="BQ10" s="289">
        <v>0.36</v>
      </c>
      <c r="BR10" s="289">
        <v>0.47</v>
      </c>
      <c r="BS10" s="423">
        <v>54</v>
      </c>
      <c r="BT10" s="423" t="s">
        <v>874</v>
      </c>
      <c r="BU10" s="423">
        <v>10</v>
      </c>
      <c r="BV10" s="423" t="s">
        <v>874</v>
      </c>
      <c r="BW10" s="427">
        <v>0.04</v>
      </c>
      <c r="BX10" s="427">
        <v>0.35</v>
      </c>
      <c r="BY10" s="427">
        <v>0.48</v>
      </c>
      <c r="BZ10" s="427">
        <v>0.13</v>
      </c>
      <c r="CA10" s="427">
        <v>0.37</v>
      </c>
      <c r="CB10" s="427">
        <v>0.48</v>
      </c>
      <c r="CC10" s="427">
        <v>0.5</v>
      </c>
      <c r="CD10" s="463">
        <v>54</v>
      </c>
      <c r="CE10" s="463" t="s">
        <v>874</v>
      </c>
      <c r="CF10" s="463" t="s">
        <v>797</v>
      </c>
      <c r="CG10" s="463" t="s">
        <v>874</v>
      </c>
      <c r="CH10" s="477">
        <v>0.04</v>
      </c>
      <c r="CI10" s="477">
        <v>0.31</v>
      </c>
      <c r="CJ10" s="477">
        <v>0.5</v>
      </c>
      <c r="CK10" s="477">
        <v>0.15</v>
      </c>
      <c r="CL10" s="477">
        <v>0.45</v>
      </c>
      <c r="CM10" s="477">
        <v>0.44</v>
      </c>
      <c r="CN10" s="477">
        <v>0.35</v>
      </c>
    </row>
    <row r="11" spans="1:92" ht="24.95" customHeight="1" x14ac:dyDescent="0.2">
      <c r="A11" s="4" t="s">
        <v>0</v>
      </c>
      <c r="B11" s="4"/>
      <c r="C11" s="4"/>
      <c r="D11" s="19">
        <v>54</v>
      </c>
      <c r="E11" s="19">
        <v>8</v>
      </c>
      <c r="F11" s="38">
        <v>0.01</v>
      </c>
      <c r="G11" s="38">
        <v>0.34</v>
      </c>
      <c r="H11" s="38">
        <v>0.57999999999999996</v>
      </c>
      <c r="I11" s="38">
        <v>7.0000000000000007E-2</v>
      </c>
      <c r="J11" s="38">
        <v>0.43</v>
      </c>
      <c r="K11" s="38">
        <v>0.47</v>
      </c>
      <c r="L11" s="38">
        <v>0.54</v>
      </c>
      <c r="M11" s="20">
        <v>55</v>
      </c>
      <c r="N11" s="20">
        <v>8</v>
      </c>
      <c r="O11" s="59">
        <v>0.01</v>
      </c>
      <c r="P11" s="59">
        <v>0.28999999999999998</v>
      </c>
      <c r="Q11" s="59">
        <v>0.6</v>
      </c>
      <c r="R11" s="59">
        <v>0.09</v>
      </c>
      <c r="S11" s="59">
        <v>0.42</v>
      </c>
      <c r="T11" s="59">
        <v>0.46</v>
      </c>
      <c r="U11" s="59">
        <v>0.46</v>
      </c>
      <c r="V11" s="20">
        <v>54</v>
      </c>
      <c r="W11" s="20">
        <v>9</v>
      </c>
      <c r="X11" s="62">
        <v>0.01</v>
      </c>
      <c r="Y11" s="62">
        <v>0.32</v>
      </c>
      <c r="Z11" s="62">
        <v>0.56000000000000005</v>
      </c>
      <c r="AA11" s="62">
        <v>0.11</v>
      </c>
      <c r="AB11" s="62">
        <v>0.42</v>
      </c>
      <c r="AC11" s="62">
        <v>0.47</v>
      </c>
      <c r="AD11" s="62">
        <v>0.49</v>
      </c>
      <c r="AE11" s="20">
        <v>54</v>
      </c>
      <c r="AF11" s="20">
        <v>9</v>
      </c>
      <c r="AG11" s="38">
        <v>0.02</v>
      </c>
      <c r="AH11" s="38">
        <v>0.3</v>
      </c>
      <c r="AI11" s="38">
        <v>0.56999999999999995</v>
      </c>
      <c r="AJ11" s="38">
        <v>0.11</v>
      </c>
      <c r="AK11" s="38">
        <v>0.41</v>
      </c>
      <c r="AL11" s="38">
        <v>0.36</v>
      </c>
      <c r="AM11" s="38">
        <v>0.41</v>
      </c>
      <c r="AN11" s="9">
        <v>54</v>
      </c>
      <c r="AO11" s="9">
        <v>9</v>
      </c>
      <c r="AP11" s="38">
        <v>0.02</v>
      </c>
      <c r="AQ11" s="38">
        <v>0.31</v>
      </c>
      <c r="AR11" s="38">
        <v>0.59</v>
      </c>
      <c r="AS11" s="38">
        <v>0.09</v>
      </c>
      <c r="AT11" s="38">
        <v>0.46</v>
      </c>
      <c r="AU11" s="38">
        <v>0.36</v>
      </c>
      <c r="AV11" s="38">
        <v>0.42</v>
      </c>
      <c r="AW11" s="244">
        <v>55</v>
      </c>
      <c r="AX11" s="244" t="s">
        <v>11</v>
      </c>
      <c r="AY11" s="244">
        <v>9</v>
      </c>
      <c r="AZ11" s="244" t="s">
        <v>11</v>
      </c>
      <c r="BA11" s="262">
        <v>0.02</v>
      </c>
      <c r="BB11" s="262">
        <v>0.32</v>
      </c>
      <c r="BC11" s="262">
        <v>0.54</v>
      </c>
      <c r="BD11" s="262">
        <v>0.12</v>
      </c>
      <c r="BE11" s="262">
        <v>0.43</v>
      </c>
      <c r="BF11" s="262">
        <v>0.33</v>
      </c>
      <c r="BG11" s="262">
        <v>0.53</v>
      </c>
      <c r="BH11" s="316">
        <v>55</v>
      </c>
      <c r="BI11" s="316" t="s">
        <v>11</v>
      </c>
      <c r="BJ11" s="316">
        <v>9</v>
      </c>
      <c r="BK11" s="316" t="s">
        <v>11</v>
      </c>
      <c r="BL11" s="290">
        <v>0.02</v>
      </c>
      <c r="BM11" s="290">
        <v>0.27</v>
      </c>
      <c r="BN11" s="290">
        <v>0.57999999999999996</v>
      </c>
      <c r="BO11" s="290">
        <v>0.13</v>
      </c>
      <c r="BP11" s="290">
        <v>0.45</v>
      </c>
      <c r="BQ11" s="290">
        <v>0.33</v>
      </c>
      <c r="BR11" s="290">
        <v>0.43</v>
      </c>
      <c r="BS11" s="424">
        <v>55</v>
      </c>
      <c r="BT11" s="424" t="s">
        <v>11</v>
      </c>
      <c r="BU11" s="424">
        <v>9</v>
      </c>
      <c r="BV11" s="424" t="s">
        <v>11</v>
      </c>
      <c r="BW11" s="428">
        <v>0.02</v>
      </c>
      <c r="BX11" s="428">
        <v>0.28999999999999998</v>
      </c>
      <c r="BY11" s="428">
        <v>0.56999999999999995</v>
      </c>
      <c r="BZ11" s="428">
        <v>0.12</v>
      </c>
      <c r="CA11" s="428">
        <v>0.35</v>
      </c>
      <c r="CB11" s="428">
        <v>0.46</v>
      </c>
      <c r="CC11" s="428">
        <v>0.48</v>
      </c>
      <c r="CD11" s="464">
        <v>56</v>
      </c>
      <c r="CE11" s="464" t="s">
        <v>11</v>
      </c>
      <c r="CF11" s="464">
        <v>9</v>
      </c>
      <c r="CG11" s="464" t="s">
        <v>11</v>
      </c>
      <c r="CH11" s="478">
        <v>0.02</v>
      </c>
      <c r="CI11" s="478">
        <v>0.25</v>
      </c>
      <c r="CJ11" s="478">
        <v>0.59</v>
      </c>
      <c r="CK11" s="478">
        <v>0.14000000000000001</v>
      </c>
      <c r="CL11" s="478">
        <v>0.43</v>
      </c>
      <c r="CM11" s="478">
        <v>0.43</v>
      </c>
      <c r="CN11" s="478">
        <v>0.32</v>
      </c>
    </row>
    <row r="12" spans="1:92" ht="24.95" customHeight="1" x14ac:dyDescent="0.2">
      <c r="A12" s="6" t="s">
        <v>12</v>
      </c>
      <c r="B12" s="6"/>
      <c r="C12" s="6"/>
      <c r="D12" s="21">
        <v>53</v>
      </c>
      <c r="E12" s="21">
        <v>8</v>
      </c>
      <c r="F12" s="39">
        <v>0.01</v>
      </c>
      <c r="G12" s="39">
        <v>0.39</v>
      </c>
      <c r="H12" s="39">
        <v>0.54</v>
      </c>
      <c r="I12" s="39">
        <v>0.05</v>
      </c>
      <c r="J12" s="39">
        <f>AVERAGEIFS(J$36:J$171,$B$36:$B$171,"=oficial")</f>
        <v>0.4592</v>
      </c>
      <c r="K12" s="39">
        <f>AVERAGEIFS(K$36:K$171,$B$36:$B$171,"=oficial")</f>
        <v>0.49399999999999983</v>
      </c>
      <c r="L12" s="39">
        <f>AVERAGEIFS(L$36:L$171,$B$36:$B$171,"=oficial")</f>
        <v>0.5623999999999999</v>
      </c>
      <c r="M12" s="22">
        <v>54</v>
      </c>
      <c r="N12" s="22">
        <v>8</v>
      </c>
      <c r="O12" s="60">
        <v>0.01</v>
      </c>
      <c r="P12" s="60">
        <v>0.34</v>
      </c>
      <c r="Q12" s="60">
        <v>0.56999999999999995</v>
      </c>
      <c r="R12" s="60">
        <v>7.0000000000000007E-2</v>
      </c>
      <c r="S12" s="60">
        <f>AVERAGEIFS(S$36:S$171,$B$36:$B$171,"=oficial")</f>
        <v>0.44040000000000007</v>
      </c>
      <c r="T12" s="60">
        <f>AVERAGEIFS(T$36:T$171,$B$36:$B$171,"=oficial")</f>
        <v>0.48360000000000009</v>
      </c>
      <c r="U12" s="60">
        <f>AVERAGEIFS(U$36:U$171,$B$36:$B$171,"=oficial")</f>
        <v>0.48520000000000002</v>
      </c>
      <c r="V12" s="22">
        <v>53</v>
      </c>
      <c r="W12" s="22">
        <v>9</v>
      </c>
      <c r="X12" s="65">
        <v>0.02</v>
      </c>
      <c r="Y12" s="65">
        <v>0.37</v>
      </c>
      <c r="Z12" s="65">
        <v>0.53</v>
      </c>
      <c r="AA12" s="65">
        <v>0.08</v>
      </c>
      <c r="AB12" s="65">
        <f>AVERAGEIFS(AB$36:AB$171,$B$36:$B$171,"=oficial")</f>
        <v>0.45399999999999996</v>
      </c>
      <c r="AC12" s="65">
        <f>AVERAGEIFS(AC$36:AC$171,$B$36:$B$171,"=oficial")</f>
        <v>0.49800000000000005</v>
      </c>
      <c r="AD12" s="65">
        <f>AVERAGEIFS(AD$36:AD$171,$B$36:$B$171,"=oficial")</f>
        <v>0.51840000000000008</v>
      </c>
      <c r="AE12" s="22">
        <v>53</v>
      </c>
      <c r="AF12" s="22">
        <v>9</v>
      </c>
      <c r="AG12" s="39">
        <v>0.02</v>
      </c>
      <c r="AH12" s="39">
        <v>0.35</v>
      </c>
      <c r="AI12" s="39">
        <v>0.55000000000000004</v>
      </c>
      <c r="AJ12" s="39">
        <v>0.08</v>
      </c>
      <c r="AK12" s="39">
        <f>AVERAGEIFS(AK$36:AK$171,$B$36:$B$171,"=oficial")</f>
        <v>0.43920000000000003</v>
      </c>
      <c r="AL12" s="39">
        <f>AVERAGEIFS(AL$36:AL$171,$B$36:$B$171,"=oficial")</f>
        <v>0.38440000000000007</v>
      </c>
      <c r="AM12" s="39">
        <f>AVERAGEIFS(AM$36:AM$171,$B$36:$B$171,"=oficial")</f>
        <v>0.43600000000000011</v>
      </c>
      <c r="AN12" s="11">
        <v>53</v>
      </c>
      <c r="AO12" s="11">
        <v>9</v>
      </c>
      <c r="AP12" s="39">
        <v>0.02</v>
      </c>
      <c r="AQ12" s="39">
        <v>0.35</v>
      </c>
      <c r="AR12" s="39">
        <v>0.56000000000000005</v>
      </c>
      <c r="AS12" s="39">
        <v>7.0000000000000007E-2</v>
      </c>
      <c r="AT12" s="39">
        <f>AVERAGEIFS(AT$36:AT$171,$B$36:$B$171,"=oficial")</f>
        <v>0.48080000000000001</v>
      </c>
      <c r="AU12" s="39">
        <f>AVERAGEIFS(AU$36:AU$171,$B$36:$B$171,"=oficial")</f>
        <v>0.38040000000000013</v>
      </c>
      <c r="AV12" s="39">
        <f>AVERAGEIFS(AV$36:AV$171,$B$36:$B$171,"=oficial")</f>
        <v>0.44559999999999989</v>
      </c>
      <c r="AW12" s="245">
        <v>53</v>
      </c>
      <c r="AX12" s="245" t="s">
        <v>874</v>
      </c>
      <c r="AY12" s="245">
        <v>9</v>
      </c>
      <c r="AZ12" s="245" t="s">
        <v>874</v>
      </c>
      <c r="BA12" s="263">
        <v>0.02</v>
      </c>
      <c r="BB12" s="263">
        <v>0.37</v>
      </c>
      <c r="BC12" s="263">
        <v>0.52</v>
      </c>
      <c r="BD12" s="263">
        <v>0.09</v>
      </c>
      <c r="BE12" s="39">
        <f>AVERAGEIFS(BE$36:BE$171,$B$36:$B$171,"=oficial")</f>
        <v>0.45920000000000011</v>
      </c>
      <c r="BF12" s="39">
        <f>AVERAGEIFS(BF$36:BF$171,$B$36:$B$171,"=oficial")</f>
        <v>0.36680000000000007</v>
      </c>
      <c r="BG12" s="39">
        <f>AVERAGEIFS(BG$36:BG$171,$B$36:$B$171,"=oficial")</f>
        <v>0.55920000000000014</v>
      </c>
      <c r="BH12" s="317">
        <v>53</v>
      </c>
      <c r="BI12" s="317" t="s">
        <v>874</v>
      </c>
      <c r="BJ12" s="317">
        <v>9</v>
      </c>
      <c r="BK12" s="317" t="s">
        <v>874</v>
      </c>
      <c r="BL12" s="293">
        <v>0.02</v>
      </c>
      <c r="BM12" s="293">
        <v>0.34</v>
      </c>
      <c r="BN12" s="293">
        <v>0.56000000000000005</v>
      </c>
      <c r="BO12" s="293">
        <v>0.09</v>
      </c>
      <c r="BP12" s="39">
        <f>AVERAGEIFS(BP$36:BP$171,$B$36:$B$171,"=oficial")</f>
        <v>0.48275862068965525</v>
      </c>
      <c r="BQ12" s="39">
        <f>AVERAGEIFS(BQ$36:BQ$171,$B$36:$B$171,"=oficial")</f>
        <v>0.36206896551724138</v>
      </c>
      <c r="BR12" s="39">
        <f>AVERAGEIFS(BR$36:BR$171,$B$36:$B$171,"=oficial")</f>
        <v>0.46448275862068977</v>
      </c>
      <c r="BS12" s="425">
        <v>53</v>
      </c>
      <c r="BT12" s="425" t="s">
        <v>874</v>
      </c>
      <c r="BU12" s="425">
        <v>9</v>
      </c>
      <c r="BV12" s="425" t="s">
        <v>874</v>
      </c>
      <c r="BW12" s="429">
        <v>0.02</v>
      </c>
      <c r="BX12" s="429">
        <v>0.35</v>
      </c>
      <c r="BY12" s="429">
        <v>0.55000000000000004</v>
      </c>
      <c r="BZ12" s="429">
        <v>0.08</v>
      </c>
      <c r="CA12" s="425" t="s">
        <v>283</v>
      </c>
      <c r="CB12" s="425" t="s">
        <v>283</v>
      </c>
      <c r="CC12" s="425" t="s">
        <v>283</v>
      </c>
      <c r="CD12" s="465">
        <v>54</v>
      </c>
      <c r="CE12" s="465" t="s">
        <v>874</v>
      </c>
      <c r="CF12" s="465">
        <v>9</v>
      </c>
      <c r="CG12" s="465" t="s">
        <v>874</v>
      </c>
      <c r="CH12" s="479">
        <v>0.03</v>
      </c>
      <c r="CI12" s="479">
        <v>0.31</v>
      </c>
      <c r="CJ12" s="479">
        <v>0.56000000000000005</v>
      </c>
      <c r="CK12" s="479">
        <v>0.1</v>
      </c>
      <c r="CL12" s="465" t="s">
        <v>283</v>
      </c>
      <c r="CM12" s="465" t="s">
        <v>283</v>
      </c>
      <c r="CN12" s="465" t="s">
        <v>283</v>
      </c>
    </row>
    <row r="13" spans="1:92" ht="24.95" customHeight="1" x14ac:dyDescent="0.2">
      <c r="A13" s="6" t="s">
        <v>13</v>
      </c>
      <c r="B13" s="6"/>
      <c r="C13" s="6"/>
      <c r="D13" s="21">
        <v>53</v>
      </c>
      <c r="E13" s="21">
        <v>8</v>
      </c>
      <c r="F13" s="39">
        <v>0.02</v>
      </c>
      <c r="G13" s="39">
        <v>0.32</v>
      </c>
      <c r="H13" s="39">
        <v>0.66</v>
      </c>
      <c r="I13" s="39">
        <v>0</v>
      </c>
      <c r="J13" s="39">
        <f>J99</f>
        <v>0</v>
      </c>
      <c r="K13" s="39">
        <f>K99</f>
        <v>0</v>
      </c>
      <c r="L13" s="39">
        <f>L99</f>
        <v>0</v>
      </c>
      <c r="M13" s="22">
        <v>51</v>
      </c>
      <c r="N13" s="22">
        <v>8</v>
      </c>
      <c r="O13" s="60">
        <v>0.02</v>
      </c>
      <c r="P13" s="60">
        <v>0.43</v>
      </c>
      <c r="Q13" s="60">
        <v>0.5</v>
      </c>
      <c r="R13" s="60">
        <v>0.05</v>
      </c>
      <c r="S13" s="60">
        <f>S99</f>
        <v>0.38</v>
      </c>
      <c r="T13" s="60">
        <f>T99</f>
        <v>0.4</v>
      </c>
      <c r="U13" s="60">
        <f>U99</f>
        <v>0.38</v>
      </c>
      <c r="V13" s="22">
        <v>51</v>
      </c>
      <c r="W13" s="22">
        <v>9</v>
      </c>
      <c r="X13" s="65">
        <v>0.09</v>
      </c>
      <c r="Y13" s="65">
        <v>0.41</v>
      </c>
      <c r="Z13" s="65">
        <v>0.44</v>
      </c>
      <c r="AA13" s="65">
        <v>0.06</v>
      </c>
      <c r="AB13" s="65">
        <f>AB99</f>
        <v>0</v>
      </c>
      <c r="AC13" s="65">
        <f>AC99</f>
        <v>0</v>
      </c>
      <c r="AD13" s="65">
        <f>AD99</f>
        <v>0</v>
      </c>
      <c r="AE13" s="22">
        <v>52</v>
      </c>
      <c r="AF13" s="22">
        <v>10</v>
      </c>
      <c r="AG13" s="39">
        <v>0.02</v>
      </c>
      <c r="AH13" s="39">
        <v>0.47</v>
      </c>
      <c r="AI13" s="39">
        <v>0.45</v>
      </c>
      <c r="AJ13" s="39">
        <v>0.06</v>
      </c>
      <c r="AK13" s="39">
        <f>AK99</f>
        <v>0</v>
      </c>
      <c r="AL13" s="39">
        <f>AL99</f>
        <v>0</v>
      </c>
      <c r="AM13" s="39">
        <f>AM99</f>
        <v>0</v>
      </c>
      <c r="AN13" s="11">
        <v>52</v>
      </c>
      <c r="AO13" s="11">
        <v>9</v>
      </c>
      <c r="AP13" s="39">
        <v>0</v>
      </c>
      <c r="AQ13" s="39">
        <v>0.39</v>
      </c>
      <c r="AR13" s="39">
        <v>0.55000000000000004</v>
      </c>
      <c r="AS13" s="39">
        <v>0.05</v>
      </c>
      <c r="AT13" s="39">
        <f>AT99</f>
        <v>0</v>
      </c>
      <c r="AU13" s="39">
        <f>AU99</f>
        <v>0</v>
      </c>
      <c r="AV13" s="39">
        <f>AV99</f>
        <v>0</v>
      </c>
      <c r="AW13" s="245">
        <v>52</v>
      </c>
      <c r="AX13" s="245" t="s">
        <v>874</v>
      </c>
      <c r="AY13" s="245">
        <v>8</v>
      </c>
      <c r="AZ13" s="245" t="s">
        <v>874</v>
      </c>
      <c r="BA13" s="263">
        <v>0.02</v>
      </c>
      <c r="BB13" s="263">
        <v>0.43</v>
      </c>
      <c r="BC13" s="263">
        <v>0.5</v>
      </c>
      <c r="BD13" s="263">
        <v>0.05</v>
      </c>
      <c r="BE13" s="39">
        <f>BE99</f>
        <v>0</v>
      </c>
      <c r="BF13" s="39">
        <f>BF99</f>
        <v>0</v>
      </c>
      <c r="BG13" s="39">
        <f>BG99</f>
        <v>0</v>
      </c>
      <c r="BH13" s="317">
        <v>52</v>
      </c>
      <c r="BI13" s="317" t="s">
        <v>874</v>
      </c>
      <c r="BJ13" s="317">
        <v>10</v>
      </c>
      <c r="BK13" s="317" t="s">
        <v>874</v>
      </c>
      <c r="BL13" s="293">
        <v>0.03</v>
      </c>
      <c r="BM13" s="293">
        <v>0.4</v>
      </c>
      <c r="BN13" s="293">
        <v>0.45</v>
      </c>
      <c r="BO13" s="293">
        <v>0.13</v>
      </c>
      <c r="BP13" s="39">
        <f>BP99</f>
        <v>0</v>
      </c>
      <c r="BQ13" s="39">
        <f>BQ99</f>
        <v>0</v>
      </c>
      <c r="BR13" s="39">
        <f>BR99</f>
        <v>0</v>
      </c>
      <c r="BS13" s="425">
        <v>51</v>
      </c>
      <c r="BT13" s="425" t="s">
        <v>876</v>
      </c>
      <c r="BU13" s="425">
        <v>9</v>
      </c>
      <c r="BV13" s="425" t="s">
        <v>874</v>
      </c>
      <c r="BW13" s="429">
        <v>0</v>
      </c>
      <c r="BX13" s="429">
        <v>0.44</v>
      </c>
      <c r="BY13" s="429">
        <v>0.54</v>
      </c>
      <c r="BZ13" s="429">
        <v>0.02</v>
      </c>
      <c r="CA13" s="425" t="s">
        <v>283</v>
      </c>
      <c r="CB13" s="425" t="s">
        <v>283</v>
      </c>
      <c r="CC13" s="425" t="s">
        <v>283</v>
      </c>
      <c r="CD13" s="465">
        <v>52</v>
      </c>
      <c r="CE13" s="465" t="s">
        <v>876</v>
      </c>
      <c r="CF13" s="465">
        <v>8</v>
      </c>
      <c r="CG13" s="465" t="s">
        <v>874</v>
      </c>
      <c r="CH13" s="479">
        <v>0.02</v>
      </c>
      <c r="CI13" s="479">
        <v>0.34</v>
      </c>
      <c r="CJ13" s="479">
        <v>0.6</v>
      </c>
      <c r="CK13" s="479">
        <v>0.04</v>
      </c>
      <c r="CL13" s="465" t="s">
        <v>283</v>
      </c>
      <c r="CM13" s="465" t="s">
        <v>283</v>
      </c>
      <c r="CN13" s="465" t="s">
        <v>283</v>
      </c>
    </row>
    <row r="14" spans="1:92" ht="24.6" customHeight="1" x14ac:dyDescent="0.2">
      <c r="A14" s="6" t="s">
        <v>14</v>
      </c>
      <c r="B14" s="6"/>
      <c r="C14" s="6"/>
      <c r="D14" s="21">
        <v>55</v>
      </c>
      <c r="E14" s="21">
        <v>8</v>
      </c>
      <c r="F14" s="39">
        <v>0.01</v>
      </c>
      <c r="G14" s="39">
        <v>0.28999999999999998</v>
      </c>
      <c r="H14" s="39">
        <v>0.62</v>
      </c>
      <c r="I14" s="39">
        <v>0.08</v>
      </c>
      <c r="J14" s="39">
        <f>AVERAGEIFS(J$36:J$171,$B$36:$B$171,"=no oficial")</f>
        <v>0.41532467532467543</v>
      </c>
      <c r="K14" s="39">
        <f>AVERAGEIFS(K$36:K$171,$B$36:$B$171,"=no oficial")</f>
        <v>0.46571428571428564</v>
      </c>
      <c r="L14" s="39">
        <f>AVERAGEIFS(L$36:L$171,$B$36:$B$171,"=no oficial")</f>
        <v>0.53220779220779235</v>
      </c>
      <c r="M14" s="22">
        <v>56</v>
      </c>
      <c r="N14" s="22">
        <v>8</v>
      </c>
      <c r="O14" s="60">
        <v>0.01</v>
      </c>
      <c r="P14" s="60">
        <v>0.23</v>
      </c>
      <c r="Q14" s="60">
        <v>0.64</v>
      </c>
      <c r="R14" s="60">
        <v>0.12</v>
      </c>
      <c r="S14" s="39">
        <f>AVERAGEIFS(S$36:S$171,$B$36:$B$171,"=no oficial")</f>
        <v>0.41298701298701301</v>
      </c>
      <c r="T14" s="39">
        <f>AVERAGEIFS(T$36:T$171,$B$36:$B$171,"=no oficial")</f>
        <v>0.45337662337662327</v>
      </c>
      <c r="U14" s="39">
        <f>AVERAGEIFS(U$36:U$171,$B$36:$B$171,"=no oficial")</f>
        <v>0.44974025974025966</v>
      </c>
      <c r="V14" s="22">
        <v>56</v>
      </c>
      <c r="W14" s="22">
        <v>9</v>
      </c>
      <c r="X14" s="65">
        <v>0.01</v>
      </c>
      <c r="Y14" s="65">
        <v>0.26</v>
      </c>
      <c r="Z14" s="65">
        <v>0.59</v>
      </c>
      <c r="AA14" s="65">
        <v>0.14000000000000001</v>
      </c>
      <c r="AB14" s="65">
        <f>AVERAGEIFS(AB$36:AB$171,$B$36:$B$171,"=no oficial")</f>
        <v>0.40987179487179493</v>
      </c>
      <c r="AC14" s="65">
        <f>AVERAGEIFS(AC$36:AC$171,$B$36:$B$171,"=no oficial")</f>
        <v>0.45858974358974364</v>
      </c>
      <c r="AD14" s="65">
        <f>AVERAGEIFS(AD$36:AD$171,$B$36:$B$171,"=no oficial")</f>
        <v>0.48025641025641008</v>
      </c>
      <c r="AE14" s="22">
        <v>56</v>
      </c>
      <c r="AF14" s="22">
        <v>9</v>
      </c>
      <c r="AG14" s="39">
        <v>0.01</v>
      </c>
      <c r="AH14" s="39">
        <v>0.25</v>
      </c>
      <c r="AI14" s="39">
        <v>0.6</v>
      </c>
      <c r="AJ14" s="39">
        <v>0.14000000000000001</v>
      </c>
      <c r="AK14" s="39">
        <f>AVERAGEIFS(AK$36:AK$171,$B$36:$B$171,"=no oficial")</f>
        <v>0.39425000000000016</v>
      </c>
      <c r="AL14" s="39">
        <f>AVERAGEIFS(AL$36:AL$171,$B$36:$B$171,"=no oficial")</f>
        <v>0.34524999999999995</v>
      </c>
      <c r="AM14" s="39">
        <f>AVERAGEIFS(AM$36:AM$171,$B$36:$B$171,"=no oficial")</f>
        <v>0.39174999999999993</v>
      </c>
      <c r="AN14" s="11">
        <v>55</v>
      </c>
      <c r="AO14" s="11">
        <v>9</v>
      </c>
      <c r="AP14" s="39">
        <v>0.01</v>
      </c>
      <c r="AQ14" s="39">
        <v>0.26</v>
      </c>
      <c r="AR14" s="39">
        <v>0.61</v>
      </c>
      <c r="AS14" s="39">
        <v>0.11</v>
      </c>
      <c r="AT14" s="39">
        <f>AVERAGEIFS(AT$36:AT$171,$B$36:$B$171,"=no oficial")</f>
        <v>0.45058823529411768</v>
      </c>
      <c r="AU14" s="39">
        <f>AVERAGEIFS(AU$36:AU$171,$B$36:$B$171,"=no oficial")</f>
        <v>0.35247058823529415</v>
      </c>
      <c r="AV14" s="39">
        <f>AVERAGEIFS(AV$36:AV$171,$B$36:$B$171,"=no oficial")</f>
        <v>0.41882352941176465</v>
      </c>
      <c r="AW14" s="245">
        <v>56</v>
      </c>
      <c r="AX14" s="245" t="s">
        <v>874</v>
      </c>
      <c r="AY14" s="245">
        <v>9</v>
      </c>
      <c r="AZ14" s="245" t="s">
        <v>874</v>
      </c>
      <c r="BA14" s="263">
        <v>0.01</v>
      </c>
      <c r="BB14" s="263">
        <v>0.26</v>
      </c>
      <c r="BC14" s="263">
        <v>0.56999999999999995</v>
      </c>
      <c r="BD14" s="263">
        <v>0.16</v>
      </c>
      <c r="BE14" s="39">
        <f>AVERAGEIFS(BE$36:BE$171,$B$36:$B$171,"=no oficial")</f>
        <v>0.4204761904761905</v>
      </c>
      <c r="BF14" s="39">
        <f>AVERAGEIFS(BF$36:BF$171,$B$36:$B$171,"=no oficial")</f>
        <v>0.32095238095238093</v>
      </c>
      <c r="BG14" s="39">
        <f>AVERAGEIFS(BG$36:BG$171,$B$36:$B$171,"=no oficial")</f>
        <v>0.51488095238095211</v>
      </c>
      <c r="BH14" s="317">
        <v>57</v>
      </c>
      <c r="BI14" s="317" t="s">
        <v>874</v>
      </c>
      <c r="BJ14" s="317">
        <v>9</v>
      </c>
      <c r="BK14" s="317" t="s">
        <v>874</v>
      </c>
      <c r="BL14" s="293">
        <v>0.01</v>
      </c>
      <c r="BM14" s="293">
        <v>0.21</v>
      </c>
      <c r="BN14" s="293">
        <v>0.61</v>
      </c>
      <c r="BO14" s="293">
        <v>0.16</v>
      </c>
      <c r="BP14" s="39">
        <f>AVERAGEIFS(BP$36:BP$171,$B$36:$B$171,"=no oficial")</f>
        <v>0.43459770114942542</v>
      </c>
      <c r="BQ14" s="39">
        <f>AVERAGEIFS(BQ$36:BQ$171,$B$36:$B$171,"=no oficial")</f>
        <v>0.31080459770114938</v>
      </c>
      <c r="BR14" s="39">
        <f>AVERAGEIFS(BR$36:BR$171,$B$36:$B$171,"=no oficial")</f>
        <v>0.4056321839080459</v>
      </c>
      <c r="BS14" s="425">
        <v>57</v>
      </c>
      <c r="BT14" s="425" t="s">
        <v>874</v>
      </c>
      <c r="BU14" s="425">
        <v>9</v>
      </c>
      <c r="BV14" s="425" t="s">
        <v>874</v>
      </c>
      <c r="BW14" s="429">
        <v>0.01</v>
      </c>
      <c r="BX14" s="429">
        <v>0.22</v>
      </c>
      <c r="BY14" s="429">
        <v>0.6</v>
      </c>
      <c r="BZ14" s="429">
        <v>0.17</v>
      </c>
      <c r="CA14" s="425" t="s">
        <v>283</v>
      </c>
      <c r="CB14" s="425" t="s">
        <v>283</v>
      </c>
      <c r="CC14" s="425" t="s">
        <v>283</v>
      </c>
      <c r="CD14" s="465">
        <v>58</v>
      </c>
      <c r="CE14" s="465" t="s">
        <v>874</v>
      </c>
      <c r="CF14" s="465">
        <v>9</v>
      </c>
      <c r="CG14" s="465" t="s">
        <v>874</v>
      </c>
      <c r="CH14" s="479">
        <v>0.01</v>
      </c>
      <c r="CI14" s="479">
        <v>0.18</v>
      </c>
      <c r="CJ14" s="479">
        <v>0.63</v>
      </c>
      <c r="CK14" s="479">
        <v>0.18</v>
      </c>
      <c r="CL14" s="465" t="s">
        <v>283</v>
      </c>
      <c r="CM14" s="465" t="s">
        <v>283</v>
      </c>
      <c r="CN14" s="465" t="s">
        <v>283</v>
      </c>
    </row>
    <row r="15" spans="1:92" ht="24.95" customHeight="1" x14ac:dyDescent="0.2">
      <c r="A15" s="6" t="s">
        <v>15</v>
      </c>
      <c r="B15" s="6"/>
      <c r="C15" s="6"/>
      <c r="D15" s="21">
        <v>52</v>
      </c>
      <c r="E15" s="21">
        <v>8</v>
      </c>
      <c r="F15" s="39">
        <v>0.02</v>
      </c>
      <c r="G15" s="39">
        <v>0.42</v>
      </c>
      <c r="H15" s="39">
        <v>0.52</v>
      </c>
      <c r="I15" s="39">
        <v>0.04</v>
      </c>
      <c r="J15" s="11" t="s">
        <v>283</v>
      </c>
      <c r="K15" s="11" t="s">
        <v>283</v>
      </c>
      <c r="L15" s="11" t="s">
        <v>283</v>
      </c>
      <c r="M15" s="22">
        <v>53</v>
      </c>
      <c r="N15" s="22">
        <v>8</v>
      </c>
      <c r="O15" s="60">
        <v>0.01</v>
      </c>
      <c r="P15" s="60">
        <v>0.36</v>
      </c>
      <c r="Q15" s="60">
        <v>0.56000000000000005</v>
      </c>
      <c r="R15" s="60">
        <v>7.0000000000000007E-2</v>
      </c>
      <c r="S15" s="22" t="s">
        <v>283</v>
      </c>
      <c r="T15" s="22" t="s">
        <v>283</v>
      </c>
      <c r="U15" s="22" t="s">
        <v>283</v>
      </c>
      <c r="V15" s="22">
        <v>53</v>
      </c>
      <c r="W15" s="22">
        <v>9</v>
      </c>
      <c r="X15" s="65">
        <v>0.02</v>
      </c>
      <c r="Y15" s="65">
        <v>0.38</v>
      </c>
      <c r="Z15" s="65">
        <v>0.52</v>
      </c>
      <c r="AA15" s="65">
        <v>0.08</v>
      </c>
      <c r="AB15" s="21" t="s">
        <v>283</v>
      </c>
      <c r="AC15" s="21" t="s">
        <v>283</v>
      </c>
      <c r="AD15" s="21" t="s">
        <v>283</v>
      </c>
      <c r="AE15" s="22">
        <v>53</v>
      </c>
      <c r="AF15" s="22">
        <v>9</v>
      </c>
      <c r="AG15" s="39">
        <v>0.03</v>
      </c>
      <c r="AH15" s="39">
        <v>0.35</v>
      </c>
      <c r="AI15" s="39">
        <v>0.54</v>
      </c>
      <c r="AJ15" s="39">
        <v>0.08</v>
      </c>
      <c r="AK15" s="11" t="s">
        <v>283</v>
      </c>
      <c r="AL15" s="11" t="s">
        <v>283</v>
      </c>
      <c r="AM15" s="11" t="s">
        <v>283</v>
      </c>
      <c r="AN15" s="11">
        <v>52</v>
      </c>
      <c r="AO15" s="11">
        <v>8</v>
      </c>
      <c r="AP15" s="39">
        <v>0.02</v>
      </c>
      <c r="AQ15" s="39">
        <v>0.38</v>
      </c>
      <c r="AR15" s="39">
        <v>0.54</v>
      </c>
      <c r="AS15" s="39">
        <v>0.06</v>
      </c>
      <c r="AT15" s="11" t="s">
        <v>283</v>
      </c>
      <c r="AU15" s="11" t="s">
        <v>283</v>
      </c>
      <c r="AV15" s="11" t="s">
        <v>283</v>
      </c>
      <c r="AW15" s="245">
        <v>52</v>
      </c>
      <c r="AX15" s="245" t="s">
        <v>874</v>
      </c>
      <c r="AY15" s="245">
        <v>9</v>
      </c>
      <c r="AZ15" s="245" t="s">
        <v>874</v>
      </c>
      <c r="BA15" s="263">
        <v>0.03</v>
      </c>
      <c r="BB15" s="263">
        <v>0.4</v>
      </c>
      <c r="BC15" s="263">
        <v>0.5</v>
      </c>
      <c r="BD15" s="263">
        <v>7.0000000000000007E-2</v>
      </c>
      <c r="BE15" s="11" t="s">
        <v>283</v>
      </c>
      <c r="BF15" s="11" t="s">
        <v>283</v>
      </c>
      <c r="BG15" s="11" t="s">
        <v>283</v>
      </c>
      <c r="BH15" s="317">
        <v>53</v>
      </c>
      <c r="BI15" s="317" t="s">
        <v>874</v>
      </c>
      <c r="BJ15" s="317">
        <v>9</v>
      </c>
      <c r="BK15" s="317" t="s">
        <v>874</v>
      </c>
      <c r="BL15" s="293">
        <v>0.02</v>
      </c>
      <c r="BM15" s="293">
        <v>0.36</v>
      </c>
      <c r="BN15" s="293">
        <v>0.53</v>
      </c>
      <c r="BO15" s="293">
        <v>0.08</v>
      </c>
      <c r="BP15" s="317" t="s">
        <v>283</v>
      </c>
      <c r="BQ15" s="317" t="s">
        <v>283</v>
      </c>
      <c r="BR15" s="317" t="s">
        <v>283</v>
      </c>
      <c r="BS15" s="425">
        <v>52</v>
      </c>
      <c r="BT15" s="425" t="s">
        <v>874</v>
      </c>
      <c r="BU15" s="425">
        <v>9</v>
      </c>
      <c r="BV15" s="425" t="s">
        <v>874</v>
      </c>
      <c r="BW15" s="429">
        <v>0.02</v>
      </c>
      <c r="BX15" s="429">
        <v>0.38</v>
      </c>
      <c r="BY15" s="429">
        <v>0.54</v>
      </c>
      <c r="BZ15" s="429">
        <v>0.06</v>
      </c>
      <c r="CA15" s="425" t="s">
        <v>283</v>
      </c>
      <c r="CB15" s="425" t="s">
        <v>283</v>
      </c>
      <c r="CC15" s="425" t="s">
        <v>283</v>
      </c>
      <c r="CD15" s="465">
        <v>52</v>
      </c>
      <c r="CE15" s="465" t="s">
        <v>876</v>
      </c>
      <c r="CF15" s="465">
        <v>9</v>
      </c>
      <c r="CG15" s="465" t="s">
        <v>874</v>
      </c>
      <c r="CH15" s="479">
        <v>0.03</v>
      </c>
      <c r="CI15" s="479">
        <v>0.38</v>
      </c>
      <c r="CJ15" s="479">
        <v>0.52</v>
      </c>
      <c r="CK15" s="479">
        <v>7.0000000000000007E-2</v>
      </c>
      <c r="CL15" s="465" t="s">
        <v>283</v>
      </c>
      <c r="CM15" s="465" t="s">
        <v>283</v>
      </c>
      <c r="CN15" s="465" t="s">
        <v>283</v>
      </c>
    </row>
    <row r="16" spans="1:92" ht="24.95" customHeight="1" x14ac:dyDescent="0.2">
      <c r="A16" s="6" t="s">
        <v>16</v>
      </c>
      <c r="B16" s="6"/>
      <c r="C16" s="6"/>
      <c r="D16" s="21">
        <v>55</v>
      </c>
      <c r="E16" s="21">
        <v>8</v>
      </c>
      <c r="F16" s="39">
        <v>0.01</v>
      </c>
      <c r="G16" s="39">
        <v>0.31</v>
      </c>
      <c r="H16" s="39">
        <v>0.6</v>
      </c>
      <c r="I16" s="39">
        <v>0.08</v>
      </c>
      <c r="J16" s="11" t="s">
        <v>283</v>
      </c>
      <c r="K16" s="11" t="s">
        <v>283</v>
      </c>
      <c r="L16" s="11" t="s">
        <v>283</v>
      </c>
      <c r="M16" s="22">
        <v>56</v>
      </c>
      <c r="N16" s="22">
        <v>8</v>
      </c>
      <c r="O16" s="60">
        <v>0.01</v>
      </c>
      <c r="P16" s="60">
        <v>0.24</v>
      </c>
      <c r="Q16" s="60">
        <v>0.64</v>
      </c>
      <c r="R16" s="60">
        <v>0.11</v>
      </c>
      <c r="S16" s="22" t="s">
        <v>283</v>
      </c>
      <c r="T16" s="22" t="s">
        <v>283</v>
      </c>
      <c r="U16" s="22" t="s">
        <v>283</v>
      </c>
      <c r="V16" s="22">
        <v>55</v>
      </c>
      <c r="W16" s="22">
        <v>9</v>
      </c>
      <c r="X16" s="65">
        <v>0.01</v>
      </c>
      <c r="Y16" s="65">
        <v>0.28000000000000003</v>
      </c>
      <c r="Z16" s="65">
        <v>0.57999999999999996</v>
      </c>
      <c r="AA16" s="65">
        <v>0.13</v>
      </c>
      <c r="AB16" s="21" t="s">
        <v>283</v>
      </c>
      <c r="AC16" s="21" t="s">
        <v>283</v>
      </c>
      <c r="AD16" s="21" t="s">
        <v>283</v>
      </c>
      <c r="AE16" s="22">
        <v>55</v>
      </c>
      <c r="AF16" s="22">
        <v>9</v>
      </c>
      <c r="AG16" s="39">
        <v>0.01</v>
      </c>
      <c r="AH16" s="39">
        <v>0.27</v>
      </c>
      <c r="AI16" s="39">
        <v>0.59</v>
      </c>
      <c r="AJ16" s="39">
        <v>0.13</v>
      </c>
      <c r="AK16" s="11" t="s">
        <v>283</v>
      </c>
      <c r="AL16" s="11" t="s">
        <v>283</v>
      </c>
      <c r="AM16" s="11" t="s">
        <v>283</v>
      </c>
      <c r="AN16" s="11">
        <v>55</v>
      </c>
      <c r="AO16" s="11">
        <v>9</v>
      </c>
      <c r="AP16" s="39">
        <v>0.01</v>
      </c>
      <c r="AQ16" s="39">
        <v>0.28000000000000003</v>
      </c>
      <c r="AR16" s="39">
        <v>0.6</v>
      </c>
      <c r="AS16" s="39">
        <v>0.11</v>
      </c>
      <c r="AT16" s="11" t="s">
        <v>283</v>
      </c>
      <c r="AU16" s="11" t="s">
        <v>283</v>
      </c>
      <c r="AV16" s="11" t="s">
        <v>283</v>
      </c>
      <c r="AW16" s="245">
        <v>56</v>
      </c>
      <c r="AX16" s="245" t="s">
        <v>874</v>
      </c>
      <c r="AY16" s="245">
        <v>9</v>
      </c>
      <c r="AZ16" s="245" t="s">
        <v>874</v>
      </c>
      <c r="BA16" s="263">
        <v>0.01</v>
      </c>
      <c r="BB16" s="263">
        <v>0.28999999999999998</v>
      </c>
      <c r="BC16" s="263">
        <v>0.56000000000000005</v>
      </c>
      <c r="BD16" s="263">
        <v>0.14000000000000001</v>
      </c>
      <c r="BE16" s="11" t="s">
        <v>283</v>
      </c>
      <c r="BF16" s="11" t="s">
        <v>283</v>
      </c>
      <c r="BG16" s="11" t="s">
        <v>283</v>
      </c>
      <c r="BH16" s="317">
        <v>56</v>
      </c>
      <c r="BI16" s="317" t="s">
        <v>874</v>
      </c>
      <c r="BJ16" s="317">
        <v>9</v>
      </c>
      <c r="BK16" s="317" t="s">
        <v>874</v>
      </c>
      <c r="BL16" s="293">
        <v>0.01</v>
      </c>
      <c r="BM16" s="293">
        <v>0.24</v>
      </c>
      <c r="BN16" s="293">
        <v>0.61</v>
      </c>
      <c r="BO16" s="293">
        <v>0.14000000000000001</v>
      </c>
      <c r="BP16" s="317" t="s">
        <v>283</v>
      </c>
      <c r="BQ16" s="317" t="s">
        <v>283</v>
      </c>
      <c r="BR16" s="317" t="s">
        <v>283</v>
      </c>
      <c r="BS16" s="425">
        <v>56</v>
      </c>
      <c r="BT16" s="425" t="s">
        <v>874</v>
      </c>
      <c r="BU16" s="425">
        <v>9</v>
      </c>
      <c r="BV16" s="425" t="s">
        <v>874</v>
      </c>
      <c r="BW16" s="429">
        <v>0.02</v>
      </c>
      <c r="BX16" s="429">
        <v>0.24</v>
      </c>
      <c r="BY16" s="429">
        <v>0.59</v>
      </c>
      <c r="BZ16" s="429">
        <v>0.15</v>
      </c>
      <c r="CA16" s="425" t="s">
        <v>283</v>
      </c>
      <c r="CB16" s="425" t="s">
        <v>283</v>
      </c>
      <c r="CC16" s="425" t="s">
        <v>283</v>
      </c>
      <c r="CD16" s="465">
        <v>56</v>
      </c>
      <c r="CE16" s="465" t="s">
        <v>874</v>
      </c>
      <c r="CF16" s="465">
        <v>9</v>
      </c>
      <c r="CG16" s="465" t="s">
        <v>874</v>
      </c>
      <c r="CH16" s="479">
        <v>0.02</v>
      </c>
      <c r="CI16" s="479">
        <v>0.24</v>
      </c>
      <c r="CJ16" s="479">
        <v>0.6</v>
      </c>
      <c r="CK16" s="479">
        <v>0.15</v>
      </c>
      <c r="CL16" s="465" t="s">
        <v>283</v>
      </c>
      <c r="CM16" s="465" t="s">
        <v>283</v>
      </c>
      <c r="CN16" s="465" t="s">
        <v>283</v>
      </c>
    </row>
    <row r="17" spans="1:97" ht="24.95" customHeight="1" x14ac:dyDescent="0.2">
      <c r="A17" s="294"/>
      <c r="B17" s="294"/>
      <c r="C17" s="294"/>
      <c r="D17" s="318"/>
      <c r="E17" s="318"/>
      <c r="F17" s="293"/>
      <c r="G17" s="293"/>
      <c r="H17" s="293"/>
      <c r="I17" s="293"/>
      <c r="J17" s="317"/>
      <c r="K17" s="317"/>
      <c r="L17" s="317"/>
      <c r="M17" s="325"/>
      <c r="N17" s="325"/>
      <c r="O17" s="326"/>
      <c r="P17" s="326"/>
      <c r="Q17" s="326"/>
      <c r="R17" s="326"/>
      <c r="S17" s="325"/>
      <c r="T17" s="325"/>
      <c r="U17" s="325"/>
      <c r="V17" s="325"/>
      <c r="W17" s="325"/>
      <c r="X17" s="327"/>
      <c r="Y17" s="327"/>
      <c r="Z17" s="327"/>
      <c r="AA17" s="327"/>
      <c r="AB17" s="318"/>
      <c r="AC17" s="318"/>
      <c r="AD17" s="318"/>
      <c r="AE17" s="325"/>
      <c r="AF17" s="325"/>
      <c r="AG17" s="293"/>
      <c r="AH17" s="293"/>
      <c r="AI17" s="293"/>
      <c r="AJ17" s="293"/>
      <c r="AK17" s="317"/>
      <c r="AL17" s="317"/>
      <c r="AM17" s="317"/>
      <c r="AN17" s="317"/>
      <c r="AO17" s="317"/>
      <c r="AP17" s="293"/>
      <c r="AQ17" s="293"/>
      <c r="AR17" s="293"/>
      <c r="AS17" s="293"/>
      <c r="AT17" s="317"/>
      <c r="AU17" s="317"/>
      <c r="AV17" s="317"/>
      <c r="AW17" s="320"/>
      <c r="AX17" s="320"/>
      <c r="AY17" s="320"/>
      <c r="AZ17" s="320"/>
      <c r="BA17" s="328"/>
      <c r="BB17" s="328"/>
      <c r="BC17" s="328"/>
      <c r="BD17" s="328"/>
      <c r="BE17" s="317"/>
      <c r="BF17" s="317"/>
      <c r="BG17" s="317"/>
      <c r="BH17" s="317">
        <v>67</v>
      </c>
      <c r="BI17" s="317" t="s">
        <v>875</v>
      </c>
      <c r="BJ17" s="317">
        <v>3</v>
      </c>
      <c r="BK17" s="317" t="s">
        <v>876</v>
      </c>
      <c r="BL17" s="293">
        <v>0</v>
      </c>
      <c r="BM17" s="293">
        <v>0</v>
      </c>
      <c r="BN17" s="293">
        <v>0.33</v>
      </c>
      <c r="BO17" s="293">
        <v>0.67</v>
      </c>
      <c r="BP17" s="317" t="s">
        <v>283</v>
      </c>
      <c r="BQ17" s="317" t="s">
        <v>283</v>
      </c>
      <c r="BR17" s="317" t="s">
        <v>283</v>
      </c>
    </row>
    <row r="18" spans="1:97" ht="24.95" customHeight="1" x14ac:dyDescent="0.2">
      <c r="A18" s="198" t="s">
        <v>244</v>
      </c>
      <c r="B18" s="6"/>
      <c r="C18" s="6"/>
      <c r="D18" s="199">
        <v>53.117647058823529</v>
      </c>
      <c r="E18" s="199">
        <v>7.4117647058823533</v>
      </c>
      <c r="F18" s="39">
        <v>9.4117647058823539E-3</v>
      </c>
      <c r="G18" s="39">
        <v>0.39588235294117652</v>
      </c>
      <c r="H18" s="39">
        <v>0.56000000000000005</v>
      </c>
      <c r="I18" s="39">
        <v>3.7647058823529415E-2</v>
      </c>
      <c r="J18" s="241">
        <f>AVERAGEIFS(J$36:J$171,$C$36:$C$171,"=1")</f>
        <v>0.43470588235294116</v>
      </c>
      <c r="K18" s="241">
        <f>AVERAGEIFS(K$36:K$171,$C$36:$C$171,"=1")</f>
        <v>0.48176470588235293</v>
      </c>
      <c r="L18" s="241">
        <f>AVERAGEIFS(L$36:L$171,$C$36:$C$171,"=1")</f>
        <v>0.55941176470588239</v>
      </c>
      <c r="M18" s="199">
        <v>53.75</v>
      </c>
      <c r="N18" s="199">
        <v>7.6875</v>
      </c>
      <c r="O18" s="60">
        <v>1.2500000000000001E-2</v>
      </c>
      <c r="P18" s="60">
        <v>0.32562500000000005</v>
      </c>
      <c r="Q18" s="60">
        <v>0.59625000000000006</v>
      </c>
      <c r="R18" s="60">
        <v>6.6250000000000003E-2</v>
      </c>
      <c r="S18" s="241">
        <f>AVERAGEIFS(S$36:S$171,$C$36:$C$171,"=1")</f>
        <v>0.44624999999999992</v>
      </c>
      <c r="T18" s="241">
        <f>AVERAGEIFS(T$36:T$171,$C$36:$C$171,"=1")</f>
        <v>0.48000000000000004</v>
      </c>
      <c r="U18" s="241">
        <f>AVERAGEIFS(U$36:U$171,$C$36:$C$171,"=1")</f>
        <v>0.46562499999999996</v>
      </c>
      <c r="V18" s="199">
        <v>53.823529411764703</v>
      </c>
      <c r="W18" s="199">
        <v>8.2941176470588243</v>
      </c>
      <c r="X18" s="65">
        <v>1.8823529411764711E-2</v>
      </c>
      <c r="Y18" s="65">
        <v>0.33176470588235302</v>
      </c>
      <c r="Z18" s="65">
        <v>0.54705882352941182</v>
      </c>
      <c r="AA18" s="65">
        <v>0.10588235294117644</v>
      </c>
      <c r="AB18" s="241">
        <f>AVERAGEIFS(AB$36:AB$171,$C$36:$C$171,"=1")</f>
        <v>0.44058823529411767</v>
      </c>
      <c r="AC18" s="241">
        <f>AVERAGEIFS(AC$36:AC$171,$C$36:$C$171,"=1")</f>
        <v>0.47352941176470592</v>
      </c>
      <c r="AD18" s="241">
        <f>AVERAGEIFS(AD$36:AD$171,$C$36:$C$171,"=1")</f>
        <v>0.49941176470588228</v>
      </c>
      <c r="AE18" s="297">
        <v>53.705882352941174</v>
      </c>
      <c r="AF18" s="297">
        <v>8.4117647058823533</v>
      </c>
      <c r="AG18" s="39">
        <v>1.6470588235294119E-2</v>
      </c>
      <c r="AH18" s="39">
        <v>0.35176470588235298</v>
      </c>
      <c r="AI18" s="39">
        <v>0.54176470588235304</v>
      </c>
      <c r="AJ18" s="39">
        <v>0.09</v>
      </c>
      <c r="AK18" s="241">
        <f>AVERAGEIFS(AK$36:AK$171,$C$36:$C$171,"=1")</f>
        <v>0.4205882352941176</v>
      </c>
      <c r="AL18" s="241">
        <f>AVERAGEIFS(AL$36:AL$171,$C$36:$C$171,"=1")</f>
        <v>0.36588235294117644</v>
      </c>
      <c r="AM18" s="241">
        <f>AVERAGEIFS(AM$36:AM$171,$C$36:$C$171,"=1")</f>
        <v>0.42529411764705882</v>
      </c>
      <c r="AN18" s="199">
        <v>53.823529411764703</v>
      </c>
      <c r="AO18" s="199">
        <v>8.0588235294117645</v>
      </c>
      <c r="AP18" s="39">
        <v>2.5882352941176474E-2</v>
      </c>
      <c r="AQ18" s="39">
        <v>0.29352941176470587</v>
      </c>
      <c r="AR18" s="39">
        <v>0.6029411764705882</v>
      </c>
      <c r="AS18" s="39">
        <v>7.7647058823529416E-2</v>
      </c>
      <c r="AT18" s="241">
        <f>AVERAGEIFS(AT$36:AT$171,$C$36:$C$171,"=1")</f>
        <v>0.46411764705882358</v>
      </c>
      <c r="AU18" s="241">
        <f>AVERAGEIFS(AU$36:AU$171,$C$36:$C$171,"=1")</f>
        <v>0.3605882352941176</v>
      </c>
      <c r="AV18" s="241">
        <f>AVERAGEIFS(AV$36:AV$171,$C$36:$C$171,"=1")</f>
        <v>0.43588235294117661</v>
      </c>
      <c r="AW18" s="296">
        <v>54.588235294117645</v>
      </c>
      <c r="AX18" s="296"/>
      <c r="AY18" s="296"/>
      <c r="AZ18" s="241"/>
      <c r="BA18" s="263">
        <v>1.1764705882352941E-2</v>
      </c>
      <c r="BB18" s="263">
        <v>0.31294117647058828</v>
      </c>
      <c r="BC18" s="263">
        <v>0.56647058823529406</v>
      </c>
      <c r="BD18" s="263">
        <v>0.10705882352941178</v>
      </c>
      <c r="BE18" s="241">
        <v>0.43176470588235294</v>
      </c>
      <c r="BF18" s="241">
        <v>0.32117647058823529</v>
      </c>
      <c r="BG18" s="241">
        <v>0.53647058823529414</v>
      </c>
      <c r="BH18" s="129">
        <f>AVERAGEIF($C$36:$C$171,"=1",BH$36:BH$171)</f>
        <v>54.722222222222221</v>
      </c>
      <c r="BI18" s="317" t="s">
        <v>874</v>
      </c>
      <c r="BJ18" s="129">
        <f t="shared" ref="BJ18:CC18" si="0">AVERAGEIF($C$36:$C$171,"=1",BJ$36:BJ$171)</f>
        <v>8.5555555555555554</v>
      </c>
      <c r="BK18" s="317" t="s">
        <v>874</v>
      </c>
      <c r="BL18" s="344">
        <f t="shared" si="0"/>
        <v>2.0555555555555563E-2</v>
      </c>
      <c r="BM18" s="344">
        <f t="shared" si="0"/>
        <v>0.28444444444444439</v>
      </c>
      <c r="BN18" s="344">
        <f t="shared" si="0"/>
        <v>0.60222222222222221</v>
      </c>
      <c r="BO18" s="344">
        <f t="shared" si="0"/>
        <v>9.3333333333333324E-2</v>
      </c>
      <c r="BP18" s="344">
        <f t="shared" si="0"/>
        <v>0.45944444444444443</v>
      </c>
      <c r="BQ18" s="344">
        <f t="shared" si="0"/>
        <v>0.33666666666666673</v>
      </c>
      <c r="BR18" s="344">
        <f t="shared" si="0"/>
        <v>0.44500000000000001</v>
      </c>
      <c r="BS18" s="129">
        <f>AVERAGEIF($C$36:$C$171,"=1",BS$36:BS$171)</f>
        <v>54.529411764705884</v>
      </c>
      <c r="BU18" s="129">
        <f t="shared" si="0"/>
        <v>8.2941176470588243</v>
      </c>
      <c r="BW18" s="344">
        <f t="shared" si="0"/>
        <v>1.8823529411764704E-2</v>
      </c>
      <c r="BX18" s="344">
        <f t="shared" si="0"/>
        <v>0.28882352941176476</v>
      </c>
      <c r="BY18" s="344">
        <f t="shared" si="0"/>
        <v>0.59294117647058819</v>
      </c>
      <c r="BZ18" s="344">
        <f t="shared" si="0"/>
        <v>0.10058823529411766</v>
      </c>
      <c r="CA18" s="344">
        <f t="shared" si="0"/>
        <v>0.35470588235294126</v>
      </c>
      <c r="CB18" s="344">
        <f t="shared" si="0"/>
        <v>0.46470588235294108</v>
      </c>
      <c r="CC18" s="344">
        <f t="shared" si="0"/>
        <v>0.48941176470588227</v>
      </c>
      <c r="CD18" s="129">
        <f>AVERAGEIF($C$36:$C$171,"=1",CD$36:CD$171)</f>
        <v>55.333333333333336</v>
      </c>
      <c r="CF18" s="129">
        <f>AVERAGEIF($C$36:$C$171,"=1",CF$36:CF$171)</f>
        <v>8.4444444444444446</v>
      </c>
      <c r="CH18" s="344">
        <f t="shared" ref="CH18:CN18" si="1">AVERAGEIF($C$36:$C$171,"=1",CH$36:CH$171)</f>
        <v>2.1111111111111112E-2</v>
      </c>
      <c r="CI18" s="344">
        <f t="shared" si="1"/>
        <v>0.23666666666666666</v>
      </c>
      <c r="CJ18" s="344">
        <f t="shared" si="1"/>
        <v>0.63555555555555543</v>
      </c>
      <c r="CK18" s="344">
        <f t="shared" si="1"/>
        <v>0.11</v>
      </c>
      <c r="CL18" s="344">
        <f t="shared" si="1"/>
        <v>0.43222222222222212</v>
      </c>
      <c r="CM18" s="344">
        <f t="shared" si="1"/>
        <v>0.43777777777777782</v>
      </c>
      <c r="CN18" s="344">
        <f t="shared" si="1"/>
        <v>0.32888888888888895</v>
      </c>
    </row>
    <row r="19" spans="1:97" ht="24.95" customHeight="1" x14ac:dyDescent="0.2">
      <c r="A19" s="198" t="s">
        <v>245</v>
      </c>
      <c r="B19" s="6"/>
      <c r="C19" s="6"/>
      <c r="D19" s="199">
        <v>54.75</v>
      </c>
      <c r="E19" s="199">
        <v>7.15</v>
      </c>
      <c r="F19" s="39">
        <v>1.6E-2</v>
      </c>
      <c r="G19" s="39">
        <v>0.31900000000000001</v>
      </c>
      <c r="H19" s="39">
        <v>0.58300000000000007</v>
      </c>
      <c r="I19" s="39">
        <v>8.2500000000000004E-2</v>
      </c>
      <c r="J19" s="241">
        <f>AVERAGEIFS(J$36:J$171,$C$36:$C$171,"=2")</f>
        <v>0.41249999999999992</v>
      </c>
      <c r="K19" s="241">
        <f>AVERAGEIFS(K$36:K$171,$C$36:$C$171,"=2")</f>
        <v>0.45600000000000013</v>
      </c>
      <c r="L19" s="241">
        <f>AVERAGEIFS(L$36:L$171,$C$36:$C$171,"=2")</f>
        <v>0.51300000000000001</v>
      </c>
      <c r="M19" s="199">
        <v>55.578947368421055</v>
      </c>
      <c r="N19" s="199">
        <v>7.8947368421052628</v>
      </c>
      <c r="O19" s="60">
        <v>1.578947368421053E-2</v>
      </c>
      <c r="P19" s="60">
        <v>0.26473684210526321</v>
      </c>
      <c r="Q19" s="60">
        <v>0.59315789473684222</v>
      </c>
      <c r="R19" s="60">
        <v>0.12578947368421053</v>
      </c>
      <c r="S19" s="241">
        <f>AVERAGEIFS(S$36:S$171,$C$36:$C$171,"=2")</f>
        <v>0.40842105263157902</v>
      </c>
      <c r="T19" s="241">
        <f>AVERAGEIFS(T$36:T$171,$C$36:$C$171,"=2")</f>
        <v>0.44789473684210523</v>
      </c>
      <c r="U19" s="241">
        <f>AVERAGEIFS(U$36:U$171,$C$36:$C$171,"=2")</f>
        <v>0.44263157894736832</v>
      </c>
      <c r="V19" s="199">
        <v>54.684210526315788</v>
      </c>
      <c r="W19" s="199">
        <v>8.3684210526315788</v>
      </c>
      <c r="X19" s="65">
        <v>1.4210526315789474E-2</v>
      </c>
      <c r="Y19" s="65">
        <v>0.31473684210526309</v>
      </c>
      <c r="Z19" s="65">
        <v>0.5457894736842106</v>
      </c>
      <c r="AA19" s="65">
        <v>0.12421052631578947</v>
      </c>
      <c r="AB19" s="241">
        <f>AVERAGEIFS(AB$36:AB$171,$C$36:$C$171,"=2")</f>
        <v>0.41526315789473683</v>
      </c>
      <c r="AC19" s="241">
        <f>AVERAGEIFS(AC$36:AC$171,$C$36:$C$171,"=2")</f>
        <v>0.46631578947368429</v>
      </c>
      <c r="AD19" s="241">
        <f>AVERAGEIFS(AD$36:AD$171,$C$36:$C$171,"=2")</f>
        <v>0.48052631578947363</v>
      </c>
      <c r="AE19" s="297">
        <v>55.3</v>
      </c>
      <c r="AF19" s="297">
        <v>8.35</v>
      </c>
      <c r="AG19" s="39">
        <v>1.0500000000000001E-2</v>
      </c>
      <c r="AH19" s="39">
        <v>0.25950000000000001</v>
      </c>
      <c r="AI19" s="39">
        <v>0.60349999999999993</v>
      </c>
      <c r="AJ19" s="39">
        <v>0.128</v>
      </c>
      <c r="AK19" s="241">
        <f>AVERAGEIFS(AK$36:AK$171,$C$36:$C$171,"=2")</f>
        <v>0.39000000000000007</v>
      </c>
      <c r="AL19" s="241">
        <f>AVERAGEIFS(AL$36:AL$171,$C$36:$C$171,"=2")</f>
        <v>0.33999999999999997</v>
      </c>
      <c r="AM19" s="241">
        <f>AVERAGEIFS(AM$36:AM$171,$C$36:$C$171,"=2")</f>
        <v>0.39500000000000007</v>
      </c>
      <c r="AN19" s="199">
        <v>54.791666666666664</v>
      </c>
      <c r="AO19" s="199">
        <v>7.041666666666667</v>
      </c>
      <c r="AP19" s="39">
        <v>7.4999999999999997E-3</v>
      </c>
      <c r="AQ19" s="39">
        <v>0.29416666666666663</v>
      </c>
      <c r="AR19" s="39">
        <v>0.58833333333333326</v>
      </c>
      <c r="AS19" s="39">
        <v>0.11</v>
      </c>
      <c r="AT19" s="241">
        <f>AVERAGEIFS(AT$36:AT$171,$C$36:$C$171,"=2")</f>
        <v>0.43458333333333332</v>
      </c>
      <c r="AU19" s="241">
        <f>AVERAGEIFS(AU$36:AU$171,$C$36:$C$171,"=2")</f>
        <v>0.36166666666666664</v>
      </c>
      <c r="AV19" s="241">
        <f>AVERAGEIFS(AV$36:AV$171,$C$36:$C$171,"=2")</f>
        <v>0.41708333333333331</v>
      </c>
      <c r="AW19" s="296">
        <v>54.545454545454547</v>
      </c>
      <c r="AX19" s="296"/>
      <c r="AY19" s="296"/>
      <c r="AZ19" s="241"/>
      <c r="BA19" s="263">
        <v>3.0909090909090917E-2</v>
      </c>
      <c r="BB19" s="263">
        <v>0.33090909090909082</v>
      </c>
      <c r="BC19" s="263">
        <v>0.51045454545454538</v>
      </c>
      <c r="BD19" s="263">
        <v>0.1281818181818182</v>
      </c>
      <c r="BE19" s="241">
        <v>0.43545454545454554</v>
      </c>
      <c r="BF19" s="241">
        <v>0.33636363636363636</v>
      </c>
      <c r="BG19" s="241">
        <v>0.52727272727272745</v>
      </c>
      <c r="BH19" s="129">
        <f>AVERAGEIF($C$36:$C$171,"=2",BH$36:BH$171)</f>
        <v>56.44</v>
      </c>
      <c r="BJ19" s="129">
        <f t="shared" ref="BJ19:CN19" si="2">AVERAGEIF($C$36:$C$171,"=2",BJ$36:BJ$171)</f>
        <v>7.84</v>
      </c>
      <c r="BL19" s="344">
        <f t="shared" si="2"/>
        <v>2.0400000000000001E-2</v>
      </c>
      <c r="BM19" s="344">
        <f t="shared" si="2"/>
        <v>0.22400000000000003</v>
      </c>
      <c r="BN19" s="344">
        <f t="shared" si="2"/>
        <v>0.58879999999999977</v>
      </c>
      <c r="BO19" s="344">
        <f t="shared" si="2"/>
        <v>0.16799999999999998</v>
      </c>
      <c r="BP19" s="344">
        <f t="shared" si="2"/>
        <v>0.43520000000000003</v>
      </c>
      <c r="BQ19" s="344">
        <f t="shared" si="2"/>
        <v>0.31199999999999994</v>
      </c>
      <c r="BR19" s="344">
        <f t="shared" si="2"/>
        <v>0.39760000000000006</v>
      </c>
      <c r="BS19" s="129">
        <f t="shared" si="2"/>
        <v>55.96153846153846</v>
      </c>
      <c r="BU19" s="129">
        <f t="shared" si="2"/>
        <v>8.3076923076923084</v>
      </c>
      <c r="BW19" s="344">
        <f t="shared" si="2"/>
        <v>2.5384615384615391E-2</v>
      </c>
      <c r="BX19" s="344">
        <f t="shared" si="2"/>
        <v>0.25769230769230766</v>
      </c>
      <c r="BY19" s="344">
        <f t="shared" si="2"/>
        <v>0.55692307692307697</v>
      </c>
      <c r="BZ19" s="344">
        <f t="shared" si="2"/>
        <v>0.16038461538461538</v>
      </c>
      <c r="CA19" s="344">
        <f t="shared" si="2"/>
        <v>0.341923076923077</v>
      </c>
      <c r="CB19" s="344">
        <f t="shared" si="2"/>
        <v>0.44423076923076926</v>
      </c>
      <c r="CC19" s="344">
        <f t="shared" si="2"/>
        <v>0.45000000000000007</v>
      </c>
      <c r="CD19" s="129">
        <f t="shared" si="2"/>
        <v>57.208333333333336</v>
      </c>
      <c r="CF19" s="129">
        <f t="shared" si="2"/>
        <v>8.2083333333333339</v>
      </c>
      <c r="CH19" s="344">
        <f t="shared" si="2"/>
        <v>1.2083333333333335E-2</v>
      </c>
      <c r="CI19" s="344">
        <f t="shared" si="2"/>
        <v>0.21624999999999997</v>
      </c>
      <c r="CJ19" s="344">
        <f t="shared" si="2"/>
        <v>0.57499999999999984</v>
      </c>
      <c r="CK19" s="344">
        <f t="shared" si="2"/>
        <v>0.19708333333333336</v>
      </c>
      <c r="CL19" s="344">
        <f t="shared" si="2"/>
        <v>0.39458333333333334</v>
      </c>
      <c r="CM19" s="344">
        <f t="shared" si="2"/>
        <v>0.40916666666666673</v>
      </c>
      <c r="CN19" s="344">
        <f t="shared" si="2"/>
        <v>0.30291666666666661</v>
      </c>
    </row>
    <row r="20" spans="1:97" ht="24.95" customHeight="1" x14ac:dyDescent="0.2">
      <c r="A20" s="198" t="s">
        <v>246</v>
      </c>
      <c r="B20" s="6"/>
      <c r="C20" s="6"/>
      <c r="D20" s="199">
        <v>54.555555555555557</v>
      </c>
      <c r="E20" s="199">
        <v>8</v>
      </c>
      <c r="F20" s="39">
        <v>1.9444444444444445E-2</v>
      </c>
      <c r="G20" s="39">
        <v>0.30944444444444447</v>
      </c>
      <c r="H20" s="39">
        <v>0.59777777777777785</v>
      </c>
      <c r="I20" s="39">
        <v>7.7222222222222248E-2</v>
      </c>
      <c r="J20" s="241">
        <f>AVERAGEIFS(J$36:J$171,$C$36:$C$171,"=3")</f>
        <v>0.40444444444444438</v>
      </c>
      <c r="K20" s="241">
        <f>AVERAGEIFS(K$36:K$171,$C$36:$C$171,"=3")</f>
        <v>0.4694444444444445</v>
      </c>
      <c r="L20" s="241">
        <f>AVERAGEIFS(L$36:L$171,$C$36:$C$171,"=3")</f>
        <v>0.51888888888888884</v>
      </c>
      <c r="M20" s="199">
        <v>55.368421052631582</v>
      </c>
      <c r="N20" s="199">
        <v>7.8888888888888893</v>
      </c>
      <c r="O20" s="60">
        <v>1.2105263157894735E-2</v>
      </c>
      <c r="P20" s="60">
        <v>0.25368421052631573</v>
      </c>
      <c r="Q20" s="60">
        <v>0.63473684210526304</v>
      </c>
      <c r="R20" s="60">
        <v>0.10052631578947369</v>
      </c>
      <c r="S20" s="241">
        <f>AVERAGEIFS(S$36:S$171,$C$36:$C$171,"=3")</f>
        <v>0.42000000000000004</v>
      </c>
      <c r="T20" s="241">
        <f>AVERAGEIFS(T$36:T$171,$C$36:$C$171,"=3")</f>
        <v>0.45789473684210524</v>
      </c>
      <c r="U20" s="241">
        <f>AVERAGEIFS(U$36:U$171,$C$36:$C$171,"=3")</f>
        <v>0.44631578947368422</v>
      </c>
      <c r="V20" s="199">
        <v>55.684210526315788</v>
      </c>
      <c r="W20" s="199">
        <v>8.2777777777777786</v>
      </c>
      <c r="X20" s="65">
        <v>1.368421052631579E-2</v>
      </c>
      <c r="Y20" s="65">
        <v>0.2636842105263158</v>
      </c>
      <c r="Z20" s="65">
        <v>0.59052631578947368</v>
      </c>
      <c r="AA20" s="65">
        <v>0.13315789473684214</v>
      </c>
      <c r="AB20" s="241">
        <f>AVERAGEIFS(AB$36:AB$171,$C$36:$C$171,"=3")</f>
        <v>0.40473684210526323</v>
      </c>
      <c r="AC20" s="241">
        <f>AVERAGEIFS(AC$36:AC$171,$C$36:$C$171,"=3")</f>
        <v>0.45631578947368423</v>
      </c>
      <c r="AD20" s="241">
        <f>AVERAGEIFS(AD$36:AD$171,$C$36:$C$171,"=3")</f>
        <v>0.47842105263157886</v>
      </c>
      <c r="AE20" s="297">
        <v>55.210526315789473</v>
      </c>
      <c r="AF20" s="297">
        <v>8.4444444444444446</v>
      </c>
      <c r="AG20" s="39">
        <v>8.4210526315789472E-3</v>
      </c>
      <c r="AH20" s="39">
        <v>0.28526315789473677</v>
      </c>
      <c r="AI20" s="39">
        <v>0.57315789473684209</v>
      </c>
      <c r="AJ20" s="39">
        <v>0.13315789473684211</v>
      </c>
      <c r="AK20" s="241">
        <f>AVERAGEIFS(AK$36:AK$171,$C$36:$C$171,"=3")</f>
        <v>0.40052631578947373</v>
      </c>
      <c r="AL20" s="241">
        <f>AVERAGEIFS(AL$36:AL$171,$C$36:$C$171,"=3")</f>
        <v>0.34894736842105267</v>
      </c>
      <c r="AM20" s="241">
        <f>AVERAGEIFS(AM$36:AM$171,$C$36:$C$171,"=3")</f>
        <v>0.39368421052631569</v>
      </c>
      <c r="AN20" s="199">
        <v>54.9</v>
      </c>
      <c r="AO20" s="199">
        <v>7.8</v>
      </c>
      <c r="AP20" s="39">
        <v>1.7499999999999998E-2</v>
      </c>
      <c r="AQ20" s="39">
        <v>0.26100000000000001</v>
      </c>
      <c r="AR20" s="39">
        <v>0.64649999999999996</v>
      </c>
      <c r="AS20" s="39">
        <v>7.4499999999999997E-2</v>
      </c>
      <c r="AT20" s="241">
        <f>AVERAGEIFS(AT$36:AT$171,$C$36:$C$171,"=3")</f>
        <v>0.44800000000000006</v>
      </c>
      <c r="AU20" s="241">
        <f>AVERAGEIFS(AU$36:AU$171,$C$36:$C$171,"=3")</f>
        <v>0.34550000000000003</v>
      </c>
      <c r="AV20" s="241">
        <f>AVERAGEIFS(AV$36:AV$171,$C$36:$C$171,"=3")</f>
        <v>0.40499999999999997</v>
      </c>
      <c r="AW20" s="296">
        <v>55.6</v>
      </c>
      <c r="AX20" s="296"/>
      <c r="AY20" s="296"/>
      <c r="AZ20" s="241"/>
      <c r="BA20" s="263">
        <v>1.1500000000000002E-2</v>
      </c>
      <c r="BB20" s="263">
        <v>0.28799999999999998</v>
      </c>
      <c r="BC20" s="263">
        <v>0.55899999999999994</v>
      </c>
      <c r="BD20" s="263">
        <v>0.14399999999999999</v>
      </c>
      <c r="BE20" s="241">
        <v>0.41200000000000003</v>
      </c>
      <c r="BF20" s="241">
        <v>0.32050000000000001</v>
      </c>
      <c r="BG20" s="241">
        <v>0.51100000000000012</v>
      </c>
      <c r="BH20" s="129">
        <f>AVERAGEIF($C$36:$C$171,"=3",BH$36:BH$171)</f>
        <v>56.272727272727273</v>
      </c>
      <c r="BJ20" s="129">
        <f t="shared" ref="BJ20:CN20" si="3">AVERAGEIF($C$36:$C$171,"=3",BJ$36:BJ$171)</f>
        <v>8.4090909090909083</v>
      </c>
      <c r="BL20" s="344">
        <f t="shared" si="3"/>
        <v>1.2727272727272726E-2</v>
      </c>
      <c r="BM20" s="344">
        <f t="shared" si="3"/>
        <v>0.23909090909090913</v>
      </c>
      <c r="BN20" s="344">
        <f t="shared" si="3"/>
        <v>0.60272727272727267</v>
      </c>
      <c r="BO20" s="344">
        <f t="shared" si="3"/>
        <v>0.14681818181818182</v>
      </c>
      <c r="BP20" s="344">
        <f t="shared" si="3"/>
        <v>0.43545454545454548</v>
      </c>
      <c r="BQ20" s="344">
        <f t="shared" si="3"/>
        <v>0.31909090909090909</v>
      </c>
      <c r="BR20" s="344">
        <f t="shared" si="3"/>
        <v>0.40045454545454545</v>
      </c>
      <c r="BS20" s="129">
        <f t="shared" si="3"/>
        <v>55.909090909090907</v>
      </c>
      <c r="BU20" s="129">
        <f t="shared" si="3"/>
        <v>8.1363636363636367</v>
      </c>
      <c r="BW20" s="344">
        <f t="shared" si="3"/>
        <v>1.5454545454545453E-2</v>
      </c>
      <c r="BX20" s="344">
        <f t="shared" si="3"/>
        <v>0.23181818181818184</v>
      </c>
      <c r="BY20" s="344">
        <f t="shared" si="3"/>
        <v>0.62</v>
      </c>
      <c r="BZ20" s="344">
        <f t="shared" si="3"/>
        <v>0.13409090909090909</v>
      </c>
      <c r="CA20" s="344">
        <f t="shared" si="3"/>
        <v>0.34136363636363637</v>
      </c>
      <c r="CB20" s="344">
        <f t="shared" si="3"/>
        <v>0.44136363636363635</v>
      </c>
      <c r="CC20" s="344">
        <f t="shared" si="3"/>
        <v>0.4540909090909091</v>
      </c>
      <c r="CD20" s="129">
        <f t="shared" si="3"/>
        <v>56.5</v>
      </c>
      <c r="CF20" s="129">
        <f t="shared" si="3"/>
        <v>8.5</v>
      </c>
      <c r="CH20" s="344">
        <f t="shared" si="3"/>
        <v>2.0909090909090912E-2</v>
      </c>
      <c r="CI20" s="344">
        <f t="shared" si="3"/>
        <v>0.2195454545454546</v>
      </c>
      <c r="CJ20" s="344">
        <f t="shared" si="3"/>
        <v>0.60090909090909106</v>
      </c>
      <c r="CK20" s="344">
        <f t="shared" si="3"/>
        <v>0.16045454545454543</v>
      </c>
      <c r="CL20" s="344">
        <f t="shared" si="3"/>
        <v>0.4186363636363637</v>
      </c>
      <c r="CM20" s="344">
        <f t="shared" si="3"/>
        <v>0.4095454545454546</v>
      </c>
      <c r="CN20" s="344">
        <f t="shared" si="3"/>
        <v>0.30909090909090908</v>
      </c>
    </row>
    <row r="21" spans="1:97" ht="24.95" customHeight="1" x14ac:dyDescent="0.2">
      <c r="A21" s="198" t="s">
        <v>247</v>
      </c>
      <c r="B21" s="6"/>
      <c r="C21" s="6"/>
      <c r="D21" s="199">
        <v>50.714285714285715</v>
      </c>
      <c r="E21" s="199">
        <v>7.5</v>
      </c>
      <c r="F21" s="39">
        <v>2.6428571428571433E-2</v>
      </c>
      <c r="G21" s="39">
        <v>0.39588235294117652</v>
      </c>
      <c r="H21" s="39">
        <v>0.48285714285714282</v>
      </c>
      <c r="I21" s="39">
        <v>2.357142857142857E-2</v>
      </c>
      <c r="J21" s="241">
        <f>AVERAGEIFS(J$36:J$171,$C$36:$C$171,"=4")</f>
        <v>0.47857142857142859</v>
      </c>
      <c r="K21" s="241">
        <f>AVERAGEIFS(K$36:K$171,$C$36:$C$171,"=4")</f>
        <v>0.52357142857142858</v>
      </c>
      <c r="L21" s="241">
        <f>AVERAGEIFS(L$36:L$171,$C$36:$C$171,"=4")</f>
        <v>0.59214285714285708</v>
      </c>
      <c r="M21" s="199">
        <v>53.6</v>
      </c>
      <c r="N21" s="199">
        <v>7.2666666666666666</v>
      </c>
      <c r="O21" s="60">
        <v>1.2857142857142857E-2</v>
      </c>
      <c r="P21" s="60">
        <v>0.33285714285714285</v>
      </c>
      <c r="Q21" s="60">
        <v>0.57285714285714284</v>
      </c>
      <c r="R21" s="60">
        <v>8.1428571428571433E-2</v>
      </c>
      <c r="S21" s="241">
        <f>AVERAGEIFS(S$36:S$171,$C$36:$C$171,"=4")</f>
        <v>0.43571428571428567</v>
      </c>
      <c r="T21" s="241">
        <f>AVERAGEIFS(T$36:T$171,$C$36:$C$171,"=4")</f>
        <v>0.47500000000000003</v>
      </c>
      <c r="U21" s="241">
        <f>AVERAGEIFS(U$36:U$171,$C$36:$C$171,"=4")</f>
        <v>0.49071428571428577</v>
      </c>
      <c r="V21" s="199">
        <v>52.93333333333333</v>
      </c>
      <c r="W21" s="199">
        <v>7.6</v>
      </c>
      <c r="X21" s="65">
        <v>1.0666666666666666E-2</v>
      </c>
      <c r="Y21" s="65">
        <v>0.36266666666666669</v>
      </c>
      <c r="Z21" s="65">
        <v>0.57799999999999996</v>
      </c>
      <c r="AA21" s="65">
        <v>4.8000000000000015E-2</v>
      </c>
      <c r="AB21" s="241">
        <f>AVERAGEIFS(AB$36:AB$171,$C$36:$C$171,"=4")</f>
        <v>0.44333333333333325</v>
      </c>
      <c r="AC21" s="241">
        <f>AVERAGEIFS(AC$36:AC$171,$C$36:$C$171,"=4")</f>
        <v>0.4966666666666667</v>
      </c>
      <c r="AD21" s="241">
        <f>AVERAGEIFS(AD$36:AD$171,$C$36:$C$171,"=4")</f>
        <v>0.51733333333333342</v>
      </c>
      <c r="AE21" s="297">
        <v>52.5</v>
      </c>
      <c r="AF21" s="297">
        <v>8.5</v>
      </c>
      <c r="AG21" s="39">
        <v>3.3571428571428578E-2</v>
      </c>
      <c r="AH21" s="39">
        <v>0.39357142857142863</v>
      </c>
      <c r="AI21" s="39">
        <v>0.4921428571428571</v>
      </c>
      <c r="AJ21" s="39">
        <v>8.1428571428571433E-2</v>
      </c>
      <c r="AK21" s="241">
        <f>AVERAGEIFS(AK$36:AK$171,$C$36:$C$171,"=4")</f>
        <v>0.43785714285714289</v>
      </c>
      <c r="AL21" s="241">
        <f>AVERAGEIFS(AL$36:AL$171,$C$36:$C$171,"=4")</f>
        <v>0.39857142857142858</v>
      </c>
      <c r="AM21" s="241">
        <f>AVERAGEIFS(AM$36:AM$171,$C$36:$C$171,"=4")</f>
        <v>0.43857142857142856</v>
      </c>
      <c r="AN21" s="199">
        <v>51.153846153846153</v>
      </c>
      <c r="AO21" s="199">
        <v>8.0769230769230766</v>
      </c>
      <c r="AP21" s="39">
        <v>3.1538461538461543E-2</v>
      </c>
      <c r="AQ21" s="39">
        <v>0.42</v>
      </c>
      <c r="AR21" s="39">
        <v>0.49692307692307697</v>
      </c>
      <c r="AS21" s="39">
        <v>5.307692307692307E-2</v>
      </c>
      <c r="AT21" s="241">
        <f>AVERAGEIFS(AT$36:AT$171,$C$36:$C$171,"=4")</f>
        <v>0.50692307692307703</v>
      </c>
      <c r="AU21" s="241">
        <f>AVERAGEIFS(AU$36:AU$171,$C$36:$C$171,"=4")</f>
        <v>0.41923076923076918</v>
      </c>
      <c r="AV21" s="241">
        <f>AVERAGEIFS(AV$36:AV$171,$C$36:$C$171,"=4")</f>
        <v>0.46153846153846145</v>
      </c>
      <c r="AW21" s="296">
        <v>52.357142857142854</v>
      </c>
      <c r="AX21" s="296"/>
      <c r="AY21" s="296"/>
      <c r="AZ21" s="241"/>
      <c r="BA21" s="263">
        <v>1.9999999999999997E-2</v>
      </c>
      <c r="BB21" s="263">
        <v>0.3978571428571428</v>
      </c>
      <c r="BC21" s="263">
        <v>0.5278571428571428</v>
      </c>
      <c r="BD21" s="263">
        <v>5.5714285714285709E-2</v>
      </c>
      <c r="BE21" s="241">
        <v>0.46142857142857147</v>
      </c>
      <c r="BF21" s="241">
        <v>0.38214285714285717</v>
      </c>
      <c r="BG21" s="241">
        <v>0.56857142857142873</v>
      </c>
      <c r="BH21" s="129">
        <f>AVERAGEIF($C$36:$C$171,"=4",BH$36:BH$171)</f>
        <v>53.285714285714285</v>
      </c>
      <c r="BJ21" s="129">
        <f t="shared" ref="BJ21:CN21" si="4">AVERAGEIF($C$36:$C$171,"=4",BJ$36:BJ$171)</f>
        <v>8.5</v>
      </c>
      <c r="BL21" s="344">
        <f t="shared" si="4"/>
        <v>3.3571428571428572E-2</v>
      </c>
      <c r="BM21" s="344">
        <f t="shared" si="4"/>
        <v>0.34428571428571436</v>
      </c>
      <c r="BN21" s="344">
        <f t="shared" si="4"/>
        <v>0.51857142857142857</v>
      </c>
      <c r="BO21" s="344">
        <f t="shared" si="4"/>
        <v>0.10285714285714287</v>
      </c>
      <c r="BP21" s="344">
        <f t="shared" si="4"/>
        <v>0.47857142857142859</v>
      </c>
      <c r="BQ21" s="344">
        <f t="shared" si="4"/>
        <v>0.35500000000000004</v>
      </c>
      <c r="BR21" s="344">
        <f t="shared" si="4"/>
        <v>0.47500000000000009</v>
      </c>
      <c r="BS21" s="129">
        <f t="shared" si="4"/>
        <v>51.466666666666669</v>
      </c>
      <c r="BU21" s="129">
        <f t="shared" si="4"/>
        <v>8.6</v>
      </c>
      <c r="BW21" s="344">
        <f t="shared" si="4"/>
        <v>3.1333333333333338E-2</v>
      </c>
      <c r="BX21" s="344">
        <f t="shared" si="4"/>
        <v>0.42866666666666664</v>
      </c>
      <c r="BY21" s="344">
        <f t="shared" si="4"/>
        <v>0.47600000000000003</v>
      </c>
      <c r="BZ21" s="344">
        <f t="shared" si="4"/>
        <v>6.3333333333333325E-2</v>
      </c>
      <c r="CA21" s="344">
        <f t="shared" si="4"/>
        <v>0.41399999999999992</v>
      </c>
      <c r="CB21" s="344">
        <f t="shared" si="4"/>
        <v>0.51533333333333331</v>
      </c>
      <c r="CC21" s="344">
        <f t="shared" si="4"/>
        <v>0.54599999999999993</v>
      </c>
      <c r="CD21" s="129">
        <f t="shared" si="4"/>
        <v>53.384615384615387</v>
      </c>
      <c r="CF21" s="129">
        <f t="shared" si="4"/>
        <v>8.384615384615385</v>
      </c>
      <c r="CH21" s="344">
        <f t="shared" si="4"/>
        <v>2.769230769230769E-2</v>
      </c>
      <c r="CI21" s="344">
        <f t="shared" si="4"/>
        <v>0.35</v>
      </c>
      <c r="CJ21" s="344">
        <f t="shared" si="4"/>
        <v>0.533076923076923</v>
      </c>
      <c r="CK21" s="344">
        <f t="shared" si="4"/>
        <v>9.1538461538461541E-2</v>
      </c>
      <c r="CL21" s="344">
        <f t="shared" si="4"/>
        <v>0.45999999999999996</v>
      </c>
      <c r="CM21" s="344">
        <f t="shared" si="4"/>
        <v>0.46230769230769236</v>
      </c>
      <c r="CN21" s="344">
        <f t="shared" si="4"/>
        <v>0.37692307692307697</v>
      </c>
    </row>
    <row r="22" spans="1:97" ht="24.95" customHeight="1" x14ac:dyDescent="0.2">
      <c r="A22" s="198" t="s">
        <v>248</v>
      </c>
      <c r="B22" s="6"/>
      <c r="C22" s="6"/>
      <c r="D22" s="199">
        <v>55.529411764705884</v>
      </c>
      <c r="E22" s="199">
        <v>7.7058823529411766</v>
      </c>
      <c r="F22" s="39">
        <v>1.1764705882352941E-2</v>
      </c>
      <c r="G22" s="39">
        <v>0.39588235294117652</v>
      </c>
      <c r="H22" s="39">
        <v>0.63764705882352946</v>
      </c>
      <c r="I22" s="39">
        <v>8.4705882352941186E-2</v>
      </c>
      <c r="J22" s="241">
        <f>AVERAGEIFS(J$36:J$171,$C$36:$C$171,"=5")</f>
        <v>0.40941176470588236</v>
      </c>
      <c r="K22" s="241">
        <f>AVERAGEIFS(K$36:K$171,$C$36:$C$171,"=5")</f>
        <v>0.43588235294117644</v>
      </c>
      <c r="L22" s="241">
        <f>AVERAGEIFS(L$36:L$171,$C$36:$C$171,"=5")</f>
        <v>0.53117647058823536</v>
      </c>
      <c r="M22" s="199">
        <v>56.941176470588232</v>
      </c>
      <c r="N22" s="199">
        <v>7.5882352941176467</v>
      </c>
      <c r="O22" s="60">
        <v>1.0555555555555556E-2</v>
      </c>
      <c r="P22" s="60">
        <v>0.2122222222222222</v>
      </c>
      <c r="Q22" s="60">
        <v>0.66055555555555545</v>
      </c>
      <c r="R22" s="60">
        <v>0.11444444444444445</v>
      </c>
      <c r="S22" s="241">
        <f>AVERAGEIFS(S$36:S$171,$C$36:$C$171,"=5")</f>
        <v>0.37388888888888883</v>
      </c>
      <c r="T22" s="241">
        <f>AVERAGEIFS(T$36:T$171,$C$36:$C$171,"=5")</f>
        <v>0.43111111111111111</v>
      </c>
      <c r="U22" s="241">
        <f>AVERAGEIFS(U$36:U$171,$C$36:$C$171,"=5")</f>
        <v>0.435</v>
      </c>
      <c r="V22" s="199">
        <v>55.888888888888886</v>
      </c>
      <c r="W22" s="199">
        <v>7.8888888888888893</v>
      </c>
      <c r="X22" s="65">
        <v>1.2222222222222223E-2</v>
      </c>
      <c r="Y22" s="65">
        <v>0.26833333333333331</v>
      </c>
      <c r="Z22" s="65">
        <v>0.59666666666666668</v>
      </c>
      <c r="AA22" s="65">
        <v>0.125</v>
      </c>
      <c r="AB22" s="241">
        <f>AVERAGEIFS(AB$36:AB$171,$C$36:$C$171,"=5")</f>
        <v>0.39500000000000002</v>
      </c>
      <c r="AC22" s="241">
        <f>AVERAGEIFS(AC$36:AC$171,$C$36:$C$171,"=5")</f>
        <v>0.4538888888888889</v>
      </c>
      <c r="AD22" s="241">
        <f>AVERAGEIFS(AD$36:AD$171,$C$36:$C$171,"=5")</f>
        <v>0.46444444444444444</v>
      </c>
      <c r="AE22" s="297">
        <v>56.368421052631582</v>
      </c>
      <c r="AF22" s="297">
        <v>7.9473684210526319</v>
      </c>
      <c r="AG22" s="39">
        <v>6.842105263157895E-3</v>
      </c>
      <c r="AH22" s="39">
        <v>0.25526315789473697</v>
      </c>
      <c r="AI22" s="39">
        <v>0.5915789473684212</v>
      </c>
      <c r="AJ22" s="39">
        <v>0.14684210526315788</v>
      </c>
      <c r="AK22" s="241">
        <f>AVERAGEIFS(AK$36:AK$171,$C$36:$C$171,"=5")</f>
        <v>0.37526315789473674</v>
      </c>
      <c r="AL22" s="241">
        <f>AVERAGEIFS(AL$36:AL$171,$C$36:$C$171,"=5")</f>
        <v>0.32526315789473681</v>
      </c>
      <c r="AM22" s="241">
        <f>AVERAGEIFS(AM$36:AM$171,$C$36:$C$171,"=5")</f>
        <v>0.37894736842105264</v>
      </c>
      <c r="AN22" s="199">
        <v>56.5</v>
      </c>
      <c r="AO22" s="199">
        <v>7.3888888888888893</v>
      </c>
      <c r="AP22" s="39">
        <v>2.2222222222222222E-3</v>
      </c>
      <c r="AQ22" s="39">
        <v>0.21777777777777779</v>
      </c>
      <c r="AR22" s="39">
        <v>0.66388888888888875</v>
      </c>
      <c r="AS22" s="39">
        <v>0.11611111111111111</v>
      </c>
      <c r="AT22" s="241">
        <f>AVERAGEIFS(AT$36:AT$171,$C$36:$C$171,"=5")</f>
        <v>0.42777777777777781</v>
      </c>
      <c r="AU22" s="241">
        <f>AVERAGEIFS(AU$36:AU$171,$C$36:$C$171,"=5")</f>
        <v>0.30444444444444441</v>
      </c>
      <c r="AV22" s="241">
        <f>AVERAGEIFS(AV$36:AV$171,$C$36:$C$171,"=5")</f>
        <v>0.39166666666666672</v>
      </c>
      <c r="AW22" s="296">
        <v>56.944444444444443</v>
      </c>
      <c r="AX22" s="296"/>
      <c r="AY22" s="296"/>
      <c r="AZ22" s="241"/>
      <c r="BA22" s="263">
        <v>5.5555555555555558E-3</v>
      </c>
      <c r="BB22" s="263">
        <v>0.22166666666666662</v>
      </c>
      <c r="BC22" s="263">
        <v>0.59388888888888891</v>
      </c>
      <c r="BD22" s="263">
        <v>0.1772222222222222</v>
      </c>
      <c r="BE22" s="241">
        <v>0.39111111111111119</v>
      </c>
      <c r="BF22" s="241">
        <v>0.30111111111111105</v>
      </c>
      <c r="BG22" s="241">
        <v>0.48444444444444446</v>
      </c>
      <c r="BH22" s="129">
        <f>AVERAGEIF($C$36:$C$171,"=5",BH$36:BH$171)</f>
        <v>57.882352941176471</v>
      </c>
      <c r="BJ22" s="129">
        <f t="shared" ref="BJ22:CN22" si="5">AVERAGEIF($C$36:$C$171,"=5",BJ$36:BJ$171)</f>
        <v>7.7058823529411766</v>
      </c>
      <c r="BL22" s="344">
        <f t="shared" si="5"/>
        <v>1.2352941176470589E-2</v>
      </c>
      <c r="BM22" s="344">
        <f t="shared" si="5"/>
        <v>0.17294117647058824</v>
      </c>
      <c r="BN22" s="344">
        <f t="shared" si="5"/>
        <v>0.62588235294117656</v>
      </c>
      <c r="BO22" s="344">
        <f t="shared" si="5"/>
        <v>0.19</v>
      </c>
      <c r="BP22" s="344">
        <f t="shared" si="5"/>
        <v>0.41235294117647059</v>
      </c>
      <c r="BQ22" s="344">
        <f t="shared" si="5"/>
        <v>0.28176470588235292</v>
      </c>
      <c r="BR22" s="344">
        <f t="shared" si="5"/>
        <v>0.37823529411764706</v>
      </c>
      <c r="BS22" s="129">
        <f t="shared" si="5"/>
        <v>57.823529411764703</v>
      </c>
      <c r="BU22" s="129">
        <f t="shared" si="5"/>
        <v>8.1764705882352935</v>
      </c>
      <c r="BW22" s="344">
        <f t="shared" si="5"/>
        <v>6.4705882352941186E-3</v>
      </c>
      <c r="BX22" s="344">
        <f t="shared" si="5"/>
        <v>0.18941176470588236</v>
      </c>
      <c r="BY22" s="344">
        <f t="shared" si="5"/>
        <v>0.62647058823529422</v>
      </c>
      <c r="BZ22" s="344">
        <f t="shared" si="5"/>
        <v>0.17882352941176474</v>
      </c>
      <c r="CA22" s="344">
        <f t="shared" si="5"/>
        <v>0.30941176470588239</v>
      </c>
      <c r="CB22" s="344">
        <f t="shared" si="5"/>
        <v>0.4129411764705882</v>
      </c>
      <c r="CC22" s="344">
        <f t="shared" si="5"/>
        <v>0.4205882352941176</v>
      </c>
      <c r="CD22" s="129">
        <f t="shared" si="5"/>
        <v>57.5</v>
      </c>
      <c r="CF22" s="129">
        <f t="shared" si="5"/>
        <v>7.5555555555555554</v>
      </c>
      <c r="CH22" s="344">
        <f t="shared" si="5"/>
        <v>7.7777777777777767E-3</v>
      </c>
      <c r="CI22" s="344">
        <f t="shared" si="5"/>
        <v>0.1927777777777778</v>
      </c>
      <c r="CJ22" s="344">
        <f t="shared" si="5"/>
        <v>0.62333333333333352</v>
      </c>
      <c r="CK22" s="344">
        <f t="shared" si="5"/>
        <v>0.17611111111111111</v>
      </c>
      <c r="CL22" s="344">
        <f t="shared" si="5"/>
        <v>0.40444444444444444</v>
      </c>
      <c r="CM22" s="344">
        <f t="shared" si="5"/>
        <v>0.4094444444444445</v>
      </c>
      <c r="CN22" s="344">
        <f t="shared" si="5"/>
        <v>0.27777777777777779</v>
      </c>
    </row>
    <row r="23" spans="1:97" ht="24.95" customHeight="1" x14ac:dyDescent="0.2">
      <c r="A23" s="198" t="s">
        <v>249</v>
      </c>
      <c r="B23" s="6"/>
      <c r="C23" s="6"/>
      <c r="D23" s="199">
        <v>54.2</v>
      </c>
      <c r="E23" s="199">
        <v>6.7333333333333334</v>
      </c>
      <c r="F23" s="39">
        <v>7.3333333333333332E-3</v>
      </c>
      <c r="G23" s="39">
        <v>0.39588235294117652</v>
      </c>
      <c r="H23" s="39">
        <v>0.56000000000000005</v>
      </c>
      <c r="I23" s="39">
        <v>5.7999999999999989E-2</v>
      </c>
      <c r="J23" s="241">
        <f>AVERAGEIFS(J$36:J$171,$C$36:$C$171,"=6")</f>
        <v>0.4273333333333334</v>
      </c>
      <c r="K23" s="241">
        <f>AVERAGEIFS(K$36:K$171,$C$36:$C$171,"=6")</f>
        <v>0.47866666666666668</v>
      </c>
      <c r="L23" s="241">
        <f>AVERAGEIFS(L$36:L$171,$C$36:$C$171,"=6")</f>
        <v>0.53599999999999992</v>
      </c>
      <c r="M23" s="199">
        <v>53.733333333333334</v>
      </c>
      <c r="N23" s="199">
        <v>8.3333333333333339</v>
      </c>
      <c r="O23" s="60">
        <v>2.8000000000000004E-2</v>
      </c>
      <c r="P23" s="60">
        <v>0.3193333333333333</v>
      </c>
      <c r="Q23" s="60">
        <v>0.57533333333333325</v>
      </c>
      <c r="R23" s="60">
        <v>7.8E-2</v>
      </c>
      <c r="S23" s="241">
        <f>AVERAGEIFS(S$36:S$171,$C$36:$C$171,"=6")</f>
        <v>0.44200000000000006</v>
      </c>
      <c r="T23" s="241">
        <f>AVERAGEIFS(T$36:T$171,$C$36:$C$171,"=6")</f>
        <v>0.47800000000000004</v>
      </c>
      <c r="U23" s="241">
        <f>AVERAGEIFS(U$36:U$171,$C$36:$C$171,"=6")</f>
        <v>0.47666666666666668</v>
      </c>
      <c r="V23" s="199">
        <v>54.357142857142854</v>
      </c>
      <c r="W23" s="199">
        <v>8.5714285714285712</v>
      </c>
      <c r="X23" s="65">
        <v>0.01</v>
      </c>
      <c r="Y23" s="65">
        <v>0.3714285714285715</v>
      </c>
      <c r="Z23" s="65">
        <v>0.51642857142857135</v>
      </c>
      <c r="AA23" s="65">
        <v>0.10571428571428572</v>
      </c>
      <c r="AB23" s="241">
        <f>AVERAGEIFS(AB$36:AB$171,$C$36:$C$171,"=6")</f>
        <v>0.42642857142857149</v>
      </c>
      <c r="AC23" s="241">
        <f>AVERAGEIFS(AC$36:AC$171,$C$36:$C$171,"=6")</f>
        <v>0.46642857142857136</v>
      </c>
      <c r="AD23" s="241">
        <f>AVERAGEIFS(AD$36:AD$171,$C$36:$C$171,"=6")</f>
        <v>0.50357142857142856</v>
      </c>
      <c r="AE23" s="297">
        <v>54.6</v>
      </c>
      <c r="AF23" s="297">
        <v>8.6666666666666661</v>
      </c>
      <c r="AG23" s="39">
        <v>1.1333333333333334E-2</v>
      </c>
      <c r="AH23" s="39">
        <v>0.32466666666666666</v>
      </c>
      <c r="AI23" s="39">
        <v>0.55533333333333335</v>
      </c>
      <c r="AJ23" s="39">
        <v>0.10933333333333331</v>
      </c>
      <c r="AK23" s="241">
        <f>AVERAGEIFS(AK$36:AK$171,$C$36:$C$171,"=6")</f>
        <v>0.41399999999999998</v>
      </c>
      <c r="AL23" s="241">
        <f>AVERAGEIFS(AL$36:AL$171,$C$36:$C$171,"=6")</f>
        <v>0.36333333333333334</v>
      </c>
      <c r="AM23" s="241">
        <f>AVERAGEIFS(AM$36:AM$171,$C$36:$C$171,"=6")</f>
        <v>0.38933333333333336</v>
      </c>
      <c r="AN23" s="199">
        <v>52.588235294117645</v>
      </c>
      <c r="AO23" s="199">
        <v>7.4705882352941178</v>
      </c>
      <c r="AP23" s="39">
        <v>3.9411764705882354E-2</v>
      </c>
      <c r="AQ23" s="39">
        <v>0.34176470588235297</v>
      </c>
      <c r="AR23" s="39">
        <v>0.54941176470588238</v>
      </c>
      <c r="AS23" s="39">
        <v>6.9411764705882367E-2</v>
      </c>
      <c r="AT23" s="241">
        <f>AVERAGEIFS(AT$36:AT$171,$C$36:$C$171,"=6")</f>
        <v>0.48529411764705882</v>
      </c>
      <c r="AU23" s="241">
        <f>AVERAGEIFS(AU$36:AU$171,$C$36:$C$171,"=6")</f>
        <v>0.37882352941176473</v>
      </c>
      <c r="AV23" s="241">
        <f>AVERAGEIFS(AV$36:AV$171,$C$36:$C$171,"=6")</f>
        <v>0.45294117647058824</v>
      </c>
      <c r="AW23" s="296">
        <v>54.1875</v>
      </c>
      <c r="AX23" s="296"/>
      <c r="AY23" s="296"/>
      <c r="AZ23" s="241"/>
      <c r="BA23" s="263">
        <v>1.6875000000000001E-2</v>
      </c>
      <c r="BB23" s="263">
        <v>0.37687500000000002</v>
      </c>
      <c r="BC23" s="263">
        <v>0.49812500000000004</v>
      </c>
      <c r="BD23" s="263">
        <v>0.10999999999999999</v>
      </c>
      <c r="BE23" s="241">
        <v>0.45437499999999992</v>
      </c>
      <c r="BF23" s="241">
        <v>0.33437499999999998</v>
      </c>
      <c r="BG23" s="241">
        <v>0.53437500000000004</v>
      </c>
      <c r="BH23" s="129">
        <f>AVERAGEIF($C$36:$C$171,"=6",BH$36:BH$171)</f>
        <v>54.526315789473685</v>
      </c>
      <c r="BJ23" s="129">
        <f t="shared" ref="BJ23:CN23" si="6">AVERAGEIF($C$36:$C$171,"=6",BJ$36:BJ$171)</f>
        <v>8.3157894736842106</v>
      </c>
      <c r="BL23" s="344">
        <f t="shared" si="6"/>
        <v>2.4210526315789474E-2</v>
      </c>
      <c r="BM23" s="344">
        <f t="shared" si="6"/>
        <v>0.31052631578947371</v>
      </c>
      <c r="BN23" s="344">
        <f t="shared" si="6"/>
        <v>0.55736842105263151</v>
      </c>
      <c r="BO23" s="344">
        <f t="shared" si="6"/>
        <v>0.10684210526315789</v>
      </c>
      <c r="BP23" s="344">
        <f t="shared" si="6"/>
        <v>0.46736842105263154</v>
      </c>
      <c r="BQ23" s="344">
        <f t="shared" si="6"/>
        <v>0.3436842105263157</v>
      </c>
      <c r="BR23" s="344">
        <f t="shared" si="6"/>
        <v>0.44210526315789478</v>
      </c>
      <c r="BS23" s="129">
        <f t="shared" si="6"/>
        <v>55.6</v>
      </c>
      <c r="BU23" s="129">
        <f t="shared" si="6"/>
        <v>7.9</v>
      </c>
      <c r="BW23" s="344">
        <f t="shared" si="6"/>
        <v>9.5000000000000015E-3</v>
      </c>
      <c r="BX23" s="344">
        <f t="shared" si="6"/>
        <v>0.26700000000000002</v>
      </c>
      <c r="BY23" s="344">
        <f t="shared" si="6"/>
        <v>0.57150000000000012</v>
      </c>
      <c r="BZ23" s="344">
        <f t="shared" si="6"/>
        <v>0.15150000000000002</v>
      </c>
      <c r="CA23" s="344">
        <f t="shared" si="6"/>
        <v>0.34649999999999997</v>
      </c>
      <c r="CB23" s="344">
        <f t="shared" si="6"/>
        <v>0.44449999999999995</v>
      </c>
      <c r="CC23" s="344">
        <f t="shared" si="6"/>
        <v>0.46149999999999991</v>
      </c>
      <c r="CD23" s="129">
        <f t="shared" si="6"/>
        <v>56</v>
      </c>
      <c r="CF23" s="129">
        <f t="shared" si="6"/>
        <v>8.5555555555555554</v>
      </c>
      <c r="CH23" s="344">
        <f t="shared" si="6"/>
        <v>2.6666666666666668E-2</v>
      </c>
      <c r="CI23" s="344">
        <f t="shared" si="6"/>
        <v>0.2316666666666666</v>
      </c>
      <c r="CJ23" s="344">
        <f t="shared" si="6"/>
        <v>0.5988888888888888</v>
      </c>
      <c r="CK23" s="344">
        <f t="shared" si="6"/>
        <v>0.14333333333333334</v>
      </c>
      <c r="CL23" s="344">
        <f t="shared" si="6"/>
        <v>0.43833333333333335</v>
      </c>
      <c r="CM23" s="344">
        <f t="shared" si="6"/>
        <v>0.4200000000000001</v>
      </c>
      <c r="CN23" s="344">
        <f t="shared" si="6"/>
        <v>0.31277777777777782</v>
      </c>
    </row>
    <row r="24" spans="1:97" ht="24.95" customHeight="1" x14ac:dyDescent="0.2">
      <c r="A24" s="6" t="s">
        <v>895</v>
      </c>
      <c r="B24" s="294"/>
      <c r="C24" s="294"/>
      <c r="D24" s="199">
        <v>53</v>
      </c>
      <c r="E24" s="199">
        <v>7.25</v>
      </c>
      <c r="F24" s="263">
        <v>7.4999999999999997E-3</v>
      </c>
      <c r="G24" s="263">
        <v>0.36499999999999999</v>
      </c>
      <c r="H24" s="263">
        <v>0.58749999999999991</v>
      </c>
      <c r="I24" s="263">
        <v>3.7499999999999999E-2</v>
      </c>
      <c r="J24" s="295">
        <v>0.43499999999999994</v>
      </c>
      <c r="K24" s="295">
        <v>0.48749999999999999</v>
      </c>
      <c r="L24" s="295">
        <v>0.55000000000000004</v>
      </c>
      <c r="M24" s="199">
        <v>55</v>
      </c>
      <c r="N24" s="199">
        <v>7.25</v>
      </c>
      <c r="O24" s="263">
        <v>0.01</v>
      </c>
      <c r="P24" s="263">
        <v>0.27500000000000002</v>
      </c>
      <c r="Q24" s="263">
        <v>0.64749999999999996</v>
      </c>
      <c r="R24" s="263">
        <v>6.7500000000000004E-2</v>
      </c>
      <c r="S24" s="295">
        <v>0.42000000000000004</v>
      </c>
      <c r="T24" s="295">
        <v>0.45500000000000002</v>
      </c>
      <c r="U24" s="295">
        <v>0.45249999999999996</v>
      </c>
      <c r="V24" s="199">
        <v>53.75</v>
      </c>
      <c r="W24" s="199">
        <v>8.5</v>
      </c>
      <c r="X24" s="263">
        <v>1.4999999999999999E-2</v>
      </c>
      <c r="Y24" s="263">
        <v>0.35749999999999998</v>
      </c>
      <c r="Z24" s="263">
        <v>0.53749999999999998</v>
      </c>
      <c r="AA24" s="263">
        <v>0.09</v>
      </c>
      <c r="AB24" s="295">
        <v>0.4325</v>
      </c>
      <c r="AC24" s="295">
        <v>0.48499999999999999</v>
      </c>
      <c r="AD24" s="295">
        <v>0.505</v>
      </c>
      <c r="AE24" s="297">
        <v>54.25</v>
      </c>
      <c r="AF24" s="297">
        <v>8.75</v>
      </c>
      <c r="AG24" s="263">
        <v>2.75E-2</v>
      </c>
      <c r="AH24" s="263">
        <v>0.3075</v>
      </c>
      <c r="AI24" s="263">
        <v>0.56999999999999995</v>
      </c>
      <c r="AJ24" s="263">
        <v>9.5000000000000001E-2</v>
      </c>
      <c r="AK24" s="295">
        <v>0.42249999999999999</v>
      </c>
      <c r="AL24" s="295">
        <v>0.36250000000000004</v>
      </c>
      <c r="AM24" s="295">
        <v>0.41500000000000004</v>
      </c>
      <c r="AN24" s="199">
        <v>54.25</v>
      </c>
      <c r="AO24" s="199">
        <v>8</v>
      </c>
      <c r="AP24" s="263">
        <v>1.7500000000000002E-2</v>
      </c>
      <c r="AQ24" s="263">
        <v>0.3175</v>
      </c>
      <c r="AR24" s="263">
        <v>0.57999999999999996</v>
      </c>
      <c r="AS24" s="263">
        <v>8.249999999999999E-2</v>
      </c>
      <c r="AT24" s="295">
        <v>0.46249999999999997</v>
      </c>
      <c r="AU24" s="295">
        <v>0.35499999999999998</v>
      </c>
      <c r="AV24" s="295">
        <v>0.41749999999999998</v>
      </c>
      <c r="AW24" s="296">
        <v>53.75</v>
      </c>
      <c r="AX24" s="296"/>
      <c r="AY24" s="296">
        <v>9.5</v>
      </c>
      <c r="AZ24" s="295"/>
      <c r="BA24" s="263">
        <v>2.5000000000000001E-2</v>
      </c>
      <c r="BB24" s="263">
        <v>0.33749999999999997</v>
      </c>
      <c r="BC24" s="263">
        <v>0.53</v>
      </c>
      <c r="BD24" s="263">
        <v>0.10500000000000001</v>
      </c>
      <c r="BE24" s="295">
        <v>0.44749999999999995</v>
      </c>
      <c r="BF24" s="295">
        <v>0.34</v>
      </c>
      <c r="BG24" s="295">
        <v>0.54749999999999999</v>
      </c>
      <c r="BH24" s="302">
        <f>AVERAGEIFS(BH$36:BH$171,$C$36:$C$171,"=1", $B$36:$B$171,"OFICIAL")</f>
        <v>54</v>
      </c>
      <c r="BJ24" s="302">
        <f t="shared" ref="BJ24:CD24" si="7">AVERAGEIFS(BJ$36:BJ$171,$C$36:$C$171,"=1", $B$36:$B$171,"OFICIAL")</f>
        <v>8.6</v>
      </c>
      <c r="BL24" s="345">
        <f t="shared" si="7"/>
        <v>1.4000000000000002E-2</v>
      </c>
      <c r="BM24" s="345">
        <f t="shared" si="7"/>
        <v>0.32200000000000001</v>
      </c>
      <c r="BN24" s="345">
        <f t="shared" si="7"/>
        <v>0.57200000000000006</v>
      </c>
      <c r="BO24" s="345">
        <f t="shared" si="7"/>
        <v>8.7999999999999995E-2</v>
      </c>
      <c r="BP24" s="345">
        <f t="shared" si="7"/>
        <v>0.47199999999999998</v>
      </c>
      <c r="BQ24" s="345">
        <f t="shared" si="7"/>
        <v>0.35199999999999998</v>
      </c>
      <c r="BR24" s="345">
        <f t="shared" si="7"/>
        <v>0.45599999999999996</v>
      </c>
      <c r="BS24" s="302">
        <f t="shared" si="7"/>
        <v>52.8</v>
      </c>
      <c r="BU24" s="302">
        <f t="shared" si="7"/>
        <v>8.1999999999999993</v>
      </c>
      <c r="BW24" s="345">
        <f t="shared" si="7"/>
        <v>1.6E-2</v>
      </c>
      <c r="BX24" s="345">
        <f t="shared" si="7"/>
        <v>0.36199999999999999</v>
      </c>
      <c r="BY24" s="345">
        <f t="shared" si="7"/>
        <v>0.56799999999999995</v>
      </c>
      <c r="BZ24" s="345">
        <f t="shared" si="7"/>
        <v>5.7999999999999996E-2</v>
      </c>
      <c r="CA24" s="345">
        <f t="shared" si="7"/>
        <v>0.374</v>
      </c>
      <c r="CB24" s="345">
        <f t="shared" si="7"/>
        <v>0.49800000000000005</v>
      </c>
      <c r="CC24" s="345">
        <f t="shared" si="7"/>
        <v>0.51400000000000001</v>
      </c>
      <c r="CD24" s="494">
        <f t="shared" si="7"/>
        <v>54</v>
      </c>
      <c r="CF24" s="302">
        <f>AVERAGEIFS(CF$36:CF$171,$C$36:$C$171,"=1", $B$36:$B$171,"OFICIAL")</f>
        <v>9.4</v>
      </c>
      <c r="CH24" s="345">
        <f t="shared" ref="CH24:CN24" si="8">AVERAGEIFS(CH$36:CH$171,$C$36:$C$171,"=1", $B$36:$B$171,"OFICIAL")</f>
        <v>3.5999999999999997E-2</v>
      </c>
      <c r="CI24" s="345">
        <f t="shared" si="8"/>
        <v>0.29199999999999998</v>
      </c>
      <c r="CJ24" s="345">
        <f t="shared" si="8"/>
        <v>0.57399999999999995</v>
      </c>
      <c r="CK24" s="345">
        <f t="shared" si="8"/>
        <v>9.8000000000000004E-2</v>
      </c>
      <c r="CL24" s="345">
        <f t="shared" si="8"/>
        <v>0.45400000000000001</v>
      </c>
      <c r="CM24" s="345">
        <f t="shared" si="8"/>
        <v>0.45400000000000001</v>
      </c>
      <c r="CN24" s="345">
        <f t="shared" si="8"/>
        <v>0.36199999999999999</v>
      </c>
    </row>
    <row r="25" spans="1:97" ht="24.95" customHeight="1" x14ac:dyDescent="0.2">
      <c r="A25" s="6" t="s">
        <v>896</v>
      </c>
      <c r="B25" s="294"/>
      <c r="C25" s="294"/>
      <c r="D25" s="199">
        <v>53.5</v>
      </c>
      <c r="E25" s="199">
        <v>7.5</v>
      </c>
      <c r="F25" s="263">
        <v>5.0000000000000001E-3</v>
      </c>
      <c r="G25" s="263">
        <v>0.36</v>
      </c>
      <c r="H25" s="263">
        <v>0.56499999999999995</v>
      </c>
      <c r="I25" s="263">
        <v>6.5000000000000002E-2</v>
      </c>
      <c r="J25" s="295">
        <v>0.43</v>
      </c>
      <c r="K25" s="295">
        <v>0.49</v>
      </c>
      <c r="L25" s="295">
        <v>0.54499999999999993</v>
      </c>
      <c r="M25" s="199">
        <v>54.5</v>
      </c>
      <c r="N25" s="199">
        <v>8</v>
      </c>
      <c r="O25" s="263">
        <v>1.4999999999999999E-2</v>
      </c>
      <c r="P25" s="263">
        <v>0.29500000000000004</v>
      </c>
      <c r="Q25" s="263">
        <v>0.61499999999999999</v>
      </c>
      <c r="R25" s="263">
        <v>7.0000000000000007E-2</v>
      </c>
      <c r="S25" s="295">
        <v>0.43</v>
      </c>
      <c r="T25" s="295">
        <v>0.46499999999999997</v>
      </c>
      <c r="U25" s="295">
        <v>0.47499999999999998</v>
      </c>
      <c r="V25" s="199">
        <v>53.5</v>
      </c>
      <c r="W25" s="199">
        <v>9</v>
      </c>
      <c r="X25" s="263">
        <v>0.01</v>
      </c>
      <c r="Y25" s="263">
        <v>0.33499999999999996</v>
      </c>
      <c r="Z25" s="263">
        <v>0.54</v>
      </c>
      <c r="AA25" s="263">
        <v>0.11</v>
      </c>
      <c r="AB25" s="295">
        <v>0.42499999999999999</v>
      </c>
      <c r="AC25" s="295">
        <v>0.495</v>
      </c>
      <c r="AD25" s="295">
        <v>0.505</v>
      </c>
      <c r="AE25" s="297">
        <v>54</v>
      </c>
      <c r="AF25" s="297">
        <v>9</v>
      </c>
      <c r="AG25" s="263">
        <v>2.5000000000000001E-2</v>
      </c>
      <c r="AH25" s="263">
        <v>0.30499999999999999</v>
      </c>
      <c r="AI25" s="263">
        <v>0.57999999999999996</v>
      </c>
      <c r="AJ25" s="263">
        <v>0.09</v>
      </c>
      <c r="AK25" s="295">
        <v>0.41000000000000003</v>
      </c>
      <c r="AL25" s="295">
        <v>0.36</v>
      </c>
      <c r="AM25" s="295">
        <v>0.42</v>
      </c>
      <c r="AN25" s="199">
        <v>54</v>
      </c>
      <c r="AO25" s="199">
        <v>8.5</v>
      </c>
      <c r="AP25" s="263">
        <v>5.0000000000000001E-3</v>
      </c>
      <c r="AQ25" s="263">
        <v>0.33</v>
      </c>
      <c r="AR25" s="263">
        <v>0.57499999999999996</v>
      </c>
      <c r="AS25" s="263">
        <v>8.5000000000000006E-2</v>
      </c>
      <c r="AT25" s="295">
        <v>0.47499999999999998</v>
      </c>
      <c r="AU25" s="295">
        <v>0.36</v>
      </c>
      <c r="AV25" s="295">
        <v>0.42499999999999999</v>
      </c>
      <c r="AW25" s="296">
        <v>53.5</v>
      </c>
      <c r="AX25" s="296"/>
      <c r="AY25" s="296">
        <v>9</v>
      </c>
      <c r="AZ25" s="295"/>
      <c r="BA25" s="263">
        <v>0.02</v>
      </c>
      <c r="BB25" s="263">
        <v>0.38</v>
      </c>
      <c r="BC25" s="263">
        <v>0.5</v>
      </c>
      <c r="BD25" s="263">
        <v>0.1</v>
      </c>
      <c r="BE25" s="295">
        <v>0.45500000000000002</v>
      </c>
      <c r="BF25" s="295">
        <v>0.36</v>
      </c>
      <c r="BG25" s="295">
        <v>0.55000000000000004</v>
      </c>
      <c r="BH25" s="302">
        <f>AVERAGEIFS(BH$36:BH$171,$C$36:$C$171,"=2", $B$36:$B$171,"OFICIAL")</f>
        <v>53.75</v>
      </c>
      <c r="BJ25" s="302">
        <f t="shared" ref="BJ25:CD25" si="9">AVERAGEIFS(BJ$36:BJ$171,$C$36:$C$171,"=2", $B$36:$B$171,"OFICIAL")</f>
        <v>8.75</v>
      </c>
      <c r="BL25" s="345">
        <f t="shared" si="9"/>
        <v>1.4999999999999999E-2</v>
      </c>
      <c r="BM25" s="345">
        <f t="shared" si="9"/>
        <v>0.32</v>
      </c>
      <c r="BN25" s="345">
        <f t="shared" si="9"/>
        <v>0.57250000000000001</v>
      </c>
      <c r="BO25" s="345">
        <f t="shared" si="9"/>
        <v>9.7500000000000003E-2</v>
      </c>
      <c r="BP25" s="345">
        <f t="shared" si="9"/>
        <v>0.46749999999999997</v>
      </c>
      <c r="BQ25" s="345">
        <f t="shared" si="9"/>
        <v>0.36</v>
      </c>
      <c r="BR25" s="345">
        <f t="shared" si="9"/>
        <v>0.45499999999999996</v>
      </c>
      <c r="BS25" s="302">
        <f t="shared" si="9"/>
        <v>54.25</v>
      </c>
      <c r="BU25" s="302">
        <f t="shared" si="9"/>
        <v>8.5</v>
      </c>
      <c r="BW25" s="345">
        <f t="shared" si="9"/>
        <v>0.02</v>
      </c>
      <c r="BX25" s="345">
        <f t="shared" si="9"/>
        <v>0.3</v>
      </c>
      <c r="BY25" s="345">
        <f t="shared" si="9"/>
        <v>0.59750000000000003</v>
      </c>
      <c r="BZ25" s="345">
        <f t="shared" si="9"/>
        <v>0.08</v>
      </c>
      <c r="CA25" s="345">
        <f t="shared" si="9"/>
        <v>0.37</v>
      </c>
      <c r="CB25" s="345">
        <f t="shared" si="9"/>
        <v>0.47249999999999998</v>
      </c>
      <c r="CC25" s="345">
        <f t="shared" si="9"/>
        <v>0.4975</v>
      </c>
      <c r="CD25" s="494">
        <f t="shared" si="9"/>
        <v>54.75</v>
      </c>
      <c r="CF25" s="302">
        <f>AVERAGEIFS(CF$36:CF$171,$C$36:$C$171,"=2", $B$36:$B$171,"OFICIAL")</f>
        <v>8.5</v>
      </c>
      <c r="CH25" s="345">
        <f t="shared" ref="CH25:CN25" si="10">AVERAGEIFS(CH$36:CH$171,$C$36:$C$171,"=2", $B$36:$B$171,"OFICIAL")</f>
        <v>1.2500000000000001E-2</v>
      </c>
      <c r="CI25" s="345">
        <f t="shared" si="10"/>
        <v>0.30500000000000005</v>
      </c>
      <c r="CJ25" s="345">
        <f t="shared" si="10"/>
        <v>0.58499999999999996</v>
      </c>
      <c r="CK25" s="345">
        <f t="shared" si="10"/>
        <v>9.7500000000000003E-2</v>
      </c>
      <c r="CL25" s="345">
        <f t="shared" si="10"/>
        <v>0.44999999999999996</v>
      </c>
      <c r="CM25" s="345">
        <f t="shared" si="10"/>
        <v>0.44750000000000001</v>
      </c>
      <c r="CN25" s="345">
        <f t="shared" si="10"/>
        <v>0.33499999999999996</v>
      </c>
    </row>
    <row r="26" spans="1:97" ht="24.95" customHeight="1" x14ac:dyDescent="0.2">
      <c r="A26" s="6" t="s">
        <v>897</v>
      </c>
      <c r="B26" s="294"/>
      <c r="C26" s="294"/>
      <c r="D26" s="199">
        <v>53</v>
      </c>
      <c r="E26" s="199">
        <v>8.5</v>
      </c>
      <c r="F26" s="263">
        <v>2.4E-2</v>
      </c>
      <c r="G26" s="263">
        <v>0.38400000000000001</v>
      </c>
      <c r="H26" s="263">
        <v>0.53599999999999992</v>
      </c>
      <c r="I26" s="263">
        <v>0.06</v>
      </c>
      <c r="J26" s="295">
        <v>0.47400000000000003</v>
      </c>
      <c r="K26" s="295">
        <v>0.48399999999999999</v>
      </c>
      <c r="L26" s="295">
        <v>0.53800000000000003</v>
      </c>
      <c r="M26" s="199">
        <v>54.4</v>
      </c>
      <c r="N26" s="199">
        <v>8.75</v>
      </c>
      <c r="O26" s="263">
        <v>1.4000000000000002E-2</v>
      </c>
      <c r="P26" s="263">
        <v>0.30199999999999999</v>
      </c>
      <c r="Q26" s="263">
        <v>0.60199999999999998</v>
      </c>
      <c r="R26" s="263">
        <v>8.2000000000000003E-2</v>
      </c>
      <c r="S26" s="295">
        <v>0.42599999999999999</v>
      </c>
      <c r="T26" s="295">
        <v>0.48399999999999999</v>
      </c>
      <c r="U26" s="295">
        <v>0.46600000000000003</v>
      </c>
      <c r="V26" s="199">
        <v>54.2</v>
      </c>
      <c r="W26" s="199">
        <v>8.5</v>
      </c>
      <c r="X26" s="263">
        <v>1.4000000000000002E-2</v>
      </c>
      <c r="Y26" s="263">
        <v>0.29000000000000004</v>
      </c>
      <c r="Z26" s="263">
        <v>0.59</v>
      </c>
      <c r="AA26" s="263">
        <v>0.10400000000000001</v>
      </c>
      <c r="AB26" s="295">
        <v>0.42400000000000004</v>
      </c>
      <c r="AC26" s="295">
        <v>0.47599999999999998</v>
      </c>
      <c r="AD26" s="295">
        <v>0.504</v>
      </c>
      <c r="AE26" s="297">
        <v>53.6</v>
      </c>
      <c r="AF26" s="297">
        <v>8.5</v>
      </c>
      <c r="AG26" s="263">
        <v>0.01</v>
      </c>
      <c r="AH26" s="263">
        <v>0.35</v>
      </c>
      <c r="AI26" s="263">
        <v>0.55800000000000005</v>
      </c>
      <c r="AJ26" s="263">
        <v>7.7999999999999986E-2</v>
      </c>
      <c r="AK26" s="295">
        <v>0.42000000000000004</v>
      </c>
      <c r="AL26" s="295">
        <v>0.38600000000000001</v>
      </c>
      <c r="AM26" s="295">
        <v>0.42599999999999999</v>
      </c>
      <c r="AN26" s="199">
        <v>53.6</v>
      </c>
      <c r="AO26" s="199">
        <v>8.4</v>
      </c>
      <c r="AP26" s="263">
        <v>3.4000000000000002E-2</v>
      </c>
      <c r="AQ26" s="263">
        <v>0.30399999999999999</v>
      </c>
      <c r="AR26" s="263">
        <v>0.59400000000000008</v>
      </c>
      <c r="AS26" s="263">
        <v>7.1999999999999995E-2</v>
      </c>
      <c r="AT26" s="295">
        <v>0.47599999999999998</v>
      </c>
      <c r="AU26" s="295">
        <v>0.37799999999999995</v>
      </c>
      <c r="AV26" s="295">
        <v>0.43600000000000005</v>
      </c>
      <c r="AW26" s="296">
        <v>53.8</v>
      </c>
      <c r="AX26" s="296"/>
      <c r="AY26" s="296">
        <v>8.6</v>
      </c>
      <c r="AZ26" s="295"/>
      <c r="BA26" s="263">
        <v>1.6E-2</v>
      </c>
      <c r="BB26" s="263">
        <v>0.34199999999999997</v>
      </c>
      <c r="BC26" s="263">
        <v>0.55600000000000005</v>
      </c>
      <c r="BD26" s="263">
        <v>8.7999999999999995E-2</v>
      </c>
      <c r="BE26" s="295">
        <v>0.44800000000000006</v>
      </c>
      <c r="BF26" s="295">
        <v>0.34799999999999998</v>
      </c>
      <c r="BG26" s="295">
        <v>0.54600000000000004</v>
      </c>
      <c r="BH26" s="302">
        <f>AVERAGEIFS(BH$36:BH$171,$C$36:$C$171,"=3", $B$36:$B$171,"OFICIAL")</f>
        <v>54.333333333333336</v>
      </c>
      <c r="BJ26" s="302">
        <f t="shared" ref="BJ26:CD26" si="11">AVERAGEIFS(BJ$36:BJ$171,$C$36:$C$171,"=3", $B$36:$B$171,"OFICIAL")</f>
        <v>8.8333333333333339</v>
      </c>
      <c r="BL26" s="345">
        <f t="shared" si="11"/>
        <v>0.01</v>
      </c>
      <c r="BM26" s="345">
        <f t="shared" si="11"/>
        <v>0.31</v>
      </c>
      <c r="BN26" s="345">
        <f t="shared" si="11"/>
        <v>0.58499999999999996</v>
      </c>
      <c r="BO26" s="345">
        <f t="shared" si="11"/>
        <v>9.6666666666666679E-2</v>
      </c>
      <c r="BP26" s="345">
        <f t="shared" si="11"/>
        <v>0.47666666666666674</v>
      </c>
      <c r="BQ26" s="345">
        <f t="shared" si="11"/>
        <v>0.34666666666666668</v>
      </c>
      <c r="BR26" s="345">
        <f t="shared" si="11"/>
        <v>0.44</v>
      </c>
      <c r="BS26" s="302">
        <f t="shared" si="11"/>
        <v>54</v>
      </c>
      <c r="BU26" s="302">
        <f t="shared" si="11"/>
        <v>8.6666666666666661</v>
      </c>
      <c r="BW26" s="345">
        <f t="shared" si="11"/>
        <v>2.3333333333333334E-2</v>
      </c>
      <c r="BX26" s="345">
        <f t="shared" si="11"/>
        <v>0.30333333333333334</v>
      </c>
      <c r="BY26" s="345">
        <f t="shared" si="11"/>
        <v>0.58166666666666667</v>
      </c>
      <c r="BZ26" s="345">
        <f t="shared" si="11"/>
        <v>9.1666666666666674E-2</v>
      </c>
      <c r="CA26" s="345">
        <f t="shared" si="11"/>
        <v>0.3666666666666667</v>
      </c>
      <c r="CB26" s="345">
        <f t="shared" si="11"/>
        <v>0.46833333333333327</v>
      </c>
      <c r="CC26" s="345">
        <f t="shared" si="11"/>
        <v>0.4916666666666667</v>
      </c>
      <c r="CD26" s="494">
        <f t="shared" si="11"/>
        <v>54.5</v>
      </c>
      <c r="CF26" s="302">
        <f>AVERAGEIFS(CF$36:CF$171,$C$36:$C$171,"=3", $B$36:$B$171,"OFICIAL")</f>
        <v>9</v>
      </c>
      <c r="CH26" s="345">
        <f t="shared" ref="CH26:CN26" si="12">AVERAGEIFS(CH$36:CH$171,$C$36:$C$171,"=3", $B$36:$B$171,"OFICIAL")</f>
        <v>2.1666666666666667E-2</v>
      </c>
      <c r="CI26" s="345">
        <f t="shared" si="12"/>
        <v>0.28999999999999998</v>
      </c>
      <c r="CJ26" s="345">
        <f t="shared" si="12"/>
        <v>0.57833333333333337</v>
      </c>
      <c r="CK26" s="345">
        <f t="shared" si="12"/>
        <v>0.11333333333333334</v>
      </c>
      <c r="CL26" s="345">
        <f t="shared" si="12"/>
        <v>0.45500000000000002</v>
      </c>
      <c r="CM26" s="345">
        <f t="shared" si="12"/>
        <v>0.44</v>
      </c>
      <c r="CN26" s="345">
        <f t="shared" si="12"/>
        <v>0.34333333333333332</v>
      </c>
    </row>
    <row r="27" spans="1:97" ht="24.95" customHeight="1" x14ac:dyDescent="0.2">
      <c r="A27" s="6" t="s">
        <v>898</v>
      </c>
      <c r="B27" s="294"/>
      <c r="C27" s="294"/>
      <c r="D27" s="199">
        <v>49.666666666666664</v>
      </c>
      <c r="E27" s="199">
        <v>7.666666666666667</v>
      </c>
      <c r="F27" s="263">
        <v>3.1666666666666669E-2</v>
      </c>
      <c r="G27" s="263">
        <v>0.53833333333333322</v>
      </c>
      <c r="H27" s="263">
        <v>0.40833333333333338</v>
      </c>
      <c r="I27" s="263">
        <v>1.8333333333333333E-2</v>
      </c>
      <c r="J27" s="295">
        <v>0.48833333333333345</v>
      </c>
      <c r="K27" s="295">
        <v>0.52666666666666673</v>
      </c>
      <c r="L27" s="295">
        <v>0.61833333333333329</v>
      </c>
      <c r="M27" s="199">
        <v>51.333333333333336</v>
      </c>
      <c r="N27" s="199">
        <v>8.1666666666666661</v>
      </c>
      <c r="O27" s="263">
        <v>1.6666666666666666E-2</v>
      </c>
      <c r="P27" s="263">
        <v>0.47000000000000003</v>
      </c>
      <c r="Q27" s="263">
        <v>0.45666666666666661</v>
      </c>
      <c r="R27" s="263">
        <v>5.5E-2</v>
      </c>
      <c r="S27" s="295">
        <v>0.47833333333333333</v>
      </c>
      <c r="T27" s="295">
        <v>0.51666666666666672</v>
      </c>
      <c r="U27" s="295">
        <v>0.52166666666666661</v>
      </c>
      <c r="V27" s="199">
        <v>50.333333333333336</v>
      </c>
      <c r="W27" s="199">
        <v>8.6666666666666661</v>
      </c>
      <c r="X27" s="263">
        <v>2.6666666666666668E-2</v>
      </c>
      <c r="Y27" s="263">
        <v>0.5083333333333333</v>
      </c>
      <c r="Z27" s="263">
        <v>0.42</v>
      </c>
      <c r="AA27" s="263">
        <v>4.1666666666666664E-2</v>
      </c>
      <c r="AB27" s="295">
        <v>0.505</v>
      </c>
      <c r="AC27" s="295">
        <v>0.53833333333333333</v>
      </c>
      <c r="AD27" s="295">
        <v>0.55333333333333334</v>
      </c>
      <c r="AE27" s="297">
        <v>50</v>
      </c>
      <c r="AF27" s="297">
        <v>8.8333333333333339</v>
      </c>
      <c r="AG27" s="263">
        <v>4.8333333333333339E-2</v>
      </c>
      <c r="AH27" s="263">
        <v>0.49333333333333335</v>
      </c>
      <c r="AI27" s="263">
        <v>0.40833333333333338</v>
      </c>
      <c r="AJ27" s="263">
        <v>5.1666666666666666E-2</v>
      </c>
      <c r="AK27" s="295">
        <v>0.48833333333333345</v>
      </c>
      <c r="AL27" s="295">
        <v>0.435</v>
      </c>
      <c r="AM27" s="295">
        <v>0.47499999999999992</v>
      </c>
      <c r="AN27" s="199">
        <v>50</v>
      </c>
      <c r="AO27" s="199">
        <v>8.5</v>
      </c>
      <c r="AP27" s="263">
        <v>3.8333333333333337E-2</v>
      </c>
      <c r="AQ27" s="263">
        <v>0.48</v>
      </c>
      <c r="AR27" s="263">
        <v>0.44666666666666671</v>
      </c>
      <c r="AS27" s="263">
        <v>3.8333333333333337E-2</v>
      </c>
      <c r="AT27" s="295">
        <v>0.52833333333333343</v>
      </c>
      <c r="AU27" s="295">
        <v>0.4316666666666667</v>
      </c>
      <c r="AV27" s="295">
        <v>0.48833333333333334</v>
      </c>
      <c r="AW27" s="296">
        <v>50.333333333333336</v>
      </c>
      <c r="AX27" s="296"/>
      <c r="AY27" s="296">
        <v>8.5</v>
      </c>
      <c r="AZ27" s="295"/>
      <c r="BA27" s="263">
        <v>3.666666666666666E-2</v>
      </c>
      <c r="BB27" s="263">
        <v>0.47333333333333333</v>
      </c>
      <c r="BC27" s="263">
        <v>0.45</v>
      </c>
      <c r="BD27" s="263">
        <v>0.04</v>
      </c>
      <c r="BE27" s="295">
        <v>0.4916666666666667</v>
      </c>
      <c r="BF27" s="295">
        <v>0.42</v>
      </c>
      <c r="BG27" s="295">
        <v>0.59499999999999997</v>
      </c>
      <c r="BH27" s="302">
        <f>AVERAGEIFS(BH$36:BH$171,$C$36:$C$171,"=4", $B$36:$B$171,"OFICIAL")</f>
        <v>51</v>
      </c>
      <c r="BJ27" s="302">
        <f t="shared" ref="BJ27:CD27" si="13">AVERAGEIFS(BJ$36:BJ$171,$C$36:$C$171,"=4", $B$36:$B$171,"OFICIAL")</f>
        <v>8.6666666666666661</v>
      </c>
      <c r="BL27" s="345">
        <f t="shared" si="13"/>
        <v>3.8333333333333337E-2</v>
      </c>
      <c r="BM27" s="345">
        <f t="shared" si="13"/>
        <v>0.43500000000000005</v>
      </c>
      <c r="BN27" s="345">
        <f t="shared" si="13"/>
        <v>0.47333333333333333</v>
      </c>
      <c r="BO27" s="345">
        <f t="shared" si="13"/>
        <v>4.9999999999999996E-2</v>
      </c>
      <c r="BP27" s="345">
        <f t="shared" si="13"/>
        <v>0.52166666666666672</v>
      </c>
      <c r="BQ27" s="345">
        <f t="shared" si="13"/>
        <v>0.40333333333333338</v>
      </c>
      <c r="BR27" s="345">
        <f t="shared" si="13"/>
        <v>0.52</v>
      </c>
      <c r="BS27" s="302">
        <f t="shared" si="13"/>
        <v>49.833333333333336</v>
      </c>
      <c r="BU27" s="302">
        <f t="shared" si="13"/>
        <v>8.8333333333333339</v>
      </c>
      <c r="BW27" s="345">
        <f t="shared" si="13"/>
        <v>5.000000000000001E-2</v>
      </c>
      <c r="BX27" s="345">
        <f t="shared" si="13"/>
        <v>0.44999999999999996</v>
      </c>
      <c r="BY27" s="345">
        <f t="shared" si="13"/>
        <v>0.45</v>
      </c>
      <c r="BZ27" s="345">
        <f t="shared" si="13"/>
        <v>4.6666666666666669E-2</v>
      </c>
      <c r="CA27" s="345">
        <f t="shared" si="13"/>
        <v>0.43166666666666664</v>
      </c>
      <c r="CB27" s="345">
        <f t="shared" si="13"/>
        <v>0.54500000000000004</v>
      </c>
      <c r="CC27" s="345">
        <f t="shared" si="13"/>
        <v>0.57666666666666666</v>
      </c>
      <c r="CD27" s="494">
        <f t="shared" si="13"/>
        <v>50.666666666666664</v>
      </c>
      <c r="CF27" s="302">
        <f>AVERAGEIFS(CF$36:CF$171,$C$36:$C$171,"=4", $B$36:$B$171,"OFICIAL")</f>
        <v>9.1666666666666661</v>
      </c>
      <c r="CH27" s="345">
        <f t="shared" ref="CH27:CN27" si="14">AVERAGEIFS(CH$36:CH$171,$C$36:$C$171,"=4", $B$36:$B$171,"OFICIAL")</f>
        <v>5.8333333333333327E-2</v>
      </c>
      <c r="CI27" s="345">
        <f t="shared" si="14"/>
        <v>0.44333333333333336</v>
      </c>
      <c r="CJ27" s="345">
        <f t="shared" si="14"/>
        <v>0.45500000000000002</v>
      </c>
      <c r="CK27" s="345">
        <f t="shared" si="14"/>
        <v>4.5000000000000005E-2</v>
      </c>
      <c r="CL27" s="345">
        <f t="shared" si="14"/>
        <v>0.50333333333333341</v>
      </c>
      <c r="CM27" s="345">
        <f t="shared" si="14"/>
        <v>0.505</v>
      </c>
      <c r="CN27" s="345">
        <f t="shared" si="14"/>
        <v>0.435</v>
      </c>
      <c r="CP27" s="26"/>
      <c r="CQ27" s="26"/>
      <c r="CR27" s="26"/>
      <c r="CS27" s="26"/>
    </row>
    <row r="28" spans="1:97" ht="24.95" customHeight="1" x14ac:dyDescent="0.2">
      <c r="A28" s="6" t="s">
        <v>899</v>
      </c>
      <c r="B28" s="294"/>
      <c r="C28" s="294"/>
      <c r="D28" s="199">
        <v>53.5</v>
      </c>
      <c r="E28" s="199">
        <v>7.5</v>
      </c>
      <c r="F28" s="263">
        <v>0.01</v>
      </c>
      <c r="G28" s="263">
        <v>0.35499999999999998</v>
      </c>
      <c r="H28" s="263">
        <v>0.57499999999999996</v>
      </c>
      <c r="I28" s="263">
        <v>0.06</v>
      </c>
      <c r="J28" s="295">
        <v>0.43</v>
      </c>
      <c r="K28" s="295">
        <v>0.46499999999999997</v>
      </c>
      <c r="L28" s="295">
        <v>0.53500000000000003</v>
      </c>
      <c r="M28" s="199">
        <v>54</v>
      </c>
      <c r="N28" s="199">
        <v>8.5</v>
      </c>
      <c r="O28" s="263">
        <v>1.4999999999999999E-2</v>
      </c>
      <c r="P28" s="263">
        <v>0.33499999999999996</v>
      </c>
      <c r="Q28" s="263">
        <v>0.56499999999999995</v>
      </c>
      <c r="R28" s="263">
        <v>0.08</v>
      </c>
      <c r="S28" s="295">
        <v>0.435</v>
      </c>
      <c r="T28" s="295">
        <v>0.46499999999999997</v>
      </c>
      <c r="U28" s="295">
        <v>0.48499999999999999</v>
      </c>
      <c r="V28" s="199">
        <v>52.5</v>
      </c>
      <c r="W28" s="199">
        <v>8</v>
      </c>
      <c r="X28" s="263">
        <v>0.01</v>
      </c>
      <c r="Y28" s="263">
        <v>0.4</v>
      </c>
      <c r="Z28" s="263">
        <v>0.53</v>
      </c>
      <c r="AA28" s="263">
        <v>6.5000000000000002E-2</v>
      </c>
      <c r="AB28" s="295">
        <v>0.45499999999999996</v>
      </c>
      <c r="AC28" s="295">
        <v>0.495</v>
      </c>
      <c r="AD28" s="295">
        <v>0.52500000000000002</v>
      </c>
      <c r="AE28" s="297">
        <v>53.5</v>
      </c>
      <c r="AF28" s="297">
        <v>8</v>
      </c>
      <c r="AG28" s="263">
        <v>0.02</v>
      </c>
      <c r="AH28" s="263">
        <v>0.30500000000000005</v>
      </c>
      <c r="AI28" s="263">
        <v>0.6</v>
      </c>
      <c r="AJ28" s="263">
        <v>7.0000000000000007E-2</v>
      </c>
      <c r="AK28" s="295">
        <v>0.42499999999999999</v>
      </c>
      <c r="AL28" s="295">
        <v>0.36499999999999999</v>
      </c>
      <c r="AM28" s="295">
        <v>0.43</v>
      </c>
      <c r="AN28" s="199">
        <v>53.5</v>
      </c>
      <c r="AO28" s="199">
        <v>8</v>
      </c>
      <c r="AP28" s="263">
        <v>0.02</v>
      </c>
      <c r="AQ28" s="263">
        <v>0.33499999999999996</v>
      </c>
      <c r="AR28" s="263">
        <v>0.57000000000000006</v>
      </c>
      <c r="AS28" s="263">
        <v>7.5000000000000011E-2</v>
      </c>
      <c r="AT28" s="295">
        <v>0.47</v>
      </c>
      <c r="AU28" s="295">
        <v>0.36499999999999999</v>
      </c>
      <c r="AV28" s="295">
        <v>0.44500000000000001</v>
      </c>
      <c r="AW28" s="296">
        <v>54</v>
      </c>
      <c r="AX28" s="296"/>
      <c r="AY28" s="296">
        <v>9</v>
      </c>
      <c r="AZ28" s="295"/>
      <c r="BA28" s="263">
        <v>2.5000000000000001E-2</v>
      </c>
      <c r="BB28" s="263">
        <v>0.34499999999999997</v>
      </c>
      <c r="BC28" s="263">
        <v>0.51</v>
      </c>
      <c r="BD28" s="263">
        <v>0.115</v>
      </c>
      <c r="BE28" s="295">
        <v>0.44</v>
      </c>
      <c r="BF28" s="295">
        <v>0.33999999999999997</v>
      </c>
      <c r="BG28" s="295">
        <v>0.54500000000000004</v>
      </c>
      <c r="BH28" s="302">
        <f>AVERAGEIFS(BH$36:BH$171,$C$36:$C$171,"=5", $B$36:$B$171,"OFICIAL")</f>
        <v>56.666666666666664</v>
      </c>
      <c r="BJ28" s="302">
        <f t="shared" ref="BJ28:CD28" si="15">AVERAGEIFS(BJ$36:BJ$171,$C$36:$C$171,"=5", $B$36:$B$171,"OFICIAL")</f>
        <v>8</v>
      </c>
      <c r="BL28" s="345">
        <f t="shared" si="15"/>
        <v>1.3333333333333334E-2</v>
      </c>
      <c r="BM28" s="345">
        <f t="shared" si="15"/>
        <v>0.20666666666666669</v>
      </c>
      <c r="BN28" s="345">
        <f t="shared" si="15"/>
        <v>0.63</v>
      </c>
      <c r="BO28" s="345">
        <f t="shared" si="15"/>
        <v>0.15</v>
      </c>
      <c r="BP28" s="345">
        <f t="shared" si="15"/>
        <v>0.42333333333333334</v>
      </c>
      <c r="BQ28" s="345">
        <f t="shared" si="15"/>
        <v>0.3133333333333333</v>
      </c>
      <c r="BR28" s="345">
        <f t="shared" si="15"/>
        <v>0.39999999999999997</v>
      </c>
      <c r="BS28" s="302">
        <f t="shared" si="15"/>
        <v>55.333333333333336</v>
      </c>
      <c r="BU28" s="302">
        <f t="shared" si="15"/>
        <v>9</v>
      </c>
      <c r="BW28" s="345">
        <f t="shared" si="15"/>
        <v>0.02</v>
      </c>
      <c r="BX28" s="345">
        <f t="shared" si="15"/>
        <v>0.29666666666666669</v>
      </c>
      <c r="BY28" s="345">
        <f t="shared" si="15"/>
        <v>0.57333333333333336</v>
      </c>
      <c r="BZ28" s="345">
        <f t="shared" si="15"/>
        <v>0.11666666666666665</v>
      </c>
      <c r="CA28" s="345">
        <f t="shared" si="15"/>
        <v>0.34666666666666668</v>
      </c>
      <c r="CB28" s="345">
        <f t="shared" si="15"/>
        <v>0.45</v>
      </c>
      <c r="CC28" s="345">
        <f t="shared" si="15"/>
        <v>0.48</v>
      </c>
      <c r="CD28" s="494">
        <f t="shared" si="15"/>
        <v>56.333333333333336</v>
      </c>
      <c r="CF28" s="302">
        <f>AVERAGEIFS(CF$36:CF$171,$C$36:$C$171,"=5", $B$36:$B$171,"OFICIAL")</f>
        <v>8.6666666666666661</v>
      </c>
      <c r="CH28" s="345">
        <f t="shared" ref="CH28:CN28" si="16">AVERAGEIFS(CH$36:CH$171,$C$36:$C$171,"=5", $B$36:$B$171,"OFICIAL")</f>
        <v>1.3333333333333334E-2</v>
      </c>
      <c r="CI28" s="345">
        <f t="shared" si="16"/>
        <v>0.22999999999999998</v>
      </c>
      <c r="CJ28" s="345">
        <f t="shared" si="16"/>
        <v>0.58333333333333337</v>
      </c>
      <c r="CK28" s="345">
        <f t="shared" si="16"/>
        <v>0.17666666666666667</v>
      </c>
      <c r="CL28" s="345">
        <f t="shared" si="16"/>
        <v>0.41333333333333333</v>
      </c>
      <c r="CM28" s="345">
        <f t="shared" si="16"/>
        <v>0.41333333333333333</v>
      </c>
      <c r="CN28" s="345">
        <f t="shared" si="16"/>
        <v>0.30666666666666664</v>
      </c>
      <c r="CP28" s="26"/>
      <c r="CQ28" s="26"/>
      <c r="CR28" s="26"/>
      <c r="CS28" s="26"/>
    </row>
    <row r="29" spans="1:97" ht="24.95" customHeight="1" x14ac:dyDescent="0.2">
      <c r="A29" s="6" t="s">
        <v>900</v>
      </c>
      <c r="B29" s="294"/>
      <c r="C29" s="294"/>
      <c r="D29" s="199">
        <v>52.666666666666664</v>
      </c>
      <c r="E29" s="199">
        <v>8</v>
      </c>
      <c r="F29" s="263">
        <v>6.6666666666666671E-3</v>
      </c>
      <c r="G29" s="263">
        <v>0.41</v>
      </c>
      <c r="H29" s="263">
        <v>0.54</v>
      </c>
      <c r="I29" s="263">
        <v>4.3333333333333335E-2</v>
      </c>
      <c r="J29" s="295">
        <v>0.46666666666666662</v>
      </c>
      <c r="K29" s="295">
        <v>0.5033333333333333</v>
      </c>
      <c r="L29" s="295">
        <v>0.54666666666666652</v>
      </c>
      <c r="M29" s="199">
        <v>52.666666666666664</v>
      </c>
      <c r="N29" s="199">
        <v>7.666666666666667</v>
      </c>
      <c r="O29" s="263">
        <v>6.6666666666666671E-3</v>
      </c>
      <c r="P29" s="263">
        <v>0.39999999999999997</v>
      </c>
      <c r="Q29" s="263">
        <v>0.54666666666666675</v>
      </c>
      <c r="R29" s="263">
        <v>4.6666666666666669E-2</v>
      </c>
      <c r="S29" s="295">
        <v>0.4466666666666666</v>
      </c>
      <c r="T29" s="295">
        <v>0.49666666666666665</v>
      </c>
      <c r="U29" s="295">
        <v>0.49666666666666665</v>
      </c>
      <c r="V29" s="199">
        <v>52.666666666666664</v>
      </c>
      <c r="W29" s="199">
        <v>9</v>
      </c>
      <c r="X29" s="263">
        <v>2.6666666666666661E-2</v>
      </c>
      <c r="Y29" s="263">
        <v>0.41</v>
      </c>
      <c r="Z29" s="263">
        <v>0.47666666666666663</v>
      </c>
      <c r="AA29" s="263">
        <v>8.666666666666667E-2</v>
      </c>
      <c r="AB29" s="295">
        <v>0.45999999999999996</v>
      </c>
      <c r="AC29" s="295">
        <v>0.49666666666666665</v>
      </c>
      <c r="AD29" s="295">
        <v>0.51333333333333331</v>
      </c>
      <c r="AE29" s="297">
        <v>52.666666666666664</v>
      </c>
      <c r="AF29" s="297">
        <v>8.6666666666666661</v>
      </c>
      <c r="AG29" s="263">
        <v>2.3333333333333334E-2</v>
      </c>
      <c r="AH29" s="263">
        <v>0.35666666666666663</v>
      </c>
      <c r="AI29" s="263">
        <v>0.55000000000000004</v>
      </c>
      <c r="AJ29" s="263">
        <v>7.3333333333333348E-2</v>
      </c>
      <c r="AK29" s="295">
        <v>0.44</v>
      </c>
      <c r="AL29" s="295">
        <v>0.3833333333333333</v>
      </c>
      <c r="AM29" s="295">
        <v>0.43</v>
      </c>
      <c r="AN29" s="199">
        <v>53</v>
      </c>
      <c r="AO29" s="199">
        <v>8.6666666666666661</v>
      </c>
      <c r="AP29" s="263">
        <v>0.03</v>
      </c>
      <c r="AQ29" s="263">
        <v>0.36000000000000004</v>
      </c>
      <c r="AR29" s="263">
        <v>0.53666666666666663</v>
      </c>
      <c r="AS29" s="263">
        <v>7.6666666666666675E-2</v>
      </c>
      <c r="AT29" s="295">
        <v>0.46666666666666662</v>
      </c>
      <c r="AU29" s="295">
        <v>0.38000000000000006</v>
      </c>
      <c r="AV29" s="295">
        <v>0.45</v>
      </c>
      <c r="AW29" s="296">
        <v>52.333333333333336</v>
      </c>
      <c r="AX29" s="296"/>
      <c r="AY29" s="296">
        <v>8.6666666666666661</v>
      </c>
      <c r="AZ29" s="295"/>
      <c r="BA29" s="263">
        <v>3.3333333333333333E-2</v>
      </c>
      <c r="BB29" s="263">
        <v>0.39666666666666667</v>
      </c>
      <c r="BC29" s="263">
        <v>0.5033333333333333</v>
      </c>
      <c r="BD29" s="263">
        <v>7.3333333333333334E-2</v>
      </c>
      <c r="BE29" s="295">
        <v>0.47666666666666663</v>
      </c>
      <c r="BF29" s="295">
        <v>0.36999999999999994</v>
      </c>
      <c r="BG29" s="295">
        <v>0.56666666666666676</v>
      </c>
      <c r="BH29" s="302">
        <f>AVERAGEIFS(BH$36:BH$171,$C$36:$C$171,"=6", $B$36:$B$171,"OFICIAL")</f>
        <v>52.75</v>
      </c>
      <c r="BJ29" s="302">
        <f t="shared" ref="BJ29:CD29" si="17">AVERAGEIFS(BJ$36:BJ$171,$C$36:$C$171,"=6", $B$36:$B$171,"OFICIAL")</f>
        <v>8.5</v>
      </c>
      <c r="BL29" s="345">
        <f t="shared" si="17"/>
        <v>2.7500000000000004E-2</v>
      </c>
      <c r="BM29" s="345">
        <f t="shared" si="17"/>
        <v>0.36999999999999994</v>
      </c>
      <c r="BN29" s="345">
        <f t="shared" si="17"/>
        <v>0.53750000000000009</v>
      </c>
      <c r="BO29" s="345">
        <f t="shared" si="17"/>
        <v>6.25E-2</v>
      </c>
      <c r="BP29" s="345">
        <f t="shared" si="17"/>
        <v>0.505</v>
      </c>
      <c r="BQ29" s="345">
        <f t="shared" si="17"/>
        <v>0.37250000000000005</v>
      </c>
      <c r="BR29" s="345">
        <f t="shared" si="17"/>
        <v>0.47249999999999998</v>
      </c>
      <c r="BS29" s="302">
        <f t="shared" si="17"/>
        <v>52.5</v>
      </c>
      <c r="BU29" s="302">
        <f t="shared" si="17"/>
        <v>8.5</v>
      </c>
      <c r="BW29" s="345">
        <f t="shared" si="17"/>
        <v>2.5000000000000001E-2</v>
      </c>
      <c r="BX29" s="345">
        <f t="shared" si="17"/>
        <v>0.38749999999999996</v>
      </c>
      <c r="BY29" s="345">
        <f t="shared" si="17"/>
        <v>0.53750000000000009</v>
      </c>
      <c r="BZ29" s="345">
        <f t="shared" si="17"/>
        <v>0.05</v>
      </c>
      <c r="CA29" s="345">
        <f t="shared" si="17"/>
        <v>0.39</v>
      </c>
      <c r="CB29" s="345">
        <f t="shared" si="17"/>
        <v>0.505</v>
      </c>
      <c r="CC29" s="345">
        <f t="shared" si="17"/>
        <v>0.52</v>
      </c>
      <c r="CD29" s="494">
        <f t="shared" si="17"/>
        <v>54</v>
      </c>
      <c r="CF29" s="302">
        <f>AVERAGEIFS(CF$36:CF$171,$C$36:$C$171,"=6", $B$36:$B$171,"OFICIAL")</f>
        <v>8.5</v>
      </c>
      <c r="CH29" s="345">
        <f t="shared" ref="CH29:CN29" si="18">AVERAGEIFS(CH$36:CH$171,$C$36:$C$171,"=6", $B$36:$B$171,"OFICIAL")</f>
        <v>1.7499999999999998E-2</v>
      </c>
      <c r="CI29" s="345">
        <f t="shared" si="18"/>
        <v>0.3125</v>
      </c>
      <c r="CJ29" s="345">
        <f t="shared" si="18"/>
        <v>0.57500000000000007</v>
      </c>
      <c r="CK29" s="345">
        <f t="shared" si="18"/>
        <v>0.09</v>
      </c>
      <c r="CL29" s="345">
        <f t="shared" si="18"/>
        <v>0.46249999999999997</v>
      </c>
      <c r="CM29" s="345">
        <f t="shared" si="18"/>
        <v>0.45249999999999996</v>
      </c>
      <c r="CN29" s="345">
        <f t="shared" si="18"/>
        <v>0.36500000000000005</v>
      </c>
      <c r="CP29" s="26"/>
      <c r="CQ29" s="26"/>
      <c r="CR29" s="26"/>
      <c r="CS29" s="26"/>
    </row>
    <row r="30" spans="1:97" ht="24.95" customHeight="1" x14ac:dyDescent="0.2">
      <c r="A30" s="6" t="s">
        <v>901</v>
      </c>
      <c r="B30" s="294"/>
      <c r="C30" s="294"/>
      <c r="D30" s="199">
        <v>53.153846153846153</v>
      </c>
      <c r="E30" s="199">
        <v>7.4615384615384617</v>
      </c>
      <c r="F30" s="263">
        <v>0.01</v>
      </c>
      <c r="G30" s="263">
        <v>0.4053846153846154</v>
      </c>
      <c r="H30" s="263">
        <v>0.55153846153846153</v>
      </c>
      <c r="I30" s="263">
        <v>3.7692307692307685E-2</v>
      </c>
      <c r="J30" s="295">
        <v>0.43461538461538463</v>
      </c>
      <c r="K30" s="295">
        <v>0.47999999999999987</v>
      </c>
      <c r="L30" s="295">
        <v>0.56230769230769218</v>
      </c>
      <c r="M30" s="199">
        <v>53.333333333333336</v>
      </c>
      <c r="N30" s="199">
        <v>7.833333333333333</v>
      </c>
      <c r="O30" s="263">
        <v>1.3333333333333334E-2</v>
      </c>
      <c r="P30" s="263">
        <v>0.34250000000000003</v>
      </c>
      <c r="Q30" s="263">
        <v>0.57916666666666672</v>
      </c>
      <c r="R30" s="263">
        <v>6.5833333333333341E-2</v>
      </c>
      <c r="S30" s="295">
        <v>0.45500000000000007</v>
      </c>
      <c r="T30" s="295">
        <v>0.48833333333333334</v>
      </c>
      <c r="U30" s="295">
        <v>0.46999999999999992</v>
      </c>
      <c r="V30" s="199">
        <v>53.846153846153847</v>
      </c>
      <c r="W30" s="199">
        <v>8.2307692307692299</v>
      </c>
      <c r="X30" s="263">
        <v>0.02</v>
      </c>
      <c r="Y30" s="263">
        <v>0.32384615384615389</v>
      </c>
      <c r="Z30" s="263">
        <v>0.55000000000000004</v>
      </c>
      <c r="AA30" s="263">
        <v>0.11076923076923079</v>
      </c>
      <c r="AB30" s="295">
        <v>0.44307692307692303</v>
      </c>
      <c r="AC30" s="295">
        <v>0.47000000000000003</v>
      </c>
      <c r="AD30" s="295">
        <v>0.49769230769230766</v>
      </c>
      <c r="AE30" s="297">
        <v>53.53846153846154</v>
      </c>
      <c r="AF30" s="297">
        <v>8.3076923076923084</v>
      </c>
      <c r="AG30" s="263">
        <v>1.3076923076923078E-2</v>
      </c>
      <c r="AH30" s="263">
        <v>0.36538461538461547</v>
      </c>
      <c r="AI30" s="263">
        <v>0.53307692307692311</v>
      </c>
      <c r="AJ30" s="263">
        <v>8.8461538461538453E-2</v>
      </c>
      <c r="AK30" s="295">
        <v>0.42</v>
      </c>
      <c r="AL30" s="295">
        <v>0.36692307692307691</v>
      </c>
      <c r="AM30" s="295">
        <v>0.4284615384615385</v>
      </c>
      <c r="AN30" s="199">
        <v>53.692307692307693</v>
      </c>
      <c r="AO30" s="199">
        <v>8.0769230769230766</v>
      </c>
      <c r="AP30" s="263">
        <v>2.8461538461538462E-2</v>
      </c>
      <c r="AQ30" s="263">
        <v>0.28615384615384615</v>
      </c>
      <c r="AR30" s="263">
        <v>0.6100000000000001</v>
      </c>
      <c r="AS30" s="263">
        <v>7.6153846153846155E-2</v>
      </c>
      <c r="AT30" s="295">
        <v>0.4646153846153846</v>
      </c>
      <c r="AU30" s="295">
        <v>0.36230769230769233</v>
      </c>
      <c r="AV30" s="295">
        <v>0.44153846153846155</v>
      </c>
      <c r="AW30" s="296">
        <v>54.846153846153847</v>
      </c>
      <c r="AX30" s="296"/>
      <c r="AY30" s="296">
        <v>8.1538461538461533</v>
      </c>
      <c r="AZ30" s="295"/>
      <c r="BA30" s="263">
        <v>7.6923076923076927E-3</v>
      </c>
      <c r="BB30" s="263">
        <v>0.30538461538461542</v>
      </c>
      <c r="BC30" s="263">
        <v>0.57769230769230784</v>
      </c>
      <c r="BD30" s="263">
        <v>0.1076923076923077</v>
      </c>
      <c r="BE30" s="295">
        <v>0.42692307692307696</v>
      </c>
      <c r="BF30" s="295">
        <v>0.31538461538461537</v>
      </c>
      <c r="BG30" s="295">
        <v>0.53307692307692311</v>
      </c>
      <c r="BH30" s="302">
        <f>AVERAGEIFS(BH$36:BH$171,$C$36:$C$171,"=1", $B$36:$B$171,"NO OFICIAL")</f>
        <v>55</v>
      </c>
      <c r="BJ30" s="302">
        <f t="shared" ref="BJ30:CD30" si="19">AVERAGEIFS(BJ$36:BJ$171,$C$36:$C$171,"=1", $B$36:$B$171,"NO OFICIAL")</f>
        <v>8.5384615384615383</v>
      </c>
      <c r="BL30" s="345">
        <f t="shared" si="19"/>
        <v>2.3076923076923082E-2</v>
      </c>
      <c r="BM30" s="345">
        <f t="shared" si="19"/>
        <v>0.27</v>
      </c>
      <c r="BN30" s="345">
        <f t="shared" si="19"/>
        <v>0.61384615384615393</v>
      </c>
      <c r="BO30" s="345">
        <f t="shared" si="19"/>
        <v>9.5384615384615387E-2</v>
      </c>
      <c r="BP30" s="345">
        <f t="shared" si="19"/>
        <v>0.45461538461538453</v>
      </c>
      <c r="BQ30" s="345">
        <f t="shared" si="19"/>
        <v>0.33076923076923076</v>
      </c>
      <c r="BR30" s="345">
        <f t="shared" si="19"/>
        <v>0.4407692307692308</v>
      </c>
      <c r="BS30" s="302">
        <f t="shared" si="19"/>
        <v>55.25</v>
      </c>
      <c r="BU30" s="302">
        <f t="shared" si="19"/>
        <v>8.3333333333333339</v>
      </c>
      <c r="BW30" s="345">
        <f t="shared" si="19"/>
        <v>0.02</v>
      </c>
      <c r="BX30" s="345">
        <f t="shared" si="19"/>
        <v>0.2583333333333333</v>
      </c>
      <c r="BY30" s="345">
        <f t="shared" si="19"/>
        <v>0.60333333333333339</v>
      </c>
      <c r="BZ30" s="345">
        <f t="shared" si="19"/>
        <v>0.11833333333333335</v>
      </c>
      <c r="CA30" s="345">
        <f t="shared" si="19"/>
        <v>0.34666666666666668</v>
      </c>
      <c r="CB30" s="345">
        <f t="shared" si="19"/>
        <v>0.45083333333333336</v>
      </c>
      <c r="CC30" s="345">
        <f t="shared" si="19"/>
        <v>0.47916666666666669</v>
      </c>
      <c r="CD30" s="494">
        <f t="shared" si="19"/>
        <v>55.846153846153847</v>
      </c>
      <c r="CF30" s="302">
        <f>AVERAGEIFS(CF$36:CF$171,$C$36:$C$171,"=1", $B$36:$B$171,"NO OFICIAL")</f>
        <v>8.0769230769230766</v>
      </c>
      <c r="CH30" s="345">
        <f t="shared" ref="CH30:CN30" si="20">AVERAGEIFS(CH$36:CH$171,$C$36:$C$171,"=1", $B$36:$B$171,"NO OFICIAL")</f>
        <v>1.5384615384615384E-2</v>
      </c>
      <c r="CI30" s="345">
        <f t="shared" si="20"/>
        <v>0.21538461538461534</v>
      </c>
      <c r="CJ30" s="345">
        <f t="shared" si="20"/>
        <v>0.65923076923076929</v>
      </c>
      <c r="CK30" s="345">
        <f t="shared" si="20"/>
        <v>0.11461538461538463</v>
      </c>
      <c r="CL30" s="345">
        <f t="shared" si="20"/>
        <v>0.42384615384615387</v>
      </c>
      <c r="CM30" s="345">
        <f t="shared" si="20"/>
        <v>0.43153846153846154</v>
      </c>
      <c r="CN30" s="345">
        <f t="shared" si="20"/>
        <v>0.31615384615384617</v>
      </c>
      <c r="CP30" s="26"/>
      <c r="CQ30" s="26"/>
      <c r="CR30" s="26"/>
      <c r="CS30" s="26"/>
    </row>
    <row r="31" spans="1:97" ht="24.95" customHeight="1" x14ac:dyDescent="0.2">
      <c r="A31" s="6" t="s">
        <v>902</v>
      </c>
      <c r="B31" s="294"/>
      <c r="C31" s="294"/>
      <c r="D31" s="199">
        <v>54.888888888888886</v>
      </c>
      <c r="E31" s="199">
        <v>7.1111111111111107</v>
      </c>
      <c r="F31" s="263">
        <v>1.7222222222222222E-2</v>
      </c>
      <c r="G31" s="263">
        <v>0.31444444444444447</v>
      </c>
      <c r="H31" s="263">
        <v>0.58500000000000008</v>
      </c>
      <c r="I31" s="263">
        <v>8.4444444444444447E-2</v>
      </c>
      <c r="J31" s="295">
        <v>0.41055555555555551</v>
      </c>
      <c r="K31" s="295">
        <v>0.45222222222222225</v>
      </c>
      <c r="L31" s="295">
        <v>0.50944444444444448</v>
      </c>
      <c r="M31" s="199">
        <v>55.705882352941174</v>
      </c>
      <c r="N31" s="199">
        <v>7.882352941176471</v>
      </c>
      <c r="O31" s="263">
        <v>1.5882352941176472E-2</v>
      </c>
      <c r="P31" s="263">
        <v>0.26117647058823534</v>
      </c>
      <c r="Q31" s="263">
        <v>0.59058823529411775</v>
      </c>
      <c r="R31" s="263">
        <v>0.13235294117647059</v>
      </c>
      <c r="S31" s="295">
        <v>0.40588235294117647</v>
      </c>
      <c r="T31" s="295">
        <v>0.44588235294117651</v>
      </c>
      <c r="U31" s="295">
        <v>0.43882352941176472</v>
      </c>
      <c r="V31" s="199">
        <v>54.823529411764703</v>
      </c>
      <c r="W31" s="199">
        <v>8.2941176470588243</v>
      </c>
      <c r="X31" s="263">
        <v>1.4705882352941176E-2</v>
      </c>
      <c r="Y31" s="263">
        <v>0.3123529411764705</v>
      </c>
      <c r="Z31" s="263">
        <v>0.54647058823529415</v>
      </c>
      <c r="AA31" s="263">
        <v>0.12588235294117647</v>
      </c>
      <c r="AB31" s="295">
        <v>0.41411764705882348</v>
      </c>
      <c r="AC31" s="295">
        <v>0.4629411764705883</v>
      </c>
      <c r="AD31" s="295">
        <v>0.47764705882352948</v>
      </c>
      <c r="AE31" s="297">
        <v>55.444444444444443</v>
      </c>
      <c r="AF31" s="297">
        <v>8.2777777777777786</v>
      </c>
      <c r="AG31" s="263">
        <v>8.8888888888888906E-3</v>
      </c>
      <c r="AH31" s="263">
        <v>0.25444444444444447</v>
      </c>
      <c r="AI31" s="263">
        <v>0.60611111111111104</v>
      </c>
      <c r="AJ31" s="263">
        <v>0.13222222222222221</v>
      </c>
      <c r="AK31" s="295">
        <v>0.38777777777777783</v>
      </c>
      <c r="AL31" s="295">
        <v>0.33777777777777779</v>
      </c>
      <c r="AM31" s="295">
        <v>0.4284615384615385</v>
      </c>
      <c r="AN31" s="199">
        <v>54.863636363636367</v>
      </c>
      <c r="AO31" s="199">
        <v>6.9090909090909092</v>
      </c>
      <c r="AP31" s="263">
        <v>7.7272727272727267E-3</v>
      </c>
      <c r="AQ31" s="263">
        <v>0.29090909090909084</v>
      </c>
      <c r="AR31" s="263">
        <v>0.58954545454545448</v>
      </c>
      <c r="AS31" s="263">
        <v>0.11227272727272729</v>
      </c>
      <c r="AT31" s="295">
        <v>0.43090909090909091</v>
      </c>
      <c r="AU31" s="295">
        <v>0.36181818181818176</v>
      </c>
      <c r="AV31" s="295">
        <v>0.41636363636363638</v>
      </c>
      <c r="AW31" s="296">
        <v>54.65</v>
      </c>
      <c r="AX31" s="296"/>
      <c r="AY31" s="296">
        <v>7.9</v>
      </c>
      <c r="AZ31" s="295"/>
      <c r="BA31" s="263">
        <v>3.2000000000000008E-2</v>
      </c>
      <c r="BB31" s="263">
        <v>0.32599999999999996</v>
      </c>
      <c r="BC31" s="263">
        <v>0.51150000000000007</v>
      </c>
      <c r="BD31" s="263">
        <v>0.13100000000000003</v>
      </c>
      <c r="BE31" s="295">
        <v>0.4335</v>
      </c>
      <c r="BF31" s="295">
        <v>0.33399999999999996</v>
      </c>
      <c r="BG31" s="295">
        <v>0.52500000000000013</v>
      </c>
      <c r="BH31" s="302">
        <f>AVERAGEIFS(BH$36:BH$171,$C$36:$C$171,"=2", $B$36:$B$171,"NO OFICIAL")</f>
        <v>56.952380952380949</v>
      </c>
      <c r="BJ31" s="302">
        <f t="shared" ref="BJ31:CD31" si="21">AVERAGEIFS(BJ$36:BJ$171,$C$36:$C$171,"=2", $B$36:$B$171,"NO OFICIAL")</f>
        <v>7.666666666666667</v>
      </c>
      <c r="BL31" s="345">
        <f t="shared" si="21"/>
        <v>2.1428571428571429E-2</v>
      </c>
      <c r="BM31" s="345">
        <f t="shared" si="21"/>
        <v>0.20571428571428568</v>
      </c>
      <c r="BN31" s="345">
        <f t="shared" si="21"/>
        <v>0.59190476190476171</v>
      </c>
      <c r="BO31" s="345">
        <f t="shared" si="21"/>
        <v>0.18142857142857141</v>
      </c>
      <c r="BP31" s="345">
        <f t="shared" si="21"/>
        <v>0.42904761904761912</v>
      </c>
      <c r="BQ31" s="345">
        <f t="shared" si="21"/>
        <v>0.30285714285714282</v>
      </c>
      <c r="BR31" s="345">
        <f t="shared" si="21"/>
        <v>0.38666666666666671</v>
      </c>
      <c r="BS31" s="302">
        <f t="shared" si="21"/>
        <v>56.272727272727273</v>
      </c>
      <c r="BU31" s="302">
        <f t="shared" si="21"/>
        <v>8.2727272727272734</v>
      </c>
      <c r="BW31" s="345">
        <f t="shared" si="21"/>
        <v>2.6363636363636367E-2</v>
      </c>
      <c r="BX31" s="345">
        <f t="shared" si="21"/>
        <v>0.24999999999999992</v>
      </c>
      <c r="BY31" s="345">
        <f t="shared" si="21"/>
        <v>0.54954545454545467</v>
      </c>
      <c r="BZ31" s="345">
        <f t="shared" si="21"/>
        <v>0.17500000000000002</v>
      </c>
      <c r="CA31" s="345">
        <f t="shared" si="21"/>
        <v>0.33681818181818185</v>
      </c>
      <c r="CB31" s="345">
        <f t="shared" si="21"/>
        <v>0.43909090909090903</v>
      </c>
      <c r="CC31" s="345">
        <f t="shared" si="21"/>
        <v>0.4413636363636364</v>
      </c>
      <c r="CD31" s="494">
        <f t="shared" si="21"/>
        <v>57.7</v>
      </c>
      <c r="CF31" s="302">
        <f>AVERAGEIFS(CF$36:CF$171,$C$36:$C$171,"=2", $B$36:$B$171,"NO OFICIAL")</f>
        <v>8.15</v>
      </c>
      <c r="CH31" s="345">
        <f t="shared" ref="CH31:CN31" si="22">AVERAGEIFS(CH$36:CH$171,$C$36:$C$171,"=2", $B$36:$B$171,"NO OFICIAL")</f>
        <v>1.2E-2</v>
      </c>
      <c r="CI31" s="345">
        <f t="shared" si="22"/>
        <v>0.19850000000000004</v>
      </c>
      <c r="CJ31" s="345">
        <f t="shared" si="22"/>
        <v>0.57299999999999995</v>
      </c>
      <c r="CK31" s="345">
        <f t="shared" si="22"/>
        <v>0.217</v>
      </c>
      <c r="CL31" s="345">
        <f t="shared" si="22"/>
        <v>0.38350000000000001</v>
      </c>
      <c r="CM31" s="345">
        <f t="shared" si="22"/>
        <v>0.40150000000000008</v>
      </c>
      <c r="CN31" s="345">
        <f t="shared" si="22"/>
        <v>0.29649999999999999</v>
      </c>
      <c r="CP31" s="26"/>
      <c r="CQ31" s="26"/>
      <c r="CR31" s="26"/>
      <c r="CS31" s="26"/>
    </row>
    <row r="32" spans="1:97" ht="24.95" customHeight="1" x14ac:dyDescent="0.2">
      <c r="A32" s="6" t="s">
        <v>903</v>
      </c>
      <c r="B32" s="294"/>
      <c r="C32" s="294"/>
      <c r="D32" s="199">
        <v>55.153846153846153</v>
      </c>
      <c r="E32" s="199">
        <v>7.8461538461538458</v>
      </c>
      <c r="F32" s="263">
        <v>1.7692307692307691E-2</v>
      </c>
      <c r="G32" s="263">
        <v>0.28076923076923077</v>
      </c>
      <c r="H32" s="263">
        <v>0.62153846153846171</v>
      </c>
      <c r="I32" s="263">
        <v>8.3846153846153876E-2</v>
      </c>
      <c r="J32" s="295">
        <v>0.37769230769230772</v>
      </c>
      <c r="K32" s="295">
        <v>0.46384615384615385</v>
      </c>
      <c r="L32" s="295">
        <v>0.51153846153846161</v>
      </c>
      <c r="M32" s="199">
        <v>55.714285714285715</v>
      </c>
      <c r="N32" s="199">
        <v>7.6428571428571432</v>
      </c>
      <c r="O32" s="263">
        <v>1.1428571428571429E-2</v>
      </c>
      <c r="P32" s="263">
        <v>0.2364285714285714</v>
      </c>
      <c r="Q32" s="263">
        <v>0.64642857142857146</v>
      </c>
      <c r="R32" s="263">
        <v>0.10714285714285714</v>
      </c>
      <c r="S32" s="295">
        <v>0.41785714285714282</v>
      </c>
      <c r="T32" s="295">
        <v>0.44857142857142851</v>
      </c>
      <c r="U32" s="295">
        <v>0.43928571428571433</v>
      </c>
      <c r="V32" s="199">
        <v>56.214285714285715</v>
      </c>
      <c r="W32" s="199">
        <v>8.2142857142857135</v>
      </c>
      <c r="X32" s="263">
        <v>1.3571428571428571E-2</v>
      </c>
      <c r="Y32" s="263">
        <v>0.25428571428571434</v>
      </c>
      <c r="Z32" s="263">
        <v>0.59071428571428564</v>
      </c>
      <c r="AA32" s="263">
        <v>0.1435714285714286</v>
      </c>
      <c r="AB32" s="295">
        <v>0.39785714285714296</v>
      </c>
      <c r="AC32" s="295">
        <v>0.44928571428571429</v>
      </c>
      <c r="AD32" s="295">
        <v>0.46928571428571431</v>
      </c>
      <c r="AE32" s="297">
        <v>55.785714285714285</v>
      </c>
      <c r="AF32" s="297">
        <v>8.4285714285714288</v>
      </c>
      <c r="AG32" s="263">
        <v>7.8571428571428577E-3</v>
      </c>
      <c r="AH32" s="263">
        <v>0.26214285714285718</v>
      </c>
      <c r="AI32" s="263">
        <v>0.57857142857142863</v>
      </c>
      <c r="AJ32" s="263">
        <v>0.15285714285714283</v>
      </c>
      <c r="AK32" s="295">
        <v>0.39357142857142863</v>
      </c>
      <c r="AL32" s="295">
        <v>0.33571428571428574</v>
      </c>
      <c r="AM32" s="295">
        <v>0.4284615384615385</v>
      </c>
      <c r="AN32" s="199">
        <v>55.333333333333336</v>
      </c>
      <c r="AO32" s="199">
        <v>7.6</v>
      </c>
      <c r="AP32" s="263">
        <v>1.2000000000000002E-2</v>
      </c>
      <c r="AQ32" s="263">
        <v>0.24666666666666667</v>
      </c>
      <c r="AR32" s="263">
        <v>0.66399999999999992</v>
      </c>
      <c r="AS32" s="263">
        <v>7.5333333333333335E-2</v>
      </c>
      <c r="AT32" s="295">
        <v>0.4386666666666667</v>
      </c>
      <c r="AU32" s="295">
        <v>0.33466666666666672</v>
      </c>
      <c r="AV32" s="295">
        <v>0.39466666666666667</v>
      </c>
      <c r="AW32" s="296">
        <v>56.2</v>
      </c>
      <c r="AX32" s="296"/>
      <c r="AY32" s="296">
        <v>8.5333333333333332</v>
      </c>
      <c r="AZ32" s="295"/>
      <c r="BA32" s="263">
        <v>0.01</v>
      </c>
      <c r="BB32" s="263">
        <v>0.26999999999999996</v>
      </c>
      <c r="BC32" s="263">
        <v>0.56000000000000005</v>
      </c>
      <c r="BD32" s="263">
        <v>0.16266666666666665</v>
      </c>
      <c r="BE32" s="295">
        <v>0.4</v>
      </c>
      <c r="BF32" s="295">
        <v>0.31133333333333335</v>
      </c>
      <c r="BG32" s="295">
        <v>0.49933333333333341</v>
      </c>
      <c r="BH32" s="302">
        <f>AVERAGEIFS(BH$36:BH$171,$C$36:$C$171,"=3", $B$36:$B$171,"NO OFICIAL")</f>
        <v>57</v>
      </c>
      <c r="BJ32" s="302">
        <f t="shared" ref="BJ32:CD32" si="23">AVERAGEIFS(BJ$36:BJ$171,$C$36:$C$171,"=3", $B$36:$B$171,"NO OFICIAL")</f>
        <v>8.25</v>
      </c>
      <c r="BL32" s="345">
        <f t="shared" si="23"/>
        <v>1.375E-2</v>
      </c>
      <c r="BM32" s="345">
        <f t="shared" si="23"/>
        <v>0.21250000000000002</v>
      </c>
      <c r="BN32" s="345">
        <f t="shared" si="23"/>
        <v>0.609375</v>
      </c>
      <c r="BO32" s="345">
        <f t="shared" si="23"/>
        <v>0.16562499999999999</v>
      </c>
      <c r="BP32" s="345">
        <f t="shared" si="23"/>
        <v>0.42000000000000004</v>
      </c>
      <c r="BQ32" s="345">
        <f t="shared" si="23"/>
        <v>0.30874999999999997</v>
      </c>
      <c r="BR32" s="345">
        <f t="shared" si="23"/>
        <v>0.385625</v>
      </c>
      <c r="BS32" s="302">
        <f t="shared" si="23"/>
        <v>56.625</v>
      </c>
      <c r="BU32" s="302">
        <f t="shared" si="23"/>
        <v>7.9375</v>
      </c>
      <c r="BW32" s="345">
        <f t="shared" si="23"/>
        <v>1.2500000000000001E-2</v>
      </c>
      <c r="BX32" s="345">
        <f t="shared" si="23"/>
        <v>0.20500000000000002</v>
      </c>
      <c r="BY32" s="345">
        <f t="shared" si="23"/>
        <v>0.63437500000000002</v>
      </c>
      <c r="BZ32" s="345">
        <f t="shared" si="23"/>
        <v>0.15000000000000002</v>
      </c>
      <c r="CA32" s="345">
        <f t="shared" si="23"/>
        <v>0.33187499999999998</v>
      </c>
      <c r="CB32" s="345">
        <f t="shared" si="23"/>
        <v>0.43124999999999997</v>
      </c>
      <c r="CC32" s="345">
        <f t="shared" si="23"/>
        <v>0.44</v>
      </c>
      <c r="CD32" s="494">
        <f t="shared" si="23"/>
        <v>57.25</v>
      </c>
      <c r="CF32" s="302">
        <f>AVERAGEIFS(CF$36:CF$171,$C$36:$C$171,"=3", $B$36:$B$171,"NO OFICIAL")</f>
        <v>8.3125</v>
      </c>
      <c r="CH32" s="345">
        <f t="shared" ref="CH32:CN32" si="24">AVERAGEIFS(CH$36:CH$171,$C$36:$C$171,"=3", $B$36:$B$171,"NO OFICIAL")</f>
        <v>2.0625000000000001E-2</v>
      </c>
      <c r="CI32" s="345">
        <f t="shared" si="24"/>
        <v>0.19312499999999999</v>
      </c>
      <c r="CJ32" s="345">
        <f t="shared" si="24"/>
        <v>0.60937500000000011</v>
      </c>
      <c r="CK32" s="345">
        <f t="shared" si="24"/>
        <v>0.17812500000000001</v>
      </c>
      <c r="CL32" s="345">
        <f t="shared" si="24"/>
        <v>0.40500000000000008</v>
      </c>
      <c r="CM32" s="345">
        <f t="shared" si="24"/>
        <v>0.39812499999999995</v>
      </c>
      <c r="CN32" s="345">
        <f t="shared" si="24"/>
        <v>0.29625000000000001</v>
      </c>
    </row>
    <row r="33" spans="1:92" ht="24.95" customHeight="1" x14ac:dyDescent="0.2">
      <c r="A33" s="6" t="s">
        <v>904</v>
      </c>
      <c r="B33" s="294"/>
      <c r="C33" s="294"/>
      <c r="D33" s="199">
        <v>51.5</v>
      </c>
      <c r="E33" s="199">
        <v>7.375</v>
      </c>
      <c r="F33" s="263">
        <v>2.2499999999999999E-2</v>
      </c>
      <c r="G33" s="263">
        <v>0.41125</v>
      </c>
      <c r="H33" s="263">
        <v>0.53875000000000006</v>
      </c>
      <c r="I33" s="263">
        <v>2.7499999999999997E-2</v>
      </c>
      <c r="J33" s="295">
        <v>0.47125</v>
      </c>
      <c r="K33" s="295">
        <v>0.52124999999999999</v>
      </c>
      <c r="L33" s="295">
        <v>0.57250000000000001</v>
      </c>
      <c r="M33" s="199">
        <v>55.111111111111114</v>
      </c>
      <c r="N33" s="199">
        <v>6.666666666666667</v>
      </c>
      <c r="O33" s="263">
        <v>0.01</v>
      </c>
      <c r="P33" s="263">
        <v>0.22999999999999998</v>
      </c>
      <c r="Q33" s="263">
        <v>0.65999999999999992</v>
      </c>
      <c r="R33" s="263">
        <v>0.10125000000000001</v>
      </c>
      <c r="S33" s="295">
        <v>0.40374999999999994</v>
      </c>
      <c r="T33" s="295">
        <v>0.44375000000000003</v>
      </c>
      <c r="U33" s="295">
        <v>0.46750000000000003</v>
      </c>
      <c r="V33" s="199">
        <v>54.666666666666664</v>
      </c>
      <c r="W33" s="199">
        <v>6.8888888888888893</v>
      </c>
      <c r="X33" s="263">
        <v>0</v>
      </c>
      <c r="Y33" s="263">
        <v>0.26555555555555554</v>
      </c>
      <c r="Z33" s="263">
        <v>0.68333333333333335</v>
      </c>
      <c r="AA33" s="263">
        <v>5.2222222222222218E-2</v>
      </c>
      <c r="AB33" s="295">
        <v>0.4022222222222222</v>
      </c>
      <c r="AC33" s="295">
        <v>0.46888888888888886</v>
      </c>
      <c r="AD33" s="295">
        <v>0.4933333333333334</v>
      </c>
      <c r="AE33" s="297">
        <v>54.375</v>
      </c>
      <c r="AF33" s="297">
        <v>8.25</v>
      </c>
      <c r="AG33" s="263">
        <v>2.2500000000000003E-2</v>
      </c>
      <c r="AH33" s="263">
        <v>0.31874999999999992</v>
      </c>
      <c r="AI33" s="263">
        <v>0.55500000000000005</v>
      </c>
      <c r="AJ33" s="263">
        <v>0.10375</v>
      </c>
      <c r="AK33" s="295">
        <v>0.39999999999999997</v>
      </c>
      <c r="AL33" s="295">
        <v>0.37124999999999997</v>
      </c>
      <c r="AM33" s="295">
        <v>0.4284615384615385</v>
      </c>
      <c r="AN33" s="199">
        <v>52.142857142857146</v>
      </c>
      <c r="AO33" s="199">
        <v>7.7142857142857144</v>
      </c>
      <c r="AP33" s="263">
        <v>2.5714285714285714E-2</v>
      </c>
      <c r="AQ33" s="263">
        <v>0.36857142857142861</v>
      </c>
      <c r="AR33" s="263">
        <v>0.53999999999999992</v>
      </c>
      <c r="AS33" s="263">
        <v>6.5714285714285711E-2</v>
      </c>
      <c r="AT33" s="295">
        <v>0.48857142857142855</v>
      </c>
      <c r="AU33" s="295">
        <v>0.40857142857142853</v>
      </c>
      <c r="AV33" s="295">
        <v>0.43857142857142856</v>
      </c>
      <c r="AW33" s="296">
        <v>53.875</v>
      </c>
      <c r="AX33" s="296"/>
      <c r="AY33" s="296">
        <v>7.625</v>
      </c>
      <c r="AZ33" s="295"/>
      <c r="BA33" s="263">
        <v>7.4999999999999997E-3</v>
      </c>
      <c r="BB33" s="263">
        <v>0.34124999999999994</v>
      </c>
      <c r="BC33" s="263">
        <v>0.58624999999999994</v>
      </c>
      <c r="BD33" s="263">
        <v>6.7500000000000004E-2</v>
      </c>
      <c r="BE33" s="295">
        <v>0.43875000000000003</v>
      </c>
      <c r="BF33" s="295">
        <v>0.35375000000000001</v>
      </c>
      <c r="BG33" s="295">
        <v>0.54874999999999996</v>
      </c>
      <c r="BH33" s="302">
        <f>AVERAGEIFS(BH$36:BH$171,$C$36:$C$171,"=4", $B$36:$B$171,"NO OFICIAL")</f>
        <v>55</v>
      </c>
      <c r="BJ33" s="302">
        <f t="shared" ref="BJ33:CD33" si="25">AVERAGEIFS(BJ$36:BJ$171,$C$36:$C$171,"=4", $B$36:$B$171,"NO OFICIAL")</f>
        <v>8.375</v>
      </c>
      <c r="BL33" s="345">
        <f t="shared" si="25"/>
        <v>0.03</v>
      </c>
      <c r="BM33" s="345">
        <f t="shared" si="25"/>
        <v>0.27625</v>
      </c>
      <c r="BN33" s="345">
        <f t="shared" si="25"/>
        <v>0.5525000000000001</v>
      </c>
      <c r="BO33" s="345">
        <f t="shared" si="25"/>
        <v>0.14250000000000002</v>
      </c>
      <c r="BP33" s="345">
        <f t="shared" si="25"/>
        <v>0.44624999999999998</v>
      </c>
      <c r="BQ33" s="345">
        <f t="shared" si="25"/>
        <v>0.31874999999999998</v>
      </c>
      <c r="BR33" s="345">
        <f t="shared" si="25"/>
        <v>0.44125000000000003</v>
      </c>
      <c r="BS33" s="302">
        <f t="shared" si="25"/>
        <v>52.555555555555557</v>
      </c>
      <c r="BU33" s="302">
        <f t="shared" si="25"/>
        <v>8.4444444444444446</v>
      </c>
      <c r="BW33" s="345">
        <f t="shared" si="25"/>
        <v>1.8888888888888886E-2</v>
      </c>
      <c r="BX33" s="345">
        <f t="shared" si="25"/>
        <v>0.41444444444444439</v>
      </c>
      <c r="BY33" s="345">
        <f t="shared" si="25"/>
        <v>0.49333333333333329</v>
      </c>
      <c r="BZ33" s="345">
        <f t="shared" si="25"/>
        <v>7.4444444444444452E-2</v>
      </c>
      <c r="CA33" s="345">
        <f t="shared" si="25"/>
        <v>0.4022222222222222</v>
      </c>
      <c r="CB33" s="345">
        <f t="shared" si="25"/>
        <v>0.49555555555555564</v>
      </c>
      <c r="CC33" s="345">
        <f t="shared" si="25"/>
        <v>0.52555555555555555</v>
      </c>
      <c r="CD33" s="494">
        <f t="shared" si="25"/>
        <v>55.714285714285715</v>
      </c>
      <c r="CF33" s="302">
        <f>AVERAGEIFS(CF$36:CF$171,$C$36:$C$171,"=4", $B$36:$B$171,"NO OFICIAL")</f>
        <v>7.7142857142857144</v>
      </c>
      <c r="CH33" s="345">
        <f t="shared" ref="CH33:CN33" si="26">AVERAGEIFS(CH$36:CH$171,$C$36:$C$171,"=4", $B$36:$B$171,"NO OFICIAL")</f>
        <v>1.4285714285714286E-3</v>
      </c>
      <c r="CI33" s="345">
        <f t="shared" si="26"/>
        <v>0.27</v>
      </c>
      <c r="CJ33" s="345">
        <f t="shared" si="26"/>
        <v>0.6</v>
      </c>
      <c r="CK33" s="345">
        <f t="shared" si="26"/>
        <v>0.13142857142857142</v>
      </c>
      <c r="CL33" s="345">
        <f t="shared" si="26"/>
        <v>0.42285714285714288</v>
      </c>
      <c r="CM33" s="345">
        <f t="shared" si="26"/>
        <v>0.42571428571428566</v>
      </c>
      <c r="CN33" s="345">
        <f t="shared" si="26"/>
        <v>0.32714285714285712</v>
      </c>
    </row>
    <row r="34" spans="1:92" ht="24.95" customHeight="1" x14ac:dyDescent="0.2">
      <c r="A34" s="6" t="s">
        <v>905</v>
      </c>
      <c r="B34" s="294"/>
      <c r="C34" s="294"/>
      <c r="D34" s="199">
        <v>55.8</v>
      </c>
      <c r="E34" s="199">
        <v>7.7333333333333334</v>
      </c>
      <c r="F34" s="263">
        <v>1.2E-2</v>
      </c>
      <c r="G34" s="263">
        <v>0.25466666666666665</v>
      </c>
      <c r="H34" s="263">
        <v>0.64600000000000002</v>
      </c>
      <c r="I34" s="263">
        <v>8.8000000000000009E-2</v>
      </c>
      <c r="J34" s="295">
        <v>0.40666666666666668</v>
      </c>
      <c r="K34" s="295">
        <v>0.43200000000000005</v>
      </c>
      <c r="L34" s="295">
        <v>0.53066666666666673</v>
      </c>
      <c r="M34" s="199">
        <v>57.333333333333336</v>
      </c>
      <c r="N34" s="199">
        <v>7.4666666666666668</v>
      </c>
      <c r="O34" s="263">
        <v>0.01</v>
      </c>
      <c r="P34" s="263">
        <v>0.19687499999999999</v>
      </c>
      <c r="Q34" s="263">
        <v>0.67249999999999999</v>
      </c>
      <c r="R34" s="263">
        <v>0.11874999999999999</v>
      </c>
      <c r="S34" s="295">
        <v>0.36624999999999996</v>
      </c>
      <c r="T34" s="295">
        <v>0.426875</v>
      </c>
      <c r="U34" s="295">
        <v>0.42875000000000002</v>
      </c>
      <c r="V34" s="199">
        <v>56.3125</v>
      </c>
      <c r="W34" s="199">
        <v>7.875</v>
      </c>
      <c r="X34" s="263">
        <v>1.2500000000000001E-2</v>
      </c>
      <c r="Y34" s="263">
        <v>0.25187500000000002</v>
      </c>
      <c r="Z34" s="263">
        <v>0.60499999999999998</v>
      </c>
      <c r="AA34" s="263">
        <v>0.13250000000000001</v>
      </c>
      <c r="AB34" s="295">
        <v>0.38750000000000001</v>
      </c>
      <c r="AC34" s="295">
        <v>0.44874999999999998</v>
      </c>
      <c r="AD34" s="295">
        <v>0.45687500000000003</v>
      </c>
      <c r="AE34" s="297">
        <v>56.705882352941174</v>
      </c>
      <c r="AF34" s="297">
        <v>7.9411764705882355</v>
      </c>
      <c r="AG34" s="263">
        <v>5.2941176470588241E-3</v>
      </c>
      <c r="AH34" s="263">
        <v>0.24941176470588242</v>
      </c>
      <c r="AI34" s="263">
        <v>0.59058823529411775</v>
      </c>
      <c r="AJ34" s="263">
        <v>0.15588235294117647</v>
      </c>
      <c r="AK34" s="295">
        <v>0.36941176470588233</v>
      </c>
      <c r="AL34" s="295">
        <v>0.32058823529411767</v>
      </c>
      <c r="AM34" s="295">
        <v>0.4284615384615385</v>
      </c>
      <c r="AN34" s="199">
        <v>56.875</v>
      </c>
      <c r="AO34" s="199">
        <v>7.3125</v>
      </c>
      <c r="AP34" s="263">
        <v>0</v>
      </c>
      <c r="AQ34" s="263">
        <v>0.20312500000000003</v>
      </c>
      <c r="AR34" s="263">
        <v>0.67562500000000003</v>
      </c>
      <c r="AS34" s="263">
        <v>0.12124999999999998</v>
      </c>
      <c r="AT34" s="295">
        <v>0.42250000000000004</v>
      </c>
      <c r="AU34" s="295">
        <v>0.29687499999999994</v>
      </c>
      <c r="AV34" s="295">
        <v>0.38500000000000001</v>
      </c>
      <c r="AW34" s="296">
        <v>57.3125</v>
      </c>
      <c r="AX34" s="296"/>
      <c r="AY34" s="296">
        <v>8.375</v>
      </c>
      <c r="AZ34" s="295"/>
      <c r="BA34" s="263">
        <v>3.1250000000000002E-3</v>
      </c>
      <c r="BB34" s="263">
        <v>0.20624999999999999</v>
      </c>
      <c r="BC34" s="263">
        <v>0.604375</v>
      </c>
      <c r="BD34" s="263">
        <v>0.185</v>
      </c>
      <c r="BE34" s="295">
        <v>0.38500000000000001</v>
      </c>
      <c r="BF34" s="295">
        <v>0.29624999999999996</v>
      </c>
      <c r="BG34" s="295">
        <v>0.47687499999999999</v>
      </c>
      <c r="BH34" s="302">
        <f>AVERAGEIFS(BH$36:BH$171,$C$36:$C$171,"=5", $B$36:$B$171,"NO OFICIAL")</f>
        <v>58.142857142857146</v>
      </c>
      <c r="BJ34" s="302">
        <f t="shared" ref="BJ34:CD34" si="27">AVERAGEIFS(BJ$36:BJ$171,$C$36:$C$171,"=5", $B$36:$B$171,"NO OFICIAL")</f>
        <v>7.6428571428571432</v>
      </c>
      <c r="BL34" s="345">
        <f t="shared" si="27"/>
        <v>1.2142857142857144E-2</v>
      </c>
      <c r="BM34" s="345">
        <f t="shared" si="27"/>
        <v>0.1657142857142857</v>
      </c>
      <c r="BN34" s="345">
        <f t="shared" si="27"/>
        <v>0.625</v>
      </c>
      <c r="BO34" s="345">
        <f t="shared" si="27"/>
        <v>0.19857142857142857</v>
      </c>
      <c r="BP34" s="345">
        <f t="shared" si="27"/>
        <v>0.41</v>
      </c>
      <c r="BQ34" s="345">
        <f t="shared" si="27"/>
        <v>0.27499999999999997</v>
      </c>
      <c r="BR34" s="345">
        <f t="shared" si="27"/>
        <v>0.3735714285714285</v>
      </c>
      <c r="BS34" s="302">
        <f t="shared" si="27"/>
        <v>58.357142857142854</v>
      </c>
      <c r="BU34" s="302">
        <f t="shared" si="27"/>
        <v>8</v>
      </c>
      <c r="BW34" s="345">
        <f t="shared" si="27"/>
        <v>3.5714285714285718E-3</v>
      </c>
      <c r="BX34" s="345">
        <f t="shared" si="27"/>
        <v>0.16642857142857143</v>
      </c>
      <c r="BY34" s="345">
        <f t="shared" si="27"/>
        <v>0.63785714285714279</v>
      </c>
      <c r="BZ34" s="345">
        <f t="shared" si="27"/>
        <v>0.19214285714285714</v>
      </c>
      <c r="CA34" s="345">
        <f t="shared" si="27"/>
        <v>0.30142857142857143</v>
      </c>
      <c r="CB34" s="345">
        <f t="shared" si="27"/>
        <v>0.40499999999999997</v>
      </c>
      <c r="CC34" s="345">
        <f t="shared" si="27"/>
        <v>0.40785714285714281</v>
      </c>
      <c r="CD34" s="494">
        <f t="shared" si="27"/>
        <v>57.733333333333334</v>
      </c>
      <c r="CF34" s="302">
        <f>AVERAGEIFS(CF$36:CF$171,$C$36:$C$171,"=5", $B$36:$B$171,"NO OFICIAL")</f>
        <v>7.333333333333333</v>
      </c>
      <c r="CH34" s="345">
        <f t="shared" ref="CH34:CN34" si="28">AVERAGEIFS(CH$36:CH$171,$C$36:$C$171,"=5", $B$36:$B$171,"NO OFICIAL")</f>
        <v>6.6666666666666671E-3</v>
      </c>
      <c r="CI34" s="345">
        <f t="shared" si="28"/>
        <v>0.18533333333333332</v>
      </c>
      <c r="CJ34" s="345">
        <f t="shared" si="28"/>
        <v>0.63133333333333341</v>
      </c>
      <c r="CK34" s="345">
        <f t="shared" si="28"/>
        <v>0.17600000000000005</v>
      </c>
      <c r="CL34" s="345">
        <f t="shared" si="28"/>
        <v>0.40266666666666673</v>
      </c>
      <c r="CM34" s="345">
        <f t="shared" si="28"/>
        <v>0.40866666666666668</v>
      </c>
      <c r="CN34" s="345">
        <f t="shared" si="28"/>
        <v>0.27200000000000008</v>
      </c>
    </row>
    <row r="35" spans="1:92" ht="24.95" customHeight="1" x14ac:dyDescent="0.2">
      <c r="A35" s="6" t="s">
        <v>906</v>
      </c>
      <c r="B35" s="294"/>
      <c r="C35" s="294"/>
      <c r="D35" s="199">
        <v>54.583333333333336</v>
      </c>
      <c r="E35" s="199">
        <v>6.416666666666667</v>
      </c>
      <c r="F35" s="263">
        <v>7.5000000000000006E-3</v>
      </c>
      <c r="G35" s="263">
        <v>0.3666666666666667</v>
      </c>
      <c r="H35" s="263">
        <v>0.56500000000000006</v>
      </c>
      <c r="I35" s="263">
        <v>6.1666666666666668E-2</v>
      </c>
      <c r="J35" s="295">
        <v>0.41749999999999998</v>
      </c>
      <c r="K35" s="295">
        <v>0.47250000000000009</v>
      </c>
      <c r="L35" s="295">
        <v>0.53333333333333333</v>
      </c>
      <c r="M35" s="199">
        <v>54</v>
      </c>
      <c r="N35" s="199">
        <v>8.5</v>
      </c>
      <c r="O35" s="263">
        <v>3.3333333333333333E-2</v>
      </c>
      <c r="P35" s="263">
        <v>0.29916666666666675</v>
      </c>
      <c r="Q35" s="263">
        <v>0.58250000000000002</v>
      </c>
      <c r="R35" s="263">
        <v>8.5833333333333331E-2</v>
      </c>
      <c r="S35" s="295">
        <v>0.44083333333333335</v>
      </c>
      <c r="T35" s="295">
        <v>0.47333333333333338</v>
      </c>
      <c r="U35" s="295">
        <v>0.47166666666666668</v>
      </c>
      <c r="V35" s="199">
        <v>54.81818181818182</v>
      </c>
      <c r="W35" s="199">
        <v>8.454545454545455</v>
      </c>
      <c r="X35" s="263">
        <v>5.454545454545455E-3</v>
      </c>
      <c r="Y35" s="263">
        <v>0.36090909090909096</v>
      </c>
      <c r="Z35" s="263">
        <v>0.52727272727272723</v>
      </c>
      <c r="AA35" s="263">
        <v>0.1109090909090909</v>
      </c>
      <c r="AB35" s="295">
        <v>0.41727272727272724</v>
      </c>
      <c r="AC35" s="295">
        <v>0.45818181818181808</v>
      </c>
      <c r="AD35" s="295">
        <v>0.50090909090909086</v>
      </c>
      <c r="AE35" s="297">
        <v>55.083333333333336</v>
      </c>
      <c r="AF35" s="297">
        <v>8.6666666666666661</v>
      </c>
      <c r="AG35" s="263">
        <v>8.3333333333333332E-3</v>
      </c>
      <c r="AH35" s="263">
        <v>0.31666666666666665</v>
      </c>
      <c r="AI35" s="263">
        <v>0.55666666666666675</v>
      </c>
      <c r="AJ35" s="263">
        <v>0.11833333333333333</v>
      </c>
      <c r="AK35" s="295">
        <v>0.40749999999999997</v>
      </c>
      <c r="AL35" s="295">
        <v>0.35833333333333334</v>
      </c>
      <c r="AM35" s="295">
        <v>0.4284615384615385</v>
      </c>
      <c r="AN35" s="199">
        <v>52.5</v>
      </c>
      <c r="AO35" s="199">
        <v>7.2142857142857144</v>
      </c>
      <c r="AP35" s="263">
        <v>4.1428571428571433E-2</v>
      </c>
      <c r="AQ35" s="263">
        <v>0.33785714285714291</v>
      </c>
      <c r="AR35" s="263">
        <v>0.55214285714285716</v>
      </c>
      <c r="AS35" s="263">
        <v>6.7857142857142866E-2</v>
      </c>
      <c r="AT35" s="295">
        <v>0.48928571428571427</v>
      </c>
      <c r="AU35" s="295">
        <v>0.37857142857142861</v>
      </c>
      <c r="AV35" s="295">
        <v>0.45357142857142863</v>
      </c>
      <c r="AW35" s="296">
        <v>54.615384615384613</v>
      </c>
      <c r="AX35" s="296"/>
      <c r="AY35" s="296">
        <v>7.4615384615384617</v>
      </c>
      <c r="AZ35" s="295"/>
      <c r="BA35" s="263">
        <v>1.3076923076923078E-2</v>
      </c>
      <c r="BB35" s="263">
        <v>0.37230769230769234</v>
      </c>
      <c r="BC35" s="263">
        <v>0.49692307692307697</v>
      </c>
      <c r="BD35" s="263">
        <v>0.11846153846153845</v>
      </c>
      <c r="BE35" s="295">
        <v>0.44923076923076916</v>
      </c>
      <c r="BF35" s="295">
        <v>0.32615384615384618</v>
      </c>
      <c r="BG35" s="295">
        <v>0.52692307692307683</v>
      </c>
      <c r="BH35" s="302">
        <f>AVERAGEIFS(BH$36:BH$171,$C$36:$C$171,"=6", $B$36:$B$171,"NO OFICIAL")</f>
        <v>55</v>
      </c>
      <c r="BJ35" s="302">
        <f t="shared" ref="BJ35:CD35" si="29">AVERAGEIFS(BJ$36:BJ$171,$C$36:$C$171,"=6", $B$36:$B$171,"NO OFICIAL")</f>
        <v>8.2666666666666675</v>
      </c>
      <c r="BL35" s="345">
        <f t="shared" si="29"/>
        <v>2.3333333333333334E-2</v>
      </c>
      <c r="BM35" s="345">
        <f t="shared" si="29"/>
        <v>0.29466666666666674</v>
      </c>
      <c r="BN35" s="345">
        <f t="shared" si="29"/>
        <v>0.56266666666666665</v>
      </c>
      <c r="BO35" s="345">
        <f t="shared" si="29"/>
        <v>0.11866666666666667</v>
      </c>
      <c r="BP35" s="345">
        <f t="shared" si="29"/>
        <v>0.45733333333333337</v>
      </c>
      <c r="BQ35" s="345">
        <f t="shared" si="29"/>
        <v>0.33600000000000002</v>
      </c>
      <c r="BR35" s="345">
        <f t="shared" si="29"/>
        <v>0.434</v>
      </c>
      <c r="BS35" s="302">
        <f t="shared" si="29"/>
        <v>56.375</v>
      </c>
      <c r="BU35" s="302">
        <f t="shared" si="29"/>
        <v>7.75</v>
      </c>
      <c r="BW35" s="345">
        <f t="shared" si="29"/>
        <v>5.6249999999999998E-3</v>
      </c>
      <c r="BX35" s="345">
        <f t="shared" si="29"/>
        <v>0.23687500000000003</v>
      </c>
      <c r="BY35" s="345">
        <f t="shared" si="29"/>
        <v>0.58000000000000007</v>
      </c>
      <c r="BZ35" s="345">
        <f t="shared" si="29"/>
        <v>0.17687500000000003</v>
      </c>
      <c r="CA35" s="345">
        <f t="shared" si="29"/>
        <v>0.33562499999999995</v>
      </c>
      <c r="CB35" s="345">
        <f t="shared" si="29"/>
        <v>0.42937500000000001</v>
      </c>
      <c r="CC35" s="345">
        <f t="shared" si="29"/>
        <v>0.44687500000000008</v>
      </c>
      <c r="CD35" s="494">
        <f t="shared" si="29"/>
        <v>56.571428571428569</v>
      </c>
      <c r="CF35" s="302">
        <f>AVERAGEIFS(CF$36:CF$171,$C$36:$C$171,"=6", $B$36:$B$171,"NO OFICIAL")</f>
        <v>8.5714285714285712</v>
      </c>
      <c r="CH35" s="345">
        <f t="shared" ref="CH35:CN35" si="30">AVERAGEIFS(CH$36:CH$171,$C$36:$C$171,"=6", $B$36:$B$171,"NO OFICIAL")</f>
        <v>2.9285714285714286E-2</v>
      </c>
      <c r="CI35" s="345">
        <f t="shared" si="30"/>
        <v>0.20857142857142855</v>
      </c>
      <c r="CJ35" s="345">
        <f t="shared" si="30"/>
        <v>0.60571428571428576</v>
      </c>
      <c r="CK35" s="345">
        <f t="shared" si="30"/>
        <v>0.15857142857142859</v>
      </c>
      <c r="CL35" s="345">
        <f t="shared" si="30"/>
        <v>0.43142857142857144</v>
      </c>
      <c r="CM35" s="345">
        <f t="shared" si="30"/>
        <v>0.4107142857142857</v>
      </c>
      <c r="CN35" s="345">
        <f t="shared" si="30"/>
        <v>0.29785714285714288</v>
      </c>
    </row>
    <row r="36" spans="1:92" ht="24.95" customHeight="1" x14ac:dyDescent="0.2">
      <c r="A36" s="126" t="s">
        <v>29</v>
      </c>
      <c r="B36" s="1" t="s">
        <v>221</v>
      </c>
      <c r="C36" s="2">
        <v>2</v>
      </c>
      <c r="D36" s="12">
        <v>54</v>
      </c>
      <c r="E36" s="12">
        <v>9</v>
      </c>
      <c r="F36" s="63">
        <v>0.01</v>
      </c>
      <c r="G36" s="63">
        <v>0.36</v>
      </c>
      <c r="H36" s="63">
        <v>0.56999999999999995</v>
      </c>
      <c r="I36" s="63">
        <v>0.06</v>
      </c>
      <c r="J36" s="63">
        <v>0.42</v>
      </c>
      <c r="K36" s="63">
        <v>0.47</v>
      </c>
      <c r="L36" s="63">
        <v>0.54</v>
      </c>
      <c r="M36" s="25">
        <v>55</v>
      </c>
      <c r="N36" s="25">
        <v>8</v>
      </c>
      <c r="O36" s="61">
        <v>0</v>
      </c>
      <c r="P36" s="61">
        <v>0.28999999999999998</v>
      </c>
      <c r="Q36" s="61">
        <v>0.66</v>
      </c>
      <c r="R36" s="61">
        <v>0.06</v>
      </c>
      <c r="S36" s="61">
        <v>0.41</v>
      </c>
      <c r="T36" s="61">
        <v>0.48</v>
      </c>
      <c r="U36" s="61">
        <v>0.44</v>
      </c>
      <c r="V36" s="25">
        <v>54</v>
      </c>
      <c r="W36" s="25">
        <v>8</v>
      </c>
      <c r="X36" s="66">
        <v>0.02</v>
      </c>
      <c r="Y36" s="66">
        <v>0.37</v>
      </c>
      <c r="Z36" s="66">
        <v>0.52</v>
      </c>
      <c r="AA36" s="66">
        <v>0.09</v>
      </c>
      <c r="AB36" s="66">
        <v>0.46</v>
      </c>
      <c r="AC36" s="66">
        <v>0.44</v>
      </c>
      <c r="AD36" s="66">
        <v>0.5</v>
      </c>
      <c r="AE36" s="12">
        <v>54</v>
      </c>
      <c r="AF36" s="12">
        <v>10</v>
      </c>
      <c r="AG36" s="63">
        <v>0.04</v>
      </c>
      <c r="AH36" s="63">
        <v>0.3</v>
      </c>
      <c r="AI36" s="63">
        <v>0.55000000000000004</v>
      </c>
      <c r="AJ36" s="63">
        <v>0.11</v>
      </c>
      <c r="AK36" s="63">
        <v>0.4</v>
      </c>
      <c r="AL36" s="63">
        <v>0.37</v>
      </c>
      <c r="AM36" s="63">
        <v>0.43</v>
      </c>
      <c r="AN36" s="35">
        <v>53</v>
      </c>
      <c r="AO36" s="35">
        <v>9</v>
      </c>
      <c r="AP36" s="40">
        <v>0.02</v>
      </c>
      <c r="AQ36" s="40">
        <v>0.41</v>
      </c>
      <c r="AR36" s="40">
        <v>0.49</v>
      </c>
      <c r="AS36" s="40">
        <v>0.08</v>
      </c>
      <c r="AT36" s="40">
        <v>0.48</v>
      </c>
      <c r="AU36" s="40">
        <v>0.39</v>
      </c>
      <c r="AV36" s="40">
        <v>0.44</v>
      </c>
      <c r="AW36" s="247">
        <v>56</v>
      </c>
      <c r="AX36" s="247" t="s">
        <v>874</v>
      </c>
      <c r="AY36" s="247">
        <v>8</v>
      </c>
      <c r="AZ36" s="247" t="s">
        <v>874</v>
      </c>
      <c r="BA36" s="264">
        <v>0</v>
      </c>
      <c r="BB36" s="264">
        <v>0.24</v>
      </c>
      <c r="BC36" s="264">
        <v>0.65</v>
      </c>
      <c r="BD36" s="264">
        <v>0.11</v>
      </c>
      <c r="BE36" s="264">
        <v>0.41</v>
      </c>
      <c r="BF36" s="264">
        <v>0.31</v>
      </c>
      <c r="BG36" s="264">
        <v>0.51</v>
      </c>
    </row>
    <row r="37" spans="1:92" ht="24.95" customHeight="1" x14ac:dyDescent="0.2">
      <c r="A37" s="749" t="s">
        <v>1095</v>
      </c>
      <c r="B37" s="14" t="s">
        <v>221</v>
      </c>
      <c r="C37" s="745"/>
      <c r="D37" s="746"/>
      <c r="E37" s="746"/>
      <c r="F37" s="807"/>
      <c r="G37" s="807"/>
      <c r="H37" s="807"/>
      <c r="I37" s="807"/>
      <c r="J37" s="807"/>
      <c r="K37" s="807"/>
      <c r="L37" s="807"/>
      <c r="M37" s="747"/>
      <c r="N37" s="747"/>
      <c r="O37" s="808"/>
      <c r="P37" s="808"/>
      <c r="Q37" s="808"/>
      <c r="R37" s="808"/>
      <c r="S37" s="808"/>
      <c r="T37" s="808"/>
      <c r="U37" s="808"/>
      <c r="V37" s="747"/>
      <c r="W37" s="747"/>
      <c r="X37" s="809"/>
      <c r="Y37" s="809"/>
      <c r="Z37" s="809"/>
      <c r="AA37" s="809"/>
      <c r="AB37" s="809"/>
      <c r="AC37" s="809"/>
      <c r="AD37" s="809"/>
      <c r="AE37" s="746"/>
      <c r="AF37" s="746"/>
      <c r="AG37" s="807"/>
      <c r="AH37" s="807"/>
      <c r="AI37" s="807"/>
      <c r="AJ37" s="807"/>
      <c r="AK37" s="807"/>
      <c r="AL37" s="807"/>
      <c r="AM37" s="807"/>
      <c r="AN37" s="810"/>
      <c r="AO37" s="810"/>
      <c r="AP37" s="811"/>
      <c r="AQ37" s="811"/>
      <c r="AR37" s="811"/>
      <c r="AS37" s="811"/>
      <c r="AT37" s="811"/>
      <c r="AU37" s="811"/>
      <c r="AV37" s="811"/>
      <c r="AW37" s="812"/>
      <c r="AX37" s="812"/>
      <c r="AY37" s="812"/>
      <c r="AZ37" s="812"/>
      <c r="BA37" s="813"/>
      <c r="BB37" s="813"/>
      <c r="BC37" s="813"/>
      <c r="BD37" s="813"/>
      <c r="BE37" s="813"/>
      <c r="BF37" s="813"/>
      <c r="BG37" s="813"/>
    </row>
    <row r="38" spans="1:92" ht="24.6" customHeight="1" x14ac:dyDescent="0.2">
      <c r="A38" s="36" t="s">
        <v>270</v>
      </c>
      <c r="B38" s="14" t="s">
        <v>221</v>
      </c>
      <c r="C38" s="2">
        <v>2</v>
      </c>
      <c r="D38" s="12"/>
      <c r="E38" s="12"/>
      <c r="F38" s="12"/>
      <c r="G38" s="12"/>
      <c r="H38" s="12"/>
      <c r="I38" s="12"/>
      <c r="J38" s="12"/>
      <c r="K38" s="12"/>
      <c r="L38" s="12"/>
      <c r="M38" s="25"/>
      <c r="N38" s="25"/>
      <c r="O38" s="61"/>
      <c r="P38" s="61"/>
      <c r="Q38" s="61"/>
      <c r="R38" s="61"/>
      <c r="S38" s="61"/>
      <c r="T38" s="61"/>
      <c r="U38" s="61"/>
      <c r="V38" s="25"/>
      <c r="W38" s="25"/>
      <c r="X38" s="12"/>
      <c r="Y38" s="12"/>
      <c r="Z38" s="12"/>
      <c r="AA38" s="12"/>
      <c r="AB38" s="12"/>
      <c r="AC38" s="12"/>
      <c r="AD38" s="12"/>
      <c r="AE38" s="12"/>
      <c r="AF38" s="12"/>
      <c r="AG38" s="2"/>
      <c r="AH38" s="2"/>
      <c r="AI38" s="2"/>
      <c r="AJ38" s="2"/>
      <c r="AK38" s="2"/>
      <c r="AL38" s="2"/>
      <c r="AM38" s="2"/>
      <c r="AN38" s="35">
        <v>46</v>
      </c>
      <c r="AO38" s="35">
        <v>7</v>
      </c>
      <c r="AP38" s="40">
        <v>0</v>
      </c>
      <c r="AQ38" s="40">
        <v>0.5</v>
      </c>
      <c r="AR38" s="40">
        <v>0.5</v>
      </c>
      <c r="AS38" s="40">
        <v>0</v>
      </c>
      <c r="AT38" s="40">
        <v>0.45</v>
      </c>
      <c r="AU38" s="40">
        <v>0.71</v>
      </c>
      <c r="AV38" s="40">
        <v>0.53</v>
      </c>
      <c r="AW38" s="247">
        <v>48</v>
      </c>
      <c r="AX38" s="247" t="s">
        <v>874</v>
      </c>
      <c r="AY38" s="247">
        <v>0</v>
      </c>
      <c r="AZ38" s="247" t="s">
        <v>876</v>
      </c>
      <c r="BA38" s="264">
        <v>0</v>
      </c>
      <c r="BB38" s="264">
        <v>1</v>
      </c>
      <c r="BC38" s="264">
        <v>0</v>
      </c>
      <c r="BD38" s="264">
        <v>0</v>
      </c>
      <c r="BE38" s="264">
        <v>0.56000000000000005</v>
      </c>
      <c r="BF38" s="264">
        <v>0.5</v>
      </c>
      <c r="BG38" s="264">
        <v>0.67</v>
      </c>
      <c r="BH38" s="311">
        <v>45</v>
      </c>
      <c r="BI38" s="311" t="s">
        <v>876</v>
      </c>
      <c r="BJ38" s="311">
        <v>19</v>
      </c>
      <c r="BK38" s="311" t="s">
        <v>875</v>
      </c>
      <c r="BL38" s="329">
        <v>0.33</v>
      </c>
      <c r="BM38" s="329">
        <v>0.33</v>
      </c>
      <c r="BN38" s="329">
        <v>0</v>
      </c>
      <c r="BO38" s="329">
        <v>0.33</v>
      </c>
      <c r="BP38" s="329">
        <v>0.61</v>
      </c>
      <c r="BQ38" s="329">
        <v>0.61</v>
      </c>
      <c r="BR38" s="329">
        <v>0.53</v>
      </c>
      <c r="BS38" s="426">
        <v>65</v>
      </c>
      <c r="BT38" s="426" t="s">
        <v>875</v>
      </c>
      <c r="BU38" s="426">
        <v>0</v>
      </c>
      <c r="BV38" s="426" t="s">
        <v>876</v>
      </c>
      <c r="BW38" s="430">
        <v>0</v>
      </c>
      <c r="BX38" s="430">
        <v>0</v>
      </c>
      <c r="BY38" s="430">
        <v>1</v>
      </c>
      <c r="BZ38" s="430">
        <v>0</v>
      </c>
      <c r="CA38" s="430">
        <v>0.22</v>
      </c>
      <c r="CB38" s="430">
        <v>0.47</v>
      </c>
      <c r="CC38" s="430">
        <v>0.17</v>
      </c>
      <c r="CD38" s="426">
        <v>44</v>
      </c>
      <c r="CE38" s="426" t="s">
        <v>876</v>
      </c>
      <c r="CF38" s="426">
        <v>7</v>
      </c>
      <c r="CG38" s="426" t="s">
        <v>874</v>
      </c>
      <c r="CH38" s="430">
        <v>0</v>
      </c>
      <c r="CI38" s="430">
        <v>1</v>
      </c>
      <c r="CJ38" s="430">
        <v>0</v>
      </c>
      <c r="CK38" s="430">
        <v>0</v>
      </c>
      <c r="CL38" s="430">
        <v>0.5</v>
      </c>
      <c r="CM38" s="430">
        <v>0.6</v>
      </c>
      <c r="CN38" s="430">
        <v>0.59</v>
      </c>
    </row>
    <row r="39" spans="1:92" ht="24.6" customHeight="1" x14ac:dyDescent="0.2">
      <c r="A39" s="560" t="s">
        <v>916</v>
      </c>
      <c r="B39" s="14" t="s">
        <v>221</v>
      </c>
      <c r="C39" s="311">
        <v>2</v>
      </c>
      <c r="D39" s="330"/>
      <c r="E39" s="330"/>
      <c r="F39" s="330"/>
      <c r="G39" s="330"/>
      <c r="H39" s="330"/>
      <c r="I39" s="330"/>
      <c r="J39" s="330"/>
      <c r="K39" s="330"/>
      <c r="L39" s="330"/>
      <c r="M39" s="331"/>
      <c r="N39" s="331"/>
      <c r="O39" s="332"/>
      <c r="P39" s="332"/>
      <c r="Q39" s="332"/>
      <c r="R39" s="332"/>
      <c r="S39" s="332"/>
      <c r="T39" s="332"/>
      <c r="U39" s="332"/>
      <c r="V39" s="331"/>
      <c r="W39" s="331"/>
      <c r="X39" s="330"/>
      <c r="Y39" s="330"/>
      <c r="Z39" s="330"/>
      <c r="AA39" s="330"/>
      <c r="AB39" s="330"/>
      <c r="AC39" s="330"/>
      <c r="AD39" s="330"/>
      <c r="AE39" s="330"/>
      <c r="AF39" s="330"/>
      <c r="AG39" s="311"/>
      <c r="AH39" s="311"/>
      <c r="AI39" s="311"/>
      <c r="AJ39" s="311"/>
      <c r="AK39" s="311"/>
      <c r="AL39" s="311"/>
      <c r="AM39" s="311"/>
      <c r="AN39" s="313"/>
      <c r="AO39" s="313"/>
      <c r="AP39" s="333"/>
      <c r="AQ39" s="333"/>
      <c r="AR39" s="333"/>
      <c r="AS39" s="333"/>
      <c r="AT39" s="333"/>
      <c r="AU39" s="333"/>
      <c r="AV39" s="333"/>
      <c r="AW39" s="314"/>
      <c r="AX39" s="314"/>
      <c r="AY39" s="314"/>
      <c r="AZ39" s="314"/>
      <c r="BA39" s="334"/>
      <c r="BB39" s="334"/>
      <c r="BC39" s="334"/>
      <c r="BD39" s="334"/>
      <c r="BE39" s="334"/>
      <c r="BF39" s="334"/>
      <c r="BG39" s="334"/>
      <c r="BH39" s="311">
        <v>46</v>
      </c>
      <c r="BI39" s="311" t="s">
        <v>876</v>
      </c>
      <c r="BJ39" s="311">
        <v>7</v>
      </c>
      <c r="BK39" s="311" t="s">
        <v>874</v>
      </c>
      <c r="BL39" s="329">
        <v>0</v>
      </c>
      <c r="BM39" s="329">
        <v>0.88</v>
      </c>
      <c r="BN39" s="329">
        <v>0.13</v>
      </c>
      <c r="BO39" s="329">
        <v>0</v>
      </c>
      <c r="BP39" s="329">
        <v>0.65</v>
      </c>
      <c r="BQ39" s="329">
        <v>0.47</v>
      </c>
      <c r="BR39" s="329">
        <v>0.6</v>
      </c>
      <c r="BS39" s="426">
        <v>43</v>
      </c>
      <c r="BT39" s="426" t="s">
        <v>876</v>
      </c>
      <c r="BU39" s="426">
        <v>11</v>
      </c>
      <c r="BV39" s="426" t="s">
        <v>874</v>
      </c>
      <c r="BW39" s="430">
        <v>0.25</v>
      </c>
      <c r="BX39" s="430">
        <v>0.5</v>
      </c>
      <c r="BY39" s="430">
        <v>0.25</v>
      </c>
      <c r="BZ39" s="430">
        <v>0</v>
      </c>
      <c r="CA39" s="430">
        <v>0.59</v>
      </c>
      <c r="CB39" s="430">
        <v>0.56999999999999995</v>
      </c>
      <c r="CC39" s="430">
        <v>0.64</v>
      </c>
      <c r="CD39" s="426"/>
      <c r="CE39" s="426"/>
      <c r="CF39" s="426"/>
      <c r="CG39" s="426"/>
      <c r="CH39" s="430"/>
      <c r="CI39" s="430"/>
      <c r="CJ39" s="430"/>
      <c r="CK39" s="430"/>
      <c r="CL39" s="430"/>
      <c r="CM39" s="430"/>
      <c r="CN39" s="430"/>
    </row>
    <row r="40" spans="1:92" ht="24.95" customHeight="1" x14ac:dyDescent="0.2">
      <c r="A40" s="126" t="s">
        <v>34</v>
      </c>
      <c r="B40" s="1" t="s">
        <v>221</v>
      </c>
      <c r="C40" s="2">
        <v>3</v>
      </c>
      <c r="D40" s="12">
        <v>54</v>
      </c>
      <c r="E40" s="12">
        <v>6</v>
      </c>
      <c r="F40" s="63">
        <v>0.02</v>
      </c>
      <c r="G40" s="63">
        <v>0.26</v>
      </c>
      <c r="H40" s="63">
        <v>0.71</v>
      </c>
      <c r="I40" s="63">
        <v>0.02</v>
      </c>
      <c r="J40" s="63">
        <v>0.38</v>
      </c>
      <c r="K40" s="63">
        <v>0.49</v>
      </c>
      <c r="L40" s="63">
        <v>0.59</v>
      </c>
      <c r="M40" s="25">
        <v>54</v>
      </c>
      <c r="N40" s="25">
        <v>8</v>
      </c>
      <c r="O40" s="61">
        <v>0.02</v>
      </c>
      <c r="P40" s="61">
        <v>0.36</v>
      </c>
      <c r="Q40" s="61">
        <v>0.56999999999999995</v>
      </c>
      <c r="R40" s="61">
        <v>0.05</v>
      </c>
      <c r="S40" s="61">
        <v>0.5</v>
      </c>
      <c r="T40" s="61">
        <v>0.48</v>
      </c>
      <c r="U40" s="61">
        <v>0.52</v>
      </c>
      <c r="V40" s="25">
        <v>53</v>
      </c>
      <c r="W40" s="25">
        <v>8</v>
      </c>
      <c r="X40" s="66">
        <v>0.03</v>
      </c>
      <c r="Y40" s="66">
        <v>0.46</v>
      </c>
      <c r="Z40" s="66">
        <v>0.51</v>
      </c>
      <c r="AA40" s="66">
        <v>0</v>
      </c>
      <c r="AB40" s="66">
        <v>0.48</v>
      </c>
      <c r="AC40" s="66">
        <v>0.55000000000000004</v>
      </c>
      <c r="AD40" s="66">
        <v>0.56000000000000005</v>
      </c>
      <c r="AE40" s="12">
        <v>53</v>
      </c>
      <c r="AF40" s="12">
        <v>7</v>
      </c>
      <c r="AG40" s="63">
        <v>0</v>
      </c>
      <c r="AH40" s="63">
        <v>0.33</v>
      </c>
      <c r="AI40" s="63">
        <v>0.56999999999999995</v>
      </c>
      <c r="AJ40" s="63">
        <v>0.1</v>
      </c>
      <c r="AK40" s="63">
        <v>0.43</v>
      </c>
      <c r="AL40" s="63">
        <v>0.36</v>
      </c>
      <c r="AM40" s="63">
        <v>0.44</v>
      </c>
      <c r="AN40" s="35">
        <v>54</v>
      </c>
      <c r="AO40" s="35">
        <v>7</v>
      </c>
      <c r="AP40" s="40">
        <v>0</v>
      </c>
      <c r="AQ40" s="40">
        <v>0.38</v>
      </c>
      <c r="AR40" s="40">
        <v>0.56999999999999995</v>
      </c>
      <c r="AS40" s="40">
        <v>0.05</v>
      </c>
      <c r="AT40" s="40">
        <v>0.47</v>
      </c>
      <c r="AU40" s="40">
        <v>0.36</v>
      </c>
      <c r="AV40" s="40">
        <v>0.43</v>
      </c>
      <c r="AW40" s="247">
        <v>55</v>
      </c>
      <c r="AX40" s="247" t="s">
        <v>874</v>
      </c>
      <c r="AY40" s="247">
        <v>9</v>
      </c>
      <c r="AZ40" s="247" t="s">
        <v>874</v>
      </c>
      <c r="BA40" s="264">
        <v>0.03</v>
      </c>
      <c r="BB40" s="264">
        <v>0.26</v>
      </c>
      <c r="BC40" s="264">
        <v>0.59</v>
      </c>
      <c r="BD40" s="264">
        <v>0.13</v>
      </c>
      <c r="BE40" s="264">
        <v>0.44</v>
      </c>
      <c r="BF40" s="264">
        <v>0.33</v>
      </c>
      <c r="BG40" s="264">
        <v>0.5</v>
      </c>
      <c r="BH40" s="311">
        <v>54</v>
      </c>
      <c r="BI40" s="311" t="s">
        <v>874</v>
      </c>
      <c r="BJ40" s="311">
        <v>9</v>
      </c>
      <c r="BK40" s="311" t="s">
        <v>874</v>
      </c>
      <c r="BL40" s="329">
        <v>0</v>
      </c>
      <c r="BM40" s="329">
        <v>0.36</v>
      </c>
      <c r="BN40" s="329">
        <v>0.57999999999999996</v>
      </c>
      <c r="BO40" s="329">
        <v>0.06</v>
      </c>
      <c r="BP40" s="329">
        <v>0.48</v>
      </c>
      <c r="BQ40" s="329">
        <v>0.31</v>
      </c>
      <c r="BR40" s="329">
        <v>0.43</v>
      </c>
      <c r="BS40" s="426">
        <v>55</v>
      </c>
      <c r="BT40" s="426" t="s">
        <v>874</v>
      </c>
      <c r="BU40" s="426">
        <v>8</v>
      </c>
      <c r="BV40" s="426" t="s">
        <v>874</v>
      </c>
      <c r="BW40" s="430">
        <v>0</v>
      </c>
      <c r="BX40" s="430">
        <v>0.28999999999999998</v>
      </c>
      <c r="BY40" s="430">
        <v>0.57999999999999996</v>
      </c>
      <c r="BZ40" s="430">
        <v>0.13</v>
      </c>
      <c r="CA40" s="430">
        <v>0.33</v>
      </c>
      <c r="CB40" s="430">
        <v>0.48</v>
      </c>
      <c r="CC40" s="430">
        <v>0.48</v>
      </c>
      <c r="CD40" s="466">
        <v>56</v>
      </c>
      <c r="CE40" s="466" t="s">
        <v>874</v>
      </c>
      <c r="CF40" s="466">
        <v>7</v>
      </c>
      <c r="CG40" s="466" t="s">
        <v>874</v>
      </c>
      <c r="CH40" s="480">
        <v>0</v>
      </c>
      <c r="CI40" s="480">
        <v>0.19</v>
      </c>
      <c r="CJ40" s="480">
        <v>0.71</v>
      </c>
      <c r="CK40" s="480">
        <v>0.1</v>
      </c>
      <c r="CL40" s="480">
        <v>0.44</v>
      </c>
      <c r="CM40" s="480">
        <v>0.43</v>
      </c>
      <c r="CN40" s="480">
        <v>0.28999999999999998</v>
      </c>
    </row>
    <row r="41" spans="1:92" ht="24.95" customHeight="1" x14ac:dyDescent="0.2">
      <c r="A41" s="820" t="s">
        <v>271</v>
      </c>
      <c r="B41" s="1" t="s">
        <v>221</v>
      </c>
      <c r="C41" s="2">
        <v>4</v>
      </c>
      <c r="D41" s="12">
        <v>52</v>
      </c>
      <c r="E41" s="12">
        <v>8</v>
      </c>
      <c r="F41" s="63">
        <v>0.02</v>
      </c>
      <c r="G41" s="63">
        <v>0.35</v>
      </c>
      <c r="H41" s="63">
        <v>0.61</v>
      </c>
      <c r="I41" s="63">
        <v>0.02</v>
      </c>
      <c r="J41" s="63">
        <v>0.45</v>
      </c>
      <c r="K41" s="63">
        <v>0.51</v>
      </c>
      <c r="L41" s="63">
        <v>0.57999999999999996</v>
      </c>
      <c r="M41" s="25">
        <v>52</v>
      </c>
      <c r="N41" s="25">
        <v>8</v>
      </c>
      <c r="O41" s="61"/>
      <c r="P41" s="61"/>
      <c r="Q41" s="61"/>
      <c r="R41" s="61"/>
      <c r="S41" s="61"/>
      <c r="T41" s="61"/>
      <c r="U41" s="61"/>
      <c r="V41" s="25">
        <v>50</v>
      </c>
      <c r="W41" s="25">
        <v>8</v>
      </c>
      <c r="X41" s="66">
        <v>0</v>
      </c>
      <c r="Y41" s="66">
        <v>0.33</v>
      </c>
      <c r="Z41" s="66">
        <v>0.61</v>
      </c>
      <c r="AA41" s="66">
        <v>0.06</v>
      </c>
      <c r="AB41" s="66">
        <v>0.4</v>
      </c>
      <c r="AC41" s="66">
        <v>0.5</v>
      </c>
      <c r="AD41" s="66">
        <v>0.52</v>
      </c>
      <c r="AE41" s="12">
        <v>53</v>
      </c>
      <c r="AF41" s="12">
        <v>8</v>
      </c>
      <c r="AG41" s="63">
        <v>0</v>
      </c>
      <c r="AH41" s="63">
        <v>0.47</v>
      </c>
      <c r="AI41" s="63">
        <v>0.53</v>
      </c>
      <c r="AJ41" s="63">
        <v>0</v>
      </c>
      <c r="AK41" s="63">
        <v>0.47</v>
      </c>
      <c r="AL41" s="63">
        <v>0.43</v>
      </c>
      <c r="AM41" s="63">
        <v>0.48</v>
      </c>
      <c r="AN41" s="35">
        <v>50</v>
      </c>
      <c r="AO41" s="35">
        <v>8</v>
      </c>
      <c r="AP41" s="40">
        <v>0.03</v>
      </c>
      <c r="AQ41" s="40">
        <v>0.5</v>
      </c>
      <c r="AR41" s="40">
        <v>0.48</v>
      </c>
      <c r="AS41" s="40">
        <v>0</v>
      </c>
      <c r="AT41" s="40">
        <v>0.5</v>
      </c>
      <c r="AU41" s="40">
        <v>0.43</v>
      </c>
      <c r="AV41" s="40">
        <v>0.51</v>
      </c>
      <c r="AW41" s="247">
        <v>52</v>
      </c>
      <c r="AX41" s="247" t="s">
        <v>874</v>
      </c>
      <c r="AY41" s="247">
        <v>9</v>
      </c>
      <c r="AZ41" s="247" t="s">
        <v>874</v>
      </c>
      <c r="BA41" s="264">
        <v>0</v>
      </c>
      <c r="BB41" s="264">
        <v>0.51</v>
      </c>
      <c r="BC41" s="264">
        <v>0.41</v>
      </c>
      <c r="BD41" s="264">
        <v>7.0000000000000007E-2</v>
      </c>
      <c r="BE41" s="264">
        <v>0.47</v>
      </c>
      <c r="BF41" s="264">
        <v>0.37</v>
      </c>
      <c r="BG41" s="264">
        <v>0.59</v>
      </c>
      <c r="BH41" s="311">
        <v>53</v>
      </c>
      <c r="BI41" s="311" t="s">
        <v>874</v>
      </c>
      <c r="BJ41" s="311">
        <v>7</v>
      </c>
      <c r="BK41" s="311" t="s">
        <v>874</v>
      </c>
      <c r="BL41" s="329">
        <v>0.02</v>
      </c>
      <c r="BM41" s="329">
        <v>0.33</v>
      </c>
      <c r="BN41" s="329">
        <v>0.59</v>
      </c>
      <c r="BO41" s="329">
        <v>7.0000000000000007E-2</v>
      </c>
      <c r="BP41" s="329">
        <v>0.5</v>
      </c>
      <c r="BQ41" s="329">
        <v>0.32</v>
      </c>
      <c r="BR41" s="329">
        <v>0.5</v>
      </c>
      <c r="BS41" s="426">
        <v>53</v>
      </c>
      <c r="BT41" s="426" t="s">
        <v>874</v>
      </c>
      <c r="BU41" s="426">
        <v>8</v>
      </c>
      <c r="BV41" s="426" t="s">
        <v>874</v>
      </c>
      <c r="BW41" s="430">
        <v>0</v>
      </c>
      <c r="BX41" s="430">
        <v>0.41</v>
      </c>
      <c r="BY41" s="430">
        <v>0.51</v>
      </c>
      <c r="BZ41" s="430">
        <v>0.08</v>
      </c>
      <c r="CA41" s="430">
        <v>0.42</v>
      </c>
      <c r="CB41" s="430">
        <v>0.46</v>
      </c>
      <c r="CC41" s="430">
        <v>0.49</v>
      </c>
      <c r="CD41" s="466">
        <v>53</v>
      </c>
      <c r="CE41" s="466" t="s">
        <v>874</v>
      </c>
      <c r="CF41" s="466">
        <v>7</v>
      </c>
      <c r="CG41" s="466" t="s">
        <v>874</v>
      </c>
      <c r="CH41" s="480">
        <v>0</v>
      </c>
      <c r="CI41" s="480">
        <v>0.35</v>
      </c>
      <c r="CJ41" s="480">
        <v>0.62</v>
      </c>
      <c r="CK41" s="480">
        <v>0.04</v>
      </c>
      <c r="CL41" s="480">
        <v>0.47</v>
      </c>
      <c r="CM41" s="480">
        <v>0.46</v>
      </c>
      <c r="CN41" s="480">
        <v>0.38</v>
      </c>
    </row>
    <row r="42" spans="1:92" ht="24.95" customHeight="1" x14ac:dyDescent="0.2">
      <c r="A42" s="822" t="s">
        <v>291</v>
      </c>
      <c r="B42" s="1" t="s">
        <v>221</v>
      </c>
      <c r="C42" s="466">
        <v>5</v>
      </c>
      <c r="D42" s="528"/>
      <c r="E42" s="528"/>
      <c r="F42" s="528"/>
      <c r="G42" s="528"/>
      <c r="H42" s="528"/>
      <c r="I42" s="528"/>
      <c r="J42" s="528"/>
      <c r="K42" s="528"/>
      <c r="L42" s="528"/>
      <c r="M42" s="528" t="s">
        <v>224</v>
      </c>
      <c r="N42" s="528" t="s">
        <v>224</v>
      </c>
      <c r="O42" s="662">
        <v>0.03</v>
      </c>
      <c r="P42" s="662">
        <v>0.33</v>
      </c>
      <c r="Q42" s="662">
        <v>0.55000000000000004</v>
      </c>
      <c r="R42" s="662">
        <v>0.08</v>
      </c>
      <c r="S42" s="662">
        <v>0.43</v>
      </c>
      <c r="T42" s="662">
        <v>0.47</v>
      </c>
      <c r="U42" s="662">
        <v>0.49</v>
      </c>
      <c r="V42" s="614">
        <v>53</v>
      </c>
      <c r="W42" s="614">
        <v>9</v>
      </c>
      <c r="X42" s="529">
        <v>0</v>
      </c>
      <c r="Y42" s="529">
        <v>0.37</v>
      </c>
      <c r="Z42" s="529">
        <v>0.59</v>
      </c>
      <c r="AA42" s="529">
        <v>0.04</v>
      </c>
      <c r="AB42" s="529">
        <v>0.45</v>
      </c>
      <c r="AC42" s="529">
        <v>0.47</v>
      </c>
      <c r="AD42" s="529">
        <v>0.54</v>
      </c>
      <c r="AE42" s="528">
        <v>51</v>
      </c>
      <c r="AF42" s="528">
        <v>7</v>
      </c>
      <c r="AG42" s="480">
        <v>0.02</v>
      </c>
      <c r="AH42" s="480">
        <v>0.33</v>
      </c>
      <c r="AI42" s="480">
        <v>0.6</v>
      </c>
      <c r="AJ42" s="480">
        <v>0.04</v>
      </c>
      <c r="AK42" s="480">
        <v>0.44</v>
      </c>
      <c r="AL42" s="480">
        <v>0.39</v>
      </c>
      <c r="AM42" s="480">
        <v>0.44</v>
      </c>
      <c r="AN42" s="644">
        <v>51</v>
      </c>
      <c r="AO42" s="644">
        <v>10</v>
      </c>
      <c r="AP42" s="643">
        <v>0</v>
      </c>
      <c r="AQ42" s="643">
        <v>0.59</v>
      </c>
      <c r="AR42" s="643">
        <v>0.32</v>
      </c>
      <c r="AS42" s="643">
        <v>0.09</v>
      </c>
      <c r="AT42" s="643">
        <v>0.5</v>
      </c>
      <c r="AU42" s="643">
        <v>0.45</v>
      </c>
      <c r="AV42" s="643">
        <v>0.46</v>
      </c>
      <c r="AW42" s="645">
        <v>55</v>
      </c>
      <c r="AX42" s="645" t="s">
        <v>874</v>
      </c>
      <c r="AY42" s="645">
        <v>9</v>
      </c>
      <c r="AZ42" s="645" t="s">
        <v>874</v>
      </c>
      <c r="BA42" s="646">
        <v>0</v>
      </c>
      <c r="BB42" s="646">
        <v>0.23</v>
      </c>
      <c r="BC42" s="646">
        <v>0.65</v>
      </c>
      <c r="BD42" s="646">
        <v>0.12</v>
      </c>
      <c r="BE42" s="646">
        <v>0.44</v>
      </c>
      <c r="BF42" s="646">
        <v>0.33</v>
      </c>
      <c r="BG42" s="646">
        <v>0.5</v>
      </c>
      <c r="BH42" s="466">
        <v>56</v>
      </c>
      <c r="BI42" s="466" t="s">
        <v>874</v>
      </c>
      <c r="BJ42" s="466">
        <v>9</v>
      </c>
      <c r="BK42" s="466" t="s">
        <v>874</v>
      </c>
      <c r="BL42" s="480">
        <v>0</v>
      </c>
      <c r="BM42" s="480">
        <v>0.23</v>
      </c>
      <c r="BN42" s="480">
        <v>0.69</v>
      </c>
      <c r="BO42" s="480">
        <v>0.08</v>
      </c>
      <c r="BP42" s="480">
        <v>0.46</v>
      </c>
      <c r="BQ42" s="480">
        <v>0.31</v>
      </c>
      <c r="BR42" s="480">
        <v>0.41</v>
      </c>
      <c r="BS42" s="647">
        <v>55</v>
      </c>
      <c r="BT42" s="647" t="s">
        <v>874</v>
      </c>
      <c r="BU42" s="647">
        <v>8</v>
      </c>
      <c r="BV42" s="647" t="s">
        <v>874</v>
      </c>
      <c r="BW42" s="648">
        <v>0</v>
      </c>
      <c r="BX42" s="648">
        <v>0.23</v>
      </c>
      <c r="BY42" s="648">
        <v>0.77</v>
      </c>
      <c r="BZ42" s="648">
        <v>0</v>
      </c>
      <c r="CA42" s="648">
        <v>0.32</v>
      </c>
      <c r="CB42" s="648">
        <v>0.44</v>
      </c>
      <c r="CC42" s="648">
        <v>0.5</v>
      </c>
      <c r="CD42" s="466">
        <v>55</v>
      </c>
      <c r="CE42" s="466" t="s">
        <v>874</v>
      </c>
      <c r="CF42" s="466">
        <v>6</v>
      </c>
      <c r="CG42" s="466" t="s">
        <v>874</v>
      </c>
      <c r="CH42" s="480">
        <v>0</v>
      </c>
      <c r="CI42" s="480">
        <v>0.2</v>
      </c>
      <c r="CJ42" s="480">
        <v>0.76</v>
      </c>
      <c r="CK42" s="480">
        <v>0.04</v>
      </c>
      <c r="CL42" s="480">
        <v>0.42</v>
      </c>
      <c r="CM42" s="480">
        <v>0.45</v>
      </c>
      <c r="CN42" s="480">
        <v>0.37</v>
      </c>
    </row>
    <row r="43" spans="1:92" ht="24.95" customHeight="1" x14ac:dyDescent="0.2">
      <c r="A43" s="821" t="s">
        <v>267</v>
      </c>
      <c r="B43" s="14" t="s">
        <v>221</v>
      </c>
      <c r="C43" s="466">
        <v>6</v>
      </c>
      <c r="D43" s="528"/>
      <c r="E43" s="528"/>
      <c r="F43" s="528"/>
      <c r="G43" s="528"/>
      <c r="H43" s="528"/>
      <c r="I43" s="528"/>
      <c r="J43" s="528"/>
      <c r="K43" s="528"/>
      <c r="L43" s="528"/>
      <c r="M43" s="614"/>
      <c r="N43" s="614"/>
      <c r="O43" s="662"/>
      <c r="P43" s="662"/>
      <c r="Q43" s="662"/>
      <c r="R43" s="662"/>
      <c r="S43" s="662"/>
      <c r="T43" s="662"/>
      <c r="U43" s="662"/>
      <c r="V43" s="614"/>
      <c r="W43" s="614"/>
      <c r="X43" s="528"/>
      <c r="Y43" s="528"/>
      <c r="Z43" s="528"/>
      <c r="AA43" s="528"/>
      <c r="AB43" s="528"/>
      <c r="AC43" s="528"/>
      <c r="AD43" s="528"/>
      <c r="AE43" s="528"/>
      <c r="AF43" s="528"/>
      <c r="AG43" s="466"/>
      <c r="AH43" s="466"/>
      <c r="AI43" s="466"/>
      <c r="AJ43" s="466"/>
      <c r="AK43" s="466"/>
      <c r="AL43" s="466"/>
      <c r="AM43" s="466"/>
      <c r="AN43" s="644">
        <v>56</v>
      </c>
      <c r="AO43" s="644">
        <v>1</v>
      </c>
      <c r="AP43" s="643">
        <v>0</v>
      </c>
      <c r="AQ43" s="643">
        <v>0</v>
      </c>
      <c r="AR43" s="643">
        <v>1</v>
      </c>
      <c r="AS43" s="643">
        <v>0</v>
      </c>
      <c r="AT43" s="643">
        <v>0.55000000000000004</v>
      </c>
      <c r="AU43" s="643">
        <v>0.28999999999999998</v>
      </c>
      <c r="AV43" s="643">
        <v>0.33</v>
      </c>
      <c r="AW43" s="645">
        <v>47</v>
      </c>
      <c r="AX43" s="645" t="s">
        <v>876</v>
      </c>
      <c r="AY43" s="645">
        <v>0</v>
      </c>
      <c r="AZ43" s="645" t="s">
        <v>876</v>
      </c>
      <c r="BA43" s="646">
        <v>0</v>
      </c>
      <c r="BB43" s="646">
        <v>1</v>
      </c>
      <c r="BC43" s="646">
        <v>0</v>
      </c>
      <c r="BD43" s="646">
        <v>0</v>
      </c>
      <c r="BE43" s="646">
        <v>0.6</v>
      </c>
      <c r="BF43" s="646">
        <v>0.25</v>
      </c>
      <c r="BG43" s="646">
        <v>0.77</v>
      </c>
      <c r="BH43" s="466">
        <v>57</v>
      </c>
      <c r="BI43" s="466" t="s">
        <v>874</v>
      </c>
      <c r="BJ43" s="466">
        <v>8</v>
      </c>
      <c r="BK43" s="466" t="s">
        <v>874</v>
      </c>
      <c r="BL43" s="480">
        <v>0</v>
      </c>
      <c r="BM43" s="480">
        <v>0.33</v>
      </c>
      <c r="BN43" s="480">
        <v>0.67</v>
      </c>
      <c r="BO43" s="480">
        <v>0</v>
      </c>
      <c r="BP43" s="480">
        <v>0.48</v>
      </c>
      <c r="BQ43" s="480">
        <v>0.31</v>
      </c>
      <c r="BR43" s="480">
        <v>0.35</v>
      </c>
      <c r="BS43" s="647">
        <v>56</v>
      </c>
      <c r="BT43" s="647" t="s">
        <v>874</v>
      </c>
      <c r="BU43" s="647">
        <v>5</v>
      </c>
      <c r="BV43" s="647" t="s">
        <v>876</v>
      </c>
      <c r="BW43" s="648">
        <v>0</v>
      </c>
      <c r="BX43" s="648">
        <v>0.08</v>
      </c>
      <c r="BY43" s="648">
        <v>0.92</v>
      </c>
      <c r="BZ43" s="648">
        <v>0</v>
      </c>
      <c r="CA43" s="648">
        <v>0.34</v>
      </c>
      <c r="CB43" s="648">
        <v>0.49</v>
      </c>
      <c r="CC43" s="648">
        <v>0.47</v>
      </c>
      <c r="CD43" s="466">
        <v>60</v>
      </c>
      <c r="CE43" s="466" t="s">
        <v>874</v>
      </c>
      <c r="CF43" s="466">
        <v>8</v>
      </c>
      <c r="CG43" s="466" t="s">
        <v>874</v>
      </c>
      <c r="CH43" s="480">
        <v>0</v>
      </c>
      <c r="CI43" s="480">
        <v>0.13</v>
      </c>
      <c r="CJ43" s="480">
        <v>0.63</v>
      </c>
      <c r="CK43" s="480">
        <v>0.25</v>
      </c>
      <c r="CL43" s="480">
        <v>0.43</v>
      </c>
      <c r="CM43" s="480">
        <v>0.36</v>
      </c>
      <c r="CN43" s="480">
        <v>0.19</v>
      </c>
    </row>
    <row r="44" spans="1:92" ht="24.95" customHeight="1" x14ac:dyDescent="0.2">
      <c r="A44" s="814" t="s">
        <v>189</v>
      </c>
      <c r="B44" s="1" t="s">
        <v>221</v>
      </c>
      <c r="C44" s="2">
        <v>2</v>
      </c>
      <c r="D44" s="12">
        <v>62</v>
      </c>
      <c r="E44" s="12">
        <v>0</v>
      </c>
      <c r="F44" s="63">
        <v>0</v>
      </c>
      <c r="G44" s="63">
        <v>0</v>
      </c>
      <c r="H44" s="63">
        <v>1</v>
      </c>
      <c r="I44" s="63">
        <v>0</v>
      </c>
      <c r="J44" s="63">
        <v>0.33</v>
      </c>
      <c r="K44" s="63">
        <v>0.42</v>
      </c>
      <c r="L44" s="63">
        <v>0.23</v>
      </c>
      <c r="M44" s="12" t="s">
        <v>224</v>
      </c>
      <c r="N44" s="12" t="s">
        <v>224</v>
      </c>
      <c r="O44" s="61"/>
      <c r="P44" s="61"/>
      <c r="Q44" s="61"/>
      <c r="R44" s="61"/>
      <c r="S44" s="61"/>
      <c r="T44" s="61"/>
      <c r="U44" s="61"/>
      <c r="V44" s="12" t="s">
        <v>224</v>
      </c>
      <c r="W44" s="12" t="s">
        <v>224</v>
      </c>
      <c r="X44" s="12"/>
      <c r="Y44" s="12"/>
      <c r="Z44" s="12"/>
      <c r="AA44" s="12"/>
      <c r="AB44" s="12"/>
      <c r="AC44" s="12"/>
      <c r="AD44" s="12"/>
      <c r="AE44" s="12" t="s">
        <v>224</v>
      </c>
      <c r="AF44" s="12" t="s">
        <v>224</v>
      </c>
      <c r="AG44" s="2"/>
      <c r="AH44" s="2"/>
      <c r="AI44" s="2"/>
      <c r="AJ44" s="2"/>
      <c r="AK44" s="2"/>
      <c r="AL44" s="2"/>
      <c r="AM44" s="2"/>
      <c r="AN44" s="35">
        <v>42</v>
      </c>
      <c r="AO44" s="35">
        <v>0</v>
      </c>
      <c r="AP44" s="40">
        <v>0</v>
      </c>
      <c r="AQ44" s="40">
        <v>1</v>
      </c>
      <c r="AR44" s="40">
        <v>0</v>
      </c>
      <c r="AS44" s="40">
        <v>0</v>
      </c>
      <c r="AT44" s="40">
        <v>0.75</v>
      </c>
      <c r="AU44" s="40">
        <v>0.63</v>
      </c>
      <c r="AV44" s="40">
        <v>0.56999999999999995</v>
      </c>
      <c r="AW44" s="251"/>
      <c r="AX44" s="251"/>
      <c r="AY44" s="652"/>
      <c r="AZ44" s="652"/>
      <c r="BA44" s="652"/>
      <c r="BB44" s="652"/>
      <c r="BC44" s="652"/>
      <c r="BD44" s="652"/>
      <c r="BE44" s="652"/>
      <c r="BF44" s="652"/>
      <c r="BG44" s="652"/>
      <c r="BH44" s="655"/>
      <c r="BI44" s="655"/>
      <c r="BJ44" s="655"/>
      <c r="BK44" s="655"/>
      <c r="BL44" s="655"/>
      <c r="BM44" s="655"/>
      <c r="BN44" s="655"/>
      <c r="BO44" s="655"/>
      <c r="BP44" s="655"/>
      <c r="BQ44" s="655"/>
      <c r="BR44" s="655"/>
      <c r="BS44" s="657"/>
      <c r="BT44" s="657"/>
      <c r="BU44" s="657"/>
      <c r="BV44" s="657"/>
      <c r="BW44" s="657"/>
      <c r="BX44" s="657"/>
      <c r="BY44" s="657"/>
      <c r="BZ44" s="657"/>
      <c r="CA44" s="657"/>
      <c r="CB44" s="657"/>
      <c r="CC44" s="657"/>
      <c r="CD44" s="656"/>
      <c r="CE44" s="656"/>
      <c r="CF44" s="656"/>
      <c r="CG44" s="656"/>
      <c r="CH44" s="656"/>
      <c r="CI44" s="656"/>
      <c r="CJ44" s="656"/>
      <c r="CK44" s="656"/>
      <c r="CL44" s="656"/>
      <c r="CM44" s="656"/>
      <c r="CN44" s="656"/>
    </row>
    <row r="45" spans="1:92" ht="24.95" customHeight="1" x14ac:dyDescent="0.2">
      <c r="A45" s="814" t="s">
        <v>918</v>
      </c>
      <c r="B45" s="14" t="s">
        <v>221</v>
      </c>
      <c r="C45" s="2">
        <v>2</v>
      </c>
      <c r="D45" s="12"/>
      <c r="E45" s="12"/>
      <c r="F45" s="63"/>
      <c r="G45" s="63"/>
      <c r="H45" s="63"/>
      <c r="I45" s="63"/>
      <c r="J45" s="63"/>
      <c r="K45" s="63"/>
      <c r="L45" s="63"/>
      <c r="M45" s="12"/>
      <c r="N45" s="12"/>
      <c r="O45" s="61"/>
      <c r="P45" s="61"/>
      <c r="Q45" s="61"/>
      <c r="R45" s="61"/>
      <c r="S45" s="61"/>
      <c r="T45" s="61"/>
      <c r="U45" s="61"/>
      <c r="V45" s="12"/>
      <c r="W45" s="12"/>
      <c r="X45" s="12"/>
      <c r="Y45" s="12"/>
      <c r="Z45" s="12"/>
      <c r="AA45" s="12"/>
      <c r="AB45" s="12"/>
      <c r="AC45" s="12"/>
      <c r="AD45" s="12"/>
      <c r="AE45" s="12"/>
      <c r="AF45" s="12"/>
      <c r="AG45" s="2"/>
      <c r="AH45" s="2"/>
      <c r="AI45" s="2"/>
      <c r="AJ45" s="2"/>
      <c r="AK45" s="2"/>
      <c r="AL45" s="2"/>
      <c r="AM45" s="2"/>
      <c r="AN45" s="35"/>
      <c r="AO45" s="35"/>
      <c r="AP45" s="40"/>
      <c r="AQ45" s="40"/>
      <c r="AR45" s="40"/>
      <c r="AS45" s="40"/>
      <c r="AT45" s="40"/>
      <c r="AU45" s="40"/>
      <c r="AV45" s="40"/>
      <c r="AW45" s="251"/>
      <c r="AX45" s="251"/>
      <c r="AY45" s="652"/>
      <c r="AZ45" s="652"/>
      <c r="BA45" s="652"/>
      <c r="BB45" s="652"/>
      <c r="BC45" s="652"/>
      <c r="BD45" s="652"/>
      <c r="BE45" s="652"/>
      <c r="BF45" s="652"/>
      <c r="BG45" s="652"/>
      <c r="BH45" s="311">
        <v>67</v>
      </c>
      <c r="BI45" s="311" t="s">
        <v>875</v>
      </c>
      <c r="BJ45" s="311">
        <v>3</v>
      </c>
      <c r="BK45" s="311" t="s">
        <v>876</v>
      </c>
      <c r="BL45" s="329">
        <v>0</v>
      </c>
      <c r="BM45" s="329">
        <v>0</v>
      </c>
      <c r="BN45" s="329">
        <v>0.33</v>
      </c>
      <c r="BO45" s="329">
        <v>0.67</v>
      </c>
      <c r="BP45" s="329">
        <v>0.28000000000000003</v>
      </c>
      <c r="BQ45" s="329">
        <v>0.15</v>
      </c>
      <c r="BR45" s="329">
        <v>0.18</v>
      </c>
      <c r="BS45" s="426">
        <v>56</v>
      </c>
      <c r="BT45" s="426" t="s">
        <v>874</v>
      </c>
      <c r="BU45" s="426">
        <v>9</v>
      </c>
      <c r="BV45" s="426" t="s">
        <v>874</v>
      </c>
      <c r="BW45" s="430">
        <v>0</v>
      </c>
      <c r="BX45" s="430">
        <v>0.43</v>
      </c>
      <c r="BY45" s="430">
        <v>0.43</v>
      </c>
      <c r="BZ45" s="430">
        <v>0.14000000000000001</v>
      </c>
      <c r="CA45" s="430">
        <v>0.41</v>
      </c>
      <c r="CB45" s="430">
        <v>0.43</v>
      </c>
      <c r="CC45" s="430">
        <v>0.46</v>
      </c>
      <c r="CD45" s="647"/>
      <c r="CE45" s="647"/>
      <c r="CF45" s="647"/>
      <c r="CG45" s="647"/>
      <c r="CH45" s="648"/>
      <c r="CI45" s="648"/>
      <c r="CJ45" s="648"/>
      <c r="CK45" s="648"/>
      <c r="CL45" s="648"/>
      <c r="CM45" s="648"/>
      <c r="CN45" s="648"/>
    </row>
    <row r="46" spans="1:92" ht="24.95" customHeight="1" x14ac:dyDescent="0.2">
      <c r="A46" s="814" t="s">
        <v>63</v>
      </c>
      <c r="B46" s="1" t="s">
        <v>221</v>
      </c>
      <c r="C46" s="2">
        <v>4</v>
      </c>
      <c r="D46" s="12">
        <v>52</v>
      </c>
      <c r="E46" s="12">
        <v>10</v>
      </c>
      <c r="F46" s="63">
        <v>0</v>
      </c>
      <c r="G46" s="63">
        <v>0.4</v>
      </c>
      <c r="H46" s="63">
        <v>0.6</v>
      </c>
      <c r="I46" s="63">
        <v>0</v>
      </c>
      <c r="J46" s="63">
        <v>0.42</v>
      </c>
      <c r="K46" s="63">
        <v>0.53</v>
      </c>
      <c r="L46" s="63">
        <v>0.53</v>
      </c>
      <c r="M46" s="12">
        <v>60</v>
      </c>
      <c r="N46" s="12">
        <v>7</v>
      </c>
      <c r="O46" s="61">
        <v>0</v>
      </c>
      <c r="P46" s="61">
        <v>0</v>
      </c>
      <c r="Q46" s="61">
        <v>0.6</v>
      </c>
      <c r="R46" s="61">
        <v>0.4</v>
      </c>
      <c r="S46" s="61">
        <v>0.3</v>
      </c>
      <c r="T46" s="61">
        <v>0.32</v>
      </c>
      <c r="U46" s="61">
        <v>0.4</v>
      </c>
      <c r="V46" s="12">
        <v>57</v>
      </c>
      <c r="W46" s="12">
        <v>9</v>
      </c>
      <c r="X46" s="66">
        <v>0</v>
      </c>
      <c r="Y46" s="66">
        <v>0.27</v>
      </c>
      <c r="Z46" s="66">
        <v>0.55000000000000004</v>
      </c>
      <c r="AA46" s="66">
        <v>0.18</v>
      </c>
      <c r="AB46" s="66">
        <v>0.35</v>
      </c>
      <c r="AC46" s="66">
        <v>0.41</v>
      </c>
      <c r="AD46" s="66">
        <v>0.54</v>
      </c>
      <c r="AE46" s="12">
        <v>61</v>
      </c>
      <c r="AF46" s="12">
        <v>9</v>
      </c>
      <c r="AG46" s="63">
        <v>0</v>
      </c>
      <c r="AH46" s="63">
        <v>0.1</v>
      </c>
      <c r="AI46" s="63">
        <v>0.5</v>
      </c>
      <c r="AJ46" s="63">
        <v>0.4</v>
      </c>
      <c r="AK46" s="63">
        <v>0.27</v>
      </c>
      <c r="AL46" s="63">
        <v>0.3</v>
      </c>
      <c r="AM46" s="63">
        <v>0.32</v>
      </c>
      <c r="AN46" s="35">
        <v>51</v>
      </c>
      <c r="AO46" s="35">
        <v>7</v>
      </c>
      <c r="AP46" s="40">
        <v>0.08</v>
      </c>
      <c r="AQ46" s="40">
        <v>0.23</v>
      </c>
      <c r="AR46" s="40">
        <v>0.69</v>
      </c>
      <c r="AS46" s="40">
        <v>0</v>
      </c>
      <c r="AT46" s="40">
        <v>0.55000000000000004</v>
      </c>
      <c r="AU46" s="40">
        <v>0.43</v>
      </c>
      <c r="AV46" s="40">
        <v>0.42</v>
      </c>
      <c r="AW46" s="663">
        <v>56</v>
      </c>
      <c r="AX46" s="653" t="s">
        <v>874</v>
      </c>
      <c r="AY46" s="653">
        <v>10</v>
      </c>
      <c r="AZ46" s="653" t="s">
        <v>874</v>
      </c>
      <c r="BA46" s="654">
        <v>0</v>
      </c>
      <c r="BB46" s="654">
        <v>0.38</v>
      </c>
      <c r="BC46" s="654">
        <v>0.52</v>
      </c>
      <c r="BD46" s="654">
        <v>0.1</v>
      </c>
      <c r="BE46" s="654">
        <v>0.43</v>
      </c>
      <c r="BF46" s="654">
        <v>0.28999999999999998</v>
      </c>
      <c r="BG46" s="654">
        <v>0.46</v>
      </c>
      <c r="BH46" s="74">
        <v>53</v>
      </c>
      <c r="BI46" s="74" t="s">
        <v>874</v>
      </c>
      <c r="BJ46" s="74">
        <v>9</v>
      </c>
      <c r="BK46" s="74" t="s">
        <v>874</v>
      </c>
      <c r="BL46" s="96">
        <v>0.08</v>
      </c>
      <c r="BM46" s="96">
        <v>0.24</v>
      </c>
      <c r="BN46" s="96">
        <v>0.56000000000000005</v>
      </c>
      <c r="BO46" s="96">
        <v>0.12</v>
      </c>
      <c r="BP46" s="96">
        <v>0.48</v>
      </c>
      <c r="BQ46" s="96">
        <v>0.34</v>
      </c>
      <c r="BR46" s="96">
        <v>0.46</v>
      </c>
      <c r="BS46" s="658">
        <v>52</v>
      </c>
      <c r="BT46" s="658" t="s">
        <v>874</v>
      </c>
      <c r="BU46" s="658">
        <v>9</v>
      </c>
      <c r="BV46" s="658" t="s">
        <v>874</v>
      </c>
      <c r="BW46" s="659">
        <v>0</v>
      </c>
      <c r="BX46" s="659">
        <v>0.39</v>
      </c>
      <c r="BY46" s="659">
        <v>0.56000000000000005</v>
      </c>
      <c r="BZ46" s="659">
        <v>0.06</v>
      </c>
      <c r="CA46" s="659">
        <v>0.38</v>
      </c>
      <c r="CB46" s="659">
        <v>0.52</v>
      </c>
      <c r="CC46" s="659">
        <v>0.54</v>
      </c>
      <c r="CD46" s="74">
        <v>50</v>
      </c>
      <c r="CE46" s="74" t="s">
        <v>874</v>
      </c>
      <c r="CF46" s="74">
        <v>8</v>
      </c>
      <c r="CG46" s="74" t="s">
        <v>874</v>
      </c>
      <c r="CH46" s="96">
        <v>0</v>
      </c>
      <c r="CI46" s="96">
        <v>0.55000000000000004</v>
      </c>
      <c r="CJ46" s="96">
        <v>0.42</v>
      </c>
      <c r="CK46" s="96">
        <v>0.03</v>
      </c>
      <c r="CL46" s="96">
        <v>0.51</v>
      </c>
      <c r="CM46" s="96">
        <v>0.51</v>
      </c>
      <c r="CN46" s="96">
        <v>0.38</v>
      </c>
    </row>
    <row r="47" spans="1:92" ht="24.95" customHeight="1" x14ac:dyDescent="0.2">
      <c r="A47" s="815" t="s">
        <v>44</v>
      </c>
      <c r="B47" s="1" t="s">
        <v>221</v>
      </c>
      <c r="C47" s="311">
        <v>1</v>
      </c>
      <c r="D47" s="330">
        <v>52</v>
      </c>
      <c r="E47" s="330">
        <v>7</v>
      </c>
      <c r="F47" s="329">
        <v>0</v>
      </c>
      <c r="G47" s="329">
        <v>0.47</v>
      </c>
      <c r="H47" s="329">
        <v>0.53</v>
      </c>
      <c r="I47" s="329">
        <v>0</v>
      </c>
      <c r="J47" s="329">
        <v>0.46</v>
      </c>
      <c r="K47" s="329">
        <v>0.51</v>
      </c>
      <c r="L47" s="329">
        <v>0.59</v>
      </c>
      <c r="M47" s="330" t="s">
        <v>224</v>
      </c>
      <c r="N47" s="330" t="s">
        <v>224</v>
      </c>
      <c r="O47" s="332"/>
      <c r="P47" s="332"/>
      <c r="Q47" s="332"/>
      <c r="R47" s="332"/>
      <c r="S47" s="332"/>
      <c r="T47" s="332"/>
      <c r="U47" s="332"/>
      <c r="V47" s="330" t="s">
        <v>224</v>
      </c>
      <c r="W47" s="330" t="s">
        <v>224</v>
      </c>
      <c r="X47" s="330"/>
      <c r="Y47" s="330"/>
      <c r="Z47" s="330"/>
      <c r="AA47" s="330"/>
      <c r="AB47" s="330"/>
      <c r="AC47" s="330"/>
      <c r="AD47" s="330"/>
      <c r="AE47" s="330" t="s">
        <v>224</v>
      </c>
      <c r="AF47" s="330" t="s">
        <v>224</v>
      </c>
      <c r="AG47" s="311"/>
      <c r="AH47" s="311"/>
      <c r="AI47" s="311"/>
      <c r="AJ47" s="311"/>
      <c r="AK47" s="311"/>
      <c r="AL47" s="311"/>
      <c r="AM47" s="311"/>
      <c r="AW47" s="655"/>
      <c r="BH47" s="655"/>
      <c r="BI47" s="655"/>
      <c r="BJ47" s="655"/>
      <c r="BK47" s="655"/>
      <c r="BL47" s="655"/>
      <c r="BM47" s="655"/>
      <c r="BN47" s="655"/>
      <c r="BO47" s="655"/>
      <c r="BP47" s="655"/>
      <c r="BQ47" s="655"/>
      <c r="BR47" s="655"/>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row>
    <row r="48" spans="1:92" ht="24.95" customHeight="1" x14ac:dyDescent="0.2">
      <c r="A48" s="814" t="s">
        <v>69</v>
      </c>
      <c r="B48" s="1" t="s">
        <v>221</v>
      </c>
      <c r="C48" s="2">
        <v>2</v>
      </c>
      <c r="D48" s="12">
        <v>49</v>
      </c>
      <c r="E48" s="12">
        <v>7</v>
      </c>
      <c r="F48" s="63">
        <v>0.08</v>
      </c>
      <c r="G48" s="63">
        <v>0.5</v>
      </c>
      <c r="H48" s="63">
        <v>0.42</v>
      </c>
      <c r="I48" s="63">
        <v>0</v>
      </c>
      <c r="J48" s="63">
        <v>0.56999999999999995</v>
      </c>
      <c r="K48" s="63">
        <v>0.59</v>
      </c>
      <c r="L48" s="63">
        <v>0.61</v>
      </c>
      <c r="M48" s="12" t="s">
        <v>224</v>
      </c>
      <c r="N48" s="12" t="s">
        <v>224</v>
      </c>
      <c r="O48" s="61"/>
      <c r="P48" s="61"/>
      <c r="Q48" s="61"/>
      <c r="R48" s="61"/>
      <c r="S48" s="61"/>
      <c r="T48" s="61"/>
      <c r="U48" s="61"/>
      <c r="V48" s="25">
        <v>47</v>
      </c>
      <c r="W48" s="25">
        <v>9</v>
      </c>
      <c r="X48" s="66">
        <v>0.14000000000000001</v>
      </c>
      <c r="Y48" s="66">
        <v>0.43</v>
      </c>
      <c r="Z48" s="66">
        <v>0.43</v>
      </c>
      <c r="AA48" s="66">
        <v>0</v>
      </c>
      <c r="AB48" s="66">
        <v>0.48</v>
      </c>
      <c r="AC48" s="66">
        <v>0.65</v>
      </c>
      <c r="AD48" s="66">
        <v>0.56000000000000005</v>
      </c>
      <c r="AE48" s="12">
        <v>55</v>
      </c>
      <c r="AF48" s="12">
        <v>6</v>
      </c>
      <c r="AG48" s="63">
        <v>0</v>
      </c>
      <c r="AH48" s="63">
        <v>0.23</v>
      </c>
      <c r="AI48" s="63">
        <v>0.77</v>
      </c>
      <c r="AJ48" s="63">
        <v>0</v>
      </c>
      <c r="AK48" s="63">
        <v>0.39</v>
      </c>
      <c r="AL48" s="63">
        <v>0.38</v>
      </c>
      <c r="AM48" s="63">
        <v>0.38</v>
      </c>
      <c r="AN48" s="45">
        <v>56</v>
      </c>
      <c r="AO48" s="45">
        <v>8</v>
      </c>
      <c r="AP48" s="46">
        <v>0</v>
      </c>
      <c r="AQ48" s="46">
        <v>0.17</v>
      </c>
      <c r="AR48" s="46">
        <v>0.67</v>
      </c>
      <c r="AS48" s="46">
        <v>0.17</v>
      </c>
      <c r="AT48" s="46">
        <v>0.42</v>
      </c>
      <c r="AU48" s="46">
        <v>0.28999999999999998</v>
      </c>
      <c r="AV48" s="46">
        <v>0.4</v>
      </c>
      <c r="AW48" s="247">
        <v>51</v>
      </c>
      <c r="AX48" s="247" t="s">
        <v>874</v>
      </c>
      <c r="AY48" s="247">
        <v>14</v>
      </c>
      <c r="AZ48" s="247" t="s">
        <v>875</v>
      </c>
      <c r="BA48" s="264">
        <v>0.17</v>
      </c>
      <c r="BB48" s="264">
        <v>0.33</v>
      </c>
      <c r="BC48" s="264">
        <v>0.33</v>
      </c>
      <c r="BD48" s="264">
        <v>0.17</v>
      </c>
      <c r="BE48" s="264">
        <v>0.46</v>
      </c>
      <c r="BF48" s="264">
        <v>0.42</v>
      </c>
      <c r="BG48" s="264">
        <v>0.53</v>
      </c>
      <c r="BH48" s="655"/>
      <c r="BI48" s="655"/>
      <c r="BJ48" s="655"/>
      <c r="BK48" s="655"/>
      <c r="BL48" s="655"/>
      <c r="BM48" s="655"/>
      <c r="BN48" s="655"/>
      <c r="BO48" s="655"/>
      <c r="BP48" s="655"/>
      <c r="BQ48" s="655"/>
      <c r="BR48" s="655"/>
      <c r="BS48" s="426">
        <v>56</v>
      </c>
      <c r="BT48" s="426" t="s">
        <v>874</v>
      </c>
      <c r="BU48" s="426">
        <v>9</v>
      </c>
      <c r="BV48" s="426" t="s">
        <v>874</v>
      </c>
      <c r="BW48" s="430">
        <v>0</v>
      </c>
      <c r="BX48" s="430">
        <v>0.43</v>
      </c>
      <c r="BY48" s="430">
        <v>0.43</v>
      </c>
      <c r="BZ48" s="430">
        <v>0.14000000000000001</v>
      </c>
      <c r="CA48" s="430">
        <v>0.44</v>
      </c>
      <c r="CB48" s="430">
        <v>0.42</v>
      </c>
      <c r="CC48" s="430">
        <v>0.41</v>
      </c>
      <c r="CD48" s="466">
        <v>62</v>
      </c>
      <c r="CE48" s="466" t="s">
        <v>874</v>
      </c>
      <c r="CF48" s="466">
        <v>7</v>
      </c>
      <c r="CG48" s="466" t="s">
        <v>874</v>
      </c>
      <c r="CH48" s="480">
        <v>0</v>
      </c>
      <c r="CI48" s="480">
        <v>0.08</v>
      </c>
      <c r="CJ48" s="480">
        <v>0.62</v>
      </c>
      <c r="CK48" s="480">
        <v>0.31</v>
      </c>
      <c r="CL48" s="480">
        <v>0.3</v>
      </c>
      <c r="CM48" s="480">
        <v>0.36</v>
      </c>
      <c r="CN48" s="480">
        <v>0.22</v>
      </c>
    </row>
    <row r="49" spans="1:92" ht="24.95" customHeight="1" x14ac:dyDescent="0.2">
      <c r="A49" s="820" t="s">
        <v>268</v>
      </c>
      <c r="B49" s="1" t="s">
        <v>221</v>
      </c>
      <c r="C49" s="2">
        <v>6</v>
      </c>
      <c r="D49" s="12"/>
      <c r="E49" s="12"/>
      <c r="F49" s="12"/>
      <c r="G49" s="12"/>
      <c r="H49" s="12"/>
      <c r="I49" s="12"/>
      <c r="J49" s="12"/>
      <c r="K49" s="12"/>
      <c r="L49" s="12"/>
      <c r="M49" s="12"/>
      <c r="N49" s="12"/>
      <c r="O49" s="61"/>
      <c r="P49" s="61"/>
      <c r="Q49" s="61"/>
      <c r="R49" s="61"/>
      <c r="S49" s="61"/>
      <c r="T49" s="61"/>
      <c r="U49" s="61"/>
      <c r="V49" s="25"/>
      <c r="W49" s="25"/>
      <c r="X49" s="12"/>
      <c r="Y49" s="12"/>
      <c r="Z49" s="12"/>
      <c r="AA49" s="12"/>
      <c r="AB49" s="12"/>
      <c r="AC49" s="12"/>
      <c r="AD49" s="12"/>
      <c r="AE49" s="12"/>
      <c r="AF49" s="12"/>
      <c r="AG49" s="2"/>
      <c r="AH49" s="2"/>
      <c r="AI49" s="2"/>
      <c r="AJ49" s="2"/>
      <c r="AK49" s="2"/>
      <c r="AL49" s="2"/>
      <c r="AM49" s="2"/>
      <c r="AN49" s="35">
        <v>50</v>
      </c>
      <c r="AO49" s="35">
        <v>8</v>
      </c>
      <c r="AP49" s="40">
        <v>0.04</v>
      </c>
      <c r="AQ49" s="40">
        <v>0.48</v>
      </c>
      <c r="AR49" s="40">
        <v>0.48</v>
      </c>
      <c r="AS49" s="40">
        <v>0</v>
      </c>
      <c r="AT49" s="40">
        <v>0.52</v>
      </c>
      <c r="AU49" s="40">
        <v>0.4</v>
      </c>
      <c r="AV49" s="40">
        <v>0.56000000000000005</v>
      </c>
      <c r="AW49" s="653">
        <v>57</v>
      </c>
      <c r="AX49" s="653" t="s">
        <v>874</v>
      </c>
      <c r="AY49" s="653">
        <v>9</v>
      </c>
      <c r="AZ49" s="653" t="s">
        <v>874</v>
      </c>
      <c r="BA49" s="654">
        <v>0</v>
      </c>
      <c r="BB49" s="654">
        <v>0.19</v>
      </c>
      <c r="BC49" s="654">
        <v>0.62</v>
      </c>
      <c r="BD49" s="654">
        <v>0.19</v>
      </c>
      <c r="BE49" s="654">
        <v>0.4</v>
      </c>
      <c r="BF49" s="654">
        <v>0.31</v>
      </c>
      <c r="BG49" s="654">
        <v>0.46</v>
      </c>
      <c r="BH49" s="74">
        <v>51</v>
      </c>
      <c r="BI49" s="74" t="s">
        <v>874</v>
      </c>
      <c r="BJ49" s="74">
        <v>9</v>
      </c>
      <c r="BK49" s="74" t="s">
        <v>874</v>
      </c>
      <c r="BL49" s="96">
        <v>0.03</v>
      </c>
      <c r="BM49" s="96">
        <v>0.41</v>
      </c>
      <c r="BN49" s="96">
        <v>0.5</v>
      </c>
      <c r="BO49" s="96">
        <v>0.06</v>
      </c>
      <c r="BP49" s="96">
        <v>0.51</v>
      </c>
      <c r="BQ49" s="96">
        <v>0.42</v>
      </c>
      <c r="BR49" s="96">
        <v>0.5</v>
      </c>
      <c r="BS49" s="658">
        <v>56</v>
      </c>
      <c r="BT49" s="658" t="s">
        <v>874</v>
      </c>
      <c r="BU49" s="658">
        <v>10</v>
      </c>
      <c r="BV49" s="658" t="s">
        <v>874</v>
      </c>
      <c r="BW49" s="659">
        <v>0</v>
      </c>
      <c r="BX49" s="659">
        <v>0.32</v>
      </c>
      <c r="BY49" s="659">
        <v>0.46</v>
      </c>
      <c r="BZ49" s="659">
        <v>0.21</v>
      </c>
      <c r="CA49" s="659">
        <v>0.33</v>
      </c>
      <c r="CB49" s="659">
        <v>0.41</v>
      </c>
      <c r="CC49" s="659">
        <v>0.46</v>
      </c>
      <c r="CD49" s="74">
        <v>54</v>
      </c>
      <c r="CE49" s="74" t="s">
        <v>874</v>
      </c>
      <c r="CF49" s="74">
        <v>8</v>
      </c>
      <c r="CG49" s="74" t="s">
        <v>874</v>
      </c>
      <c r="CH49" s="96">
        <v>0</v>
      </c>
      <c r="CI49" s="96">
        <v>0.38</v>
      </c>
      <c r="CJ49" s="96">
        <v>0.56000000000000005</v>
      </c>
      <c r="CK49" s="96">
        <v>0.05</v>
      </c>
      <c r="CL49" s="96">
        <v>0.47</v>
      </c>
      <c r="CM49" s="96">
        <v>0.46</v>
      </c>
      <c r="CN49" s="96">
        <v>0.32</v>
      </c>
    </row>
    <row r="50" spans="1:92" ht="24.95" customHeight="1" x14ac:dyDescent="0.2">
      <c r="A50" s="814" t="s">
        <v>223</v>
      </c>
      <c r="B50" s="1" t="s">
        <v>221</v>
      </c>
      <c r="C50" s="2">
        <v>3</v>
      </c>
      <c r="D50" s="12"/>
      <c r="E50" s="12"/>
      <c r="F50" s="12"/>
      <c r="G50" s="12"/>
      <c r="H50" s="12"/>
      <c r="I50" s="12"/>
      <c r="J50" s="12"/>
      <c r="K50" s="12"/>
      <c r="L50" s="12"/>
      <c r="M50" s="25">
        <v>54</v>
      </c>
      <c r="N50" s="25">
        <v>8</v>
      </c>
      <c r="O50" s="61">
        <v>0.02</v>
      </c>
      <c r="P50" s="61">
        <v>0.28999999999999998</v>
      </c>
      <c r="Q50" s="61">
        <v>0.56999999999999995</v>
      </c>
      <c r="R50" s="61">
        <v>0.11</v>
      </c>
      <c r="S50" s="61">
        <v>0.43</v>
      </c>
      <c r="T50" s="61">
        <v>0.47</v>
      </c>
      <c r="U50" s="61">
        <v>0.47</v>
      </c>
      <c r="V50" s="25">
        <v>53</v>
      </c>
      <c r="W50" s="25">
        <v>9</v>
      </c>
      <c r="X50" s="66">
        <v>0.03</v>
      </c>
      <c r="Y50" s="66">
        <v>0.39</v>
      </c>
      <c r="Z50" s="66">
        <v>0.52</v>
      </c>
      <c r="AA50" s="66">
        <v>0.06</v>
      </c>
      <c r="AB50" s="66">
        <v>0.47</v>
      </c>
      <c r="AC50" s="66">
        <v>0.52</v>
      </c>
      <c r="AD50" s="66">
        <v>0.52</v>
      </c>
      <c r="AE50" s="12">
        <v>52</v>
      </c>
      <c r="AF50" s="12">
        <v>9</v>
      </c>
      <c r="AG50" s="63">
        <v>0.01</v>
      </c>
      <c r="AH50" s="63">
        <v>0.41</v>
      </c>
      <c r="AI50" s="63">
        <v>0.5</v>
      </c>
      <c r="AJ50" s="63">
        <v>0.08</v>
      </c>
      <c r="AK50" s="63">
        <v>0.46</v>
      </c>
      <c r="AL50" s="63">
        <v>0.38</v>
      </c>
      <c r="AM50" s="63">
        <v>0.45</v>
      </c>
      <c r="AN50" s="35">
        <v>50</v>
      </c>
      <c r="AO50" s="35">
        <v>10</v>
      </c>
      <c r="AP50" s="40">
        <v>0.04</v>
      </c>
      <c r="AQ50" s="40">
        <v>0.48</v>
      </c>
      <c r="AR50" s="40">
        <v>0.44</v>
      </c>
      <c r="AS50" s="40">
        <v>0.03</v>
      </c>
      <c r="AT50" s="40">
        <v>0.52</v>
      </c>
      <c r="AU50" s="40">
        <v>0.44</v>
      </c>
      <c r="AV50" s="40">
        <v>0.49</v>
      </c>
      <c r="AW50" s="247">
        <v>52</v>
      </c>
      <c r="AX50" s="247" t="s">
        <v>874</v>
      </c>
      <c r="AY50" s="247">
        <v>9</v>
      </c>
      <c r="AZ50" s="247" t="s">
        <v>874</v>
      </c>
      <c r="BA50" s="264">
        <v>0.03</v>
      </c>
      <c r="BB50" s="264">
        <v>0.45</v>
      </c>
      <c r="BC50" s="264">
        <v>0.46</v>
      </c>
      <c r="BD50" s="264">
        <v>0.06</v>
      </c>
      <c r="BE50" s="264">
        <v>0.48</v>
      </c>
      <c r="BF50" s="264">
        <v>0.38</v>
      </c>
      <c r="BG50" s="264">
        <v>0.57999999999999996</v>
      </c>
      <c r="BH50" s="74">
        <v>52</v>
      </c>
      <c r="BI50" s="74" t="s">
        <v>874</v>
      </c>
      <c r="BJ50" s="74">
        <v>9</v>
      </c>
      <c r="BK50" s="74" t="s">
        <v>874</v>
      </c>
      <c r="BL50" s="96">
        <v>0.06</v>
      </c>
      <c r="BM50" s="96">
        <v>0.34</v>
      </c>
      <c r="BN50" s="96">
        <v>0.55000000000000004</v>
      </c>
      <c r="BO50" s="96">
        <v>0.05</v>
      </c>
      <c r="BP50" s="96">
        <v>0.51</v>
      </c>
      <c r="BQ50" s="96">
        <v>0.39</v>
      </c>
      <c r="BR50" s="96">
        <v>0.5</v>
      </c>
      <c r="BS50" s="426">
        <v>53</v>
      </c>
      <c r="BT50" s="426" t="s">
        <v>874</v>
      </c>
      <c r="BU50" s="426">
        <v>9</v>
      </c>
      <c r="BV50" s="426" t="s">
        <v>874</v>
      </c>
      <c r="BW50" s="430">
        <v>0.02</v>
      </c>
      <c r="BX50" s="430">
        <v>0.33</v>
      </c>
      <c r="BY50" s="430">
        <v>0.56000000000000005</v>
      </c>
      <c r="BZ50" s="430">
        <v>0.1</v>
      </c>
      <c r="CA50" s="430">
        <v>0.38</v>
      </c>
      <c r="CB50" s="430">
        <v>0.5</v>
      </c>
      <c r="CC50" s="430">
        <v>0.49</v>
      </c>
      <c r="CD50" s="466">
        <v>53</v>
      </c>
      <c r="CE50" s="466" t="s">
        <v>874</v>
      </c>
      <c r="CF50" s="466">
        <v>9</v>
      </c>
      <c r="CG50" s="466" t="s">
        <v>874</v>
      </c>
      <c r="CH50" s="480">
        <v>0.06</v>
      </c>
      <c r="CI50" s="480">
        <v>0.31</v>
      </c>
      <c r="CJ50" s="480">
        <v>0.56000000000000005</v>
      </c>
      <c r="CK50" s="480">
        <v>7.0000000000000007E-2</v>
      </c>
      <c r="CL50" s="480">
        <v>0.46</v>
      </c>
      <c r="CM50" s="480">
        <v>0.46</v>
      </c>
      <c r="CN50" s="480">
        <v>0.38</v>
      </c>
    </row>
    <row r="51" spans="1:92" ht="24.95" customHeight="1" x14ac:dyDescent="0.2">
      <c r="A51" s="814" t="s">
        <v>126</v>
      </c>
      <c r="B51" s="1" t="s">
        <v>221</v>
      </c>
      <c r="C51" s="2">
        <v>2</v>
      </c>
      <c r="D51" s="12">
        <v>59</v>
      </c>
      <c r="E51" s="12">
        <v>8</v>
      </c>
      <c r="F51" s="63">
        <v>0</v>
      </c>
      <c r="G51" s="63">
        <v>0.15</v>
      </c>
      <c r="H51" s="63">
        <v>0.65</v>
      </c>
      <c r="I51" s="63">
        <v>0.2</v>
      </c>
      <c r="J51" s="63">
        <v>0.37</v>
      </c>
      <c r="K51" s="63">
        <v>0.38</v>
      </c>
      <c r="L51" s="63">
        <v>0.43</v>
      </c>
      <c r="M51" s="25">
        <v>59</v>
      </c>
      <c r="N51" s="25">
        <v>7</v>
      </c>
      <c r="O51" s="61">
        <v>0</v>
      </c>
      <c r="P51" s="61">
        <v>0.08</v>
      </c>
      <c r="Q51" s="61">
        <v>0.74</v>
      </c>
      <c r="R51" s="61">
        <v>0.17</v>
      </c>
      <c r="S51" s="61">
        <v>0.33</v>
      </c>
      <c r="T51" s="61">
        <v>0.4</v>
      </c>
      <c r="U51" s="61">
        <v>0.38</v>
      </c>
      <c r="V51" s="25">
        <v>59</v>
      </c>
      <c r="W51" s="25">
        <v>8</v>
      </c>
      <c r="X51" s="66">
        <v>0</v>
      </c>
      <c r="Y51" s="66">
        <v>0.11</v>
      </c>
      <c r="Z51" s="66">
        <v>0.68</v>
      </c>
      <c r="AA51" s="66">
        <v>0.21</v>
      </c>
      <c r="AB51" s="66">
        <v>0.34</v>
      </c>
      <c r="AC51" s="66">
        <v>0.38</v>
      </c>
      <c r="AD51" s="66">
        <v>0.42</v>
      </c>
      <c r="AE51" s="12">
        <v>60</v>
      </c>
      <c r="AF51" s="12">
        <v>8</v>
      </c>
      <c r="AG51" s="63">
        <v>0.01</v>
      </c>
      <c r="AH51" s="63">
        <v>0.11</v>
      </c>
      <c r="AI51" s="63">
        <v>0.66</v>
      </c>
      <c r="AJ51" s="63">
        <v>0.22</v>
      </c>
      <c r="AK51" s="63">
        <v>0.31</v>
      </c>
      <c r="AL51" s="63">
        <v>0.27</v>
      </c>
      <c r="AM51" s="63">
        <v>0.34</v>
      </c>
      <c r="AN51" s="35">
        <v>62</v>
      </c>
      <c r="AO51" s="35">
        <v>9</v>
      </c>
      <c r="AP51" s="40">
        <v>0</v>
      </c>
      <c r="AQ51" s="40">
        <v>7.0000000000000007E-2</v>
      </c>
      <c r="AR51" s="40">
        <v>0.62</v>
      </c>
      <c r="AS51" s="40">
        <v>0.31</v>
      </c>
      <c r="AT51" s="40">
        <v>0.32</v>
      </c>
      <c r="AU51" s="40">
        <v>0.26</v>
      </c>
      <c r="AV51" s="40">
        <v>0.28999999999999998</v>
      </c>
      <c r="AW51" s="247">
        <v>59</v>
      </c>
      <c r="AX51" s="247" t="s">
        <v>874</v>
      </c>
      <c r="AY51" s="247">
        <v>7</v>
      </c>
      <c r="AZ51" s="247" t="s">
        <v>874</v>
      </c>
      <c r="BA51" s="264">
        <v>0</v>
      </c>
      <c r="BB51" s="264">
        <v>0.14000000000000001</v>
      </c>
      <c r="BC51" s="264">
        <v>0.68</v>
      </c>
      <c r="BD51" s="264">
        <v>0.18</v>
      </c>
      <c r="BE51" s="264">
        <v>0.35</v>
      </c>
      <c r="BF51" s="264">
        <v>0.28000000000000003</v>
      </c>
      <c r="BG51" s="264">
        <v>0.43</v>
      </c>
      <c r="BH51" s="311">
        <v>62</v>
      </c>
      <c r="BI51" s="311" t="s">
        <v>874</v>
      </c>
      <c r="BJ51" s="311">
        <v>7</v>
      </c>
      <c r="BK51" s="311" t="s">
        <v>874</v>
      </c>
      <c r="BL51" s="329">
        <v>0</v>
      </c>
      <c r="BM51" s="329">
        <v>0.04</v>
      </c>
      <c r="BN51" s="329">
        <v>0.67</v>
      </c>
      <c r="BO51" s="329">
        <v>0.28999999999999998</v>
      </c>
      <c r="BP51" s="329">
        <v>0.34</v>
      </c>
      <c r="BQ51" s="329">
        <v>0.23</v>
      </c>
      <c r="BR51" s="329">
        <v>0.28999999999999998</v>
      </c>
      <c r="BS51" s="426">
        <v>60</v>
      </c>
      <c r="BT51" s="426" t="s">
        <v>874</v>
      </c>
      <c r="BU51" s="426">
        <v>8</v>
      </c>
      <c r="BV51" s="426" t="s">
        <v>874</v>
      </c>
      <c r="BW51" s="430">
        <v>0</v>
      </c>
      <c r="BX51" s="430">
        <v>0.13</v>
      </c>
      <c r="BY51" s="430">
        <v>0.63</v>
      </c>
      <c r="BZ51" s="430">
        <v>0.24</v>
      </c>
      <c r="CA51" s="430">
        <v>0.27</v>
      </c>
      <c r="CB51" s="430">
        <v>0.37</v>
      </c>
      <c r="CC51" s="430">
        <v>0.39</v>
      </c>
      <c r="CD51" s="466">
        <v>62</v>
      </c>
      <c r="CE51" s="466" t="s">
        <v>874</v>
      </c>
      <c r="CF51" s="466">
        <v>8</v>
      </c>
      <c r="CG51" s="466" t="s">
        <v>874</v>
      </c>
      <c r="CH51" s="480">
        <v>0.01</v>
      </c>
      <c r="CI51" s="480">
        <v>0.08</v>
      </c>
      <c r="CJ51" s="480">
        <v>0.56000000000000005</v>
      </c>
      <c r="CK51" s="480">
        <v>0.35</v>
      </c>
      <c r="CL51" s="480">
        <v>0.32</v>
      </c>
      <c r="CM51" s="480">
        <v>0.33</v>
      </c>
      <c r="CN51" s="480">
        <v>0.24</v>
      </c>
    </row>
    <row r="52" spans="1:92" ht="24.95" customHeight="1" x14ac:dyDescent="0.2">
      <c r="A52" s="820" t="s">
        <v>269</v>
      </c>
      <c r="B52" s="1" t="s">
        <v>221</v>
      </c>
      <c r="C52" s="2">
        <v>2</v>
      </c>
      <c r="D52" s="12"/>
      <c r="E52" s="12"/>
      <c r="F52" s="12"/>
      <c r="G52" s="12"/>
      <c r="H52" s="12"/>
      <c r="I52" s="12"/>
      <c r="J52" s="12"/>
      <c r="K52" s="12"/>
      <c r="L52" s="12"/>
      <c r="M52" s="25"/>
      <c r="N52" s="25"/>
      <c r="O52" s="61"/>
      <c r="P52" s="61"/>
      <c r="Q52" s="61"/>
      <c r="R52" s="61"/>
      <c r="S52" s="61"/>
      <c r="T52" s="61"/>
      <c r="U52" s="61"/>
      <c r="V52" s="25"/>
      <c r="W52" s="25"/>
      <c r="X52" s="12"/>
      <c r="Y52" s="12"/>
      <c r="Z52" s="12"/>
      <c r="AA52" s="12"/>
      <c r="AB52" s="12"/>
      <c r="AC52" s="12"/>
      <c r="AD52" s="12"/>
      <c r="AE52" s="12"/>
      <c r="AF52" s="12"/>
      <c r="AG52" s="2"/>
      <c r="AH52" s="2"/>
      <c r="AI52" s="2"/>
      <c r="AJ52" s="2"/>
      <c r="AK52" s="2"/>
      <c r="AL52" s="2"/>
      <c r="AM52" s="2"/>
      <c r="AN52" s="35">
        <v>61</v>
      </c>
      <c r="AO52" s="35">
        <v>0</v>
      </c>
      <c r="AP52" s="40">
        <v>0</v>
      </c>
      <c r="AQ52" s="40">
        <v>0</v>
      </c>
      <c r="AR52" s="40">
        <v>1</v>
      </c>
      <c r="AS52" s="40">
        <v>0</v>
      </c>
      <c r="AT52" s="40">
        <v>0.18</v>
      </c>
      <c r="AU52" s="40">
        <v>0.33</v>
      </c>
      <c r="AV52" s="40">
        <v>0.43</v>
      </c>
      <c r="AW52" s="652"/>
      <c r="AX52" s="652"/>
      <c r="AY52" s="652"/>
      <c r="AZ52" s="652"/>
      <c r="BA52" s="652"/>
      <c r="BB52" s="652"/>
      <c r="BC52" s="652"/>
      <c r="BD52" s="652"/>
      <c r="BE52" s="652"/>
      <c r="BF52" s="652"/>
      <c r="BG52" s="652"/>
      <c r="BH52" s="655"/>
      <c r="BI52" s="655"/>
      <c r="BJ52" s="655"/>
      <c r="BK52" s="655"/>
      <c r="BL52" s="655"/>
      <c r="BM52" s="655"/>
      <c r="BN52" s="655"/>
      <c r="BO52" s="655"/>
      <c r="BP52" s="655"/>
      <c r="BQ52" s="655"/>
      <c r="BR52" s="655"/>
      <c r="BS52" s="657"/>
      <c r="BT52" s="657"/>
      <c r="BU52" s="657"/>
      <c r="BV52" s="657"/>
      <c r="BW52" s="657"/>
      <c r="BX52" s="657"/>
      <c r="BY52" s="657"/>
      <c r="BZ52" s="657"/>
      <c r="CA52" s="657"/>
      <c r="CB52" s="657"/>
      <c r="CC52" s="657"/>
      <c r="CD52" s="656"/>
      <c r="CE52" s="656"/>
      <c r="CF52" s="656"/>
      <c r="CG52" s="656"/>
      <c r="CH52" s="656"/>
      <c r="CI52" s="656"/>
      <c r="CJ52" s="656"/>
      <c r="CK52" s="656"/>
      <c r="CL52" s="656"/>
      <c r="CM52" s="656"/>
      <c r="CN52" s="656"/>
    </row>
    <row r="53" spans="1:92" ht="24.95" customHeight="1" x14ac:dyDescent="0.2">
      <c r="A53" s="814" t="s">
        <v>134</v>
      </c>
      <c r="B53" s="1" t="s">
        <v>221</v>
      </c>
      <c r="C53" s="2">
        <v>5</v>
      </c>
      <c r="D53" s="12">
        <v>55</v>
      </c>
      <c r="E53" s="12">
        <v>6</v>
      </c>
      <c r="F53" s="63">
        <v>0</v>
      </c>
      <c r="G53" s="63">
        <v>0.33</v>
      </c>
      <c r="H53" s="63">
        <v>0.63</v>
      </c>
      <c r="I53" s="63">
        <v>0.04</v>
      </c>
      <c r="J53" s="63">
        <v>0.39</v>
      </c>
      <c r="K53" s="63">
        <v>0.52</v>
      </c>
      <c r="L53" s="63">
        <v>0.51</v>
      </c>
      <c r="M53" s="25">
        <v>58</v>
      </c>
      <c r="N53" s="25">
        <v>7</v>
      </c>
      <c r="O53" s="61">
        <v>0</v>
      </c>
      <c r="P53" s="61">
        <v>0.22</v>
      </c>
      <c r="Q53" s="61">
        <v>0.72</v>
      </c>
      <c r="R53" s="61">
        <v>0.06</v>
      </c>
      <c r="S53" s="61">
        <v>0.38</v>
      </c>
      <c r="T53" s="61">
        <v>0.45</v>
      </c>
      <c r="U53" s="61">
        <v>0.38</v>
      </c>
      <c r="V53" s="25">
        <v>56</v>
      </c>
      <c r="W53" s="25">
        <v>9</v>
      </c>
      <c r="X53" s="66">
        <v>0</v>
      </c>
      <c r="Y53" s="66">
        <v>0.28000000000000003</v>
      </c>
      <c r="Z53" s="66">
        <v>0.56000000000000005</v>
      </c>
      <c r="AA53" s="66">
        <v>0.17</v>
      </c>
      <c r="AB53" s="66">
        <v>0.39</v>
      </c>
      <c r="AC53" s="66">
        <v>0.43</v>
      </c>
      <c r="AD53" s="66">
        <v>0.51</v>
      </c>
      <c r="AE53" s="12">
        <v>60</v>
      </c>
      <c r="AF53" s="12">
        <v>9</v>
      </c>
      <c r="AG53" s="63">
        <v>0</v>
      </c>
      <c r="AH53" s="63">
        <v>0.32</v>
      </c>
      <c r="AI53" s="63">
        <v>0.37</v>
      </c>
      <c r="AJ53" s="63">
        <v>0.32</v>
      </c>
      <c r="AK53" s="63">
        <v>0.33</v>
      </c>
      <c r="AL53" s="63">
        <v>0.25</v>
      </c>
      <c r="AM53" s="63">
        <v>0.34</v>
      </c>
      <c r="AN53" s="35">
        <v>59</v>
      </c>
      <c r="AO53" s="35">
        <v>7</v>
      </c>
      <c r="AP53" s="40">
        <v>0</v>
      </c>
      <c r="AQ53" s="40">
        <v>0.14000000000000001</v>
      </c>
      <c r="AR53" s="40">
        <v>0.71</v>
      </c>
      <c r="AS53" s="40">
        <v>0.14000000000000001</v>
      </c>
      <c r="AT53" s="40">
        <v>0.41</v>
      </c>
      <c r="AU53" s="40">
        <v>0.26</v>
      </c>
      <c r="AV53" s="40">
        <v>0.33</v>
      </c>
      <c r="AW53" s="247">
        <v>64</v>
      </c>
      <c r="AX53" s="247" t="s">
        <v>875</v>
      </c>
      <c r="AY53" s="247">
        <v>10</v>
      </c>
      <c r="AZ53" s="247" t="s">
        <v>874</v>
      </c>
      <c r="BA53" s="264">
        <v>0</v>
      </c>
      <c r="BB53" s="264">
        <v>0.19</v>
      </c>
      <c r="BC53" s="264">
        <v>0.33</v>
      </c>
      <c r="BD53" s="264">
        <v>0.48</v>
      </c>
      <c r="BE53" s="264">
        <v>0.28999999999999998</v>
      </c>
      <c r="BF53" s="264">
        <v>0.25</v>
      </c>
      <c r="BG53" s="264">
        <v>0.34</v>
      </c>
      <c r="BH53" s="311">
        <v>59</v>
      </c>
      <c r="BI53" s="311" t="s">
        <v>874</v>
      </c>
      <c r="BJ53" s="311">
        <v>6</v>
      </c>
      <c r="BK53" s="311" t="s">
        <v>874</v>
      </c>
      <c r="BL53" s="329">
        <v>0</v>
      </c>
      <c r="BM53" s="329">
        <v>0.06</v>
      </c>
      <c r="BN53" s="329">
        <v>0.83</v>
      </c>
      <c r="BO53" s="329">
        <v>0.11</v>
      </c>
      <c r="BP53" s="329">
        <v>0.37</v>
      </c>
      <c r="BQ53" s="329">
        <v>0.24</v>
      </c>
      <c r="BR53" s="329">
        <v>0.4</v>
      </c>
      <c r="BS53" s="426">
        <v>60</v>
      </c>
      <c r="BT53" s="426" t="s">
        <v>874</v>
      </c>
      <c r="BU53" s="426">
        <v>6</v>
      </c>
      <c r="BV53" s="426" t="s">
        <v>874</v>
      </c>
      <c r="BW53" s="430">
        <v>0</v>
      </c>
      <c r="BX53" s="430">
        <v>0</v>
      </c>
      <c r="BY53" s="430">
        <v>0.76</v>
      </c>
      <c r="BZ53" s="430">
        <v>0.24</v>
      </c>
      <c r="CA53" s="430">
        <v>0.23</v>
      </c>
      <c r="CB53" s="430">
        <v>0.38</v>
      </c>
      <c r="CC53" s="430">
        <v>0.43</v>
      </c>
      <c r="CD53" s="466">
        <v>61</v>
      </c>
      <c r="CE53" s="466" t="s">
        <v>874</v>
      </c>
      <c r="CF53" s="466">
        <v>8</v>
      </c>
      <c r="CG53" s="466" t="s">
        <v>874</v>
      </c>
      <c r="CH53" s="480">
        <v>0</v>
      </c>
      <c r="CI53" s="480">
        <v>0.14000000000000001</v>
      </c>
      <c r="CJ53" s="480">
        <v>0.62</v>
      </c>
      <c r="CK53" s="480">
        <v>0.24</v>
      </c>
      <c r="CL53" s="480">
        <v>0.35</v>
      </c>
      <c r="CM53" s="480">
        <v>0.37</v>
      </c>
      <c r="CN53" s="480">
        <v>0.24</v>
      </c>
    </row>
    <row r="54" spans="1:92" ht="24.95" customHeight="1" x14ac:dyDescent="0.2">
      <c r="A54" s="814" t="s">
        <v>920</v>
      </c>
      <c r="B54" s="14" t="s">
        <v>221</v>
      </c>
      <c r="C54" s="2">
        <v>6</v>
      </c>
      <c r="D54" s="12"/>
      <c r="E54" s="12"/>
      <c r="F54" s="63"/>
      <c r="G54" s="63"/>
      <c r="H54" s="63"/>
      <c r="I54" s="63"/>
      <c r="J54" s="63"/>
      <c r="K54" s="63"/>
      <c r="L54" s="63"/>
      <c r="M54" s="25"/>
      <c r="N54" s="25"/>
      <c r="O54" s="61"/>
      <c r="P54" s="61"/>
      <c r="Q54" s="61"/>
      <c r="R54" s="61"/>
      <c r="S54" s="61"/>
      <c r="T54" s="61"/>
      <c r="U54" s="61"/>
      <c r="V54" s="25"/>
      <c r="W54" s="25"/>
      <c r="X54" s="66"/>
      <c r="Y54" s="66"/>
      <c r="Z54" s="66"/>
      <c r="AA54" s="66"/>
      <c r="AB54" s="66"/>
      <c r="AC54" s="66"/>
      <c r="AD54" s="66"/>
      <c r="AE54" s="12"/>
      <c r="AF54" s="12"/>
      <c r="AG54" s="63"/>
      <c r="AH54" s="63"/>
      <c r="AI54" s="63"/>
      <c r="AJ54" s="63"/>
      <c r="AK54" s="63"/>
      <c r="AL54" s="63"/>
      <c r="AM54" s="63"/>
      <c r="AN54" s="35"/>
      <c r="AO54" s="35"/>
      <c r="AP54" s="40"/>
      <c r="AQ54" s="40"/>
      <c r="AR54" s="40"/>
      <c r="AS54" s="40"/>
      <c r="AT54" s="40"/>
      <c r="AU54" s="40"/>
      <c r="AV54" s="40"/>
      <c r="AW54" s="653"/>
      <c r="AX54" s="653"/>
      <c r="AY54" s="653"/>
      <c r="AZ54" s="653"/>
      <c r="BA54" s="654"/>
      <c r="BB54" s="654"/>
      <c r="BC54" s="654"/>
      <c r="BD54" s="654"/>
      <c r="BE54" s="654"/>
      <c r="BF54" s="654"/>
      <c r="BG54" s="654"/>
      <c r="BH54" s="74">
        <v>63</v>
      </c>
      <c r="BI54" s="74" t="s">
        <v>875</v>
      </c>
      <c r="BJ54" s="74">
        <v>6</v>
      </c>
      <c r="BK54" s="74" t="s">
        <v>874</v>
      </c>
      <c r="BL54" s="96">
        <v>0</v>
      </c>
      <c r="BM54" s="96">
        <v>0</v>
      </c>
      <c r="BN54" s="96">
        <v>0.69</v>
      </c>
      <c r="BO54" s="96">
        <v>0.31</v>
      </c>
      <c r="BP54" s="96">
        <v>0.35</v>
      </c>
      <c r="BQ54" s="96">
        <v>0.18</v>
      </c>
      <c r="BR54" s="96">
        <v>0.24</v>
      </c>
      <c r="BS54" s="658">
        <v>64</v>
      </c>
      <c r="BT54" s="658" t="s">
        <v>875</v>
      </c>
      <c r="BU54" s="658">
        <v>7</v>
      </c>
      <c r="BV54" s="658" t="s">
        <v>874</v>
      </c>
      <c r="BW54" s="659">
        <v>0</v>
      </c>
      <c r="BX54" s="659">
        <v>0.04</v>
      </c>
      <c r="BY54" s="659">
        <v>0.56000000000000005</v>
      </c>
      <c r="BZ54" s="659">
        <v>0.41</v>
      </c>
      <c r="CA54" s="659">
        <v>0.24</v>
      </c>
      <c r="CB54" s="659">
        <v>0.28000000000000003</v>
      </c>
      <c r="CC54" s="659">
        <v>0.3</v>
      </c>
      <c r="CD54" s="74">
        <v>66</v>
      </c>
      <c r="CE54" s="74" t="s">
        <v>875</v>
      </c>
      <c r="CF54" s="74">
        <v>12</v>
      </c>
      <c r="CG54" s="74" t="s">
        <v>874</v>
      </c>
      <c r="CH54" s="96">
        <v>0.05</v>
      </c>
      <c r="CI54" s="96">
        <v>0.05</v>
      </c>
      <c r="CJ54" s="96">
        <v>0.36</v>
      </c>
      <c r="CK54" s="96">
        <v>0.55000000000000004</v>
      </c>
      <c r="CL54" s="96">
        <v>0.28000000000000003</v>
      </c>
      <c r="CM54" s="96">
        <v>0.26</v>
      </c>
      <c r="CN54" s="96">
        <v>0.18</v>
      </c>
    </row>
    <row r="55" spans="1:92" ht="24.95" customHeight="1" x14ac:dyDescent="0.2">
      <c r="A55" s="814" t="s">
        <v>101</v>
      </c>
      <c r="B55" s="1" t="s">
        <v>221</v>
      </c>
      <c r="C55" s="2">
        <v>1</v>
      </c>
      <c r="D55" s="12">
        <v>55</v>
      </c>
      <c r="E55" s="12">
        <v>9</v>
      </c>
      <c r="F55" s="63">
        <v>0</v>
      </c>
      <c r="G55" s="63">
        <v>0.35</v>
      </c>
      <c r="H55" s="63">
        <v>0.53</v>
      </c>
      <c r="I55" s="63">
        <v>0.12</v>
      </c>
      <c r="J55" s="63">
        <v>0.42</v>
      </c>
      <c r="K55" s="63">
        <v>0.45</v>
      </c>
      <c r="L55" s="63">
        <v>0.5</v>
      </c>
      <c r="M55" s="25">
        <v>56</v>
      </c>
      <c r="N55" s="25">
        <v>7</v>
      </c>
      <c r="O55" s="61">
        <v>0</v>
      </c>
      <c r="P55" s="61">
        <v>0.21</v>
      </c>
      <c r="Q55" s="61">
        <v>0.73</v>
      </c>
      <c r="R55" s="61">
        <v>0.06</v>
      </c>
      <c r="S55" s="61">
        <v>0.41</v>
      </c>
      <c r="T55" s="61">
        <v>0.44</v>
      </c>
      <c r="U55" s="61">
        <v>0.44</v>
      </c>
      <c r="V55" s="25">
        <v>57</v>
      </c>
      <c r="W55" s="25">
        <v>8</v>
      </c>
      <c r="X55" s="66">
        <v>0.04</v>
      </c>
      <c r="Y55" s="66">
        <v>0.21</v>
      </c>
      <c r="Z55" s="66">
        <v>0.53</v>
      </c>
      <c r="AA55" s="66">
        <v>0.23</v>
      </c>
      <c r="AB55" s="66">
        <v>0.36</v>
      </c>
      <c r="AC55" s="66">
        <v>0.42</v>
      </c>
      <c r="AD55" s="66">
        <v>0.47</v>
      </c>
      <c r="AE55" s="12">
        <v>56</v>
      </c>
      <c r="AF55" s="12">
        <v>8</v>
      </c>
      <c r="AG55" s="63">
        <v>0</v>
      </c>
      <c r="AH55" s="63">
        <v>0.25</v>
      </c>
      <c r="AI55" s="63">
        <v>0.63</v>
      </c>
      <c r="AJ55" s="63">
        <v>0.12</v>
      </c>
      <c r="AK55" s="63">
        <v>0.37</v>
      </c>
      <c r="AL55" s="63">
        <v>0.32</v>
      </c>
      <c r="AM55" s="63">
        <v>0.38</v>
      </c>
      <c r="AN55" s="35">
        <v>54</v>
      </c>
      <c r="AO55" s="35">
        <v>9</v>
      </c>
      <c r="AP55" s="40">
        <v>0.02</v>
      </c>
      <c r="AQ55" s="40">
        <v>0.35</v>
      </c>
      <c r="AR55" s="40">
        <v>0.55000000000000004</v>
      </c>
      <c r="AS55" s="40">
        <v>0.09</v>
      </c>
      <c r="AT55" s="40">
        <v>0.43</v>
      </c>
      <c r="AU55" s="40">
        <v>0.38</v>
      </c>
      <c r="AV55" s="40">
        <v>0.42</v>
      </c>
      <c r="AW55" s="247">
        <v>55</v>
      </c>
      <c r="AX55" s="247" t="s">
        <v>874</v>
      </c>
      <c r="AY55" s="247">
        <v>8</v>
      </c>
      <c r="AZ55" s="247" t="s">
        <v>874</v>
      </c>
      <c r="BA55" s="264">
        <v>0</v>
      </c>
      <c r="BB55" s="264">
        <v>0.32</v>
      </c>
      <c r="BC55" s="264">
        <v>0.55000000000000004</v>
      </c>
      <c r="BD55" s="264">
        <v>0.13</v>
      </c>
      <c r="BE55" s="264">
        <v>0.44</v>
      </c>
      <c r="BF55" s="264">
        <v>0.32</v>
      </c>
      <c r="BG55" s="264">
        <v>0.53</v>
      </c>
      <c r="BH55" s="311">
        <v>57</v>
      </c>
      <c r="BI55" s="311" t="s">
        <v>874</v>
      </c>
      <c r="BJ55" s="311">
        <v>7</v>
      </c>
      <c r="BK55" s="311" t="s">
        <v>874</v>
      </c>
      <c r="BL55" s="329">
        <v>0</v>
      </c>
      <c r="BM55" s="329">
        <v>0.23</v>
      </c>
      <c r="BN55" s="329">
        <v>0.68</v>
      </c>
      <c r="BO55" s="329">
        <v>0.09</v>
      </c>
      <c r="BP55" s="329">
        <v>0.4</v>
      </c>
      <c r="BQ55" s="329">
        <v>0.31</v>
      </c>
      <c r="BR55" s="329">
        <v>0.42</v>
      </c>
      <c r="BS55" s="426">
        <v>55</v>
      </c>
      <c r="BT55" s="426" t="s">
        <v>874</v>
      </c>
      <c r="BU55" s="426">
        <v>9</v>
      </c>
      <c r="BV55" s="426" t="s">
        <v>874</v>
      </c>
      <c r="BW55" s="430">
        <v>0.02</v>
      </c>
      <c r="BX55" s="430">
        <v>0.26</v>
      </c>
      <c r="BY55" s="430">
        <v>0.57999999999999996</v>
      </c>
      <c r="BZ55" s="430">
        <v>0.14000000000000001</v>
      </c>
      <c r="CA55" s="430">
        <v>0.35</v>
      </c>
      <c r="CB55" s="430">
        <v>0.44</v>
      </c>
      <c r="CC55" s="430">
        <v>0.49</v>
      </c>
      <c r="CD55" s="466">
        <v>58</v>
      </c>
      <c r="CE55" s="466" t="s">
        <v>874</v>
      </c>
      <c r="CF55" s="466">
        <v>8</v>
      </c>
      <c r="CG55" s="466" t="s">
        <v>874</v>
      </c>
      <c r="CH55" s="480">
        <v>0.02</v>
      </c>
      <c r="CI55" s="480">
        <v>0.11</v>
      </c>
      <c r="CJ55" s="480">
        <v>0.68</v>
      </c>
      <c r="CK55" s="480">
        <v>0.19</v>
      </c>
      <c r="CL55" s="480">
        <v>0.41</v>
      </c>
      <c r="CM55" s="480">
        <v>0.4</v>
      </c>
      <c r="CN55" s="480">
        <v>0.28000000000000003</v>
      </c>
    </row>
    <row r="56" spans="1:92" ht="24.95" customHeight="1" x14ac:dyDescent="0.2">
      <c r="A56" s="815" t="s">
        <v>229</v>
      </c>
      <c r="B56" s="1" t="s">
        <v>221</v>
      </c>
      <c r="C56" s="311">
        <v>1</v>
      </c>
      <c r="D56" s="330"/>
      <c r="E56" s="330"/>
      <c r="F56" s="330"/>
      <c r="G56" s="330"/>
      <c r="H56" s="330"/>
      <c r="I56" s="330"/>
      <c r="J56" s="330"/>
      <c r="K56" s="330"/>
      <c r="L56" s="330"/>
      <c r="M56" s="330" t="s">
        <v>224</v>
      </c>
      <c r="N56" s="330" t="s">
        <v>224</v>
      </c>
      <c r="O56" s="332"/>
      <c r="P56" s="332"/>
      <c r="Q56" s="332"/>
      <c r="R56" s="332"/>
      <c r="S56" s="332"/>
      <c r="T56" s="332"/>
      <c r="U56" s="332"/>
      <c r="V56" s="331">
        <v>59</v>
      </c>
      <c r="W56" s="331">
        <v>9</v>
      </c>
      <c r="X56" s="335">
        <v>0</v>
      </c>
      <c r="Y56" s="335">
        <v>0.17</v>
      </c>
      <c r="Z56" s="335">
        <v>0.67</v>
      </c>
      <c r="AA56" s="335">
        <v>0.17</v>
      </c>
      <c r="AB56" s="335">
        <v>0.43</v>
      </c>
      <c r="AC56" s="335">
        <v>0.28999999999999998</v>
      </c>
      <c r="AD56" s="335">
        <v>0.36</v>
      </c>
      <c r="AE56" s="330">
        <v>52</v>
      </c>
      <c r="AF56" s="330">
        <v>9</v>
      </c>
      <c r="AG56" s="329">
        <v>0</v>
      </c>
      <c r="AH56" s="329">
        <v>0.5</v>
      </c>
      <c r="AI56" s="329">
        <v>0.4</v>
      </c>
      <c r="AJ56" s="329">
        <v>0.1</v>
      </c>
      <c r="AK56" s="329">
        <v>0.46</v>
      </c>
      <c r="AL56" s="329">
        <v>0.26</v>
      </c>
      <c r="AM56" s="329">
        <v>0.56000000000000005</v>
      </c>
      <c r="AN56" s="313">
        <v>53</v>
      </c>
      <c r="AO56" s="313">
        <v>6</v>
      </c>
      <c r="AP56" s="333">
        <v>0</v>
      </c>
      <c r="AQ56" s="333">
        <v>0.3</v>
      </c>
      <c r="AR56" s="333">
        <v>0.7</v>
      </c>
      <c r="AS56" s="333">
        <v>0</v>
      </c>
      <c r="AT56" s="333">
        <v>0.45</v>
      </c>
      <c r="AU56" s="333">
        <v>0.39</v>
      </c>
      <c r="AV56" s="333">
        <v>0.52</v>
      </c>
      <c r="AW56" s="314">
        <v>58</v>
      </c>
      <c r="AX56" s="314" t="s">
        <v>874</v>
      </c>
      <c r="AY56" s="314">
        <v>4</v>
      </c>
      <c r="AZ56" s="314" t="s">
        <v>876</v>
      </c>
      <c r="BA56" s="334">
        <v>0</v>
      </c>
      <c r="BB56" s="334">
        <v>0</v>
      </c>
      <c r="BC56" s="334">
        <v>1</v>
      </c>
      <c r="BD56" s="334">
        <v>0</v>
      </c>
      <c r="BE56" s="334">
        <v>0.31</v>
      </c>
      <c r="BF56" s="334">
        <v>0.33</v>
      </c>
      <c r="BG56" s="334">
        <v>0.52</v>
      </c>
      <c r="BH56" s="311">
        <v>59</v>
      </c>
      <c r="BI56" s="311" t="s">
        <v>874</v>
      </c>
      <c r="BJ56" s="311">
        <v>6</v>
      </c>
      <c r="BK56" s="311" t="s">
        <v>874</v>
      </c>
      <c r="BL56" s="329">
        <v>0</v>
      </c>
      <c r="BM56" s="329">
        <v>0.1</v>
      </c>
      <c r="BN56" s="329">
        <v>0.9</v>
      </c>
      <c r="BO56" s="329">
        <v>0</v>
      </c>
      <c r="BP56" s="329">
        <v>0.38</v>
      </c>
      <c r="BQ56" s="329">
        <v>0.24</v>
      </c>
      <c r="BR56" s="329">
        <v>0.41</v>
      </c>
      <c r="BS56" s="426">
        <v>59</v>
      </c>
      <c r="BT56" s="426" t="s">
        <v>874</v>
      </c>
      <c r="BU56" s="426">
        <v>8</v>
      </c>
      <c r="BV56" s="426" t="s">
        <v>874</v>
      </c>
      <c r="BW56" s="430">
        <v>0</v>
      </c>
      <c r="BX56" s="430">
        <v>0.15</v>
      </c>
      <c r="BY56" s="430">
        <v>0.6</v>
      </c>
      <c r="BZ56" s="430">
        <v>0.25</v>
      </c>
      <c r="CA56" s="430">
        <v>0.28999999999999998</v>
      </c>
      <c r="CB56" s="430">
        <v>0.39</v>
      </c>
      <c r="CC56" s="430">
        <v>0.44</v>
      </c>
      <c r="CD56" s="466">
        <v>52</v>
      </c>
      <c r="CE56" s="466" t="s">
        <v>874</v>
      </c>
      <c r="CF56" s="466">
        <v>7</v>
      </c>
      <c r="CG56" s="466" t="s">
        <v>874</v>
      </c>
      <c r="CH56" s="480">
        <v>0</v>
      </c>
      <c r="CI56" s="480">
        <v>0.28999999999999998</v>
      </c>
      <c r="CJ56" s="480">
        <v>0.71</v>
      </c>
      <c r="CK56" s="480">
        <v>0</v>
      </c>
      <c r="CL56" s="480">
        <v>0.42</v>
      </c>
      <c r="CM56" s="480">
        <v>0.56000000000000005</v>
      </c>
      <c r="CN56" s="480">
        <v>0.34</v>
      </c>
    </row>
    <row r="57" spans="1:92" ht="24.95" customHeight="1" x14ac:dyDescent="0.2">
      <c r="A57" s="814" t="s">
        <v>116</v>
      </c>
      <c r="B57" s="1" t="s">
        <v>221</v>
      </c>
      <c r="C57" s="2">
        <v>2</v>
      </c>
      <c r="D57" s="12">
        <v>53</v>
      </c>
      <c r="E57" s="12">
        <v>7</v>
      </c>
      <c r="F57" s="63">
        <v>0.03</v>
      </c>
      <c r="G57" s="63">
        <v>0.26</v>
      </c>
      <c r="H57" s="63">
        <v>0.68</v>
      </c>
      <c r="I57" s="63">
        <v>0.03</v>
      </c>
      <c r="J57" s="63">
        <v>0.42</v>
      </c>
      <c r="K57" s="63">
        <v>0.47</v>
      </c>
      <c r="L57" s="63">
        <v>0.56000000000000005</v>
      </c>
      <c r="M57" s="25">
        <v>55</v>
      </c>
      <c r="N57" s="25">
        <v>9</v>
      </c>
      <c r="O57" s="61">
        <v>0.02</v>
      </c>
      <c r="P57" s="61">
        <v>0.26</v>
      </c>
      <c r="Q57" s="61">
        <v>0.65</v>
      </c>
      <c r="R57" s="61">
        <v>7.0000000000000007E-2</v>
      </c>
      <c r="S57" s="61">
        <v>0.43</v>
      </c>
      <c r="T57" s="61">
        <v>0.46</v>
      </c>
      <c r="U57" s="61">
        <v>0.44</v>
      </c>
      <c r="V57" s="25">
        <v>55</v>
      </c>
      <c r="W57" s="25">
        <v>9</v>
      </c>
      <c r="X57" s="66">
        <v>0</v>
      </c>
      <c r="Y57" s="66">
        <v>0.28999999999999998</v>
      </c>
      <c r="Z57" s="66">
        <v>0.6</v>
      </c>
      <c r="AA57" s="66">
        <v>0.11</v>
      </c>
      <c r="AB57" s="66">
        <v>0.41</v>
      </c>
      <c r="AC57" s="66">
        <v>0.47</v>
      </c>
      <c r="AD57" s="66">
        <v>0.49</v>
      </c>
      <c r="AE57" s="12">
        <v>56</v>
      </c>
      <c r="AF57" s="12">
        <v>9</v>
      </c>
      <c r="AG57" s="63">
        <v>0.02</v>
      </c>
      <c r="AH57" s="63">
        <v>0.25</v>
      </c>
      <c r="AI57" s="63">
        <v>0.57999999999999996</v>
      </c>
      <c r="AJ57" s="63">
        <v>0.16</v>
      </c>
      <c r="AK57" s="63">
        <v>0.39</v>
      </c>
      <c r="AL57" s="63">
        <v>0.32</v>
      </c>
      <c r="AM57" s="63">
        <v>0.36</v>
      </c>
      <c r="AN57" s="35">
        <v>54</v>
      </c>
      <c r="AO57" s="35">
        <v>7</v>
      </c>
      <c r="AP57" s="40">
        <v>0.01</v>
      </c>
      <c r="AQ57" s="40">
        <v>0.33</v>
      </c>
      <c r="AR57" s="40">
        <v>0.62</v>
      </c>
      <c r="AS57" s="40">
        <v>0.04</v>
      </c>
      <c r="AT57" s="40">
        <v>0.46</v>
      </c>
      <c r="AU57" s="40">
        <v>0.36</v>
      </c>
      <c r="AV57" s="40">
        <v>0.44</v>
      </c>
      <c r="AW57" s="247">
        <v>60</v>
      </c>
      <c r="AX57" s="247" t="s">
        <v>874</v>
      </c>
      <c r="AY57" s="247">
        <v>7</v>
      </c>
      <c r="AZ57" s="247" t="s">
        <v>874</v>
      </c>
      <c r="BA57" s="264">
        <v>0</v>
      </c>
      <c r="BB57" s="264">
        <v>0.18</v>
      </c>
      <c r="BC57" s="264">
        <v>0.63</v>
      </c>
      <c r="BD57" s="264">
        <v>0.18</v>
      </c>
      <c r="BE57" s="264">
        <v>0.34</v>
      </c>
      <c r="BF57" s="264">
        <v>0.23</v>
      </c>
      <c r="BG57" s="264">
        <v>0.47</v>
      </c>
      <c r="BH57" s="311">
        <v>58</v>
      </c>
      <c r="BI57" s="311" t="s">
        <v>874</v>
      </c>
      <c r="BJ57" s="311">
        <v>9</v>
      </c>
      <c r="BK57" s="311" t="s">
        <v>874</v>
      </c>
      <c r="BL57" s="329">
        <v>0.01</v>
      </c>
      <c r="BM57" s="329">
        <v>0.19</v>
      </c>
      <c r="BN57" s="329">
        <v>0.61</v>
      </c>
      <c r="BO57" s="329">
        <v>0.19</v>
      </c>
      <c r="BP57" s="329">
        <v>0.4</v>
      </c>
      <c r="BQ57" s="329">
        <v>0.28999999999999998</v>
      </c>
      <c r="BR57" s="329">
        <v>0.38</v>
      </c>
      <c r="BS57" s="426">
        <v>56</v>
      </c>
      <c r="BT57" s="426" t="s">
        <v>874</v>
      </c>
      <c r="BU57" s="426">
        <v>10</v>
      </c>
      <c r="BV57" s="426" t="s">
        <v>874</v>
      </c>
      <c r="BW57" s="430">
        <v>0.04</v>
      </c>
      <c r="BX57" s="430">
        <v>0.24</v>
      </c>
      <c r="BY57" s="430">
        <v>0.57999999999999996</v>
      </c>
      <c r="BZ57" s="430">
        <v>0.15</v>
      </c>
      <c r="CA57" s="430">
        <v>0.32</v>
      </c>
      <c r="CB57" s="430">
        <v>0.42</v>
      </c>
      <c r="CC57" s="430">
        <v>0.47</v>
      </c>
      <c r="CD57" s="466">
        <v>58</v>
      </c>
      <c r="CE57" s="466" t="s">
        <v>874</v>
      </c>
      <c r="CF57" s="466">
        <v>9</v>
      </c>
      <c r="CG57" s="466" t="s">
        <v>874</v>
      </c>
      <c r="CH57" s="480">
        <v>0</v>
      </c>
      <c r="CI57" s="480">
        <v>0.21</v>
      </c>
      <c r="CJ57" s="480">
        <v>0.51</v>
      </c>
      <c r="CK57" s="480">
        <v>0.28000000000000003</v>
      </c>
      <c r="CL57" s="480">
        <v>0.37</v>
      </c>
      <c r="CM57" s="480">
        <v>0.39</v>
      </c>
      <c r="CN57" s="480">
        <v>0.3</v>
      </c>
    </row>
    <row r="58" spans="1:92" ht="24.95" customHeight="1" x14ac:dyDescent="0.2">
      <c r="A58" s="814" t="s">
        <v>151</v>
      </c>
      <c r="B58" s="1" t="s">
        <v>221</v>
      </c>
      <c r="C58" s="2">
        <v>3</v>
      </c>
      <c r="D58" s="12">
        <v>55</v>
      </c>
      <c r="E58" s="12">
        <v>9</v>
      </c>
      <c r="F58" s="63">
        <v>0.04</v>
      </c>
      <c r="G58" s="63">
        <v>0.22</v>
      </c>
      <c r="H58" s="63">
        <v>0.67</v>
      </c>
      <c r="I58" s="63">
        <v>7.0000000000000007E-2</v>
      </c>
      <c r="J58" s="63">
        <v>0.35</v>
      </c>
      <c r="K58" s="63">
        <v>0.43</v>
      </c>
      <c r="L58" s="63">
        <v>0.55000000000000004</v>
      </c>
      <c r="M58" s="25">
        <v>53</v>
      </c>
      <c r="N58" s="25">
        <v>8</v>
      </c>
      <c r="O58" s="61">
        <v>0</v>
      </c>
      <c r="P58" s="61">
        <v>0.36</v>
      </c>
      <c r="Q58" s="61">
        <v>0.56999999999999995</v>
      </c>
      <c r="R58" s="61">
        <v>7.0000000000000007E-2</v>
      </c>
      <c r="S58" s="61">
        <v>0.55000000000000004</v>
      </c>
      <c r="T58" s="61">
        <v>0.5</v>
      </c>
      <c r="U58" s="61">
        <v>0.48</v>
      </c>
      <c r="V58" s="25">
        <v>57</v>
      </c>
      <c r="W58" s="25">
        <v>7</v>
      </c>
      <c r="X58" s="66">
        <v>0</v>
      </c>
      <c r="Y58" s="66">
        <v>0.13</v>
      </c>
      <c r="Z58" s="66">
        <v>0.74</v>
      </c>
      <c r="AA58" s="66">
        <v>0.13</v>
      </c>
      <c r="AB58" s="66">
        <v>0.38</v>
      </c>
      <c r="AC58" s="66">
        <v>0.42</v>
      </c>
      <c r="AD58" s="66">
        <v>0.48</v>
      </c>
      <c r="AE58" s="12">
        <v>54</v>
      </c>
      <c r="AF58" s="12">
        <v>7</v>
      </c>
      <c r="AG58" s="63">
        <v>0</v>
      </c>
      <c r="AH58" s="63">
        <v>0.32</v>
      </c>
      <c r="AI58" s="63">
        <v>0.68</v>
      </c>
      <c r="AJ58" s="63">
        <v>0</v>
      </c>
      <c r="AK58" s="63">
        <v>0.41</v>
      </c>
      <c r="AL58" s="63">
        <v>0.36</v>
      </c>
      <c r="AM58" s="63">
        <v>0.42</v>
      </c>
      <c r="AN58" s="35">
        <v>55</v>
      </c>
      <c r="AO58" s="35">
        <v>9</v>
      </c>
      <c r="AP58" s="40">
        <v>0.03</v>
      </c>
      <c r="AQ58" s="40">
        <v>0.21</v>
      </c>
      <c r="AR58" s="40">
        <v>0.66</v>
      </c>
      <c r="AS58" s="40">
        <v>0.1</v>
      </c>
      <c r="AT58" s="40">
        <v>0.48</v>
      </c>
      <c r="AU58" s="40">
        <v>0.34</v>
      </c>
      <c r="AV58" s="40">
        <v>0.39</v>
      </c>
      <c r="AW58" s="247">
        <v>57</v>
      </c>
      <c r="AX58" s="247" t="s">
        <v>874</v>
      </c>
      <c r="AY58" s="247">
        <v>8</v>
      </c>
      <c r="AZ58" s="247" t="s">
        <v>874</v>
      </c>
      <c r="BA58" s="264">
        <v>0.02</v>
      </c>
      <c r="BB58" s="264">
        <v>0.15</v>
      </c>
      <c r="BC58" s="264">
        <v>0.72</v>
      </c>
      <c r="BD58" s="264">
        <v>0.11</v>
      </c>
      <c r="BE58" s="264">
        <v>0.38</v>
      </c>
      <c r="BF58" s="264">
        <v>0.31</v>
      </c>
      <c r="BG58" s="264">
        <v>0.49</v>
      </c>
      <c r="BH58" s="311">
        <v>51</v>
      </c>
      <c r="BI58" s="311" t="s">
        <v>874</v>
      </c>
      <c r="BJ58" s="311">
        <v>7</v>
      </c>
      <c r="BK58" s="311" t="s">
        <v>874</v>
      </c>
      <c r="BL58" s="329">
        <v>0.03</v>
      </c>
      <c r="BM58" s="329">
        <v>0.38</v>
      </c>
      <c r="BN58" s="329">
        <v>0.56000000000000005</v>
      </c>
      <c r="BO58" s="329">
        <v>0.03</v>
      </c>
      <c r="BP58" s="329">
        <v>0.53</v>
      </c>
      <c r="BQ58" s="329">
        <v>0.38</v>
      </c>
      <c r="BR58" s="329">
        <v>0.5</v>
      </c>
      <c r="BS58" s="426">
        <v>54</v>
      </c>
      <c r="BT58" s="426" t="s">
        <v>874</v>
      </c>
      <c r="BU58" s="426">
        <v>9</v>
      </c>
      <c r="BV58" s="426" t="s">
        <v>874</v>
      </c>
      <c r="BW58" s="430">
        <v>0</v>
      </c>
      <c r="BX58" s="430">
        <v>0.37</v>
      </c>
      <c r="BY58" s="430">
        <v>0.53</v>
      </c>
      <c r="BZ58" s="430">
        <v>0.11</v>
      </c>
      <c r="CA58" s="430">
        <v>0.37</v>
      </c>
      <c r="CB58" s="430">
        <v>0.49</v>
      </c>
      <c r="CC58" s="430">
        <v>0.49</v>
      </c>
      <c r="CD58" s="466">
        <v>56</v>
      </c>
      <c r="CE58" s="466" t="s">
        <v>874</v>
      </c>
      <c r="CF58" s="466">
        <v>9</v>
      </c>
      <c r="CG58" s="466" t="s">
        <v>874</v>
      </c>
      <c r="CH58" s="480">
        <v>0</v>
      </c>
      <c r="CI58" s="480">
        <v>0.28999999999999998</v>
      </c>
      <c r="CJ58" s="480">
        <v>0.6</v>
      </c>
      <c r="CK58" s="480">
        <v>0.11</v>
      </c>
      <c r="CL58" s="480">
        <v>0.42</v>
      </c>
      <c r="CM58" s="480">
        <v>0.42</v>
      </c>
      <c r="CN58" s="480">
        <v>0.34</v>
      </c>
    </row>
    <row r="59" spans="1:92" ht="24.95" customHeight="1" x14ac:dyDescent="0.2">
      <c r="A59" s="814" t="s">
        <v>843</v>
      </c>
      <c r="B59" s="1" t="s">
        <v>221</v>
      </c>
      <c r="C59" s="2">
        <v>4</v>
      </c>
      <c r="D59" s="12"/>
      <c r="E59" s="12"/>
      <c r="F59" s="63"/>
      <c r="G59" s="63"/>
      <c r="H59" s="63"/>
      <c r="I59" s="63"/>
      <c r="J59" s="63"/>
      <c r="K59" s="63"/>
      <c r="L59" s="63"/>
      <c r="M59" s="25"/>
      <c r="N59" s="25"/>
      <c r="O59" s="61"/>
      <c r="P59" s="61"/>
      <c r="Q59" s="61"/>
      <c r="R59" s="61"/>
      <c r="S59" s="61"/>
      <c r="T59" s="61"/>
      <c r="U59" s="61"/>
      <c r="V59" s="25"/>
      <c r="W59" s="25"/>
      <c r="X59" s="66"/>
      <c r="Y59" s="66"/>
      <c r="Z59" s="66"/>
      <c r="AA59" s="66"/>
      <c r="AB59" s="66"/>
      <c r="AC59" s="66"/>
      <c r="AD59" s="66"/>
      <c r="AE59" s="12"/>
      <c r="AF59" s="12"/>
      <c r="AG59" s="63"/>
      <c r="AH59" s="63"/>
      <c r="AI59" s="63"/>
      <c r="AJ59" s="63"/>
      <c r="AK59" s="63"/>
      <c r="AL59" s="63"/>
      <c r="AM59" s="63"/>
      <c r="AN59" s="35"/>
      <c r="AO59" s="35"/>
      <c r="AP59" s="40"/>
      <c r="AQ59" s="40"/>
      <c r="AR59" s="40"/>
      <c r="AS59" s="40"/>
      <c r="AT59" s="40"/>
      <c r="AU59" s="40"/>
      <c r="AV59" s="40"/>
      <c r="AW59" s="652"/>
      <c r="AX59" s="652"/>
      <c r="AY59" s="652"/>
      <c r="AZ59" s="652"/>
      <c r="BA59" s="652"/>
      <c r="BB59" s="652"/>
      <c r="BC59" s="652"/>
      <c r="BD59" s="652"/>
      <c r="BE59" s="652"/>
      <c r="BF59" s="652"/>
      <c r="BG59" s="652"/>
      <c r="BH59" s="655"/>
      <c r="BI59" s="655"/>
      <c r="BJ59" s="655"/>
      <c r="BK59" s="655"/>
      <c r="BL59" s="655"/>
      <c r="BM59" s="655"/>
      <c r="BN59" s="655"/>
      <c r="BO59" s="655"/>
      <c r="BP59" s="655"/>
      <c r="BQ59" s="655"/>
      <c r="BR59" s="655"/>
      <c r="BS59" s="657"/>
      <c r="BT59" s="657"/>
      <c r="BU59" s="657"/>
      <c r="BV59" s="657"/>
      <c r="BW59" s="657"/>
      <c r="BX59" s="657"/>
      <c r="BY59" s="657"/>
      <c r="BZ59" s="657"/>
      <c r="CA59" s="657"/>
      <c r="CB59" s="657"/>
      <c r="CC59" s="657"/>
      <c r="CD59" s="656"/>
      <c r="CE59" s="656"/>
      <c r="CF59" s="656"/>
      <c r="CG59" s="656"/>
      <c r="CH59" s="656"/>
      <c r="CI59" s="656"/>
      <c r="CJ59" s="656"/>
      <c r="CK59" s="656"/>
      <c r="CL59" s="656"/>
      <c r="CM59" s="656"/>
      <c r="CN59" s="656"/>
    </row>
    <row r="60" spans="1:92" ht="24.95" customHeight="1" x14ac:dyDescent="0.2">
      <c r="A60" s="814" t="s">
        <v>199</v>
      </c>
      <c r="B60" s="1" t="s">
        <v>221</v>
      </c>
      <c r="C60" s="2">
        <v>3</v>
      </c>
      <c r="D60" s="12">
        <v>56</v>
      </c>
      <c r="E60" s="12">
        <v>8</v>
      </c>
      <c r="F60" s="63">
        <v>0</v>
      </c>
      <c r="G60" s="63">
        <v>0.23</v>
      </c>
      <c r="H60" s="63">
        <v>0.66</v>
      </c>
      <c r="I60" s="63">
        <v>0.11</v>
      </c>
      <c r="J60" s="63">
        <v>0.36</v>
      </c>
      <c r="K60" s="63">
        <v>0.43</v>
      </c>
      <c r="L60" s="63">
        <v>0.49</v>
      </c>
      <c r="M60" s="25">
        <v>59</v>
      </c>
      <c r="N60" s="25">
        <v>7</v>
      </c>
      <c r="O60" s="61">
        <v>0</v>
      </c>
      <c r="P60" s="61">
        <v>0.09</v>
      </c>
      <c r="Q60" s="61">
        <v>0.73</v>
      </c>
      <c r="R60" s="61">
        <v>0.18</v>
      </c>
      <c r="S60" s="61">
        <v>0.37</v>
      </c>
      <c r="T60" s="61">
        <v>0.41</v>
      </c>
      <c r="U60" s="61">
        <v>0.36</v>
      </c>
      <c r="V60" s="25">
        <v>57</v>
      </c>
      <c r="W60" s="25">
        <v>8</v>
      </c>
      <c r="X60" s="66">
        <v>0.02</v>
      </c>
      <c r="Y60" s="66">
        <v>0.15</v>
      </c>
      <c r="Z60" s="66">
        <v>0.66</v>
      </c>
      <c r="AA60" s="66">
        <v>0.18</v>
      </c>
      <c r="AB60" s="66">
        <v>0.39</v>
      </c>
      <c r="AC60" s="66">
        <v>0.42</v>
      </c>
      <c r="AD60" s="66">
        <v>0.43</v>
      </c>
      <c r="AE60" s="12">
        <v>59</v>
      </c>
      <c r="AF60" s="12">
        <v>7</v>
      </c>
      <c r="AG60" s="63">
        <v>0</v>
      </c>
      <c r="AH60" s="63">
        <v>0.14000000000000001</v>
      </c>
      <c r="AI60" s="63">
        <v>0.69</v>
      </c>
      <c r="AJ60" s="63">
        <v>0.17</v>
      </c>
      <c r="AK60" s="63">
        <v>0.35</v>
      </c>
      <c r="AL60" s="63">
        <v>0.28999999999999998</v>
      </c>
      <c r="AM60" s="63">
        <v>0.35</v>
      </c>
      <c r="AN60" s="35">
        <v>58</v>
      </c>
      <c r="AO60" s="35">
        <v>8</v>
      </c>
      <c r="AP60" s="40">
        <v>0</v>
      </c>
      <c r="AQ60" s="40">
        <v>0.17</v>
      </c>
      <c r="AR60" s="40">
        <v>0.64</v>
      </c>
      <c r="AS60" s="40">
        <v>0.18</v>
      </c>
      <c r="AT60" s="40">
        <v>0.38</v>
      </c>
      <c r="AU60" s="40">
        <v>0.27</v>
      </c>
      <c r="AV60" s="40">
        <v>0.36</v>
      </c>
      <c r="AW60" s="247">
        <v>59</v>
      </c>
      <c r="AX60" s="247" t="s">
        <v>874</v>
      </c>
      <c r="AY60" s="247">
        <v>8</v>
      </c>
      <c r="AZ60" s="247" t="s">
        <v>874</v>
      </c>
      <c r="BA60" s="264">
        <v>0</v>
      </c>
      <c r="BB60" s="264">
        <v>0.16</v>
      </c>
      <c r="BC60" s="264">
        <v>0.59</v>
      </c>
      <c r="BD60" s="264">
        <v>0.25</v>
      </c>
      <c r="BE60" s="264">
        <v>0.35</v>
      </c>
      <c r="BF60" s="264">
        <v>0.26</v>
      </c>
      <c r="BG60" s="264">
        <v>0.44</v>
      </c>
      <c r="BH60" s="311">
        <v>60</v>
      </c>
      <c r="BI60" s="311" t="s">
        <v>874</v>
      </c>
      <c r="BJ60" s="311">
        <v>9</v>
      </c>
      <c r="BK60" s="311" t="s">
        <v>874</v>
      </c>
      <c r="BL60" s="329">
        <v>0.01</v>
      </c>
      <c r="BM60" s="329">
        <v>0.12</v>
      </c>
      <c r="BN60" s="329">
        <v>0.59</v>
      </c>
      <c r="BO60" s="329">
        <v>0.28000000000000003</v>
      </c>
      <c r="BP60" s="329">
        <v>0.37</v>
      </c>
      <c r="BQ60" s="329">
        <v>0.25</v>
      </c>
      <c r="BR60" s="329">
        <v>0.34</v>
      </c>
      <c r="BS60" s="426">
        <v>59</v>
      </c>
      <c r="BT60" s="426" t="s">
        <v>874</v>
      </c>
      <c r="BU60" s="426">
        <v>8</v>
      </c>
      <c r="BV60" s="426" t="s">
        <v>874</v>
      </c>
      <c r="BW60" s="430">
        <v>0.01</v>
      </c>
      <c r="BX60" s="430">
        <v>0.13</v>
      </c>
      <c r="BY60" s="430">
        <v>0.66</v>
      </c>
      <c r="BZ60" s="430">
        <v>0.21</v>
      </c>
      <c r="CA60" s="430">
        <v>0.3</v>
      </c>
      <c r="CB60" s="430">
        <v>0.39</v>
      </c>
      <c r="CC60" s="430">
        <v>0.42</v>
      </c>
      <c r="CD60" s="466">
        <v>60</v>
      </c>
      <c r="CE60" s="466" t="s">
        <v>874</v>
      </c>
      <c r="CF60" s="466">
        <v>8</v>
      </c>
      <c r="CG60" s="466" t="s">
        <v>874</v>
      </c>
      <c r="CH60" s="480">
        <v>0.01</v>
      </c>
      <c r="CI60" s="480">
        <v>0.1</v>
      </c>
      <c r="CJ60" s="480">
        <v>0.63</v>
      </c>
      <c r="CK60" s="480">
        <v>0.26</v>
      </c>
      <c r="CL60" s="480">
        <v>0.37</v>
      </c>
      <c r="CM60" s="480">
        <v>0.36</v>
      </c>
      <c r="CN60" s="480">
        <v>0.23</v>
      </c>
    </row>
    <row r="61" spans="1:92" ht="24.95" customHeight="1" x14ac:dyDescent="0.2">
      <c r="A61" s="814" t="s">
        <v>174</v>
      </c>
      <c r="B61" s="1" t="s">
        <v>221</v>
      </c>
      <c r="C61" s="2">
        <v>2</v>
      </c>
      <c r="D61" s="12">
        <v>53</v>
      </c>
      <c r="E61" s="12">
        <v>8</v>
      </c>
      <c r="F61" s="63">
        <v>0</v>
      </c>
      <c r="G61" s="63">
        <v>0.36</v>
      </c>
      <c r="H61" s="63">
        <v>0.62</v>
      </c>
      <c r="I61" s="63">
        <v>0.03</v>
      </c>
      <c r="J61" s="63">
        <v>0.44</v>
      </c>
      <c r="K61" s="63">
        <v>0.47</v>
      </c>
      <c r="L61" s="63">
        <v>0.56000000000000005</v>
      </c>
      <c r="M61" s="25">
        <v>54</v>
      </c>
      <c r="N61" s="25">
        <v>8</v>
      </c>
      <c r="O61" s="61">
        <v>0</v>
      </c>
      <c r="P61" s="61">
        <v>0.4</v>
      </c>
      <c r="Q61" s="61">
        <v>0.5</v>
      </c>
      <c r="R61" s="61">
        <v>0.1</v>
      </c>
      <c r="S61" s="61">
        <v>0.42</v>
      </c>
      <c r="T61" s="61">
        <v>0.5</v>
      </c>
      <c r="U61" s="61">
        <v>0.46</v>
      </c>
      <c r="V61" s="25">
        <v>53</v>
      </c>
      <c r="W61" s="25">
        <v>10</v>
      </c>
      <c r="X61" s="66">
        <v>0.03</v>
      </c>
      <c r="Y61" s="66">
        <v>0.25</v>
      </c>
      <c r="Z61" s="66">
        <v>0.61</v>
      </c>
      <c r="AA61" s="66">
        <v>0.11</v>
      </c>
      <c r="AB61" s="66">
        <v>0.47</v>
      </c>
      <c r="AC61" s="66">
        <v>0.44</v>
      </c>
      <c r="AD61" s="66">
        <v>0.48</v>
      </c>
      <c r="AE61" s="12">
        <v>57</v>
      </c>
      <c r="AF61" s="12">
        <v>7</v>
      </c>
      <c r="AG61" s="63">
        <v>0</v>
      </c>
      <c r="AH61" s="63">
        <v>0.15</v>
      </c>
      <c r="AI61" s="63">
        <v>0.73</v>
      </c>
      <c r="AJ61" s="63">
        <v>0.12</v>
      </c>
      <c r="AK61" s="63">
        <v>0.36</v>
      </c>
      <c r="AL61" s="63">
        <v>0.28999999999999998</v>
      </c>
      <c r="AM61" s="63">
        <v>0.37</v>
      </c>
      <c r="AN61" s="35">
        <v>54</v>
      </c>
      <c r="AO61" s="35">
        <v>8</v>
      </c>
      <c r="AP61" s="40">
        <v>0</v>
      </c>
      <c r="AQ61" s="40">
        <v>0.28000000000000003</v>
      </c>
      <c r="AR61" s="40">
        <v>0.67</v>
      </c>
      <c r="AS61" s="40">
        <v>0.06</v>
      </c>
      <c r="AT61" s="40">
        <v>0.46</v>
      </c>
      <c r="AU61" s="40">
        <v>0.33</v>
      </c>
      <c r="AV61" s="40">
        <v>0.42</v>
      </c>
      <c r="AW61" s="653">
        <v>55</v>
      </c>
      <c r="AX61" s="653" t="s">
        <v>874</v>
      </c>
      <c r="AY61" s="653">
        <v>8</v>
      </c>
      <c r="AZ61" s="653" t="s">
        <v>874</v>
      </c>
      <c r="BA61" s="654">
        <v>0</v>
      </c>
      <c r="BB61" s="654">
        <v>0.31</v>
      </c>
      <c r="BC61" s="654">
        <v>0.56000000000000005</v>
      </c>
      <c r="BD61" s="654">
        <v>0.13</v>
      </c>
      <c r="BE61" s="654">
        <v>0.42</v>
      </c>
      <c r="BF61" s="654">
        <v>0.33</v>
      </c>
      <c r="BG61" s="654">
        <v>0.52</v>
      </c>
      <c r="BH61" s="74">
        <v>58</v>
      </c>
      <c r="BI61" s="74" t="s">
        <v>874</v>
      </c>
      <c r="BJ61" s="74">
        <v>7</v>
      </c>
      <c r="BK61" s="74" t="s">
        <v>874</v>
      </c>
      <c r="BL61" s="96">
        <v>0</v>
      </c>
      <c r="BM61" s="96">
        <v>0.16</v>
      </c>
      <c r="BN61" s="96">
        <v>0.68</v>
      </c>
      <c r="BO61" s="96">
        <v>0.16</v>
      </c>
      <c r="BP61" s="96">
        <v>0.4</v>
      </c>
      <c r="BQ61" s="96">
        <v>0.28000000000000003</v>
      </c>
      <c r="BR61" s="96">
        <v>0.38</v>
      </c>
      <c r="BS61" s="658">
        <v>56</v>
      </c>
      <c r="BT61" s="658" t="s">
        <v>874</v>
      </c>
      <c r="BU61" s="658">
        <v>9</v>
      </c>
      <c r="BV61" s="658" t="s">
        <v>874</v>
      </c>
      <c r="BW61" s="659">
        <v>0</v>
      </c>
      <c r="BX61" s="659">
        <v>0.24</v>
      </c>
      <c r="BY61" s="659">
        <v>0.61</v>
      </c>
      <c r="BZ61" s="659">
        <v>0.15</v>
      </c>
      <c r="CA61" s="659">
        <v>0.28999999999999998</v>
      </c>
      <c r="CB61" s="659">
        <v>0.45</v>
      </c>
      <c r="CC61" s="659">
        <v>0.47</v>
      </c>
      <c r="CD61" s="74">
        <v>56</v>
      </c>
      <c r="CE61" s="74" t="s">
        <v>874</v>
      </c>
      <c r="CF61" s="74">
        <v>8</v>
      </c>
      <c r="CG61" s="74" t="s">
        <v>874</v>
      </c>
      <c r="CH61" s="96">
        <v>0.06</v>
      </c>
      <c r="CI61" s="96">
        <v>0.14000000000000001</v>
      </c>
      <c r="CJ61" s="96">
        <v>0.69</v>
      </c>
      <c r="CK61" s="96">
        <v>0.11</v>
      </c>
      <c r="CL61" s="96">
        <v>0.39</v>
      </c>
      <c r="CM61" s="96">
        <v>0.42</v>
      </c>
      <c r="CN61" s="96">
        <v>0.33</v>
      </c>
    </row>
    <row r="62" spans="1:92" ht="24.95" customHeight="1" x14ac:dyDescent="0.2">
      <c r="A62" s="814" t="s">
        <v>84</v>
      </c>
      <c r="B62" s="1" t="s">
        <v>221</v>
      </c>
      <c r="C62" s="2">
        <v>2</v>
      </c>
      <c r="D62" s="12">
        <v>60</v>
      </c>
      <c r="E62" s="12">
        <v>6</v>
      </c>
      <c r="F62" s="63">
        <v>0</v>
      </c>
      <c r="G62" s="63">
        <v>0.04</v>
      </c>
      <c r="H62" s="63">
        <v>0.83</v>
      </c>
      <c r="I62" s="63">
        <v>0.13</v>
      </c>
      <c r="J62" s="63">
        <v>0.3</v>
      </c>
      <c r="K62" s="63">
        <v>0.31</v>
      </c>
      <c r="L62" s="63">
        <v>0.46</v>
      </c>
      <c r="M62" s="25">
        <v>62</v>
      </c>
      <c r="N62" s="25">
        <v>4</v>
      </c>
      <c r="O62" s="61">
        <v>0</v>
      </c>
      <c r="P62" s="61">
        <v>0</v>
      </c>
      <c r="Q62" s="61">
        <v>0.79</v>
      </c>
      <c r="R62" s="61">
        <v>0.21</v>
      </c>
      <c r="S62" s="61">
        <v>0.28000000000000003</v>
      </c>
      <c r="T62" s="61">
        <v>0.31</v>
      </c>
      <c r="U62" s="61">
        <v>0.33</v>
      </c>
      <c r="V62" s="25">
        <v>65</v>
      </c>
      <c r="W62" s="25">
        <v>7</v>
      </c>
      <c r="X62" s="66">
        <v>0</v>
      </c>
      <c r="Y62" s="66">
        <v>0</v>
      </c>
      <c r="Z62" s="66">
        <v>0.56000000000000005</v>
      </c>
      <c r="AA62" s="66">
        <v>0.44</v>
      </c>
      <c r="AB62" s="66">
        <v>0.22</v>
      </c>
      <c r="AC62" s="66">
        <v>0.32</v>
      </c>
      <c r="AD62" s="66">
        <v>0.36</v>
      </c>
      <c r="AE62" s="12">
        <v>58</v>
      </c>
      <c r="AF62" s="12">
        <v>8</v>
      </c>
      <c r="AG62" s="63">
        <v>0</v>
      </c>
      <c r="AH62" s="63">
        <v>0.14000000000000001</v>
      </c>
      <c r="AI62" s="63">
        <v>0.59</v>
      </c>
      <c r="AJ62" s="63">
        <v>0.27</v>
      </c>
      <c r="AK62" s="63">
        <v>0.32</v>
      </c>
      <c r="AL62" s="63">
        <v>0.33</v>
      </c>
      <c r="AM62" s="63">
        <v>0.34</v>
      </c>
      <c r="AN62" s="35">
        <v>60</v>
      </c>
      <c r="AO62" s="35">
        <v>7</v>
      </c>
      <c r="AP62" s="40">
        <v>0</v>
      </c>
      <c r="AQ62" s="40">
        <v>0.11</v>
      </c>
      <c r="AR62" s="40">
        <v>0.67</v>
      </c>
      <c r="AS62" s="40">
        <v>0.22</v>
      </c>
      <c r="AT62" s="40">
        <v>0.35</v>
      </c>
      <c r="AU62" s="40">
        <v>0.27</v>
      </c>
      <c r="AV62" s="40">
        <v>0.31</v>
      </c>
      <c r="AW62" s="247">
        <v>59</v>
      </c>
      <c r="AX62" s="247" t="s">
        <v>874</v>
      </c>
      <c r="AY62" s="247">
        <v>8</v>
      </c>
      <c r="AZ62" s="247" t="s">
        <v>874</v>
      </c>
      <c r="BA62" s="264">
        <v>0</v>
      </c>
      <c r="BB62" s="264">
        <v>0.1</v>
      </c>
      <c r="BC62" s="264">
        <v>0.76</v>
      </c>
      <c r="BD62" s="264">
        <v>0.14000000000000001</v>
      </c>
      <c r="BE62" s="264">
        <v>0.35</v>
      </c>
      <c r="BF62" s="264">
        <v>0.3</v>
      </c>
      <c r="BG62" s="264">
        <v>0.44</v>
      </c>
      <c r="BH62" s="311">
        <v>60</v>
      </c>
      <c r="BI62" s="311" t="s">
        <v>874</v>
      </c>
      <c r="BJ62" s="311">
        <v>8</v>
      </c>
      <c r="BK62" s="311" t="s">
        <v>874</v>
      </c>
      <c r="BL62" s="329">
        <v>0</v>
      </c>
      <c r="BM62" s="329">
        <v>0.15</v>
      </c>
      <c r="BN62" s="329">
        <v>0.5</v>
      </c>
      <c r="BO62" s="329">
        <v>0.35</v>
      </c>
      <c r="BP62" s="329">
        <v>0.35</v>
      </c>
      <c r="BQ62" s="329">
        <v>0.26</v>
      </c>
      <c r="BR62" s="329">
        <v>0.35</v>
      </c>
      <c r="BS62" s="426">
        <v>62</v>
      </c>
      <c r="BT62" s="426" t="s">
        <v>874</v>
      </c>
      <c r="BU62" s="426">
        <v>7</v>
      </c>
      <c r="BV62" s="426" t="s">
        <v>874</v>
      </c>
      <c r="BW62" s="430">
        <v>0</v>
      </c>
      <c r="BX62" s="430">
        <v>0</v>
      </c>
      <c r="BY62" s="430">
        <v>0.44</v>
      </c>
      <c r="BZ62" s="430">
        <v>0.56000000000000005</v>
      </c>
      <c r="CA62" s="430">
        <v>0.26</v>
      </c>
      <c r="CB62" s="430">
        <v>0.32</v>
      </c>
      <c r="CC62" s="430">
        <v>0.35</v>
      </c>
      <c r="CD62" s="466">
        <v>62</v>
      </c>
      <c r="CE62" s="466" t="s">
        <v>874</v>
      </c>
      <c r="CF62" s="466">
        <v>7</v>
      </c>
      <c r="CG62" s="466" t="s">
        <v>874</v>
      </c>
      <c r="CH62" s="480">
        <v>0</v>
      </c>
      <c r="CI62" s="480">
        <v>0</v>
      </c>
      <c r="CJ62" s="480">
        <v>0.5</v>
      </c>
      <c r="CK62" s="480">
        <v>0.5</v>
      </c>
      <c r="CL62" s="480">
        <v>0.32</v>
      </c>
      <c r="CM62" s="480">
        <v>0.35</v>
      </c>
      <c r="CN62" s="480">
        <v>0.2</v>
      </c>
    </row>
    <row r="63" spans="1:92" ht="24.95" customHeight="1" x14ac:dyDescent="0.2">
      <c r="A63" s="814" t="s">
        <v>185</v>
      </c>
      <c r="B63" s="1" t="s">
        <v>221</v>
      </c>
      <c r="C63" s="2">
        <v>1</v>
      </c>
      <c r="D63" s="12">
        <v>51</v>
      </c>
      <c r="E63" s="12">
        <v>8</v>
      </c>
      <c r="F63" s="63">
        <v>0</v>
      </c>
      <c r="G63" s="63">
        <v>0.54</v>
      </c>
      <c r="H63" s="63">
        <v>0.46</v>
      </c>
      <c r="I63" s="63">
        <v>0</v>
      </c>
      <c r="J63" s="63">
        <v>0.47</v>
      </c>
      <c r="K63" s="63">
        <v>0.53</v>
      </c>
      <c r="L63" s="63">
        <v>0.62</v>
      </c>
      <c r="M63" s="25">
        <v>51</v>
      </c>
      <c r="N63" s="25">
        <v>7</v>
      </c>
      <c r="O63" s="61">
        <v>0</v>
      </c>
      <c r="P63" s="61">
        <v>0.6</v>
      </c>
      <c r="Q63" s="61">
        <v>0.4</v>
      </c>
      <c r="R63" s="61">
        <v>0</v>
      </c>
      <c r="S63" s="61">
        <v>0.53</v>
      </c>
      <c r="T63" s="61">
        <v>0.53</v>
      </c>
      <c r="U63" s="61">
        <v>0.5</v>
      </c>
      <c r="V63" s="25">
        <v>51</v>
      </c>
      <c r="W63" s="25">
        <v>8</v>
      </c>
      <c r="X63" s="66">
        <v>0.05</v>
      </c>
      <c r="Y63" s="66">
        <v>0.32</v>
      </c>
      <c r="Z63" s="66">
        <v>0.63</v>
      </c>
      <c r="AA63" s="66">
        <v>0</v>
      </c>
      <c r="AB63" s="66">
        <v>0.46</v>
      </c>
      <c r="AC63" s="66">
        <v>0.54</v>
      </c>
      <c r="AD63" s="66">
        <v>0.56000000000000005</v>
      </c>
      <c r="AE63" s="12">
        <v>48</v>
      </c>
      <c r="AF63" s="12">
        <v>8</v>
      </c>
      <c r="AG63" s="63">
        <v>0.06</v>
      </c>
      <c r="AH63" s="63">
        <v>0.65</v>
      </c>
      <c r="AI63" s="63">
        <v>0.28999999999999998</v>
      </c>
      <c r="AJ63" s="63">
        <v>0</v>
      </c>
      <c r="AK63" s="63">
        <v>0.56999999999999995</v>
      </c>
      <c r="AL63" s="63">
        <v>0.44</v>
      </c>
      <c r="AM63" s="63">
        <v>0.52</v>
      </c>
      <c r="AN63" s="35">
        <v>51</v>
      </c>
      <c r="AO63" s="35">
        <v>7</v>
      </c>
      <c r="AP63" s="40">
        <v>0</v>
      </c>
      <c r="AQ63" s="40">
        <v>0.35</v>
      </c>
      <c r="AR63" s="40">
        <v>0.65</v>
      </c>
      <c r="AS63" s="40">
        <v>0</v>
      </c>
      <c r="AT63" s="40">
        <v>0.53</v>
      </c>
      <c r="AU63" s="40">
        <v>0.37</v>
      </c>
      <c r="AV63" s="40">
        <v>0.45</v>
      </c>
      <c r="AW63" s="247">
        <v>51</v>
      </c>
      <c r="AX63" s="247" t="s">
        <v>874</v>
      </c>
      <c r="AY63" s="247">
        <v>6</v>
      </c>
      <c r="AZ63" s="247" t="s">
        <v>874</v>
      </c>
      <c r="BA63" s="264">
        <v>0</v>
      </c>
      <c r="BB63" s="264">
        <v>0.44</v>
      </c>
      <c r="BC63" s="264">
        <v>0.56000000000000005</v>
      </c>
      <c r="BD63" s="264">
        <v>0</v>
      </c>
      <c r="BE63" s="264">
        <v>0.46</v>
      </c>
      <c r="BF63" s="264">
        <v>0.37</v>
      </c>
      <c r="BG63" s="264">
        <v>0.64</v>
      </c>
      <c r="BH63" s="311">
        <v>51</v>
      </c>
      <c r="BI63" s="311" t="s">
        <v>874</v>
      </c>
      <c r="BJ63" s="311">
        <v>8</v>
      </c>
      <c r="BK63" s="311" t="s">
        <v>874</v>
      </c>
      <c r="BL63" s="329">
        <v>0</v>
      </c>
      <c r="BM63" s="329">
        <v>0.5</v>
      </c>
      <c r="BN63" s="329">
        <v>0.5</v>
      </c>
      <c r="BO63" s="329">
        <v>0</v>
      </c>
      <c r="BP63" s="329">
        <v>0.56000000000000005</v>
      </c>
      <c r="BQ63" s="329">
        <v>0.4</v>
      </c>
      <c r="BR63" s="329">
        <v>0.51</v>
      </c>
      <c r="BS63" s="426">
        <v>54</v>
      </c>
      <c r="BT63" s="426" t="s">
        <v>874</v>
      </c>
      <c r="BU63" s="426">
        <v>4</v>
      </c>
      <c r="BV63" s="426" t="s">
        <v>876</v>
      </c>
      <c r="BW63" s="430">
        <v>0</v>
      </c>
      <c r="BX63" s="430">
        <v>0.38</v>
      </c>
      <c r="BY63" s="430">
        <v>0.63</v>
      </c>
      <c r="BZ63" s="430">
        <v>0</v>
      </c>
      <c r="CA63" s="430">
        <v>0.4</v>
      </c>
      <c r="CB63" s="430">
        <v>0.5</v>
      </c>
      <c r="CC63" s="430">
        <v>0.51</v>
      </c>
      <c r="CD63" s="466">
        <v>56</v>
      </c>
      <c r="CE63" s="466" t="s">
        <v>874</v>
      </c>
      <c r="CF63" s="466">
        <v>10</v>
      </c>
      <c r="CG63" s="466" t="s">
        <v>874</v>
      </c>
      <c r="CH63" s="480">
        <v>0.04</v>
      </c>
      <c r="CI63" s="480">
        <v>0.16</v>
      </c>
      <c r="CJ63" s="480">
        <v>0.6</v>
      </c>
      <c r="CK63" s="480">
        <v>0.2</v>
      </c>
      <c r="CL63" s="480">
        <v>0.45</v>
      </c>
      <c r="CM63" s="480">
        <v>0.39</v>
      </c>
      <c r="CN63" s="480">
        <v>0.33</v>
      </c>
    </row>
    <row r="64" spans="1:92" ht="24.95" customHeight="1" x14ac:dyDescent="0.2">
      <c r="A64" s="814" t="s">
        <v>161</v>
      </c>
      <c r="B64" s="1" t="s">
        <v>221</v>
      </c>
      <c r="C64" s="2">
        <v>4</v>
      </c>
      <c r="D64" s="12">
        <v>54</v>
      </c>
      <c r="E64" s="12">
        <v>9</v>
      </c>
      <c r="F64" s="63">
        <v>0.02</v>
      </c>
      <c r="G64" s="63">
        <v>0.37</v>
      </c>
      <c r="H64" s="63">
        <v>0.49</v>
      </c>
      <c r="I64" s="63">
        <v>0.12</v>
      </c>
      <c r="J64" s="63">
        <v>0.46</v>
      </c>
      <c r="K64" s="63">
        <v>0.47</v>
      </c>
      <c r="L64" s="63">
        <v>0.54</v>
      </c>
      <c r="M64" s="25">
        <v>53</v>
      </c>
      <c r="N64" s="25">
        <v>7</v>
      </c>
      <c r="O64" s="61">
        <v>0.05</v>
      </c>
      <c r="P64" s="61">
        <v>0.23</v>
      </c>
      <c r="Q64" s="61">
        <v>0.72</v>
      </c>
      <c r="R64" s="61">
        <v>0</v>
      </c>
      <c r="S64" s="61">
        <v>0.46</v>
      </c>
      <c r="T64" s="61">
        <v>0.5</v>
      </c>
      <c r="U64" s="61">
        <v>0.47</v>
      </c>
      <c r="V64" s="25">
        <v>54</v>
      </c>
      <c r="W64" s="25">
        <v>7</v>
      </c>
      <c r="X64" s="66">
        <v>0</v>
      </c>
      <c r="Y64" s="66">
        <v>0.35</v>
      </c>
      <c r="Z64" s="66">
        <v>0.56000000000000005</v>
      </c>
      <c r="AA64" s="66">
        <v>0.09</v>
      </c>
      <c r="AB64" s="66">
        <v>0.41</v>
      </c>
      <c r="AC64" s="66">
        <v>0.5</v>
      </c>
      <c r="AD64" s="66">
        <v>0.51</v>
      </c>
      <c r="AE64" s="12">
        <v>54</v>
      </c>
      <c r="AF64" s="12">
        <v>9</v>
      </c>
      <c r="AG64" s="63">
        <v>0.03</v>
      </c>
      <c r="AH64" s="63">
        <v>0.32</v>
      </c>
      <c r="AI64" s="63">
        <v>0.56999999999999995</v>
      </c>
      <c r="AJ64" s="63">
        <v>0.08</v>
      </c>
      <c r="AK64" s="63">
        <v>0.43</v>
      </c>
      <c r="AL64" s="63">
        <v>0.34</v>
      </c>
      <c r="AM64" s="63">
        <v>0.41</v>
      </c>
      <c r="AN64" s="35">
        <v>53</v>
      </c>
      <c r="AO64" s="35">
        <v>9</v>
      </c>
      <c r="AP64" s="40">
        <v>0.02</v>
      </c>
      <c r="AQ64" s="40">
        <v>0.37</v>
      </c>
      <c r="AR64" s="40">
        <v>0.51</v>
      </c>
      <c r="AS64" s="40">
        <v>0.1</v>
      </c>
      <c r="AT64" s="40">
        <v>0.48</v>
      </c>
      <c r="AU64" s="40">
        <v>0.39</v>
      </c>
      <c r="AV64" s="40">
        <v>0.42</v>
      </c>
      <c r="AW64" s="247">
        <v>55</v>
      </c>
      <c r="AX64" s="247" t="s">
        <v>874</v>
      </c>
      <c r="AY64" s="247">
        <v>9</v>
      </c>
      <c r="AZ64" s="247" t="s">
        <v>874</v>
      </c>
      <c r="BA64" s="264">
        <v>0</v>
      </c>
      <c r="BB64" s="264">
        <v>0.3</v>
      </c>
      <c r="BC64" s="264">
        <v>0.63</v>
      </c>
      <c r="BD64" s="264">
        <v>0.08</v>
      </c>
      <c r="BE64" s="264">
        <v>0.43</v>
      </c>
      <c r="BF64" s="264">
        <v>0.36</v>
      </c>
      <c r="BG64" s="264">
        <v>0.51</v>
      </c>
      <c r="BH64" s="311">
        <v>55</v>
      </c>
      <c r="BI64" s="311" t="s">
        <v>874</v>
      </c>
      <c r="BJ64" s="311">
        <v>9</v>
      </c>
      <c r="BK64" s="311" t="s">
        <v>874</v>
      </c>
      <c r="BL64" s="329">
        <v>0</v>
      </c>
      <c r="BM64" s="329">
        <v>0.35</v>
      </c>
      <c r="BN64" s="329">
        <v>0.54</v>
      </c>
      <c r="BO64" s="329">
        <v>0.11</v>
      </c>
      <c r="BP64" s="329">
        <v>0.47</v>
      </c>
      <c r="BQ64" s="329">
        <v>0.31</v>
      </c>
      <c r="BR64" s="329">
        <v>0.44</v>
      </c>
      <c r="BS64" s="426">
        <v>55</v>
      </c>
      <c r="BT64" s="426" t="s">
        <v>874</v>
      </c>
      <c r="BU64" s="426">
        <v>8</v>
      </c>
      <c r="BV64" s="426" t="s">
        <v>874</v>
      </c>
      <c r="BW64" s="430">
        <v>0.05</v>
      </c>
      <c r="BX64" s="430">
        <v>0.19</v>
      </c>
      <c r="BY64" s="430">
        <v>0.74</v>
      </c>
      <c r="BZ64" s="430">
        <v>0.02</v>
      </c>
      <c r="CA64" s="430">
        <v>0.35</v>
      </c>
      <c r="CB64" s="430">
        <v>0.46</v>
      </c>
      <c r="CC64" s="430">
        <v>0.47</v>
      </c>
      <c r="CD64" s="466">
        <v>57</v>
      </c>
      <c r="CE64" s="466" t="s">
        <v>874</v>
      </c>
      <c r="CF64" s="466">
        <v>8</v>
      </c>
      <c r="CG64" s="466" t="s">
        <v>874</v>
      </c>
      <c r="CH64" s="480">
        <v>0</v>
      </c>
      <c r="CI64" s="480">
        <v>0.21</v>
      </c>
      <c r="CJ64" s="480">
        <v>0.66</v>
      </c>
      <c r="CK64" s="480">
        <v>0.13</v>
      </c>
      <c r="CL64" s="480">
        <v>0.42</v>
      </c>
      <c r="CM64" s="480">
        <v>0.39</v>
      </c>
      <c r="CN64" s="480">
        <v>0.32</v>
      </c>
    </row>
    <row r="65" spans="1:92" ht="24.95" customHeight="1" x14ac:dyDescent="0.2">
      <c r="A65" s="814" t="s">
        <v>114</v>
      </c>
      <c r="B65" s="1" t="s">
        <v>221</v>
      </c>
      <c r="C65" s="2">
        <v>3</v>
      </c>
      <c r="D65" s="12">
        <v>55</v>
      </c>
      <c r="E65" s="12">
        <v>8</v>
      </c>
      <c r="F65" s="63">
        <v>0</v>
      </c>
      <c r="G65" s="63">
        <v>0.26</v>
      </c>
      <c r="H65" s="63">
        <v>0.66</v>
      </c>
      <c r="I65" s="63">
        <v>0.09</v>
      </c>
      <c r="J65" s="63">
        <v>0.35</v>
      </c>
      <c r="K65" s="63">
        <v>0.49</v>
      </c>
      <c r="L65" s="63">
        <v>0.5</v>
      </c>
      <c r="M65" s="25">
        <v>59</v>
      </c>
      <c r="N65" s="25">
        <v>7</v>
      </c>
      <c r="O65" s="61">
        <v>0</v>
      </c>
      <c r="P65" s="61">
        <v>0.11</v>
      </c>
      <c r="Q65" s="61">
        <v>0.75</v>
      </c>
      <c r="R65" s="61">
        <v>0.14000000000000001</v>
      </c>
      <c r="S65" s="61">
        <v>0.33</v>
      </c>
      <c r="T65" s="61">
        <v>0.39</v>
      </c>
      <c r="U65" s="61">
        <v>0.4</v>
      </c>
      <c r="V65" s="25">
        <v>58</v>
      </c>
      <c r="W65" s="25">
        <v>8</v>
      </c>
      <c r="X65" s="66">
        <v>0</v>
      </c>
      <c r="Y65" s="66">
        <v>0.22</v>
      </c>
      <c r="Z65" s="66">
        <v>0.57999999999999996</v>
      </c>
      <c r="AA65" s="66">
        <v>0.2</v>
      </c>
      <c r="AB65" s="66">
        <v>0.35</v>
      </c>
      <c r="AC65" s="66">
        <v>0.41</v>
      </c>
      <c r="AD65" s="66">
        <v>0.44</v>
      </c>
      <c r="AE65" s="12">
        <v>59</v>
      </c>
      <c r="AF65" s="12">
        <v>8</v>
      </c>
      <c r="AG65" s="63">
        <v>0</v>
      </c>
      <c r="AH65" s="63">
        <v>0.11</v>
      </c>
      <c r="AI65" s="63">
        <v>0.66</v>
      </c>
      <c r="AJ65" s="63">
        <v>0.23</v>
      </c>
      <c r="AK65" s="63">
        <v>0.33</v>
      </c>
      <c r="AL65" s="63">
        <v>0.27</v>
      </c>
      <c r="AM65" s="63">
        <v>0.33</v>
      </c>
      <c r="AN65" s="35">
        <v>59</v>
      </c>
      <c r="AO65" s="35">
        <v>8</v>
      </c>
      <c r="AP65" s="40">
        <v>0</v>
      </c>
      <c r="AQ65" s="40">
        <v>0.16</v>
      </c>
      <c r="AR65" s="40">
        <v>0.66</v>
      </c>
      <c r="AS65" s="40">
        <v>0.18</v>
      </c>
      <c r="AT65" s="40">
        <v>0.36</v>
      </c>
      <c r="AU65" s="40">
        <v>0.31</v>
      </c>
      <c r="AV65" s="40">
        <v>0.33</v>
      </c>
      <c r="AW65" s="247">
        <v>59</v>
      </c>
      <c r="AX65" s="247" t="s">
        <v>874</v>
      </c>
      <c r="AY65" s="247">
        <v>10</v>
      </c>
      <c r="AZ65" s="247" t="s">
        <v>874</v>
      </c>
      <c r="BA65" s="264">
        <v>0</v>
      </c>
      <c r="BB65" s="264">
        <v>0.23</v>
      </c>
      <c r="BC65" s="264">
        <v>0.55000000000000004</v>
      </c>
      <c r="BD65" s="264">
        <v>0.22</v>
      </c>
      <c r="BE65" s="264">
        <v>0.36</v>
      </c>
      <c r="BF65" s="264">
        <v>0.27</v>
      </c>
      <c r="BG65" s="264">
        <v>0.46</v>
      </c>
      <c r="BH65" s="311">
        <v>60</v>
      </c>
      <c r="BI65" s="311" t="s">
        <v>874</v>
      </c>
      <c r="BJ65" s="311">
        <v>8</v>
      </c>
      <c r="BK65" s="311" t="s">
        <v>874</v>
      </c>
      <c r="BL65" s="329">
        <v>0</v>
      </c>
      <c r="BM65" s="329">
        <v>0.15</v>
      </c>
      <c r="BN65" s="329">
        <v>0.57999999999999996</v>
      </c>
      <c r="BO65" s="329">
        <v>0.27</v>
      </c>
      <c r="BP65" s="329">
        <v>0.38</v>
      </c>
      <c r="BQ65" s="329">
        <v>0.25</v>
      </c>
      <c r="BR65" s="329">
        <v>0.34</v>
      </c>
      <c r="BS65" s="426">
        <v>60</v>
      </c>
      <c r="BT65" s="426" t="s">
        <v>874</v>
      </c>
      <c r="BU65" s="426">
        <v>7</v>
      </c>
      <c r="BV65" s="426" t="s">
        <v>874</v>
      </c>
      <c r="BW65" s="430">
        <v>0</v>
      </c>
      <c r="BX65" s="430">
        <v>0.08</v>
      </c>
      <c r="BY65" s="430">
        <v>0.64</v>
      </c>
      <c r="BZ65" s="430">
        <v>0.28000000000000003</v>
      </c>
      <c r="CA65" s="430">
        <v>0.28999999999999998</v>
      </c>
      <c r="CB65" s="430">
        <v>0.35</v>
      </c>
      <c r="CC65" s="430">
        <v>0.4</v>
      </c>
      <c r="CD65" s="466">
        <v>59</v>
      </c>
      <c r="CE65" s="466" t="s">
        <v>874</v>
      </c>
      <c r="CF65" s="466">
        <v>9</v>
      </c>
      <c r="CG65" s="466" t="s">
        <v>874</v>
      </c>
      <c r="CH65" s="480">
        <v>0.02</v>
      </c>
      <c r="CI65" s="480">
        <v>0.13</v>
      </c>
      <c r="CJ65" s="480">
        <v>0.64</v>
      </c>
      <c r="CK65" s="480">
        <v>0.21</v>
      </c>
      <c r="CL65" s="480">
        <v>0.41</v>
      </c>
      <c r="CM65" s="480">
        <v>0.35</v>
      </c>
      <c r="CN65" s="480">
        <v>0.28000000000000003</v>
      </c>
    </row>
    <row r="66" spans="1:92" ht="24.95" customHeight="1" x14ac:dyDescent="0.2">
      <c r="A66" s="814" t="s">
        <v>128</v>
      </c>
      <c r="B66" s="1" t="s">
        <v>221</v>
      </c>
      <c r="C66" s="2">
        <v>5</v>
      </c>
      <c r="D66" s="12">
        <v>57</v>
      </c>
      <c r="E66" s="12">
        <v>8</v>
      </c>
      <c r="F66" s="63">
        <v>0</v>
      </c>
      <c r="G66" s="63">
        <v>0.17</v>
      </c>
      <c r="H66" s="63">
        <v>0.67</v>
      </c>
      <c r="I66" s="63">
        <v>0.17</v>
      </c>
      <c r="J66" s="63">
        <v>0.35</v>
      </c>
      <c r="K66" s="63">
        <v>0.39</v>
      </c>
      <c r="L66" s="63">
        <v>0.46</v>
      </c>
      <c r="M66" s="25">
        <v>56</v>
      </c>
      <c r="N66" s="25">
        <v>7</v>
      </c>
      <c r="O66" s="61">
        <v>0</v>
      </c>
      <c r="P66" s="61">
        <v>0.22</v>
      </c>
      <c r="Q66" s="61">
        <v>0.61</v>
      </c>
      <c r="R66" s="61">
        <v>0.17</v>
      </c>
      <c r="S66" s="61">
        <v>0.39</v>
      </c>
      <c r="T66" s="61">
        <v>0.42</v>
      </c>
      <c r="U66" s="61">
        <v>0.44</v>
      </c>
      <c r="V66" s="25">
        <v>57</v>
      </c>
      <c r="W66" s="25">
        <v>9</v>
      </c>
      <c r="X66" s="66">
        <v>0.03</v>
      </c>
      <c r="Y66" s="66">
        <v>0.17</v>
      </c>
      <c r="Z66" s="66">
        <v>0.62</v>
      </c>
      <c r="AA66" s="66">
        <v>0.17</v>
      </c>
      <c r="AB66" s="66">
        <v>0.37</v>
      </c>
      <c r="AC66" s="66">
        <v>0.47</v>
      </c>
      <c r="AD66" s="66">
        <v>0.42</v>
      </c>
      <c r="AE66" s="12">
        <v>58</v>
      </c>
      <c r="AF66" s="12">
        <v>9</v>
      </c>
      <c r="AG66" s="63">
        <v>0</v>
      </c>
      <c r="AH66" s="63">
        <v>0.28000000000000003</v>
      </c>
      <c r="AI66" s="63">
        <v>0.5</v>
      </c>
      <c r="AJ66" s="63">
        <v>0.22</v>
      </c>
      <c r="AK66" s="63">
        <v>0.26</v>
      </c>
      <c r="AL66" s="63">
        <v>0.38</v>
      </c>
      <c r="AM66" s="63">
        <v>0.39</v>
      </c>
      <c r="AN66" s="35">
        <v>56</v>
      </c>
      <c r="AO66" s="35">
        <v>4</v>
      </c>
      <c r="AP66" s="40">
        <v>0</v>
      </c>
      <c r="AQ66" s="40">
        <v>0.1</v>
      </c>
      <c r="AR66" s="40">
        <v>0.9</v>
      </c>
      <c r="AS66" s="40">
        <v>0</v>
      </c>
      <c r="AT66" s="40">
        <v>0.43</v>
      </c>
      <c r="AU66" s="40">
        <v>0.36</v>
      </c>
      <c r="AV66" s="40">
        <v>0.37</v>
      </c>
      <c r="AW66" s="247">
        <v>56</v>
      </c>
      <c r="AX66" s="247" t="s">
        <v>874</v>
      </c>
      <c r="AY66" s="247">
        <v>12</v>
      </c>
      <c r="AZ66" s="247" t="s">
        <v>874</v>
      </c>
      <c r="BA66" s="264">
        <v>0</v>
      </c>
      <c r="BB66" s="264">
        <v>0.25</v>
      </c>
      <c r="BC66" s="264">
        <v>0.45</v>
      </c>
      <c r="BD66" s="264">
        <v>0.3</v>
      </c>
      <c r="BE66" s="264">
        <v>0.4</v>
      </c>
      <c r="BF66" s="264">
        <v>0.33</v>
      </c>
      <c r="BG66" s="264">
        <v>0.49</v>
      </c>
      <c r="BH66" s="311">
        <v>57</v>
      </c>
      <c r="BI66" s="311" t="s">
        <v>874</v>
      </c>
      <c r="BJ66" s="311">
        <v>8</v>
      </c>
      <c r="BK66" s="311" t="s">
        <v>874</v>
      </c>
      <c r="BL66" s="329">
        <v>0.04</v>
      </c>
      <c r="BM66" s="329">
        <v>0.11</v>
      </c>
      <c r="BN66" s="329">
        <v>0.68</v>
      </c>
      <c r="BO66" s="329">
        <v>0.18</v>
      </c>
      <c r="BP66" s="329">
        <v>0.41</v>
      </c>
      <c r="BQ66" s="329">
        <v>0.3</v>
      </c>
      <c r="BR66" s="329">
        <v>0.37</v>
      </c>
      <c r="BS66" s="426">
        <v>57</v>
      </c>
      <c r="BT66" s="426" t="s">
        <v>874</v>
      </c>
      <c r="BU66" s="426">
        <v>7</v>
      </c>
      <c r="BV66" s="426" t="s">
        <v>874</v>
      </c>
      <c r="BW66" s="430">
        <v>0</v>
      </c>
      <c r="BX66" s="430">
        <v>0.19</v>
      </c>
      <c r="BY66" s="430">
        <v>0.67</v>
      </c>
      <c r="BZ66" s="430">
        <v>0.15</v>
      </c>
      <c r="CA66" s="430">
        <v>0.32</v>
      </c>
      <c r="CB66" s="430">
        <v>0.39</v>
      </c>
      <c r="CC66" s="430">
        <v>0.43</v>
      </c>
      <c r="CD66" s="466">
        <v>57</v>
      </c>
      <c r="CE66" s="466" t="s">
        <v>874</v>
      </c>
      <c r="CF66" s="466">
        <v>4</v>
      </c>
      <c r="CG66" s="466" t="s">
        <v>876</v>
      </c>
      <c r="CH66" s="480">
        <v>0</v>
      </c>
      <c r="CI66" s="480">
        <v>7.0000000000000007E-2</v>
      </c>
      <c r="CJ66" s="480">
        <v>0.93</v>
      </c>
      <c r="CK66" s="480">
        <v>0</v>
      </c>
      <c r="CL66" s="480">
        <v>0.41</v>
      </c>
      <c r="CM66" s="480">
        <v>0.4</v>
      </c>
      <c r="CN66" s="480">
        <v>0.23</v>
      </c>
    </row>
    <row r="67" spans="1:92" ht="24.95" customHeight="1" x14ac:dyDescent="0.2">
      <c r="A67" s="814" t="s">
        <v>159</v>
      </c>
      <c r="B67" s="1" t="s">
        <v>221</v>
      </c>
      <c r="C67" s="2">
        <v>3</v>
      </c>
      <c r="D67" s="12">
        <v>56</v>
      </c>
      <c r="E67" s="12">
        <v>8</v>
      </c>
      <c r="F67" s="63">
        <v>0</v>
      </c>
      <c r="G67" s="63">
        <v>0.26</v>
      </c>
      <c r="H67" s="63">
        <v>0.66</v>
      </c>
      <c r="I67" s="63">
        <v>0.08</v>
      </c>
      <c r="J67" s="63">
        <v>0.39</v>
      </c>
      <c r="K67" s="63">
        <v>0.46</v>
      </c>
      <c r="L67" s="63">
        <v>0.48</v>
      </c>
      <c r="M67" s="25">
        <v>57</v>
      </c>
      <c r="N67" s="25">
        <v>7</v>
      </c>
      <c r="O67" s="61">
        <v>0</v>
      </c>
      <c r="P67" s="61">
        <v>0.17</v>
      </c>
      <c r="Q67" s="61">
        <v>0.7</v>
      </c>
      <c r="R67" s="61">
        <v>0.13</v>
      </c>
      <c r="S67" s="61">
        <v>0.42</v>
      </c>
      <c r="T67" s="61">
        <v>0.39</v>
      </c>
      <c r="U67" s="61">
        <v>0.41</v>
      </c>
      <c r="V67" s="25">
        <v>64</v>
      </c>
      <c r="W67" s="25">
        <v>6</v>
      </c>
      <c r="X67" s="66">
        <v>0</v>
      </c>
      <c r="Y67" s="66">
        <v>0</v>
      </c>
      <c r="Z67" s="66">
        <v>0.56000000000000005</v>
      </c>
      <c r="AA67" s="66">
        <v>0.44</v>
      </c>
      <c r="AB67" s="66">
        <v>0.24</v>
      </c>
      <c r="AC67" s="66">
        <v>0.33</v>
      </c>
      <c r="AD67" s="66">
        <v>0.34</v>
      </c>
      <c r="AE67" s="12">
        <v>59</v>
      </c>
      <c r="AF67" s="12">
        <v>7</v>
      </c>
      <c r="AG67" s="63">
        <v>0</v>
      </c>
      <c r="AH67" s="63">
        <v>0.15</v>
      </c>
      <c r="AI67" s="63">
        <v>0.62</v>
      </c>
      <c r="AJ67" s="63">
        <v>0.23</v>
      </c>
      <c r="AK67" s="63">
        <v>0.33</v>
      </c>
      <c r="AL67" s="63">
        <v>0.26</v>
      </c>
      <c r="AM67" s="63">
        <v>0.36</v>
      </c>
      <c r="AN67" s="35">
        <v>57</v>
      </c>
      <c r="AO67" s="35">
        <v>6</v>
      </c>
      <c r="AP67" s="40">
        <v>0</v>
      </c>
      <c r="AQ67" s="40">
        <v>0.16</v>
      </c>
      <c r="AR67" s="40">
        <v>0.79</v>
      </c>
      <c r="AS67" s="40">
        <v>0.05</v>
      </c>
      <c r="AT67" s="40">
        <v>0.39</v>
      </c>
      <c r="AU67" s="40">
        <v>0.3</v>
      </c>
      <c r="AV67" s="40">
        <v>0.35</v>
      </c>
      <c r="AW67" s="247">
        <v>60</v>
      </c>
      <c r="AX67" s="247" t="s">
        <v>874</v>
      </c>
      <c r="AY67" s="247">
        <v>9</v>
      </c>
      <c r="AZ67" s="247" t="s">
        <v>874</v>
      </c>
      <c r="BA67" s="264">
        <v>0</v>
      </c>
      <c r="BB67" s="264">
        <v>0.15</v>
      </c>
      <c r="BC67" s="264">
        <v>0.65</v>
      </c>
      <c r="BD67" s="264">
        <v>0.21</v>
      </c>
      <c r="BE67" s="264">
        <v>0.33</v>
      </c>
      <c r="BF67" s="264">
        <v>0.27</v>
      </c>
      <c r="BG67" s="264">
        <v>0.42</v>
      </c>
      <c r="BH67" s="311">
        <v>63</v>
      </c>
      <c r="BI67" s="311" t="s">
        <v>875</v>
      </c>
      <c r="BJ67" s="311">
        <v>8</v>
      </c>
      <c r="BK67" s="311" t="s">
        <v>874</v>
      </c>
      <c r="BL67" s="329">
        <v>0</v>
      </c>
      <c r="BM67" s="329">
        <v>0.08</v>
      </c>
      <c r="BN67" s="329">
        <v>0.55000000000000004</v>
      </c>
      <c r="BO67" s="329">
        <v>0.37</v>
      </c>
      <c r="BP67" s="329">
        <v>0.31</v>
      </c>
      <c r="BQ67" s="329">
        <v>0.24</v>
      </c>
      <c r="BR67" s="329">
        <v>0.27</v>
      </c>
      <c r="BS67" s="426">
        <v>61</v>
      </c>
      <c r="BT67" s="426" t="s">
        <v>874</v>
      </c>
      <c r="BU67" s="426">
        <v>7</v>
      </c>
      <c r="BV67" s="426" t="s">
        <v>874</v>
      </c>
      <c r="BW67" s="430">
        <v>0</v>
      </c>
      <c r="BX67" s="430">
        <v>0.02</v>
      </c>
      <c r="BY67" s="430">
        <v>0.67</v>
      </c>
      <c r="BZ67" s="430">
        <v>0.31</v>
      </c>
      <c r="CA67" s="430">
        <v>0.24</v>
      </c>
      <c r="CB67" s="430">
        <v>0.37</v>
      </c>
      <c r="CC67" s="430">
        <v>0.34</v>
      </c>
      <c r="CD67" s="466">
        <v>65</v>
      </c>
      <c r="CE67" s="466" t="s">
        <v>875</v>
      </c>
      <c r="CF67" s="466">
        <v>6</v>
      </c>
      <c r="CG67" s="466" t="s">
        <v>874</v>
      </c>
      <c r="CH67" s="480">
        <v>0</v>
      </c>
      <c r="CI67" s="480">
        <v>0</v>
      </c>
      <c r="CJ67" s="480">
        <v>0.59</v>
      </c>
      <c r="CK67" s="480">
        <v>0.41</v>
      </c>
      <c r="CL67" s="480">
        <v>0.27</v>
      </c>
      <c r="CM67" s="480">
        <v>0.26</v>
      </c>
      <c r="CN67" s="480">
        <v>0.19</v>
      </c>
    </row>
    <row r="68" spans="1:92" ht="24.95" customHeight="1" x14ac:dyDescent="0.2">
      <c r="A68" s="814" t="s">
        <v>59</v>
      </c>
      <c r="B68" s="1" t="s">
        <v>221</v>
      </c>
      <c r="C68" s="2">
        <v>1</v>
      </c>
      <c r="D68" s="12">
        <v>55</v>
      </c>
      <c r="E68" s="12">
        <v>7</v>
      </c>
      <c r="F68" s="63">
        <v>0</v>
      </c>
      <c r="G68" s="63">
        <v>0.39</v>
      </c>
      <c r="H68" s="63">
        <v>0.56000000000000005</v>
      </c>
      <c r="I68" s="63">
        <v>0.06</v>
      </c>
      <c r="J68" s="63">
        <v>0.42</v>
      </c>
      <c r="K68" s="63">
        <v>0.47</v>
      </c>
      <c r="L68" s="63">
        <v>0.52</v>
      </c>
      <c r="M68" s="25">
        <v>50</v>
      </c>
      <c r="N68" s="25">
        <v>7</v>
      </c>
      <c r="O68" s="61">
        <v>0.03</v>
      </c>
      <c r="P68" s="61">
        <v>0.43</v>
      </c>
      <c r="Q68" s="61">
        <v>0.5</v>
      </c>
      <c r="R68" s="61">
        <v>0.03</v>
      </c>
      <c r="S68" s="61">
        <v>0.55000000000000004</v>
      </c>
      <c r="T68" s="61">
        <v>0.54</v>
      </c>
      <c r="U68" s="61">
        <v>0.5</v>
      </c>
      <c r="V68" s="25">
        <v>50</v>
      </c>
      <c r="W68" s="25">
        <v>7</v>
      </c>
      <c r="X68" s="66">
        <v>0.05</v>
      </c>
      <c r="Y68" s="66">
        <v>0.5</v>
      </c>
      <c r="Z68" s="66">
        <v>0.41</v>
      </c>
      <c r="AA68" s="66">
        <v>0.05</v>
      </c>
      <c r="AB68" s="66">
        <v>0.52</v>
      </c>
      <c r="AC68" s="66">
        <v>0.53</v>
      </c>
      <c r="AD68" s="66">
        <v>0.56999999999999995</v>
      </c>
      <c r="AE68" s="12">
        <v>52</v>
      </c>
      <c r="AF68" s="12">
        <v>9</v>
      </c>
      <c r="AG68" s="63">
        <v>0</v>
      </c>
      <c r="AH68" s="63">
        <v>0.42</v>
      </c>
      <c r="AI68" s="63">
        <v>0.5</v>
      </c>
      <c r="AJ68" s="63">
        <v>0.08</v>
      </c>
      <c r="AK68" s="63">
        <v>0.44</v>
      </c>
      <c r="AL68" s="63">
        <v>0.39</v>
      </c>
      <c r="AM68" s="63">
        <v>0.48</v>
      </c>
      <c r="AN68" s="35">
        <v>49</v>
      </c>
      <c r="AO68" s="35">
        <v>8</v>
      </c>
      <c r="AP68" s="40">
        <v>0.04</v>
      </c>
      <c r="AQ68" s="40">
        <v>0.44</v>
      </c>
      <c r="AR68" s="40">
        <v>0.48</v>
      </c>
      <c r="AS68" s="40">
        <v>0.04</v>
      </c>
      <c r="AT68" s="40">
        <v>0.53</v>
      </c>
      <c r="AU68" s="40">
        <v>0.47</v>
      </c>
      <c r="AV68" s="40">
        <v>0.55000000000000004</v>
      </c>
      <c r="AW68" s="247">
        <v>53</v>
      </c>
      <c r="AX68" s="247" t="s">
        <v>874</v>
      </c>
      <c r="AY68" s="247">
        <v>10</v>
      </c>
      <c r="AZ68" s="247" t="s">
        <v>874</v>
      </c>
      <c r="BA68" s="264">
        <v>0</v>
      </c>
      <c r="BB68" s="264">
        <v>0.48</v>
      </c>
      <c r="BC68" s="264">
        <v>0.33</v>
      </c>
      <c r="BD68" s="264">
        <v>0.19</v>
      </c>
      <c r="BE68" s="264">
        <v>0.47</v>
      </c>
      <c r="BF68" s="264">
        <v>0.36</v>
      </c>
      <c r="BG68" s="264">
        <v>0.53</v>
      </c>
      <c r="BH68" s="311">
        <v>50</v>
      </c>
      <c r="BI68" s="311" t="s">
        <v>874</v>
      </c>
      <c r="BJ68" s="311">
        <v>10</v>
      </c>
      <c r="BK68" s="311" t="s">
        <v>874</v>
      </c>
      <c r="BL68" s="329">
        <v>0.04</v>
      </c>
      <c r="BM68" s="329">
        <v>0.43</v>
      </c>
      <c r="BN68" s="329">
        <v>0.39</v>
      </c>
      <c r="BO68" s="329">
        <v>0.14000000000000001</v>
      </c>
      <c r="BP68" s="329">
        <v>0.51</v>
      </c>
      <c r="BQ68" s="329">
        <v>0.4</v>
      </c>
      <c r="BR68" s="329">
        <v>0.55000000000000004</v>
      </c>
      <c r="BS68" s="426">
        <v>52</v>
      </c>
      <c r="BT68" s="426" t="s">
        <v>874</v>
      </c>
      <c r="BU68" s="426">
        <v>9</v>
      </c>
      <c r="BV68" s="426" t="s">
        <v>874</v>
      </c>
      <c r="BW68" s="430">
        <v>0.05</v>
      </c>
      <c r="BX68" s="430">
        <v>0.27</v>
      </c>
      <c r="BY68" s="430">
        <v>0.64</v>
      </c>
      <c r="BZ68" s="430">
        <v>0.05</v>
      </c>
      <c r="CA68" s="430">
        <v>0.38</v>
      </c>
      <c r="CB68" s="430">
        <v>0.51</v>
      </c>
      <c r="CC68" s="430">
        <v>0.53</v>
      </c>
      <c r="CD68" s="466">
        <v>52</v>
      </c>
      <c r="CE68" s="466" t="s">
        <v>874</v>
      </c>
      <c r="CF68" s="466">
        <v>9</v>
      </c>
      <c r="CG68" s="466" t="s">
        <v>874</v>
      </c>
      <c r="CH68" s="480">
        <v>0</v>
      </c>
      <c r="CI68" s="480">
        <v>0.38</v>
      </c>
      <c r="CJ68" s="480">
        <v>0.63</v>
      </c>
      <c r="CK68" s="480">
        <v>0</v>
      </c>
      <c r="CL68" s="480">
        <v>0.5</v>
      </c>
      <c r="CM68" s="480">
        <v>0.47</v>
      </c>
      <c r="CN68" s="480">
        <v>0.39</v>
      </c>
    </row>
    <row r="69" spans="1:92" ht="24.95" customHeight="1" x14ac:dyDescent="0.2">
      <c r="A69" s="814" t="s">
        <v>132</v>
      </c>
      <c r="B69" s="1" t="s">
        <v>221</v>
      </c>
      <c r="C69" s="2">
        <v>3</v>
      </c>
      <c r="D69" s="12">
        <v>58</v>
      </c>
      <c r="E69" s="12">
        <v>9</v>
      </c>
      <c r="F69" s="63">
        <v>0</v>
      </c>
      <c r="G69" s="63">
        <v>0.21</v>
      </c>
      <c r="H69" s="63">
        <v>0.56000000000000005</v>
      </c>
      <c r="I69" s="63">
        <v>0.24</v>
      </c>
      <c r="J69" s="63">
        <v>0.36</v>
      </c>
      <c r="K69" s="63">
        <v>0.41</v>
      </c>
      <c r="L69" s="63">
        <v>0.45</v>
      </c>
      <c r="M69" s="25">
        <v>57</v>
      </c>
      <c r="N69" s="25">
        <v>8</v>
      </c>
      <c r="O69" s="61">
        <v>0</v>
      </c>
      <c r="P69" s="61">
        <v>0.23</v>
      </c>
      <c r="Q69" s="61">
        <v>0.6</v>
      </c>
      <c r="R69" s="61">
        <v>0.18</v>
      </c>
      <c r="S69" s="61">
        <v>0.4</v>
      </c>
      <c r="T69" s="61">
        <v>0.43</v>
      </c>
      <c r="U69" s="61">
        <v>0.39</v>
      </c>
      <c r="V69" s="25">
        <v>59</v>
      </c>
      <c r="W69" s="25">
        <v>8</v>
      </c>
      <c r="X69" s="66">
        <v>0</v>
      </c>
      <c r="Y69" s="66">
        <v>0.16</v>
      </c>
      <c r="Z69" s="66">
        <v>0.57999999999999996</v>
      </c>
      <c r="AA69" s="66">
        <v>0.26</v>
      </c>
      <c r="AB69" s="66">
        <v>0.34</v>
      </c>
      <c r="AC69" s="66">
        <v>0.42</v>
      </c>
      <c r="AD69" s="66">
        <v>0.45</v>
      </c>
      <c r="AE69" s="12">
        <v>56</v>
      </c>
      <c r="AF69" s="12">
        <v>8</v>
      </c>
      <c r="AG69" s="63">
        <v>0.02</v>
      </c>
      <c r="AH69" s="63">
        <v>0.14000000000000001</v>
      </c>
      <c r="AI69" s="63">
        <v>0.75</v>
      </c>
      <c r="AJ69" s="63">
        <v>0.1</v>
      </c>
      <c r="AK69" s="63">
        <v>0.39</v>
      </c>
      <c r="AL69" s="63">
        <v>0.35</v>
      </c>
      <c r="AM69" s="63">
        <v>0.36</v>
      </c>
      <c r="AN69" s="35">
        <v>57</v>
      </c>
      <c r="AO69" s="35">
        <v>7</v>
      </c>
      <c r="AP69" s="40">
        <v>0</v>
      </c>
      <c r="AQ69" s="40">
        <v>0.16</v>
      </c>
      <c r="AR69" s="40">
        <v>0.76</v>
      </c>
      <c r="AS69" s="40">
        <v>0.08</v>
      </c>
      <c r="AT69" s="40">
        <v>0.41</v>
      </c>
      <c r="AU69" s="40">
        <v>0.3</v>
      </c>
      <c r="AV69" s="40">
        <v>0.33</v>
      </c>
      <c r="AW69" s="247">
        <v>57</v>
      </c>
      <c r="AX69" s="247" t="s">
        <v>874</v>
      </c>
      <c r="AY69" s="247">
        <v>10</v>
      </c>
      <c r="AZ69" s="247" t="s">
        <v>874</v>
      </c>
      <c r="BA69" s="264">
        <v>0.03</v>
      </c>
      <c r="BB69" s="264">
        <v>0.26</v>
      </c>
      <c r="BC69" s="264">
        <v>0.54</v>
      </c>
      <c r="BD69" s="264">
        <v>0.17</v>
      </c>
      <c r="BE69" s="264">
        <v>0.38</v>
      </c>
      <c r="BF69" s="264">
        <v>0.3</v>
      </c>
      <c r="BG69" s="264">
        <v>0.48</v>
      </c>
      <c r="BH69" s="311">
        <v>62</v>
      </c>
      <c r="BI69" s="311" t="s">
        <v>874</v>
      </c>
      <c r="BJ69" s="311">
        <v>7</v>
      </c>
      <c r="BK69" s="311" t="s">
        <v>874</v>
      </c>
      <c r="BL69" s="329">
        <v>0</v>
      </c>
      <c r="BM69" s="329">
        <v>0.06</v>
      </c>
      <c r="BN69" s="329">
        <v>0.6</v>
      </c>
      <c r="BO69" s="329">
        <v>0.34</v>
      </c>
      <c r="BP69" s="329">
        <v>0.32</v>
      </c>
      <c r="BQ69" s="329">
        <v>0.22</v>
      </c>
      <c r="BR69" s="329">
        <v>0.24</v>
      </c>
      <c r="BS69" s="426">
        <v>60</v>
      </c>
      <c r="BT69" s="426" t="s">
        <v>874</v>
      </c>
      <c r="BU69" s="426">
        <v>7</v>
      </c>
      <c r="BV69" s="426" t="s">
        <v>874</v>
      </c>
      <c r="BW69" s="430">
        <v>0.02</v>
      </c>
      <c r="BX69" s="430">
        <v>0.05</v>
      </c>
      <c r="BY69" s="430">
        <v>0.74</v>
      </c>
      <c r="BZ69" s="430">
        <v>0.19</v>
      </c>
      <c r="CA69" s="430">
        <v>0.24</v>
      </c>
      <c r="CB69" s="430">
        <v>0.38</v>
      </c>
      <c r="CC69" s="430">
        <v>0.42</v>
      </c>
      <c r="CD69" s="466">
        <v>59</v>
      </c>
      <c r="CE69" s="466" t="s">
        <v>874</v>
      </c>
      <c r="CF69" s="466">
        <v>7</v>
      </c>
      <c r="CG69" s="466" t="s">
        <v>874</v>
      </c>
      <c r="CH69" s="480">
        <v>0</v>
      </c>
      <c r="CI69" s="480">
        <v>0.1</v>
      </c>
      <c r="CJ69" s="480">
        <v>0.71</v>
      </c>
      <c r="CK69" s="480">
        <v>0.2</v>
      </c>
      <c r="CL69" s="480">
        <v>0.4</v>
      </c>
      <c r="CM69" s="480">
        <v>0.36</v>
      </c>
      <c r="CN69" s="480">
        <v>0.24</v>
      </c>
    </row>
    <row r="70" spans="1:92" ht="24.95" customHeight="1" x14ac:dyDescent="0.2">
      <c r="A70" s="814" t="s">
        <v>178</v>
      </c>
      <c r="B70" s="1" t="s">
        <v>221</v>
      </c>
      <c r="C70" s="2">
        <v>5</v>
      </c>
      <c r="D70" s="12">
        <v>54</v>
      </c>
      <c r="E70" s="12">
        <v>7</v>
      </c>
      <c r="F70" s="63">
        <v>0.01</v>
      </c>
      <c r="G70" s="63">
        <v>0.35</v>
      </c>
      <c r="H70" s="63">
        <v>0.57999999999999996</v>
      </c>
      <c r="I70" s="63">
        <v>0.06</v>
      </c>
      <c r="J70" s="63">
        <v>0.4</v>
      </c>
      <c r="K70" s="63">
        <v>0.48</v>
      </c>
      <c r="L70" s="63">
        <v>0.54</v>
      </c>
      <c r="M70" s="25">
        <v>56</v>
      </c>
      <c r="N70" s="25">
        <v>8</v>
      </c>
      <c r="O70" s="61">
        <v>0.01</v>
      </c>
      <c r="P70" s="61">
        <v>0.25</v>
      </c>
      <c r="Q70" s="61">
        <v>0.63</v>
      </c>
      <c r="R70" s="61">
        <v>0.11</v>
      </c>
      <c r="S70" s="61">
        <v>0.38</v>
      </c>
      <c r="T70" s="61">
        <v>0.44</v>
      </c>
      <c r="U70" s="61">
        <v>0.46</v>
      </c>
      <c r="V70" s="25">
        <v>55</v>
      </c>
      <c r="W70" s="25">
        <v>8</v>
      </c>
      <c r="X70" s="66">
        <v>0.01</v>
      </c>
      <c r="Y70" s="66">
        <v>0.3</v>
      </c>
      <c r="Z70" s="66">
        <v>0.62</v>
      </c>
      <c r="AA70" s="66">
        <v>7.0000000000000007E-2</v>
      </c>
      <c r="AB70" s="66">
        <v>0.4</v>
      </c>
      <c r="AC70" s="66">
        <v>0.44</v>
      </c>
      <c r="AD70" s="66">
        <v>0.5</v>
      </c>
      <c r="AE70" s="12">
        <v>56</v>
      </c>
      <c r="AF70" s="12">
        <v>8</v>
      </c>
      <c r="AG70" s="63">
        <v>0.02</v>
      </c>
      <c r="AH70" s="63">
        <v>0.23</v>
      </c>
      <c r="AI70" s="63">
        <v>0.6</v>
      </c>
      <c r="AJ70" s="63">
        <v>0.15</v>
      </c>
      <c r="AK70" s="63">
        <v>0.38</v>
      </c>
      <c r="AL70" s="63">
        <v>0.32</v>
      </c>
      <c r="AM70" s="63">
        <v>0.39</v>
      </c>
      <c r="AN70" s="35">
        <v>57</v>
      </c>
      <c r="AO70" s="35">
        <v>7</v>
      </c>
      <c r="AP70" s="40">
        <v>0</v>
      </c>
      <c r="AQ70" s="40">
        <v>0.15</v>
      </c>
      <c r="AR70" s="40">
        <v>0.75</v>
      </c>
      <c r="AS70" s="40">
        <v>0.1</v>
      </c>
      <c r="AT70" s="40">
        <v>0.42</v>
      </c>
      <c r="AU70" s="40">
        <v>0.31</v>
      </c>
      <c r="AV70" s="40">
        <v>0.37</v>
      </c>
      <c r="AW70" s="247">
        <v>56</v>
      </c>
      <c r="AX70" s="247" t="s">
        <v>874</v>
      </c>
      <c r="AY70" s="247">
        <v>9</v>
      </c>
      <c r="AZ70" s="247" t="s">
        <v>874</v>
      </c>
      <c r="BA70" s="264">
        <v>0.01</v>
      </c>
      <c r="BB70" s="264">
        <v>0.33</v>
      </c>
      <c r="BC70" s="264">
        <v>0.46</v>
      </c>
      <c r="BD70" s="264">
        <v>0.19</v>
      </c>
      <c r="BE70" s="264">
        <v>0.41</v>
      </c>
      <c r="BF70" s="264">
        <v>0.34</v>
      </c>
      <c r="BG70" s="264">
        <v>0.49</v>
      </c>
      <c r="BH70" s="311">
        <v>56</v>
      </c>
      <c r="BI70" s="311" t="s">
        <v>874</v>
      </c>
      <c r="BJ70" s="311">
        <v>8</v>
      </c>
      <c r="BK70" s="311" t="s">
        <v>874</v>
      </c>
      <c r="BL70" s="329">
        <v>0.02</v>
      </c>
      <c r="BM70" s="329">
        <v>0.21</v>
      </c>
      <c r="BN70" s="329">
        <v>0.65</v>
      </c>
      <c r="BO70" s="329">
        <v>0.12</v>
      </c>
      <c r="BP70" s="329">
        <v>0.44</v>
      </c>
      <c r="BQ70" s="329">
        <v>0.28999999999999998</v>
      </c>
      <c r="BR70" s="329">
        <v>0.43</v>
      </c>
      <c r="BS70" s="426">
        <v>56</v>
      </c>
      <c r="BT70" s="426" t="s">
        <v>874</v>
      </c>
      <c r="BU70" s="426">
        <v>9</v>
      </c>
      <c r="BV70" s="426" t="s">
        <v>874</v>
      </c>
      <c r="BW70" s="430">
        <v>0.01</v>
      </c>
      <c r="BX70" s="430">
        <v>0.24</v>
      </c>
      <c r="BY70" s="430">
        <v>0.63</v>
      </c>
      <c r="BZ70" s="430">
        <v>0.12</v>
      </c>
      <c r="CA70" s="430">
        <v>0.32</v>
      </c>
      <c r="CB70" s="430">
        <v>0.45</v>
      </c>
      <c r="CC70" s="430">
        <v>0.44</v>
      </c>
      <c r="CD70" s="466">
        <v>57</v>
      </c>
      <c r="CE70" s="466" t="s">
        <v>874</v>
      </c>
      <c r="CF70" s="466">
        <v>8</v>
      </c>
      <c r="CG70" s="466" t="s">
        <v>874</v>
      </c>
      <c r="CH70" s="480">
        <v>0.01</v>
      </c>
      <c r="CI70" s="480">
        <v>0.23</v>
      </c>
      <c r="CJ70" s="480">
        <v>0.64</v>
      </c>
      <c r="CK70" s="480">
        <v>0.12</v>
      </c>
      <c r="CL70" s="480">
        <v>0.41</v>
      </c>
      <c r="CM70" s="480">
        <v>0.41</v>
      </c>
      <c r="CN70" s="480">
        <v>0.28000000000000003</v>
      </c>
    </row>
    <row r="71" spans="1:92" ht="24.95" customHeight="1" x14ac:dyDescent="0.2">
      <c r="A71" s="814" t="s">
        <v>75</v>
      </c>
      <c r="B71" s="1" t="s">
        <v>221</v>
      </c>
      <c r="C71" s="2">
        <v>1</v>
      </c>
      <c r="D71" s="12">
        <v>51</v>
      </c>
      <c r="E71" s="12">
        <v>6</v>
      </c>
      <c r="F71" s="63">
        <v>0.03</v>
      </c>
      <c r="G71" s="63">
        <v>0.49</v>
      </c>
      <c r="H71" s="63">
        <v>0.49</v>
      </c>
      <c r="I71" s="63">
        <v>0</v>
      </c>
      <c r="J71" s="63">
        <v>0.44</v>
      </c>
      <c r="K71" s="63">
        <v>0.51</v>
      </c>
      <c r="L71" s="63">
        <v>0.63</v>
      </c>
      <c r="M71" s="25">
        <v>53</v>
      </c>
      <c r="N71" s="25">
        <v>7</v>
      </c>
      <c r="O71" s="61">
        <v>0</v>
      </c>
      <c r="P71" s="61">
        <v>0.33</v>
      </c>
      <c r="Q71" s="61">
        <v>0.64</v>
      </c>
      <c r="R71" s="61">
        <v>0.03</v>
      </c>
      <c r="S71" s="61">
        <v>0.44</v>
      </c>
      <c r="T71" s="61">
        <v>0.5</v>
      </c>
      <c r="U71" s="61">
        <v>0.47</v>
      </c>
      <c r="V71" s="25">
        <v>54</v>
      </c>
      <c r="W71" s="25">
        <v>10</v>
      </c>
      <c r="X71" s="66">
        <v>0.04</v>
      </c>
      <c r="Y71" s="66">
        <v>0.28999999999999998</v>
      </c>
      <c r="Z71" s="66">
        <v>0.54</v>
      </c>
      <c r="AA71" s="66">
        <v>0.14000000000000001</v>
      </c>
      <c r="AB71" s="66">
        <v>0.42</v>
      </c>
      <c r="AC71" s="66">
        <v>0.46</v>
      </c>
      <c r="AD71" s="66">
        <v>0.51</v>
      </c>
      <c r="AE71" s="12">
        <v>51</v>
      </c>
      <c r="AF71" s="12">
        <v>8</v>
      </c>
      <c r="AG71" s="63">
        <v>0.03</v>
      </c>
      <c r="AH71" s="63">
        <v>0.5</v>
      </c>
      <c r="AI71" s="63">
        <v>0.44</v>
      </c>
      <c r="AJ71" s="63">
        <v>0.03</v>
      </c>
      <c r="AK71" s="63">
        <v>0.47</v>
      </c>
      <c r="AL71" s="63">
        <v>0.46</v>
      </c>
      <c r="AM71" s="63">
        <v>0.44</v>
      </c>
      <c r="AN71" s="35">
        <v>53</v>
      </c>
      <c r="AO71" s="35">
        <v>7</v>
      </c>
      <c r="AP71" s="40">
        <v>0.03</v>
      </c>
      <c r="AQ71" s="40">
        <v>0.33</v>
      </c>
      <c r="AR71" s="40">
        <v>0.57999999999999996</v>
      </c>
      <c r="AS71" s="40">
        <v>0.06</v>
      </c>
      <c r="AT71" s="40">
        <v>0.48</v>
      </c>
      <c r="AU71" s="40">
        <v>0.39</v>
      </c>
      <c r="AV71" s="40">
        <v>0.4</v>
      </c>
      <c r="AW71" s="247">
        <v>56</v>
      </c>
      <c r="AX71" s="247" t="s">
        <v>874</v>
      </c>
      <c r="AY71" s="247">
        <v>8</v>
      </c>
      <c r="AZ71" s="247" t="s">
        <v>874</v>
      </c>
      <c r="BA71" s="264">
        <v>0</v>
      </c>
      <c r="BB71" s="264">
        <v>0.31</v>
      </c>
      <c r="BC71" s="264">
        <v>0.5</v>
      </c>
      <c r="BD71" s="264">
        <v>0.19</v>
      </c>
      <c r="BE71" s="264">
        <v>0.4</v>
      </c>
      <c r="BF71" s="264">
        <v>0.27</v>
      </c>
      <c r="BG71" s="264">
        <v>0.53</v>
      </c>
      <c r="BH71" s="311">
        <v>52</v>
      </c>
      <c r="BI71" s="311" t="s">
        <v>874</v>
      </c>
      <c r="BJ71" s="311">
        <v>9</v>
      </c>
      <c r="BK71" s="311" t="s">
        <v>874</v>
      </c>
      <c r="BL71" s="329">
        <v>0.06</v>
      </c>
      <c r="BM71" s="329">
        <v>0.36</v>
      </c>
      <c r="BN71" s="329">
        <v>0.55000000000000004</v>
      </c>
      <c r="BO71" s="329">
        <v>0.03</v>
      </c>
      <c r="BP71" s="329">
        <v>0.48</v>
      </c>
      <c r="BQ71" s="329">
        <v>0.4</v>
      </c>
      <c r="BR71" s="329">
        <v>0.5</v>
      </c>
      <c r="BS71" s="426">
        <v>52</v>
      </c>
      <c r="BT71" s="426" t="s">
        <v>874</v>
      </c>
      <c r="BU71" s="426">
        <v>9</v>
      </c>
      <c r="BV71" s="426" t="s">
        <v>874</v>
      </c>
      <c r="BW71" s="430">
        <v>0.03</v>
      </c>
      <c r="BX71" s="430">
        <v>0.38</v>
      </c>
      <c r="BY71" s="430">
        <v>0.48</v>
      </c>
      <c r="BZ71" s="430">
        <v>0.1</v>
      </c>
      <c r="CA71" s="430">
        <v>0.37</v>
      </c>
      <c r="CB71" s="430">
        <v>0.49</v>
      </c>
      <c r="CC71" s="430">
        <v>0.57999999999999996</v>
      </c>
      <c r="CD71" s="466">
        <v>55</v>
      </c>
      <c r="CE71" s="466" t="s">
        <v>874</v>
      </c>
      <c r="CF71" s="466">
        <v>8</v>
      </c>
      <c r="CG71" s="466" t="s">
        <v>874</v>
      </c>
      <c r="CH71" s="480">
        <v>0.05</v>
      </c>
      <c r="CI71" s="480">
        <v>0.27</v>
      </c>
      <c r="CJ71" s="480">
        <v>0.64</v>
      </c>
      <c r="CK71" s="480">
        <v>0.05</v>
      </c>
      <c r="CL71" s="480">
        <v>0.42</v>
      </c>
      <c r="CM71" s="480">
        <v>0.44</v>
      </c>
      <c r="CN71" s="480">
        <v>0.33</v>
      </c>
    </row>
    <row r="72" spans="1:92" ht="24.95" customHeight="1" x14ac:dyDescent="0.2">
      <c r="A72" s="814" t="s">
        <v>25</v>
      </c>
      <c r="B72" s="1" t="s">
        <v>221</v>
      </c>
      <c r="C72" s="2">
        <v>3</v>
      </c>
      <c r="D72" s="12">
        <v>56</v>
      </c>
      <c r="E72" s="12">
        <v>8</v>
      </c>
      <c r="F72" s="63">
        <v>0</v>
      </c>
      <c r="G72" s="63">
        <v>0.27</v>
      </c>
      <c r="H72" s="63">
        <v>0.67</v>
      </c>
      <c r="I72" s="63">
        <v>0.06</v>
      </c>
      <c r="J72" s="63">
        <v>0.36</v>
      </c>
      <c r="K72" s="63">
        <v>0.44</v>
      </c>
      <c r="L72" s="63">
        <v>0.46</v>
      </c>
      <c r="M72" s="25">
        <v>58</v>
      </c>
      <c r="N72" s="25">
        <v>7</v>
      </c>
      <c r="O72" s="61">
        <v>0</v>
      </c>
      <c r="P72" s="61">
        <v>0.13</v>
      </c>
      <c r="Q72" s="61">
        <v>0.75</v>
      </c>
      <c r="R72" s="61">
        <v>0.13</v>
      </c>
      <c r="S72" s="61">
        <v>0.4</v>
      </c>
      <c r="T72" s="61">
        <v>0.4</v>
      </c>
      <c r="U72" s="61">
        <v>0.37</v>
      </c>
      <c r="V72" s="25">
        <v>53</v>
      </c>
      <c r="W72" s="25">
        <v>8</v>
      </c>
      <c r="X72" s="66">
        <v>0</v>
      </c>
      <c r="Y72" s="66">
        <v>0.47</v>
      </c>
      <c r="Z72" s="66">
        <v>0.47</v>
      </c>
      <c r="AA72" s="66">
        <v>7.0000000000000007E-2</v>
      </c>
      <c r="AB72" s="66">
        <v>0.46</v>
      </c>
      <c r="AC72" s="66">
        <v>0.48</v>
      </c>
      <c r="AD72" s="66">
        <v>0.51</v>
      </c>
      <c r="AE72" s="12">
        <v>57</v>
      </c>
      <c r="AF72" s="12">
        <v>9</v>
      </c>
      <c r="AG72" s="63">
        <v>0</v>
      </c>
      <c r="AH72" s="63">
        <v>0.26</v>
      </c>
      <c r="AI72" s="63">
        <v>0.53</v>
      </c>
      <c r="AJ72" s="63">
        <v>0.21</v>
      </c>
      <c r="AK72" s="63">
        <v>0.43</v>
      </c>
      <c r="AL72" s="63">
        <v>0.28000000000000003</v>
      </c>
      <c r="AM72" s="63">
        <v>0.34</v>
      </c>
      <c r="AN72" s="35">
        <v>56</v>
      </c>
      <c r="AO72" s="35">
        <v>9</v>
      </c>
      <c r="AP72" s="40">
        <v>0.02</v>
      </c>
      <c r="AQ72" s="40">
        <v>0.24</v>
      </c>
      <c r="AR72" s="40">
        <v>0.64</v>
      </c>
      <c r="AS72" s="40">
        <v>0.1</v>
      </c>
      <c r="AT72" s="40">
        <v>0.44</v>
      </c>
      <c r="AU72" s="40">
        <v>0.33</v>
      </c>
      <c r="AV72" s="40">
        <v>0.4</v>
      </c>
      <c r="AW72" s="247">
        <v>57</v>
      </c>
      <c r="AX72" s="247" t="s">
        <v>874</v>
      </c>
      <c r="AY72" s="247">
        <v>8</v>
      </c>
      <c r="AZ72" s="247" t="s">
        <v>874</v>
      </c>
      <c r="BA72" s="264">
        <v>0</v>
      </c>
      <c r="BB72" s="264">
        <v>0.22</v>
      </c>
      <c r="BC72" s="264">
        <v>0.61</v>
      </c>
      <c r="BD72" s="264">
        <v>0.17</v>
      </c>
      <c r="BE72" s="264">
        <v>0.41</v>
      </c>
      <c r="BF72" s="264">
        <v>0.28000000000000003</v>
      </c>
      <c r="BG72" s="264">
        <v>0.49</v>
      </c>
      <c r="BH72" s="311">
        <v>58</v>
      </c>
      <c r="BI72" s="311" t="s">
        <v>874</v>
      </c>
      <c r="BJ72" s="311">
        <v>7</v>
      </c>
      <c r="BK72" s="311" t="s">
        <v>874</v>
      </c>
      <c r="BL72" s="329">
        <v>0.02</v>
      </c>
      <c r="BM72" s="329">
        <v>0.11</v>
      </c>
      <c r="BN72" s="329">
        <v>0.79</v>
      </c>
      <c r="BO72" s="329">
        <v>0.09</v>
      </c>
      <c r="BP72" s="329">
        <v>0.43</v>
      </c>
      <c r="BQ72" s="329">
        <v>0.27</v>
      </c>
      <c r="BR72" s="329">
        <v>0.36</v>
      </c>
      <c r="BS72" s="426">
        <v>57</v>
      </c>
      <c r="BT72" s="426" t="s">
        <v>874</v>
      </c>
      <c r="BU72" s="426">
        <v>7</v>
      </c>
      <c r="BV72" s="426" t="s">
        <v>874</v>
      </c>
      <c r="BW72" s="430">
        <v>0</v>
      </c>
      <c r="BX72" s="430">
        <v>0.15</v>
      </c>
      <c r="BY72" s="430">
        <v>0.75</v>
      </c>
      <c r="BZ72" s="430">
        <v>0.1</v>
      </c>
      <c r="CA72" s="430">
        <v>0.31</v>
      </c>
      <c r="CB72" s="430">
        <v>0.44</v>
      </c>
      <c r="CC72" s="430">
        <v>0.42</v>
      </c>
      <c r="CD72" s="466">
        <v>59</v>
      </c>
      <c r="CE72" s="466" t="s">
        <v>874</v>
      </c>
      <c r="CF72" s="466">
        <v>8</v>
      </c>
      <c r="CG72" s="466" t="s">
        <v>874</v>
      </c>
      <c r="CH72" s="480">
        <v>0.01</v>
      </c>
      <c r="CI72" s="480">
        <v>0.1</v>
      </c>
      <c r="CJ72" s="480">
        <v>0.69</v>
      </c>
      <c r="CK72" s="480">
        <v>0.19</v>
      </c>
      <c r="CL72" s="480">
        <v>0.35</v>
      </c>
      <c r="CM72" s="480">
        <v>0.4</v>
      </c>
      <c r="CN72" s="480">
        <v>0.27</v>
      </c>
    </row>
    <row r="73" spans="1:92" ht="24.95" customHeight="1" x14ac:dyDescent="0.2">
      <c r="A73" s="814" t="s">
        <v>94</v>
      </c>
      <c r="B73" s="1" t="s">
        <v>221</v>
      </c>
      <c r="C73" s="2">
        <v>6</v>
      </c>
      <c r="D73" s="12">
        <v>50</v>
      </c>
      <c r="E73" s="12">
        <v>2</v>
      </c>
      <c r="F73" s="63">
        <v>0</v>
      </c>
      <c r="G73" s="63">
        <v>0.75</v>
      </c>
      <c r="H73" s="63">
        <v>0.25</v>
      </c>
      <c r="I73" s="63">
        <v>0</v>
      </c>
      <c r="J73" s="63">
        <v>0.46</v>
      </c>
      <c r="K73" s="63">
        <v>0.67</v>
      </c>
      <c r="L73" s="63">
        <v>0.57999999999999996</v>
      </c>
      <c r="M73" s="25">
        <v>50</v>
      </c>
      <c r="N73" s="25">
        <v>9</v>
      </c>
      <c r="O73" s="61">
        <v>0</v>
      </c>
      <c r="P73" s="61">
        <v>0.5</v>
      </c>
      <c r="Q73" s="61">
        <v>0.5</v>
      </c>
      <c r="R73" s="61">
        <v>0</v>
      </c>
      <c r="S73" s="61">
        <v>0.46</v>
      </c>
      <c r="T73" s="61">
        <v>0.5</v>
      </c>
      <c r="U73" s="61">
        <v>0.57999999999999996</v>
      </c>
      <c r="V73" s="12" t="s">
        <v>224</v>
      </c>
      <c r="W73" s="12" t="s">
        <v>226</v>
      </c>
      <c r="X73" s="12"/>
      <c r="Y73" s="12"/>
      <c r="Z73" s="12"/>
      <c r="AA73" s="12"/>
      <c r="AB73" s="12"/>
      <c r="AC73" s="12"/>
      <c r="AD73" s="12"/>
      <c r="AE73" s="12">
        <v>49</v>
      </c>
      <c r="AF73" s="12">
        <v>7</v>
      </c>
      <c r="AG73" s="63">
        <v>0</v>
      </c>
      <c r="AH73" s="63">
        <v>0.5</v>
      </c>
      <c r="AI73" s="63">
        <v>0.5</v>
      </c>
      <c r="AJ73" s="63">
        <v>0</v>
      </c>
      <c r="AK73" s="63">
        <v>0.44</v>
      </c>
      <c r="AL73" s="63">
        <v>0.5</v>
      </c>
      <c r="AM73" s="63">
        <v>0.5</v>
      </c>
      <c r="AN73" s="35">
        <v>47</v>
      </c>
      <c r="AO73" s="35">
        <v>9</v>
      </c>
      <c r="AP73" s="40">
        <v>0</v>
      </c>
      <c r="AQ73" s="40">
        <v>0.75</v>
      </c>
      <c r="AR73" s="40">
        <v>0.25</v>
      </c>
      <c r="AS73" s="40">
        <v>0</v>
      </c>
      <c r="AT73" s="40">
        <v>0.57999999999999996</v>
      </c>
      <c r="AU73" s="40">
        <v>0.55000000000000004</v>
      </c>
      <c r="AV73" s="40">
        <v>0.45</v>
      </c>
      <c r="AW73" s="652"/>
      <c r="AX73" s="652"/>
      <c r="AY73" s="652"/>
      <c r="AZ73" s="652"/>
      <c r="BA73" s="652"/>
      <c r="BB73" s="652"/>
      <c r="BC73" s="652"/>
      <c r="BD73" s="652"/>
      <c r="BE73" s="652"/>
      <c r="BF73" s="652"/>
      <c r="BG73" s="652"/>
      <c r="BH73" s="655"/>
      <c r="BI73" s="655"/>
      <c r="BJ73" s="655"/>
      <c r="BK73" s="655"/>
      <c r="BL73" s="655"/>
      <c r="BM73" s="655"/>
      <c r="BN73" s="655"/>
      <c r="BO73" s="655"/>
      <c r="BP73" s="655"/>
      <c r="BQ73" s="655"/>
      <c r="BR73" s="655"/>
      <c r="BS73" s="426">
        <v>58</v>
      </c>
      <c r="BT73" s="426" t="s">
        <v>874</v>
      </c>
      <c r="BU73" s="426">
        <v>14</v>
      </c>
      <c r="BV73" s="426" t="s">
        <v>875</v>
      </c>
      <c r="BW73" s="430">
        <v>0</v>
      </c>
      <c r="BX73" s="430">
        <v>0.2</v>
      </c>
      <c r="BY73" s="430">
        <v>0.4</v>
      </c>
      <c r="BZ73" s="430">
        <v>0.4</v>
      </c>
      <c r="CA73" s="430">
        <v>0.23</v>
      </c>
      <c r="CB73" s="430">
        <v>0.47</v>
      </c>
      <c r="CC73" s="430">
        <v>0.42</v>
      </c>
      <c r="CD73" s="466">
        <v>59</v>
      </c>
      <c r="CE73" s="466" t="s">
        <v>874</v>
      </c>
      <c r="CF73" s="466">
        <v>9</v>
      </c>
      <c r="CG73" s="466" t="s">
        <v>874</v>
      </c>
      <c r="CH73" s="480">
        <v>0</v>
      </c>
      <c r="CI73" s="480">
        <v>0.25</v>
      </c>
      <c r="CJ73" s="480">
        <v>0.5</v>
      </c>
      <c r="CK73" s="480">
        <v>0.25</v>
      </c>
      <c r="CL73" s="480">
        <v>0.5</v>
      </c>
      <c r="CM73" s="480">
        <v>0.33</v>
      </c>
      <c r="CN73" s="480">
        <v>0.31</v>
      </c>
    </row>
    <row r="74" spans="1:92" ht="24.95" customHeight="1" x14ac:dyDescent="0.2">
      <c r="A74" s="817" t="s">
        <v>878</v>
      </c>
      <c r="B74" s="1" t="s">
        <v>221</v>
      </c>
      <c r="C74" s="2">
        <v>6</v>
      </c>
      <c r="D74" s="12"/>
      <c r="E74" s="12"/>
      <c r="F74" s="63"/>
      <c r="G74" s="63"/>
      <c r="H74" s="63"/>
      <c r="I74" s="63"/>
      <c r="J74" s="63"/>
      <c r="K74" s="63"/>
      <c r="L74" s="63"/>
      <c r="M74" s="25"/>
      <c r="N74" s="25"/>
      <c r="O74" s="61"/>
      <c r="P74" s="61"/>
      <c r="Q74" s="61"/>
      <c r="R74" s="61"/>
      <c r="S74" s="61"/>
      <c r="T74" s="61"/>
      <c r="U74" s="61"/>
      <c r="V74" s="25"/>
      <c r="W74" s="25"/>
      <c r="X74" s="66"/>
      <c r="Y74" s="66"/>
      <c r="Z74" s="66"/>
      <c r="AA74" s="66"/>
      <c r="AB74" s="66"/>
      <c r="AC74" s="66"/>
      <c r="AD74" s="66"/>
      <c r="AE74" s="12"/>
      <c r="AF74" s="12"/>
      <c r="AG74" s="63"/>
      <c r="AH74" s="63"/>
      <c r="AI74" s="63"/>
      <c r="AJ74" s="63"/>
      <c r="AK74" s="63"/>
      <c r="AL74" s="63"/>
      <c r="AM74" s="63"/>
      <c r="AN74" s="35"/>
      <c r="AO74" s="35"/>
      <c r="AP74" s="40"/>
      <c r="AQ74" s="40"/>
      <c r="AR74" s="40"/>
      <c r="AS74" s="40"/>
      <c r="AT74" s="40"/>
      <c r="AU74" s="40"/>
      <c r="AV74" s="40"/>
      <c r="AW74" s="247">
        <v>56</v>
      </c>
      <c r="AX74" s="247" t="s">
        <v>874</v>
      </c>
      <c r="AY74" s="247">
        <v>9</v>
      </c>
      <c r="AZ74" s="247" t="s">
        <v>874</v>
      </c>
      <c r="BA74" s="264">
        <v>0</v>
      </c>
      <c r="BB74" s="264">
        <v>0.28000000000000003</v>
      </c>
      <c r="BC74" s="264">
        <v>0.56000000000000005</v>
      </c>
      <c r="BD74" s="264">
        <v>0.17</v>
      </c>
      <c r="BE74" s="264">
        <v>0.39</v>
      </c>
      <c r="BF74" s="264">
        <v>0.36</v>
      </c>
      <c r="BG74" s="264">
        <v>0.48</v>
      </c>
      <c r="BH74" s="311">
        <v>52</v>
      </c>
      <c r="BI74" s="311" t="s">
        <v>874</v>
      </c>
      <c r="BJ74" s="311">
        <v>9</v>
      </c>
      <c r="BK74" s="311" t="s">
        <v>874</v>
      </c>
      <c r="BL74" s="329">
        <v>0.06</v>
      </c>
      <c r="BM74" s="329">
        <v>0.28999999999999998</v>
      </c>
      <c r="BN74" s="329">
        <v>0.57999999999999996</v>
      </c>
      <c r="BO74" s="329">
        <v>0.06</v>
      </c>
      <c r="BP74" s="329">
        <v>0.48</v>
      </c>
      <c r="BQ74" s="329">
        <v>0.4</v>
      </c>
      <c r="BR74" s="329">
        <v>0.49</v>
      </c>
      <c r="BS74" s="426">
        <v>56</v>
      </c>
      <c r="BT74" s="426" t="s">
        <v>874</v>
      </c>
      <c r="BU74" s="426">
        <v>10</v>
      </c>
      <c r="BV74" s="426" t="s">
        <v>874</v>
      </c>
      <c r="BW74" s="430">
        <v>0.03</v>
      </c>
      <c r="BX74" s="430">
        <v>0.17</v>
      </c>
      <c r="BY74" s="430">
        <v>0.69</v>
      </c>
      <c r="BZ74" s="430">
        <v>0.1</v>
      </c>
      <c r="CA74" s="430">
        <v>0.33</v>
      </c>
      <c r="CB74" s="430">
        <v>0.44</v>
      </c>
      <c r="CC74" s="430">
        <v>0.45</v>
      </c>
      <c r="CD74" s="466">
        <v>55</v>
      </c>
      <c r="CE74" s="466" t="s">
        <v>874</v>
      </c>
      <c r="CF74" s="466">
        <v>8</v>
      </c>
      <c r="CG74" s="466" t="s">
        <v>874</v>
      </c>
      <c r="CH74" s="480">
        <v>0</v>
      </c>
      <c r="CI74" s="480">
        <v>0.19</v>
      </c>
      <c r="CJ74" s="480">
        <v>0.78</v>
      </c>
      <c r="CK74" s="480">
        <v>0.04</v>
      </c>
      <c r="CL74" s="480">
        <v>0.47</v>
      </c>
      <c r="CM74" s="480">
        <v>0.45</v>
      </c>
      <c r="CN74" s="480">
        <v>0.31</v>
      </c>
    </row>
    <row r="75" spans="1:92" ht="24.95" customHeight="1" x14ac:dyDescent="0.2">
      <c r="A75" s="818" t="s">
        <v>166</v>
      </c>
      <c r="B75" s="1" t="s">
        <v>221</v>
      </c>
      <c r="C75" s="250">
        <v>3</v>
      </c>
      <c r="D75" s="255">
        <v>50</v>
      </c>
      <c r="E75" s="255">
        <v>7</v>
      </c>
      <c r="F75" s="256">
        <v>0.11</v>
      </c>
      <c r="G75" s="256">
        <v>0.56000000000000005</v>
      </c>
      <c r="H75" s="256">
        <v>0.33</v>
      </c>
      <c r="I75" s="256">
        <v>0</v>
      </c>
      <c r="J75" s="256">
        <v>0.47</v>
      </c>
      <c r="K75" s="256">
        <v>0.51</v>
      </c>
      <c r="L75" s="256">
        <v>0.57999999999999996</v>
      </c>
      <c r="M75" s="257">
        <v>54</v>
      </c>
      <c r="N75" s="257">
        <v>10</v>
      </c>
      <c r="O75" s="258">
        <v>0.04</v>
      </c>
      <c r="P75" s="258">
        <v>0.2</v>
      </c>
      <c r="Q75" s="258">
        <v>0.72</v>
      </c>
      <c r="R75" s="258">
        <v>0.04</v>
      </c>
      <c r="S75" s="258">
        <v>0.46</v>
      </c>
      <c r="T75" s="258">
        <v>0.48</v>
      </c>
      <c r="U75" s="258">
        <v>0.44</v>
      </c>
      <c r="V75" s="257">
        <v>58</v>
      </c>
      <c r="W75" s="257">
        <v>10</v>
      </c>
      <c r="X75" s="259">
        <v>0.04</v>
      </c>
      <c r="Y75" s="259">
        <v>0.22</v>
      </c>
      <c r="Z75" s="259">
        <v>0.56999999999999995</v>
      </c>
      <c r="AA75" s="259">
        <v>0.17</v>
      </c>
      <c r="AB75" s="259">
        <v>0.37</v>
      </c>
      <c r="AC75" s="259">
        <v>0.36</v>
      </c>
      <c r="AD75" s="259">
        <v>0.45</v>
      </c>
      <c r="AE75" s="255">
        <v>58</v>
      </c>
      <c r="AF75" s="255">
        <v>10</v>
      </c>
      <c r="AG75" s="256">
        <v>0</v>
      </c>
      <c r="AH75" s="256">
        <v>0.22</v>
      </c>
      <c r="AI75" s="256">
        <v>0.5</v>
      </c>
      <c r="AJ75" s="256">
        <v>0.28000000000000003</v>
      </c>
      <c r="AK75" s="256">
        <v>0.38</v>
      </c>
      <c r="AL75" s="256">
        <v>0.3</v>
      </c>
      <c r="AM75" s="256">
        <v>0.3</v>
      </c>
      <c r="AN75" s="251">
        <v>55</v>
      </c>
      <c r="AO75" s="251">
        <v>6</v>
      </c>
      <c r="AP75" s="260">
        <v>0</v>
      </c>
      <c r="AQ75" s="260">
        <v>0.23</v>
      </c>
      <c r="AR75" s="260">
        <v>0.73</v>
      </c>
      <c r="AS75" s="260">
        <v>0.04</v>
      </c>
      <c r="AT75" s="260">
        <v>0.45</v>
      </c>
      <c r="AU75" s="260">
        <v>0.3</v>
      </c>
      <c r="AV75" s="260">
        <v>0.4</v>
      </c>
      <c r="AW75" s="247">
        <v>50</v>
      </c>
      <c r="AX75" s="247" t="s">
        <v>874</v>
      </c>
      <c r="AY75" s="247">
        <v>8</v>
      </c>
      <c r="AZ75" s="247" t="s">
        <v>874</v>
      </c>
      <c r="BA75" s="264">
        <v>0</v>
      </c>
      <c r="BB75" s="264">
        <v>0.53</v>
      </c>
      <c r="BC75" s="264">
        <v>0.47</v>
      </c>
      <c r="BD75" s="264">
        <v>0</v>
      </c>
      <c r="BE75" s="264">
        <v>0.46</v>
      </c>
      <c r="BF75" s="264">
        <v>0.41</v>
      </c>
      <c r="BG75" s="264">
        <v>0.59</v>
      </c>
      <c r="BH75" s="311">
        <v>58</v>
      </c>
      <c r="BI75" s="311" t="s">
        <v>874</v>
      </c>
      <c r="BJ75" s="311">
        <v>7</v>
      </c>
      <c r="BK75" s="311" t="s">
        <v>874</v>
      </c>
      <c r="BL75" s="329">
        <v>0</v>
      </c>
      <c r="BM75" s="329">
        <v>0.17</v>
      </c>
      <c r="BN75" s="329">
        <v>0.67</v>
      </c>
      <c r="BO75" s="329">
        <v>0.17</v>
      </c>
      <c r="BP75" s="329">
        <v>0.41</v>
      </c>
      <c r="BQ75" s="329">
        <v>0.33</v>
      </c>
      <c r="BR75" s="329">
        <v>0.34</v>
      </c>
      <c r="BS75" s="426">
        <v>61</v>
      </c>
      <c r="BT75" s="426" t="s">
        <v>874</v>
      </c>
      <c r="BU75" s="426">
        <v>7</v>
      </c>
      <c r="BV75" s="426" t="s">
        <v>874</v>
      </c>
      <c r="BW75" s="430">
        <v>0</v>
      </c>
      <c r="BX75" s="430">
        <v>0.04</v>
      </c>
      <c r="BY75" s="430">
        <v>0.71</v>
      </c>
      <c r="BZ75" s="430">
        <v>0.25</v>
      </c>
      <c r="CA75" s="430">
        <v>0.28000000000000003</v>
      </c>
      <c r="CB75" s="430">
        <v>0.34</v>
      </c>
      <c r="CC75" s="430">
        <v>0.37</v>
      </c>
      <c r="CD75" s="466">
        <v>59</v>
      </c>
      <c r="CE75" s="466" t="s">
        <v>874</v>
      </c>
      <c r="CF75" s="466">
        <v>11</v>
      </c>
      <c r="CG75" s="466" t="s">
        <v>874</v>
      </c>
      <c r="CH75" s="480">
        <v>0</v>
      </c>
      <c r="CI75" s="480">
        <v>0.23</v>
      </c>
      <c r="CJ75" s="480">
        <v>0.45</v>
      </c>
      <c r="CK75" s="480">
        <v>0.32</v>
      </c>
      <c r="CL75" s="480">
        <v>0.36</v>
      </c>
      <c r="CM75" s="480">
        <v>0.36</v>
      </c>
      <c r="CN75" s="480">
        <v>0.3</v>
      </c>
    </row>
    <row r="76" spans="1:92" ht="24.95" customHeight="1" x14ac:dyDescent="0.2">
      <c r="A76" s="814" t="s">
        <v>203</v>
      </c>
      <c r="B76" s="1" t="s">
        <v>221</v>
      </c>
      <c r="C76" s="2">
        <v>1</v>
      </c>
      <c r="D76" s="12">
        <v>53</v>
      </c>
      <c r="E76" s="12">
        <v>8</v>
      </c>
      <c r="F76" s="63">
        <v>0.06</v>
      </c>
      <c r="G76" s="63">
        <v>0.24</v>
      </c>
      <c r="H76" s="63">
        <v>0.71</v>
      </c>
      <c r="I76" s="63">
        <v>0</v>
      </c>
      <c r="J76" s="63">
        <v>0.51</v>
      </c>
      <c r="K76" s="63">
        <v>0.48</v>
      </c>
      <c r="L76" s="63">
        <v>0.53</v>
      </c>
      <c r="M76" s="25">
        <v>48</v>
      </c>
      <c r="N76" s="25">
        <v>8</v>
      </c>
      <c r="O76" s="61">
        <v>0</v>
      </c>
      <c r="P76" s="61">
        <v>0.56000000000000005</v>
      </c>
      <c r="Q76" s="61">
        <v>0.44</v>
      </c>
      <c r="R76" s="61">
        <v>0</v>
      </c>
      <c r="S76" s="61">
        <v>0.56000000000000005</v>
      </c>
      <c r="T76" s="61">
        <v>0.56000000000000005</v>
      </c>
      <c r="U76" s="61">
        <v>0.56000000000000005</v>
      </c>
      <c r="V76" s="25">
        <v>51</v>
      </c>
      <c r="W76" s="25">
        <v>8</v>
      </c>
      <c r="X76" s="66">
        <v>0</v>
      </c>
      <c r="Y76" s="66">
        <v>0.38</v>
      </c>
      <c r="Z76" s="66">
        <v>0.63</v>
      </c>
      <c r="AA76" s="66">
        <v>0</v>
      </c>
      <c r="AB76" s="66">
        <v>0.5</v>
      </c>
      <c r="AC76" s="66">
        <v>0.59</v>
      </c>
      <c r="AD76" s="66">
        <v>0.51</v>
      </c>
      <c r="AE76" s="12">
        <v>55</v>
      </c>
      <c r="AF76" s="12">
        <v>9</v>
      </c>
      <c r="AG76" s="63">
        <v>0</v>
      </c>
      <c r="AH76" s="63">
        <v>0.33</v>
      </c>
      <c r="AI76" s="63">
        <v>0.56000000000000005</v>
      </c>
      <c r="AJ76" s="63">
        <v>0.11</v>
      </c>
      <c r="AK76" s="63">
        <v>0.39</v>
      </c>
      <c r="AL76" s="63">
        <v>0.34</v>
      </c>
      <c r="AM76" s="63">
        <v>0.41</v>
      </c>
      <c r="AN76" s="35">
        <v>49</v>
      </c>
      <c r="AO76" s="35">
        <v>10</v>
      </c>
      <c r="AP76" s="40">
        <v>0.13</v>
      </c>
      <c r="AQ76" s="40">
        <v>0.38</v>
      </c>
      <c r="AR76" s="40">
        <v>0.5</v>
      </c>
      <c r="AS76" s="40">
        <v>0</v>
      </c>
      <c r="AT76" s="40">
        <v>0.54</v>
      </c>
      <c r="AU76" s="40">
        <v>0.43</v>
      </c>
      <c r="AV76" s="40">
        <v>0.51</v>
      </c>
      <c r="AW76" s="653">
        <v>55</v>
      </c>
      <c r="AX76" s="653" t="s">
        <v>874</v>
      </c>
      <c r="AY76" s="653">
        <v>7</v>
      </c>
      <c r="AZ76" s="653" t="s">
        <v>874</v>
      </c>
      <c r="BA76" s="654">
        <v>0</v>
      </c>
      <c r="BB76" s="654">
        <v>0.27</v>
      </c>
      <c r="BC76" s="654">
        <v>0.73</v>
      </c>
      <c r="BD76" s="654">
        <v>0</v>
      </c>
      <c r="BE76" s="654">
        <v>0.48</v>
      </c>
      <c r="BF76" s="654">
        <v>0.22</v>
      </c>
      <c r="BG76" s="654">
        <v>0.49</v>
      </c>
      <c r="BH76" s="74">
        <v>52</v>
      </c>
      <c r="BI76" s="74" t="s">
        <v>874</v>
      </c>
      <c r="BJ76" s="74">
        <v>9</v>
      </c>
      <c r="BK76" s="74" t="s">
        <v>874</v>
      </c>
      <c r="BL76" s="96">
        <v>0.04</v>
      </c>
      <c r="BM76" s="96">
        <v>0.35</v>
      </c>
      <c r="BN76" s="96">
        <v>0.56999999999999995</v>
      </c>
      <c r="BO76" s="96">
        <v>0.04</v>
      </c>
      <c r="BP76" s="96">
        <v>0.51</v>
      </c>
      <c r="BQ76" s="96">
        <v>0.38</v>
      </c>
      <c r="BR76" s="96">
        <v>0.49</v>
      </c>
      <c r="BS76" s="426">
        <v>54</v>
      </c>
      <c r="BT76" s="426" t="s">
        <v>874</v>
      </c>
      <c r="BU76" s="426">
        <v>8</v>
      </c>
      <c r="BV76" s="426" t="s">
        <v>874</v>
      </c>
      <c r="BW76" s="430">
        <v>0</v>
      </c>
      <c r="BX76" s="430">
        <v>0.32</v>
      </c>
      <c r="BY76" s="430">
        <v>0.59</v>
      </c>
      <c r="BZ76" s="430">
        <v>0.09</v>
      </c>
      <c r="CA76" s="430">
        <v>0.39</v>
      </c>
      <c r="CB76" s="430">
        <v>0.47</v>
      </c>
      <c r="CC76" s="430">
        <v>0.5</v>
      </c>
      <c r="CD76" s="466">
        <v>56</v>
      </c>
      <c r="CE76" s="466" t="s">
        <v>874</v>
      </c>
      <c r="CF76" s="466">
        <v>9</v>
      </c>
      <c r="CG76" s="466" t="s">
        <v>874</v>
      </c>
      <c r="CH76" s="480">
        <v>0.05</v>
      </c>
      <c r="CI76" s="480">
        <v>0.16</v>
      </c>
      <c r="CJ76" s="480">
        <v>0.63</v>
      </c>
      <c r="CK76" s="480">
        <v>0.16</v>
      </c>
      <c r="CL76" s="480">
        <v>0.41</v>
      </c>
      <c r="CM76" s="480">
        <v>0.41</v>
      </c>
      <c r="CN76" s="480">
        <v>0.34</v>
      </c>
    </row>
    <row r="77" spans="1:92" ht="24.95" customHeight="1" x14ac:dyDescent="0.2">
      <c r="A77" s="814" t="s">
        <v>922</v>
      </c>
      <c r="B77" s="14" t="s">
        <v>221</v>
      </c>
      <c r="C77" s="2">
        <v>2</v>
      </c>
      <c r="D77" s="12"/>
      <c r="E77" s="12"/>
      <c r="F77" s="63"/>
      <c r="G77" s="63"/>
      <c r="H77" s="63"/>
      <c r="I77" s="63"/>
      <c r="J77" s="63"/>
      <c r="K77" s="63"/>
      <c r="L77" s="63"/>
      <c r="M77" s="25"/>
      <c r="N77" s="25"/>
      <c r="O77" s="61"/>
      <c r="P77" s="61"/>
      <c r="Q77" s="61"/>
      <c r="R77" s="61"/>
      <c r="S77" s="61"/>
      <c r="T77" s="61"/>
      <c r="U77" s="61"/>
      <c r="V77" s="25"/>
      <c r="W77" s="25"/>
      <c r="X77" s="66"/>
      <c r="Y77" s="66"/>
      <c r="Z77" s="66"/>
      <c r="AA77" s="66"/>
      <c r="AB77" s="66"/>
      <c r="AC77" s="66"/>
      <c r="AD77" s="66"/>
      <c r="AE77" s="12"/>
      <c r="AF77" s="12"/>
      <c r="AG77" s="63"/>
      <c r="AH77" s="63"/>
      <c r="AI77" s="63"/>
      <c r="AJ77" s="63"/>
      <c r="AK77" s="63"/>
      <c r="AL77" s="63"/>
      <c r="AM77" s="63"/>
      <c r="AN77" s="35"/>
      <c r="AO77" s="35"/>
      <c r="AP77" s="40"/>
      <c r="AQ77" s="40"/>
      <c r="AR77" s="40"/>
      <c r="AS77" s="40"/>
      <c r="AT77" s="40"/>
      <c r="AU77" s="40"/>
      <c r="AV77" s="40"/>
      <c r="AW77" s="247"/>
      <c r="AX77" s="247"/>
      <c r="AY77" s="247"/>
      <c r="AZ77" s="247"/>
      <c r="BA77" s="264"/>
      <c r="BB77" s="264"/>
      <c r="BC77" s="264"/>
      <c r="BD77" s="264"/>
      <c r="BE77" s="264"/>
      <c r="BF77" s="264"/>
      <c r="BG77" s="264"/>
      <c r="BH77" s="311">
        <v>54</v>
      </c>
      <c r="BI77" s="311" t="s">
        <v>874</v>
      </c>
      <c r="BJ77" s="311">
        <v>7</v>
      </c>
      <c r="BK77" s="311" t="s">
        <v>874</v>
      </c>
      <c r="BL77" s="329">
        <v>0</v>
      </c>
      <c r="BM77" s="329">
        <v>0.4</v>
      </c>
      <c r="BN77" s="329">
        <v>0.53</v>
      </c>
      <c r="BO77" s="329">
        <v>7.0000000000000007E-2</v>
      </c>
      <c r="BP77" s="329">
        <v>0.52</v>
      </c>
      <c r="BQ77" s="329">
        <v>0.31</v>
      </c>
      <c r="BR77" s="329">
        <v>0.47</v>
      </c>
      <c r="BS77" s="426">
        <v>53</v>
      </c>
      <c r="BT77" s="426" t="s">
        <v>874</v>
      </c>
      <c r="BU77" s="426">
        <v>9</v>
      </c>
      <c r="BV77" s="426" t="s">
        <v>874</v>
      </c>
      <c r="BW77" s="430">
        <v>0</v>
      </c>
      <c r="BX77" s="430">
        <v>0.38</v>
      </c>
      <c r="BY77" s="430">
        <v>0.52</v>
      </c>
      <c r="BZ77" s="430">
        <v>0.1</v>
      </c>
      <c r="CA77" s="430">
        <v>0.34</v>
      </c>
      <c r="CB77" s="430">
        <v>0.53</v>
      </c>
      <c r="CC77" s="430">
        <v>0.54</v>
      </c>
      <c r="CD77" s="466">
        <v>53</v>
      </c>
      <c r="CE77" s="466" t="s">
        <v>874</v>
      </c>
      <c r="CF77" s="466">
        <v>9</v>
      </c>
      <c r="CG77" s="466" t="s">
        <v>874</v>
      </c>
      <c r="CH77" s="480">
        <v>7.0000000000000007E-2</v>
      </c>
      <c r="CI77" s="480">
        <v>0.21</v>
      </c>
      <c r="CJ77" s="480">
        <v>0.68</v>
      </c>
      <c r="CK77" s="480">
        <v>0.04</v>
      </c>
      <c r="CL77" s="480">
        <v>0.49</v>
      </c>
      <c r="CM77" s="480">
        <v>0.47</v>
      </c>
      <c r="CN77" s="480">
        <v>0.38</v>
      </c>
    </row>
    <row r="78" spans="1:92" ht="24.95" customHeight="1" x14ac:dyDescent="0.2">
      <c r="A78" s="814" t="s">
        <v>81</v>
      </c>
      <c r="B78" s="1" t="s">
        <v>221</v>
      </c>
      <c r="C78" s="2">
        <v>4</v>
      </c>
      <c r="D78" s="12">
        <v>48</v>
      </c>
      <c r="E78" s="12">
        <v>8</v>
      </c>
      <c r="F78" s="63">
        <v>0.08</v>
      </c>
      <c r="G78" s="63">
        <v>0.49</v>
      </c>
      <c r="H78" s="63">
        <v>0.43</v>
      </c>
      <c r="I78" s="63">
        <v>0</v>
      </c>
      <c r="J78" s="63">
        <v>0.52</v>
      </c>
      <c r="K78" s="63">
        <v>0.55000000000000004</v>
      </c>
      <c r="L78" s="63">
        <v>0.64</v>
      </c>
      <c r="M78" s="25">
        <v>52</v>
      </c>
      <c r="N78" s="25">
        <v>8</v>
      </c>
      <c r="O78" s="61">
        <v>0</v>
      </c>
      <c r="P78" s="61">
        <v>0.39</v>
      </c>
      <c r="Q78" s="61">
        <v>0.56999999999999995</v>
      </c>
      <c r="R78" s="61">
        <v>0.04</v>
      </c>
      <c r="S78" s="61">
        <v>0.49</v>
      </c>
      <c r="T78" s="61">
        <v>0.48</v>
      </c>
      <c r="U78" s="61">
        <v>0.48</v>
      </c>
      <c r="V78" s="25">
        <v>54</v>
      </c>
      <c r="W78" s="25">
        <v>9</v>
      </c>
      <c r="X78" s="66">
        <v>0</v>
      </c>
      <c r="Y78" s="66">
        <v>0.25</v>
      </c>
      <c r="Z78" s="66">
        <v>0.67</v>
      </c>
      <c r="AA78" s="66">
        <v>0.08</v>
      </c>
      <c r="AB78" s="66">
        <v>0.42</v>
      </c>
      <c r="AC78" s="66">
        <v>0.46</v>
      </c>
      <c r="AD78" s="66">
        <v>0.53</v>
      </c>
      <c r="AE78" s="12">
        <v>49</v>
      </c>
      <c r="AF78" s="12">
        <v>10</v>
      </c>
      <c r="AG78" s="63">
        <v>0.11</v>
      </c>
      <c r="AH78" s="63">
        <v>0.39</v>
      </c>
      <c r="AI78" s="63">
        <v>0.48</v>
      </c>
      <c r="AJ78" s="63">
        <v>0.02</v>
      </c>
      <c r="AK78" s="63">
        <v>0.48</v>
      </c>
      <c r="AL78" s="63">
        <v>0.47</v>
      </c>
      <c r="AM78" s="63">
        <v>0.48</v>
      </c>
      <c r="AN78" s="41"/>
      <c r="AO78" s="41"/>
      <c r="AP78" s="41"/>
      <c r="AQ78" s="41"/>
      <c r="AR78" s="41"/>
      <c r="AS78" s="41"/>
      <c r="AT78" s="41"/>
      <c r="AU78" s="41"/>
      <c r="AV78" s="41"/>
      <c r="AW78" s="247">
        <v>56</v>
      </c>
      <c r="AX78" s="247" t="s">
        <v>874</v>
      </c>
      <c r="AY78" s="247">
        <v>0</v>
      </c>
      <c r="AZ78" s="247" t="s">
        <v>876</v>
      </c>
      <c r="BA78" s="264">
        <v>0</v>
      </c>
      <c r="BB78" s="264">
        <v>0</v>
      </c>
      <c r="BC78" s="264">
        <v>1</v>
      </c>
      <c r="BD78" s="264">
        <v>0</v>
      </c>
      <c r="BE78" s="264">
        <v>0.4</v>
      </c>
      <c r="BF78" s="264">
        <v>0.33</v>
      </c>
      <c r="BG78" s="264">
        <v>0.57999999999999996</v>
      </c>
      <c r="BH78" s="655"/>
      <c r="BI78" s="655"/>
      <c r="BJ78" s="655"/>
      <c r="BK78" s="655"/>
      <c r="BL78" s="655"/>
      <c r="BM78" s="655"/>
      <c r="BN78" s="655"/>
      <c r="BO78" s="655"/>
      <c r="BP78" s="655"/>
      <c r="BQ78" s="655"/>
      <c r="BR78" s="655"/>
      <c r="BS78" s="657"/>
      <c r="BT78" s="657"/>
      <c r="BU78" s="657"/>
      <c r="BV78" s="657"/>
      <c r="BW78" s="657"/>
      <c r="BX78" s="657"/>
      <c r="BY78" s="657"/>
      <c r="BZ78" s="657"/>
      <c r="CA78" s="657"/>
      <c r="CB78" s="657"/>
      <c r="CC78" s="657"/>
      <c r="CD78" s="656"/>
      <c r="CE78" s="656"/>
      <c r="CF78" s="656"/>
      <c r="CG78" s="656"/>
      <c r="CH78" s="656"/>
      <c r="CI78" s="656"/>
      <c r="CJ78" s="656"/>
      <c r="CK78" s="656"/>
      <c r="CL78" s="656"/>
      <c r="CM78" s="656"/>
      <c r="CN78" s="656"/>
    </row>
    <row r="79" spans="1:92" ht="24.95" customHeight="1" x14ac:dyDescent="0.2">
      <c r="A79" s="815" t="s">
        <v>168</v>
      </c>
      <c r="B79" s="1" t="s">
        <v>221</v>
      </c>
      <c r="C79" s="311">
        <v>6</v>
      </c>
      <c r="D79" s="330">
        <v>50</v>
      </c>
      <c r="E79" s="330">
        <v>8</v>
      </c>
      <c r="F79" s="329">
        <v>7.0000000000000007E-2</v>
      </c>
      <c r="G79" s="329">
        <v>0.47</v>
      </c>
      <c r="H79" s="329">
        <v>0.47</v>
      </c>
      <c r="I79" s="329">
        <v>0</v>
      </c>
      <c r="J79" s="329">
        <v>0.47</v>
      </c>
      <c r="K79" s="329">
        <v>0.56000000000000005</v>
      </c>
      <c r="L79" s="329">
        <v>0.63</v>
      </c>
      <c r="M79" s="331">
        <v>51</v>
      </c>
      <c r="N79" s="331">
        <v>6</v>
      </c>
      <c r="O79" s="332">
        <v>0</v>
      </c>
      <c r="P79" s="332">
        <v>0.43</v>
      </c>
      <c r="Q79" s="332">
        <v>0.56999999999999995</v>
      </c>
      <c r="R79" s="332">
        <v>0</v>
      </c>
      <c r="S79" s="332">
        <v>0.51</v>
      </c>
      <c r="T79" s="332">
        <v>0.52</v>
      </c>
      <c r="U79" s="332">
        <v>0.51</v>
      </c>
      <c r="V79" s="331">
        <v>48</v>
      </c>
      <c r="W79" s="331">
        <v>7</v>
      </c>
      <c r="X79" s="335">
        <v>0</v>
      </c>
      <c r="Y79" s="335">
        <v>0.88</v>
      </c>
      <c r="Z79" s="335">
        <v>0.13</v>
      </c>
      <c r="AA79" s="335">
        <v>0</v>
      </c>
      <c r="AB79" s="335">
        <v>0.55000000000000004</v>
      </c>
      <c r="AC79" s="335">
        <v>0.51</v>
      </c>
      <c r="AD79" s="335">
        <v>0.64</v>
      </c>
      <c r="AE79" s="330">
        <v>55</v>
      </c>
      <c r="AF79" s="330">
        <v>9</v>
      </c>
      <c r="AG79" s="329">
        <v>0</v>
      </c>
      <c r="AH79" s="329">
        <v>0.36</v>
      </c>
      <c r="AI79" s="329">
        <v>0.45</v>
      </c>
      <c r="AJ79" s="329">
        <v>0.18</v>
      </c>
      <c r="AK79" s="329">
        <v>0.4</v>
      </c>
      <c r="AL79" s="329">
        <v>0.35</v>
      </c>
      <c r="AM79" s="329">
        <v>0.42</v>
      </c>
      <c r="AN79" s="45">
        <v>52</v>
      </c>
      <c r="AO79" s="45">
        <v>4</v>
      </c>
      <c r="AP79" s="46">
        <v>0</v>
      </c>
      <c r="AQ79" s="46">
        <v>0.36</v>
      </c>
      <c r="AR79" s="46">
        <v>0.64</v>
      </c>
      <c r="AS79" s="46">
        <v>0</v>
      </c>
      <c r="AT79" s="46">
        <v>0.5</v>
      </c>
      <c r="AU79" s="46">
        <v>0.43</v>
      </c>
      <c r="AV79" s="46">
        <v>0.4</v>
      </c>
      <c r="AW79" s="314">
        <v>52</v>
      </c>
      <c r="AX79" s="314" t="s">
        <v>874</v>
      </c>
      <c r="AY79" s="314">
        <v>11</v>
      </c>
      <c r="AZ79" s="314" t="s">
        <v>874</v>
      </c>
      <c r="BA79" s="334">
        <v>7.0000000000000007E-2</v>
      </c>
      <c r="BB79" s="334">
        <v>0.33</v>
      </c>
      <c r="BC79" s="334">
        <v>0.53</v>
      </c>
      <c r="BD79" s="334">
        <v>7.0000000000000007E-2</v>
      </c>
      <c r="BE79" s="334">
        <v>0.41</v>
      </c>
      <c r="BF79" s="334">
        <v>0.36</v>
      </c>
      <c r="BG79" s="334">
        <v>0.56999999999999995</v>
      </c>
      <c r="BH79" s="311">
        <v>52</v>
      </c>
      <c r="BI79" s="311" t="s">
        <v>874</v>
      </c>
      <c r="BJ79" s="311">
        <v>10</v>
      </c>
      <c r="BK79" s="311" t="s">
        <v>874</v>
      </c>
      <c r="BL79" s="329">
        <v>0.05</v>
      </c>
      <c r="BM79" s="329">
        <v>0.4</v>
      </c>
      <c r="BN79" s="329">
        <v>0.45</v>
      </c>
      <c r="BO79" s="329">
        <v>0.1</v>
      </c>
      <c r="BP79" s="329">
        <v>0.47</v>
      </c>
      <c r="BQ79" s="329">
        <v>0.42</v>
      </c>
      <c r="BR79" s="329">
        <v>0.52</v>
      </c>
      <c r="BS79" s="426">
        <v>50</v>
      </c>
      <c r="BT79" s="426" t="s">
        <v>874</v>
      </c>
      <c r="BU79" s="426">
        <v>7</v>
      </c>
      <c r="BV79" s="426" t="s">
        <v>874</v>
      </c>
      <c r="BW79" s="430">
        <v>0</v>
      </c>
      <c r="BX79" s="430">
        <v>0.4</v>
      </c>
      <c r="BY79" s="430">
        <v>0.6</v>
      </c>
      <c r="BZ79" s="430">
        <v>0</v>
      </c>
      <c r="CA79" s="430">
        <v>0.4</v>
      </c>
      <c r="CB79" s="430">
        <v>0.56000000000000005</v>
      </c>
      <c r="CC79" s="430">
        <v>0.63</v>
      </c>
      <c r="CD79" s="466">
        <v>49</v>
      </c>
      <c r="CE79" s="466" t="s">
        <v>874</v>
      </c>
      <c r="CF79" s="466">
        <v>9</v>
      </c>
      <c r="CG79" s="466" t="s">
        <v>874</v>
      </c>
      <c r="CH79" s="480">
        <v>0.08</v>
      </c>
      <c r="CI79" s="480">
        <v>0.44</v>
      </c>
      <c r="CJ79" s="480">
        <v>0.48</v>
      </c>
      <c r="CK79" s="480">
        <v>0</v>
      </c>
      <c r="CL79" s="480">
        <v>0.52</v>
      </c>
      <c r="CM79" s="480">
        <v>0.52</v>
      </c>
      <c r="CN79" s="480">
        <v>0.47</v>
      </c>
    </row>
    <row r="80" spans="1:92" ht="24.95" customHeight="1" x14ac:dyDescent="0.2">
      <c r="A80" s="814" t="s">
        <v>230</v>
      </c>
      <c r="B80" s="1" t="s">
        <v>221</v>
      </c>
      <c r="C80" s="2">
        <v>2</v>
      </c>
      <c r="D80" s="12"/>
      <c r="E80" s="12"/>
      <c r="F80" s="12"/>
      <c r="G80" s="12"/>
      <c r="H80" s="12"/>
      <c r="I80" s="12"/>
      <c r="J80" s="12"/>
      <c r="K80" s="12"/>
      <c r="L80" s="12"/>
      <c r="M80" s="25">
        <v>61</v>
      </c>
      <c r="N80" s="25">
        <v>8</v>
      </c>
      <c r="O80" s="61">
        <v>0</v>
      </c>
      <c r="P80" s="61">
        <v>0.13</v>
      </c>
      <c r="Q80" s="61">
        <v>0.63</v>
      </c>
      <c r="R80" s="61">
        <v>0.25</v>
      </c>
      <c r="S80" s="61">
        <v>0.31</v>
      </c>
      <c r="T80" s="61">
        <v>0.39</v>
      </c>
      <c r="U80" s="61">
        <v>0.32</v>
      </c>
      <c r="V80" s="25">
        <v>59</v>
      </c>
      <c r="W80" s="25">
        <v>10</v>
      </c>
      <c r="X80" s="66">
        <v>0</v>
      </c>
      <c r="Y80" s="66">
        <v>0.21</v>
      </c>
      <c r="Z80" s="66">
        <v>0.56999999999999995</v>
      </c>
      <c r="AA80" s="66">
        <v>0.21</v>
      </c>
      <c r="AB80" s="66">
        <v>0.34</v>
      </c>
      <c r="AC80" s="66">
        <v>0.48</v>
      </c>
      <c r="AD80" s="66">
        <v>0.38</v>
      </c>
      <c r="AE80" s="12">
        <v>57</v>
      </c>
      <c r="AF80" s="12">
        <v>8</v>
      </c>
      <c r="AG80" s="63">
        <v>0</v>
      </c>
      <c r="AH80" s="63">
        <v>0.19</v>
      </c>
      <c r="AI80" s="63">
        <v>0.56000000000000005</v>
      </c>
      <c r="AJ80" s="63">
        <v>0.25</v>
      </c>
      <c r="AK80" s="63">
        <v>0.33</v>
      </c>
      <c r="AL80" s="63">
        <v>0.3</v>
      </c>
      <c r="AM80" s="63">
        <v>0.35</v>
      </c>
      <c r="AN80" s="45">
        <v>64</v>
      </c>
      <c r="AO80" s="45">
        <v>8</v>
      </c>
      <c r="AP80" s="46">
        <v>0</v>
      </c>
      <c r="AQ80" s="46">
        <v>0.06</v>
      </c>
      <c r="AR80" s="46">
        <v>0.56000000000000005</v>
      </c>
      <c r="AS80" s="46">
        <v>0.38</v>
      </c>
      <c r="AT80" s="46">
        <v>0.28999999999999998</v>
      </c>
      <c r="AU80" s="46">
        <v>0.15</v>
      </c>
      <c r="AV80" s="46">
        <v>0.23</v>
      </c>
      <c r="AW80" s="247">
        <v>65</v>
      </c>
      <c r="AX80" s="247" t="s">
        <v>875</v>
      </c>
      <c r="AY80" s="247">
        <v>8</v>
      </c>
      <c r="AZ80" s="247" t="s">
        <v>874</v>
      </c>
      <c r="BA80" s="264">
        <v>0</v>
      </c>
      <c r="BB80" s="264">
        <v>0</v>
      </c>
      <c r="BC80" s="264">
        <v>0.6</v>
      </c>
      <c r="BD80" s="264">
        <v>0.4</v>
      </c>
      <c r="BE80" s="264">
        <v>0.25</v>
      </c>
      <c r="BF80" s="264">
        <v>0.16</v>
      </c>
      <c r="BG80" s="264">
        <v>0.33</v>
      </c>
      <c r="BH80" s="74">
        <v>62</v>
      </c>
      <c r="BI80" s="74" t="s">
        <v>874</v>
      </c>
      <c r="BJ80" s="74">
        <v>6</v>
      </c>
      <c r="BK80" s="74" t="s">
        <v>874</v>
      </c>
      <c r="BL80" s="96">
        <v>0</v>
      </c>
      <c r="BM80" s="96">
        <v>0.04</v>
      </c>
      <c r="BN80" s="96">
        <v>0.73</v>
      </c>
      <c r="BO80" s="96">
        <v>0.23</v>
      </c>
      <c r="BP80" s="96">
        <v>0.35</v>
      </c>
      <c r="BQ80" s="96">
        <v>0.21</v>
      </c>
      <c r="BR80" s="96">
        <v>0.28000000000000003</v>
      </c>
      <c r="BS80" s="658">
        <v>62</v>
      </c>
      <c r="BT80" s="658" t="s">
        <v>874</v>
      </c>
      <c r="BU80" s="658">
        <v>6</v>
      </c>
      <c r="BV80" s="658" t="s">
        <v>874</v>
      </c>
      <c r="BW80" s="659">
        <v>0</v>
      </c>
      <c r="BX80" s="659">
        <v>0.03</v>
      </c>
      <c r="BY80" s="659">
        <v>0.62</v>
      </c>
      <c r="BZ80" s="659">
        <v>0.34</v>
      </c>
      <c r="CA80" s="659">
        <v>0.23</v>
      </c>
      <c r="CB80" s="659">
        <v>0.34</v>
      </c>
      <c r="CC80" s="659">
        <v>0.35</v>
      </c>
      <c r="CD80" s="74">
        <v>65</v>
      </c>
      <c r="CE80" s="74" t="s">
        <v>875</v>
      </c>
      <c r="CF80" s="74">
        <v>5</v>
      </c>
      <c r="CG80" s="74" t="s">
        <v>876</v>
      </c>
      <c r="CH80" s="96">
        <v>0</v>
      </c>
      <c r="CI80" s="96">
        <v>0</v>
      </c>
      <c r="CJ80" s="96">
        <v>0.57999999999999996</v>
      </c>
      <c r="CK80" s="96">
        <v>0.42</v>
      </c>
      <c r="CL80" s="96">
        <v>0.27</v>
      </c>
      <c r="CM80" s="96">
        <v>0.28000000000000003</v>
      </c>
      <c r="CN80" s="96">
        <v>0.18</v>
      </c>
    </row>
    <row r="81" spans="1:92" ht="24.95" customHeight="1" x14ac:dyDescent="0.2">
      <c r="A81" s="814" t="s">
        <v>42</v>
      </c>
      <c r="B81" s="1" t="s">
        <v>221</v>
      </c>
      <c r="C81" s="2">
        <v>6</v>
      </c>
      <c r="D81" s="12">
        <v>59</v>
      </c>
      <c r="E81" s="12">
        <v>7</v>
      </c>
      <c r="F81" s="63">
        <v>0</v>
      </c>
      <c r="G81" s="63">
        <v>0.18</v>
      </c>
      <c r="H81" s="63">
        <v>0.73</v>
      </c>
      <c r="I81" s="63">
        <v>0.09</v>
      </c>
      <c r="J81" s="63">
        <v>0.47</v>
      </c>
      <c r="K81" s="63">
        <v>0.36</v>
      </c>
      <c r="L81" s="63">
        <v>0.43</v>
      </c>
      <c r="M81" s="25">
        <v>58</v>
      </c>
      <c r="N81" s="25">
        <v>10</v>
      </c>
      <c r="O81" s="61">
        <v>0.04</v>
      </c>
      <c r="P81" s="61">
        <v>0.13</v>
      </c>
      <c r="Q81" s="61">
        <v>0.67</v>
      </c>
      <c r="R81" s="61">
        <v>0.17</v>
      </c>
      <c r="S81" s="61">
        <v>0.37</v>
      </c>
      <c r="T81" s="61">
        <v>0.44</v>
      </c>
      <c r="U81" s="61">
        <v>0.39</v>
      </c>
      <c r="V81" s="25">
        <v>58</v>
      </c>
      <c r="W81" s="25">
        <v>10</v>
      </c>
      <c r="X81" s="66">
        <v>0</v>
      </c>
      <c r="Y81" s="66">
        <v>0.28000000000000003</v>
      </c>
      <c r="Z81" s="66">
        <v>0.5</v>
      </c>
      <c r="AA81" s="66">
        <v>0.22</v>
      </c>
      <c r="AB81" s="66">
        <v>0.37</v>
      </c>
      <c r="AC81" s="66">
        <v>0.37</v>
      </c>
      <c r="AD81" s="66">
        <v>0.45</v>
      </c>
      <c r="AE81" s="12">
        <v>59</v>
      </c>
      <c r="AF81" s="12">
        <v>8</v>
      </c>
      <c r="AG81" s="63">
        <v>0</v>
      </c>
      <c r="AH81" s="63">
        <v>0.17</v>
      </c>
      <c r="AI81" s="63">
        <v>0.67</v>
      </c>
      <c r="AJ81" s="63">
        <v>0.17</v>
      </c>
      <c r="AK81" s="63">
        <v>0.34</v>
      </c>
      <c r="AL81" s="63">
        <v>0.28999999999999998</v>
      </c>
      <c r="AM81" s="63">
        <v>0.34</v>
      </c>
      <c r="AN81" s="35">
        <v>59</v>
      </c>
      <c r="AO81" s="35">
        <v>8</v>
      </c>
      <c r="AP81" s="40">
        <v>0</v>
      </c>
      <c r="AQ81" s="40">
        <v>0.08</v>
      </c>
      <c r="AR81" s="40">
        <v>0.69</v>
      </c>
      <c r="AS81" s="40">
        <v>0.23</v>
      </c>
      <c r="AT81" s="40">
        <v>0.37</v>
      </c>
      <c r="AU81" s="40">
        <v>0.24</v>
      </c>
      <c r="AV81" s="40">
        <v>0.37</v>
      </c>
      <c r="AW81" s="247">
        <v>56</v>
      </c>
      <c r="AX81" s="247" t="s">
        <v>874</v>
      </c>
      <c r="AY81" s="247">
        <v>7</v>
      </c>
      <c r="AZ81" s="247" t="s">
        <v>874</v>
      </c>
      <c r="BA81" s="264">
        <v>0</v>
      </c>
      <c r="BB81" s="264">
        <v>0.16</v>
      </c>
      <c r="BC81" s="264">
        <v>0.73</v>
      </c>
      <c r="BD81" s="264">
        <v>0.11</v>
      </c>
      <c r="BE81" s="264">
        <v>0.42</v>
      </c>
      <c r="BF81" s="264">
        <v>0.31</v>
      </c>
      <c r="BG81" s="264">
        <v>0.5</v>
      </c>
      <c r="BH81" s="311">
        <v>61</v>
      </c>
      <c r="BI81" s="311" t="s">
        <v>874</v>
      </c>
      <c r="BJ81" s="311">
        <v>7</v>
      </c>
      <c r="BK81" s="311" t="s">
        <v>874</v>
      </c>
      <c r="BL81" s="329">
        <v>0</v>
      </c>
      <c r="BM81" s="329">
        <v>0.03</v>
      </c>
      <c r="BN81" s="329">
        <v>0.69</v>
      </c>
      <c r="BO81" s="329">
        <v>0.28000000000000003</v>
      </c>
      <c r="BP81" s="329">
        <v>0.36</v>
      </c>
      <c r="BQ81" s="329">
        <v>0.26</v>
      </c>
      <c r="BR81" s="329">
        <v>0.32</v>
      </c>
      <c r="BS81" s="426">
        <v>60</v>
      </c>
      <c r="BT81" s="426" t="s">
        <v>874</v>
      </c>
      <c r="BU81" s="426">
        <v>7</v>
      </c>
      <c r="BV81" s="426" t="s">
        <v>874</v>
      </c>
      <c r="BW81" s="430">
        <v>0</v>
      </c>
      <c r="BX81" s="430">
        <v>0.11</v>
      </c>
      <c r="BY81" s="430">
        <v>0.64</v>
      </c>
      <c r="BZ81" s="430">
        <v>0.25</v>
      </c>
      <c r="CA81" s="430">
        <v>0.28999999999999998</v>
      </c>
      <c r="CB81" s="430">
        <v>0.37</v>
      </c>
      <c r="CC81" s="430">
        <v>0.37</v>
      </c>
      <c r="CD81" s="466">
        <v>59</v>
      </c>
      <c r="CE81" s="466" t="s">
        <v>874</v>
      </c>
      <c r="CF81" s="466">
        <v>7</v>
      </c>
      <c r="CG81" s="466" t="s">
        <v>874</v>
      </c>
      <c r="CH81" s="480">
        <v>0</v>
      </c>
      <c r="CI81" s="480">
        <v>0.1</v>
      </c>
      <c r="CJ81" s="480">
        <v>0.71</v>
      </c>
      <c r="CK81" s="480">
        <v>0.19</v>
      </c>
      <c r="CL81" s="480">
        <v>0.36</v>
      </c>
      <c r="CM81" s="480">
        <v>0.36</v>
      </c>
      <c r="CN81" s="480">
        <v>0.27</v>
      </c>
    </row>
    <row r="82" spans="1:92" ht="24.95" customHeight="1" x14ac:dyDescent="0.2">
      <c r="A82" s="814" t="s">
        <v>924</v>
      </c>
      <c r="B82" s="14" t="s">
        <v>221</v>
      </c>
      <c r="C82" s="2">
        <v>3</v>
      </c>
      <c r="D82" s="12"/>
      <c r="E82" s="12"/>
      <c r="F82" s="63"/>
      <c r="G82" s="63"/>
      <c r="H82" s="63"/>
      <c r="I82" s="63"/>
      <c r="J82" s="63"/>
      <c r="K82" s="63"/>
      <c r="L82" s="63"/>
      <c r="M82" s="25"/>
      <c r="N82" s="25"/>
      <c r="O82" s="61"/>
      <c r="P82" s="61"/>
      <c r="Q82" s="61"/>
      <c r="R82" s="61"/>
      <c r="S82" s="61"/>
      <c r="T82" s="61"/>
      <c r="U82" s="61"/>
      <c r="V82" s="25"/>
      <c r="W82" s="25"/>
      <c r="X82" s="66"/>
      <c r="Y82" s="66"/>
      <c r="Z82" s="66"/>
      <c r="AA82" s="66"/>
      <c r="AB82" s="66"/>
      <c r="AC82" s="66"/>
      <c r="AD82" s="66"/>
      <c r="AE82" s="12"/>
      <c r="AF82" s="12"/>
      <c r="AG82" s="63"/>
      <c r="AH82" s="63"/>
      <c r="AI82" s="63"/>
      <c r="AJ82" s="63"/>
      <c r="AK82" s="63"/>
      <c r="AL82" s="63"/>
      <c r="AM82" s="63"/>
      <c r="AN82" s="35"/>
      <c r="AO82" s="35"/>
      <c r="AP82" s="40"/>
      <c r="AQ82" s="40"/>
      <c r="AR82" s="40"/>
      <c r="AS82" s="40"/>
      <c r="AT82" s="40"/>
      <c r="AU82" s="40"/>
      <c r="AV82" s="40"/>
      <c r="AW82" s="247"/>
      <c r="AX82" s="247"/>
      <c r="AY82" s="247"/>
      <c r="AZ82" s="247"/>
      <c r="BA82" s="264"/>
      <c r="BB82" s="264"/>
      <c r="BC82" s="264"/>
      <c r="BD82" s="264"/>
      <c r="BE82" s="264"/>
      <c r="BF82" s="264"/>
      <c r="BG82" s="264"/>
      <c r="BH82" s="311">
        <v>57</v>
      </c>
      <c r="BI82" s="311" t="s">
        <v>874</v>
      </c>
      <c r="BJ82" s="311">
        <v>9</v>
      </c>
      <c r="BK82" s="311" t="s">
        <v>874</v>
      </c>
      <c r="BL82" s="329">
        <v>0</v>
      </c>
      <c r="BM82" s="329">
        <v>0.21</v>
      </c>
      <c r="BN82" s="329">
        <v>0.64</v>
      </c>
      <c r="BO82" s="329">
        <v>0.14000000000000001</v>
      </c>
      <c r="BP82" s="329">
        <v>0.38</v>
      </c>
      <c r="BQ82" s="329">
        <v>0.36</v>
      </c>
      <c r="BR82" s="329">
        <v>0.34</v>
      </c>
      <c r="BS82" s="426">
        <v>50</v>
      </c>
      <c r="BT82" s="426" t="s">
        <v>874</v>
      </c>
      <c r="BU82" s="426">
        <v>9</v>
      </c>
      <c r="BV82" s="426" t="s">
        <v>874</v>
      </c>
      <c r="BW82" s="430">
        <v>0</v>
      </c>
      <c r="BX82" s="430">
        <v>0.55000000000000004</v>
      </c>
      <c r="BY82" s="430">
        <v>0.4</v>
      </c>
      <c r="BZ82" s="430">
        <v>0.05</v>
      </c>
      <c r="CA82" s="430">
        <v>0.48</v>
      </c>
      <c r="CB82" s="430">
        <v>0.57999999999999996</v>
      </c>
      <c r="CC82" s="430">
        <v>0.52</v>
      </c>
      <c r="CD82" s="466">
        <v>57</v>
      </c>
      <c r="CE82" s="466" t="s">
        <v>874</v>
      </c>
      <c r="CF82" s="466">
        <v>11</v>
      </c>
      <c r="CG82" s="466" t="s">
        <v>874</v>
      </c>
      <c r="CH82" s="480">
        <v>0.05</v>
      </c>
      <c r="CI82" s="480">
        <v>0.25</v>
      </c>
      <c r="CJ82" s="480">
        <v>0.45</v>
      </c>
      <c r="CK82" s="480">
        <v>0.25</v>
      </c>
      <c r="CL82" s="480">
        <v>0.39</v>
      </c>
      <c r="CM82" s="480">
        <v>0.39</v>
      </c>
      <c r="CN82" s="480">
        <v>0.3</v>
      </c>
    </row>
    <row r="83" spans="1:92" ht="24.95" customHeight="1" x14ac:dyDescent="0.2">
      <c r="A83" s="814" t="s">
        <v>1100</v>
      </c>
      <c r="B83" s="14" t="s">
        <v>221</v>
      </c>
      <c r="C83" s="824"/>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824"/>
      <c r="CF83" s="824"/>
      <c r="CG83" s="824"/>
      <c r="CH83" s="824"/>
      <c r="CI83" s="824"/>
      <c r="CJ83" s="824"/>
      <c r="CK83" s="824"/>
      <c r="CL83" s="824"/>
      <c r="CM83" s="824"/>
      <c r="CN83" s="824"/>
    </row>
    <row r="84" spans="1:92" ht="24.95" customHeight="1" x14ac:dyDescent="0.2">
      <c r="A84" s="814" t="s">
        <v>108</v>
      </c>
      <c r="B84" s="1" t="s">
        <v>221</v>
      </c>
      <c r="C84" s="2">
        <v>6</v>
      </c>
      <c r="D84" s="12">
        <v>56</v>
      </c>
      <c r="E84" s="12">
        <v>7</v>
      </c>
      <c r="F84" s="63">
        <v>0</v>
      </c>
      <c r="G84" s="63">
        <v>0.13</v>
      </c>
      <c r="H84" s="63">
        <v>0.8</v>
      </c>
      <c r="I84" s="63">
        <v>7.0000000000000007E-2</v>
      </c>
      <c r="J84" s="63">
        <v>0.42</v>
      </c>
      <c r="K84" s="63">
        <v>0.43</v>
      </c>
      <c r="L84" s="63">
        <v>0.52</v>
      </c>
      <c r="M84" s="25">
        <v>54</v>
      </c>
      <c r="N84" s="25">
        <v>8</v>
      </c>
      <c r="O84" s="61">
        <v>0.06</v>
      </c>
      <c r="P84" s="61">
        <v>0.24</v>
      </c>
      <c r="Q84" s="61">
        <v>0.65</v>
      </c>
      <c r="R84" s="61">
        <v>0.06</v>
      </c>
      <c r="S84" s="61">
        <v>0.4</v>
      </c>
      <c r="T84" s="61">
        <v>0.54</v>
      </c>
      <c r="U84" s="61">
        <v>0.45</v>
      </c>
      <c r="V84" s="25">
        <v>56</v>
      </c>
      <c r="W84" s="25">
        <v>6</v>
      </c>
      <c r="X84" s="66">
        <v>0</v>
      </c>
      <c r="Y84" s="66">
        <v>0.18</v>
      </c>
      <c r="Z84" s="66">
        <v>0.82</v>
      </c>
      <c r="AA84" s="66">
        <v>0</v>
      </c>
      <c r="AB84" s="66">
        <v>0.37</v>
      </c>
      <c r="AC84" s="66">
        <v>0.44</v>
      </c>
      <c r="AD84" s="66">
        <v>0.51</v>
      </c>
      <c r="AE84" s="12">
        <v>56</v>
      </c>
      <c r="AF84" s="12">
        <v>9</v>
      </c>
      <c r="AG84" s="63">
        <v>0</v>
      </c>
      <c r="AH84" s="63">
        <v>0.31</v>
      </c>
      <c r="AI84" s="63">
        <v>0.56000000000000005</v>
      </c>
      <c r="AJ84" s="63">
        <v>0.13</v>
      </c>
      <c r="AK84" s="63">
        <v>0.38</v>
      </c>
      <c r="AL84" s="63">
        <v>0.32</v>
      </c>
      <c r="AM84" s="63">
        <v>0.4</v>
      </c>
      <c r="AN84" s="35">
        <v>54</v>
      </c>
      <c r="AO84" s="35">
        <v>9</v>
      </c>
      <c r="AP84" s="40">
        <v>0</v>
      </c>
      <c r="AQ84" s="40">
        <v>0.32</v>
      </c>
      <c r="AR84" s="40">
        <v>0.63</v>
      </c>
      <c r="AS84" s="40">
        <v>0.05</v>
      </c>
      <c r="AT84" s="40">
        <v>0.47</v>
      </c>
      <c r="AU84" s="40">
        <v>0.3</v>
      </c>
      <c r="AV84" s="40">
        <v>0.44</v>
      </c>
      <c r="AW84" s="247">
        <v>56</v>
      </c>
      <c r="AX84" s="247" t="s">
        <v>874</v>
      </c>
      <c r="AY84" s="247">
        <v>10</v>
      </c>
      <c r="AZ84" s="247" t="s">
        <v>874</v>
      </c>
      <c r="BA84" s="264">
        <v>0</v>
      </c>
      <c r="BB84" s="264">
        <v>0.38</v>
      </c>
      <c r="BC84" s="264">
        <v>0.46</v>
      </c>
      <c r="BD84" s="264">
        <v>0.15</v>
      </c>
      <c r="BE84" s="264">
        <v>0.43</v>
      </c>
      <c r="BF84" s="264">
        <v>0.34</v>
      </c>
      <c r="BG84" s="264">
        <v>0.52</v>
      </c>
      <c r="BH84" s="311">
        <v>52</v>
      </c>
      <c r="BI84" s="311" t="s">
        <v>874</v>
      </c>
      <c r="BJ84" s="311">
        <v>11</v>
      </c>
      <c r="BK84" s="311" t="s">
        <v>874</v>
      </c>
      <c r="BL84" s="329">
        <v>0</v>
      </c>
      <c r="BM84" s="329">
        <v>0.6</v>
      </c>
      <c r="BN84" s="329">
        <v>0.3</v>
      </c>
      <c r="BO84" s="329">
        <v>0.1</v>
      </c>
      <c r="BP84" s="329">
        <v>0.52</v>
      </c>
      <c r="BQ84" s="329">
        <v>0.34</v>
      </c>
      <c r="BR84" s="329">
        <v>0.56000000000000005</v>
      </c>
      <c r="BS84" s="426">
        <v>61</v>
      </c>
      <c r="BT84" s="426" t="s">
        <v>874</v>
      </c>
      <c r="BU84" s="426">
        <v>8</v>
      </c>
      <c r="BV84" s="426" t="s">
        <v>874</v>
      </c>
      <c r="BW84" s="430">
        <v>0</v>
      </c>
      <c r="BX84" s="430">
        <v>0.11</v>
      </c>
      <c r="BY84" s="430">
        <v>0.44</v>
      </c>
      <c r="BZ84" s="430">
        <v>0.44</v>
      </c>
      <c r="CA84" s="430">
        <v>0.24</v>
      </c>
      <c r="CB84" s="430">
        <v>0.35</v>
      </c>
      <c r="CC84" s="430">
        <v>0.36</v>
      </c>
      <c r="CD84" s="647"/>
      <c r="CE84" s="647"/>
      <c r="CF84" s="647"/>
      <c r="CG84" s="647"/>
      <c r="CH84" s="648"/>
      <c r="CI84" s="648"/>
      <c r="CJ84" s="648"/>
      <c r="CK84" s="648"/>
      <c r="CL84" s="648"/>
      <c r="CM84" s="648"/>
      <c r="CN84" s="648"/>
    </row>
    <row r="85" spans="1:92" ht="24.95" customHeight="1" x14ac:dyDescent="0.2">
      <c r="A85" s="815" t="s">
        <v>1081</v>
      </c>
      <c r="B85" s="1" t="s">
        <v>221</v>
      </c>
      <c r="C85" s="311">
        <v>5</v>
      </c>
      <c r="D85" s="330"/>
      <c r="E85" s="330"/>
      <c r="F85" s="329"/>
      <c r="G85" s="329"/>
      <c r="H85" s="329"/>
      <c r="I85" s="329"/>
      <c r="J85" s="329"/>
      <c r="K85" s="329"/>
      <c r="L85" s="329"/>
      <c r="M85" s="331"/>
      <c r="N85" s="331"/>
      <c r="O85" s="332"/>
      <c r="P85" s="332"/>
      <c r="Q85" s="332"/>
      <c r="R85" s="332"/>
      <c r="S85" s="332"/>
      <c r="T85" s="332"/>
      <c r="U85" s="332"/>
      <c r="V85" s="331"/>
      <c r="W85" s="331"/>
      <c r="X85" s="335"/>
      <c r="Y85" s="335"/>
      <c r="Z85" s="335"/>
      <c r="AA85" s="335"/>
      <c r="AB85" s="335"/>
      <c r="AC85" s="335"/>
      <c r="AD85" s="335"/>
      <c r="AE85" s="330"/>
      <c r="AF85" s="330"/>
      <c r="AG85" s="329"/>
      <c r="AH85" s="329"/>
      <c r="AI85" s="329"/>
      <c r="AJ85" s="329"/>
      <c r="AK85" s="329"/>
      <c r="AL85" s="329"/>
      <c r="AM85" s="329"/>
      <c r="AN85" s="313"/>
      <c r="AO85" s="313"/>
      <c r="AP85" s="333"/>
      <c r="AQ85" s="333"/>
      <c r="AR85" s="333"/>
      <c r="AS85" s="333"/>
      <c r="AT85" s="333"/>
      <c r="AU85" s="333"/>
      <c r="AV85" s="333"/>
      <c r="AW85" s="314"/>
      <c r="AX85" s="314"/>
      <c r="AY85" s="314"/>
      <c r="AZ85" s="314"/>
      <c r="BA85" s="334"/>
      <c r="BB85" s="334"/>
      <c r="BC85" s="334"/>
      <c r="BD85" s="334"/>
      <c r="BE85" s="334"/>
      <c r="BF85" s="334"/>
      <c r="BG85" s="334"/>
      <c r="BH85" s="311"/>
      <c r="BI85" s="311"/>
      <c r="BJ85" s="311"/>
      <c r="BK85" s="311"/>
      <c r="BL85" s="329"/>
      <c r="BM85" s="329"/>
      <c r="BN85" s="329"/>
      <c r="BO85" s="329"/>
      <c r="BP85" s="329"/>
      <c r="BQ85" s="329"/>
      <c r="BR85" s="329"/>
      <c r="BS85" s="426"/>
      <c r="BT85" s="426"/>
      <c r="BU85" s="426"/>
      <c r="BV85" s="426"/>
      <c r="BW85" s="430"/>
      <c r="BX85" s="430"/>
      <c r="BY85" s="430"/>
      <c r="BZ85" s="430"/>
      <c r="CA85" s="430"/>
      <c r="CB85" s="430"/>
      <c r="CC85" s="430"/>
      <c r="CD85" s="466">
        <v>48</v>
      </c>
      <c r="CE85" s="466" t="s">
        <v>876</v>
      </c>
      <c r="CF85" s="466">
        <v>6</v>
      </c>
      <c r="CG85" s="466" t="s">
        <v>874</v>
      </c>
      <c r="CH85" s="480">
        <v>0</v>
      </c>
      <c r="CI85" s="480">
        <v>0.67</v>
      </c>
      <c r="CJ85" s="480">
        <v>0.33</v>
      </c>
      <c r="CK85" s="480">
        <v>0</v>
      </c>
      <c r="CL85" s="480">
        <v>0.57999999999999996</v>
      </c>
      <c r="CM85" s="480">
        <v>0.64</v>
      </c>
      <c r="CN85" s="480">
        <v>0.36</v>
      </c>
    </row>
    <row r="86" spans="1:92" ht="24.95" customHeight="1" x14ac:dyDescent="0.2">
      <c r="A86" s="814" t="s">
        <v>38</v>
      </c>
      <c r="B86" s="1" t="s">
        <v>221</v>
      </c>
      <c r="C86" s="2">
        <v>6</v>
      </c>
      <c r="D86" s="12">
        <v>58</v>
      </c>
      <c r="E86" s="12">
        <v>7</v>
      </c>
      <c r="F86" s="63">
        <v>0</v>
      </c>
      <c r="G86" s="63">
        <v>0.14000000000000001</v>
      </c>
      <c r="H86" s="63">
        <v>0.78</v>
      </c>
      <c r="I86" s="63">
        <v>0.08</v>
      </c>
      <c r="J86" s="63">
        <v>0.35</v>
      </c>
      <c r="K86" s="63">
        <v>0.4</v>
      </c>
      <c r="L86" s="63">
        <v>0.47</v>
      </c>
      <c r="M86" s="25">
        <v>52</v>
      </c>
      <c r="N86" s="25">
        <v>10</v>
      </c>
      <c r="O86" s="61">
        <v>0</v>
      </c>
      <c r="P86" s="61">
        <v>0.45</v>
      </c>
      <c r="Q86" s="61">
        <v>0.39</v>
      </c>
      <c r="R86" s="61">
        <v>0.16</v>
      </c>
      <c r="S86" s="61">
        <v>0.46</v>
      </c>
      <c r="T86" s="61">
        <v>0.51</v>
      </c>
      <c r="U86" s="61">
        <v>0.49</v>
      </c>
      <c r="V86" s="25">
        <v>55</v>
      </c>
      <c r="W86" s="25">
        <v>9</v>
      </c>
      <c r="X86" s="66">
        <v>0.04</v>
      </c>
      <c r="Y86" s="66">
        <v>0.28000000000000003</v>
      </c>
      <c r="Z86" s="66">
        <v>0.6</v>
      </c>
      <c r="AA86" s="66">
        <v>0.09</v>
      </c>
      <c r="AB86" s="66">
        <v>0.42</v>
      </c>
      <c r="AC86" s="66">
        <v>0.46</v>
      </c>
      <c r="AD86" s="66">
        <v>0.5</v>
      </c>
      <c r="AE86" s="12">
        <v>56</v>
      </c>
      <c r="AF86" s="12">
        <v>9</v>
      </c>
      <c r="AG86" s="63">
        <v>0.05</v>
      </c>
      <c r="AH86" s="63">
        <v>0.16</v>
      </c>
      <c r="AI86" s="63">
        <v>0.66</v>
      </c>
      <c r="AJ86" s="63">
        <v>0.13</v>
      </c>
      <c r="AK86" s="63">
        <v>0.38</v>
      </c>
      <c r="AL86" s="63">
        <v>0.33</v>
      </c>
      <c r="AM86" s="63">
        <v>0.4</v>
      </c>
      <c r="AN86" s="35">
        <v>54</v>
      </c>
      <c r="AO86" s="35">
        <v>9</v>
      </c>
      <c r="AP86" s="40">
        <v>0</v>
      </c>
      <c r="AQ86" s="40">
        <v>0.33</v>
      </c>
      <c r="AR86" s="40">
        <v>0.56999999999999995</v>
      </c>
      <c r="AS86" s="40">
        <v>0.09</v>
      </c>
      <c r="AT86" s="40">
        <v>0.47</v>
      </c>
      <c r="AU86" s="40">
        <v>0.36</v>
      </c>
      <c r="AV86" s="40">
        <v>0.41</v>
      </c>
      <c r="AW86" s="247">
        <v>53</v>
      </c>
      <c r="AX86" s="247" t="s">
        <v>874</v>
      </c>
      <c r="AY86" s="247">
        <v>10</v>
      </c>
      <c r="AZ86" s="247" t="s">
        <v>874</v>
      </c>
      <c r="BA86" s="264">
        <v>0.04</v>
      </c>
      <c r="BB86" s="264">
        <v>0.33</v>
      </c>
      <c r="BC86" s="264">
        <v>0.49</v>
      </c>
      <c r="BD86" s="264">
        <v>0.14000000000000001</v>
      </c>
      <c r="BE86" s="264">
        <v>0.47</v>
      </c>
      <c r="BF86" s="264">
        <v>0.33</v>
      </c>
      <c r="BG86" s="264">
        <v>0.53</v>
      </c>
      <c r="BH86" s="311">
        <v>55</v>
      </c>
      <c r="BI86" s="311" t="s">
        <v>874</v>
      </c>
      <c r="BJ86" s="311">
        <v>8</v>
      </c>
      <c r="BK86" s="311" t="s">
        <v>874</v>
      </c>
      <c r="BL86" s="329">
        <v>0</v>
      </c>
      <c r="BM86" s="329">
        <v>0.28999999999999998</v>
      </c>
      <c r="BN86" s="329">
        <v>0.6</v>
      </c>
      <c r="BO86" s="329">
        <v>0.1</v>
      </c>
      <c r="BP86" s="329">
        <v>0.44</v>
      </c>
      <c r="BQ86" s="329">
        <v>0.33</v>
      </c>
      <c r="BR86" s="329">
        <v>0.45</v>
      </c>
      <c r="BS86" s="426">
        <v>55</v>
      </c>
      <c r="BT86" s="426" t="s">
        <v>874</v>
      </c>
      <c r="BU86" s="426">
        <v>9</v>
      </c>
      <c r="BV86" s="426" t="s">
        <v>874</v>
      </c>
      <c r="BW86" s="430">
        <v>0.01</v>
      </c>
      <c r="BX86" s="430">
        <v>0.3</v>
      </c>
      <c r="BY86" s="430">
        <v>0.55000000000000004</v>
      </c>
      <c r="BZ86" s="430">
        <v>0.14000000000000001</v>
      </c>
      <c r="CA86" s="430">
        <v>0.35</v>
      </c>
      <c r="CB86" s="430">
        <v>0.46</v>
      </c>
      <c r="CC86" s="430">
        <v>0.48</v>
      </c>
      <c r="CD86" s="660">
        <v>55</v>
      </c>
      <c r="CE86" s="660" t="s">
        <v>874</v>
      </c>
      <c r="CF86" s="660">
        <v>8</v>
      </c>
      <c r="CG86" s="660" t="s">
        <v>874</v>
      </c>
      <c r="CH86" s="661">
        <v>0.02</v>
      </c>
      <c r="CI86" s="661">
        <v>0.24</v>
      </c>
      <c r="CJ86" s="661">
        <v>0.64</v>
      </c>
      <c r="CK86" s="661">
        <v>0.11</v>
      </c>
      <c r="CL86" s="661">
        <v>0.46</v>
      </c>
      <c r="CM86" s="661">
        <v>0.44</v>
      </c>
      <c r="CN86" s="661">
        <v>0.33</v>
      </c>
    </row>
    <row r="87" spans="1:92" ht="24.95" customHeight="1" x14ac:dyDescent="0.2">
      <c r="A87" s="814" t="s">
        <v>183</v>
      </c>
      <c r="B87" s="1" t="s">
        <v>221</v>
      </c>
      <c r="C87" s="2">
        <v>3</v>
      </c>
      <c r="D87" s="12">
        <v>54</v>
      </c>
      <c r="E87" s="12">
        <v>9</v>
      </c>
      <c r="F87" s="63">
        <v>0.04</v>
      </c>
      <c r="G87" s="63">
        <v>0.35</v>
      </c>
      <c r="H87" s="63">
        <v>0.56999999999999995</v>
      </c>
      <c r="I87" s="63">
        <v>0.04</v>
      </c>
      <c r="J87" s="63">
        <v>0.39</v>
      </c>
      <c r="K87" s="63">
        <v>0.52</v>
      </c>
      <c r="L87" s="63">
        <v>0.49</v>
      </c>
      <c r="M87" s="25">
        <v>53</v>
      </c>
      <c r="N87" s="25">
        <v>10</v>
      </c>
      <c r="O87" s="61">
        <v>0.04</v>
      </c>
      <c r="P87" s="61">
        <v>0.42</v>
      </c>
      <c r="Q87" s="61">
        <v>0.38</v>
      </c>
      <c r="R87" s="61">
        <v>0.17</v>
      </c>
      <c r="S87" s="61">
        <v>0.45</v>
      </c>
      <c r="T87" s="61">
        <v>0.48</v>
      </c>
      <c r="U87" s="61">
        <v>0.45</v>
      </c>
      <c r="V87" s="25">
        <v>55</v>
      </c>
      <c r="W87" s="25">
        <v>9</v>
      </c>
      <c r="X87" s="66">
        <v>0</v>
      </c>
      <c r="Y87" s="66">
        <v>0.33</v>
      </c>
      <c r="Z87" s="66">
        <v>0.61</v>
      </c>
      <c r="AA87" s="66">
        <v>0.06</v>
      </c>
      <c r="AB87" s="66">
        <v>0.43</v>
      </c>
      <c r="AC87" s="66">
        <v>0.48</v>
      </c>
      <c r="AD87" s="66">
        <v>0.48</v>
      </c>
      <c r="AE87" s="12">
        <v>53</v>
      </c>
      <c r="AF87" s="12">
        <v>9</v>
      </c>
      <c r="AG87" s="63">
        <v>0.06</v>
      </c>
      <c r="AH87" s="63">
        <v>0.22</v>
      </c>
      <c r="AI87" s="63">
        <v>0.67</v>
      </c>
      <c r="AJ87" s="63">
        <v>0.06</v>
      </c>
      <c r="AK87" s="63">
        <v>0.43</v>
      </c>
      <c r="AL87" s="63">
        <v>0.43</v>
      </c>
      <c r="AM87" s="63">
        <v>0.42</v>
      </c>
      <c r="AN87" s="35">
        <v>57</v>
      </c>
      <c r="AO87" s="35">
        <v>6</v>
      </c>
      <c r="AP87" s="40">
        <v>0</v>
      </c>
      <c r="AQ87" s="40">
        <v>0.2</v>
      </c>
      <c r="AR87" s="40">
        <v>0.75</v>
      </c>
      <c r="AS87" s="40">
        <v>0.05</v>
      </c>
      <c r="AT87" s="40">
        <v>0.39</v>
      </c>
      <c r="AU87" s="40">
        <v>0.36</v>
      </c>
      <c r="AV87" s="40">
        <v>0.34</v>
      </c>
      <c r="AW87" s="247">
        <v>53</v>
      </c>
      <c r="AX87" s="247" t="s">
        <v>874</v>
      </c>
      <c r="AY87" s="247">
        <v>9</v>
      </c>
      <c r="AZ87" s="247" t="s">
        <v>874</v>
      </c>
      <c r="BA87" s="264">
        <v>0</v>
      </c>
      <c r="BB87" s="264">
        <v>0.38</v>
      </c>
      <c r="BC87" s="264">
        <v>0.53</v>
      </c>
      <c r="BD87" s="264">
        <v>0.09</v>
      </c>
      <c r="BE87" s="264">
        <v>0.47</v>
      </c>
      <c r="BF87" s="264">
        <v>0.37</v>
      </c>
      <c r="BG87" s="264">
        <v>0.54</v>
      </c>
      <c r="BH87" s="311">
        <v>54</v>
      </c>
      <c r="BI87" s="311" t="s">
        <v>874</v>
      </c>
      <c r="BJ87" s="311">
        <v>9</v>
      </c>
      <c r="BK87" s="311" t="s">
        <v>874</v>
      </c>
      <c r="BL87" s="329">
        <v>0.06</v>
      </c>
      <c r="BM87" s="329">
        <v>0.13</v>
      </c>
      <c r="BN87" s="329">
        <v>0.81</v>
      </c>
      <c r="BO87" s="329">
        <v>0</v>
      </c>
      <c r="BP87" s="329">
        <v>0.46</v>
      </c>
      <c r="BQ87" s="329">
        <v>0.38</v>
      </c>
      <c r="BR87" s="329">
        <v>0.47</v>
      </c>
      <c r="BS87" s="426">
        <v>52</v>
      </c>
      <c r="BT87" s="426" t="s">
        <v>874</v>
      </c>
      <c r="BU87" s="426">
        <v>10</v>
      </c>
      <c r="BV87" s="426" t="s">
        <v>874</v>
      </c>
      <c r="BW87" s="430">
        <v>0.08</v>
      </c>
      <c r="BX87" s="430">
        <v>0.23</v>
      </c>
      <c r="BY87" s="430">
        <v>0.62</v>
      </c>
      <c r="BZ87" s="430">
        <v>0.08</v>
      </c>
      <c r="CA87" s="430">
        <v>0.41</v>
      </c>
      <c r="CB87" s="430">
        <v>0.49</v>
      </c>
      <c r="CC87" s="430">
        <v>0.51</v>
      </c>
      <c r="CD87" s="466">
        <v>53</v>
      </c>
      <c r="CE87" s="466" t="s">
        <v>874</v>
      </c>
      <c r="CF87" s="466">
        <v>9</v>
      </c>
      <c r="CG87" s="466" t="s">
        <v>874</v>
      </c>
      <c r="CH87" s="480">
        <v>0.05</v>
      </c>
      <c r="CI87" s="480">
        <v>0.28999999999999998</v>
      </c>
      <c r="CJ87" s="480">
        <v>0.62</v>
      </c>
      <c r="CK87" s="480">
        <v>0.05</v>
      </c>
      <c r="CL87" s="480">
        <v>0.44</v>
      </c>
      <c r="CM87" s="480">
        <v>0.47</v>
      </c>
      <c r="CN87" s="480">
        <v>0.39</v>
      </c>
    </row>
    <row r="88" spans="1:92" ht="24.95" customHeight="1" x14ac:dyDescent="0.2">
      <c r="A88" s="814" t="s">
        <v>110</v>
      </c>
      <c r="B88" s="1" t="s">
        <v>221</v>
      </c>
      <c r="C88" s="2">
        <v>2</v>
      </c>
      <c r="D88" s="12">
        <v>60</v>
      </c>
      <c r="E88" s="12">
        <v>7</v>
      </c>
      <c r="F88" s="63">
        <v>0</v>
      </c>
      <c r="G88" s="63">
        <v>0.1</v>
      </c>
      <c r="H88" s="63">
        <v>0.68</v>
      </c>
      <c r="I88" s="63">
        <v>0.22</v>
      </c>
      <c r="J88" s="63">
        <v>0.34</v>
      </c>
      <c r="K88" s="63">
        <v>0.38</v>
      </c>
      <c r="L88" s="63">
        <v>0.41</v>
      </c>
      <c r="M88" s="25">
        <v>60</v>
      </c>
      <c r="N88" s="25">
        <v>7</v>
      </c>
      <c r="O88" s="61">
        <v>0</v>
      </c>
      <c r="P88" s="61">
        <v>0.06</v>
      </c>
      <c r="Q88" s="61">
        <v>0.71</v>
      </c>
      <c r="R88" s="61">
        <v>0.22</v>
      </c>
      <c r="S88" s="61">
        <v>0.31</v>
      </c>
      <c r="T88" s="61">
        <v>0.36</v>
      </c>
      <c r="U88" s="61">
        <v>0.38</v>
      </c>
      <c r="V88" s="25">
        <v>60</v>
      </c>
      <c r="W88" s="25">
        <v>7</v>
      </c>
      <c r="X88" s="66">
        <v>0</v>
      </c>
      <c r="Y88" s="66">
        <v>0.06</v>
      </c>
      <c r="Z88" s="66">
        <v>0.73</v>
      </c>
      <c r="AA88" s="66">
        <v>0.2</v>
      </c>
      <c r="AB88" s="66">
        <v>0.3</v>
      </c>
      <c r="AC88" s="66">
        <v>0.36</v>
      </c>
      <c r="AD88" s="66">
        <v>0.41</v>
      </c>
      <c r="AE88" s="12">
        <v>61</v>
      </c>
      <c r="AF88" s="12">
        <v>7</v>
      </c>
      <c r="AG88" s="63">
        <v>0</v>
      </c>
      <c r="AH88" s="63">
        <v>0.08</v>
      </c>
      <c r="AI88" s="63">
        <v>0.65</v>
      </c>
      <c r="AJ88" s="63">
        <v>0.28000000000000003</v>
      </c>
      <c r="AK88" s="63">
        <v>0.27</v>
      </c>
      <c r="AL88" s="63">
        <v>0.25</v>
      </c>
      <c r="AM88" s="63">
        <v>0.35</v>
      </c>
      <c r="AN88" s="35">
        <v>62</v>
      </c>
      <c r="AO88" s="35">
        <v>7</v>
      </c>
      <c r="AP88" s="40">
        <v>0</v>
      </c>
      <c r="AQ88" s="40">
        <v>0.05</v>
      </c>
      <c r="AR88" s="40">
        <v>0.64</v>
      </c>
      <c r="AS88" s="40">
        <v>0.31</v>
      </c>
      <c r="AT88" s="40">
        <v>0.3</v>
      </c>
      <c r="AU88" s="40">
        <v>0.24</v>
      </c>
      <c r="AV88" s="40">
        <v>0.28999999999999998</v>
      </c>
      <c r="AW88" s="247">
        <v>62</v>
      </c>
      <c r="AX88" s="247" t="s">
        <v>874</v>
      </c>
      <c r="AY88" s="247">
        <v>9</v>
      </c>
      <c r="AZ88" s="247" t="s">
        <v>874</v>
      </c>
      <c r="BA88" s="264">
        <v>0</v>
      </c>
      <c r="BB88" s="264">
        <v>0.18</v>
      </c>
      <c r="BC88" s="264">
        <v>0.5</v>
      </c>
      <c r="BD88" s="264">
        <v>0.32</v>
      </c>
      <c r="BE88" s="264">
        <v>0.33</v>
      </c>
      <c r="BF88" s="264">
        <v>0.23</v>
      </c>
      <c r="BG88" s="264">
        <v>0.4</v>
      </c>
      <c r="BH88" s="311">
        <v>64</v>
      </c>
      <c r="BI88" s="311" t="s">
        <v>875</v>
      </c>
      <c r="BJ88" s="311">
        <v>7</v>
      </c>
      <c r="BK88" s="311" t="s">
        <v>874</v>
      </c>
      <c r="BL88" s="329">
        <v>0</v>
      </c>
      <c r="BM88" s="329">
        <v>0.04</v>
      </c>
      <c r="BN88" s="329">
        <v>0.48</v>
      </c>
      <c r="BO88" s="329">
        <v>0.48</v>
      </c>
      <c r="BP88" s="329">
        <v>0.28999999999999998</v>
      </c>
      <c r="BQ88" s="329">
        <v>0.22</v>
      </c>
      <c r="BR88" s="329">
        <v>0.24</v>
      </c>
      <c r="BS88" s="426">
        <v>65</v>
      </c>
      <c r="BT88" s="426" t="s">
        <v>875</v>
      </c>
      <c r="BU88" s="426">
        <v>6</v>
      </c>
      <c r="BV88" s="426" t="s">
        <v>874</v>
      </c>
      <c r="BW88" s="430">
        <v>0</v>
      </c>
      <c r="BX88" s="430">
        <v>0</v>
      </c>
      <c r="BY88" s="430">
        <v>0.53</v>
      </c>
      <c r="BZ88" s="430">
        <v>0.47</v>
      </c>
      <c r="CA88" s="430">
        <v>0.2</v>
      </c>
      <c r="CB88" s="430">
        <v>0.27</v>
      </c>
      <c r="CC88" s="430">
        <v>0.3</v>
      </c>
      <c r="CD88" s="466">
        <v>65</v>
      </c>
      <c r="CE88" s="466" t="s">
        <v>875</v>
      </c>
      <c r="CF88" s="466">
        <v>7</v>
      </c>
      <c r="CG88" s="466" t="s">
        <v>874</v>
      </c>
      <c r="CH88" s="480">
        <v>0</v>
      </c>
      <c r="CI88" s="480">
        <v>0.04</v>
      </c>
      <c r="CJ88" s="480">
        <v>0.64</v>
      </c>
      <c r="CK88" s="480">
        <v>0.32</v>
      </c>
      <c r="CL88" s="480">
        <v>0.28999999999999998</v>
      </c>
      <c r="CM88" s="480">
        <v>0.28000000000000003</v>
      </c>
      <c r="CN88" s="480">
        <v>0.19</v>
      </c>
    </row>
    <row r="89" spans="1:92" ht="24.95" customHeight="1" x14ac:dyDescent="0.2">
      <c r="A89" s="814" t="s">
        <v>926</v>
      </c>
      <c r="B89" s="14" t="s">
        <v>221</v>
      </c>
      <c r="C89" s="2">
        <v>6</v>
      </c>
      <c r="D89" s="12"/>
      <c r="E89" s="12"/>
      <c r="F89" s="63"/>
      <c r="G89" s="63"/>
      <c r="H89" s="63"/>
      <c r="I89" s="63"/>
      <c r="J89" s="63"/>
      <c r="K89" s="63"/>
      <c r="L89" s="63"/>
      <c r="M89" s="25"/>
      <c r="N89" s="25"/>
      <c r="O89" s="61"/>
      <c r="P89" s="61"/>
      <c r="Q89" s="61"/>
      <c r="R89" s="61"/>
      <c r="S89" s="61"/>
      <c r="T89" s="61"/>
      <c r="U89" s="61"/>
      <c r="V89" s="25"/>
      <c r="W89" s="25"/>
      <c r="X89" s="66"/>
      <c r="Y89" s="66"/>
      <c r="Z89" s="66"/>
      <c r="AA89" s="66"/>
      <c r="AB89" s="66"/>
      <c r="AC89" s="66"/>
      <c r="AD89" s="66"/>
      <c r="AE89" s="12"/>
      <c r="AF89" s="12"/>
      <c r="AG89" s="63"/>
      <c r="AH89" s="63"/>
      <c r="AI89" s="63"/>
      <c r="AJ89" s="63"/>
      <c r="AK89" s="63"/>
      <c r="AL89" s="63"/>
      <c r="AM89" s="63"/>
      <c r="AN89" s="35"/>
      <c r="AO89" s="35"/>
      <c r="AP89" s="40"/>
      <c r="AQ89" s="40"/>
      <c r="AR89" s="40"/>
      <c r="AS89" s="40"/>
      <c r="AT89" s="40"/>
      <c r="AU89" s="40"/>
      <c r="AV89" s="40"/>
      <c r="AW89" s="247"/>
      <c r="AX89" s="247"/>
      <c r="AY89" s="247"/>
      <c r="AZ89" s="247"/>
      <c r="BA89" s="264"/>
      <c r="BB89" s="264"/>
      <c r="BC89" s="264"/>
      <c r="BD89" s="264"/>
      <c r="BE89" s="264"/>
      <c r="BF89" s="264"/>
      <c r="BG89" s="264"/>
      <c r="BH89" s="311">
        <v>48</v>
      </c>
      <c r="BI89" s="311" t="s">
        <v>874</v>
      </c>
      <c r="BJ89" s="311">
        <v>10</v>
      </c>
      <c r="BK89" s="311" t="s">
        <v>874</v>
      </c>
      <c r="BL89" s="329">
        <v>0.06</v>
      </c>
      <c r="BM89" s="329">
        <v>0.59</v>
      </c>
      <c r="BN89" s="329">
        <v>0.28999999999999998</v>
      </c>
      <c r="BO89" s="329">
        <v>0.06</v>
      </c>
      <c r="BP89" s="329">
        <v>0.56000000000000005</v>
      </c>
      <c r="BQ89" s="329">
        <v>0.45</v>
      </c>
      <c r="BR89" s="329">
        <v>0.57999999999999996</v>
      </c>
      <c r="BS89" s="426">
        <v>53</v>
      </c>
      <c r="BT89" s="426" t="s">
        <v>874</v>
      </c>
      <c r="BU89" s="426">
        <v>0</v>
      </c>
      <c r="BV89" s="426" t="s">
        <v>876</v>
      </c>
      <c r="BW89" s="430">
        <v>0</v>
      </c>
      <c r="BX89" s="430">
        <v>0</v>
      </c>
      <c r="BY89" s="430">
        <v>1</v>
      </c>
      <c r="BZ89" s="430">
        <v>0</v>
      </c>
      <c r="CA89" s="430">
        <v>0.56000000000000005</v>
      </c>
      <c r="CB89" s="430">
        <v>0.36</v>
      </c>
      <c r="CC89" s="430">
        <v>0.42</v>
      </c>
      <c r="CD89" s="647"/>
      <c r="CE89" s="647"/>
      <c r="CF89" s="647"/>
      <c r="CG89" s="647"/>
      <c r="CH89" s="648"/>
      <c r="CI89" s="648"/>
      <c r="CJ89" s="648"/>
      <c r="CK89" s="648"/>
      <c r="CL89" s="648"/>
      <c r="CM89" s="648"/>
      <c r="CN89" s="648"/>
    </row>
    <row r="90" spans="1:92" ht="24.95" customHeight="1" x14ac:dyDescent="0.2">
      <c r="A90" s="819" t="s">
        <v>266</v>
      </c>
      <c r="B90" s="1" t="s">
        <v>221</v>
      </c>
      <c r="C90" s="311">
        <v>3</v>
      </c>
      <c r="D90" s="330"/>
      <c r="E90" s="330"/>
      <c r="F90" s="330"/>
      <c r="G90" s="330"/>
      <c r="H90" s="330"/>
      <c r="I90" s="330"/>
      <c r="J90" s="330"/>
      <c r="K90" s="330"/>
      <c r="L90" s="330"/>
      <c r="M90" s="331"/>
      <c r="N90" s="331"/>
      <c r="O90" s="332"/>
      <c r="P90" s="332"/>
      <c r="Q90" s="332"/>
      <c r="R90" s="332"/>
      <c r="S90" s="332"/>
      <c r="T90" s="332"/>
      <c r="U90" s="332"/>
      <c r="V90" s="331"/>
      <c r="W90" s="331"/>
      <c r="X90" s="330"/>
      <c r="Y90" s="330"/>
      <c r="Z90" s="330"/>
      <c r="AA90" s="330"/>
      <c r="AB90" s="330"/>
      <c r="AC90" s="330"/>
      <c r="AD90" s="330"/>
      <c r="AE90" s="330"/>
      <c r="AF90" s="330"/>
      <c r="AG90" s="311"/>
      <c r="AH90" s="311"/>
      <c r="AI90" s="311"/>
      <c r="AJ90" s="311"/>
      <c r="AK90" s="311"/>
      <c r="AL90" s="311"/>
      <c r="AM90" s="311"/>
      <c r="AN90" s="313">
        <v>59</v>
      </c>
      <c r="AO90" s="313">
        <v>5</v>
      </c>
      <c r="AP90" s="333">
        <v>0</v>
      </c>
      <c r="AQ90" s="333">
        <v>0</v>
      </c>
      <c r="AR90" s="333">
        <v>1</v>
      </c>
      <c r="AS90" s="333">
        <v>0</v>
      </c>
      <c r="AT90" s="333">
        <v>0.36</v>
      </c>
      <c r="AU90" s="333">
        <v>0.24</v>
      </c>
      <c r="AV90" s="333">
        <v>0.36</v>
      </c>
      <c r="AW90" s="314">
        <v>62</v>
      </c>
      <c r="AX90" s="314" t="s">
        <v>874</v>
      </c>
      <c r="AY90" s="314">
        <v>6</v>
      </c>
      <c r="AZ90" s="314" t="s">
        <v>874</v>
      </c>
      <c r="BA90" s="334">
        <v>0</v>
      </c>
      <c r="BB90" s="334">
        <v>0</v>
      </c>
      <c r="BC90" s="334">
        <v>0.56000000000000005</v>
      </c>
      <c r="BD90" s="334">
        <v>0.44</v>
      </c>
      <c r="BE90" s="334">
        <v>0.27</v>
      </c>
      <c r="BF90" s="334">
        <v>0.23</v>
      </c>
      <c r="BG90" s="334">
        <v>0.41</v>
      </c>
      <c r="BH90" s="311">
        <v>64</v>
      </c>
      <c r="BI90" s="311" t="s">
        <v>875</v>
      </c>
      <c r="BJ90" s="311">
        <v>8</v>
      </c>
      <c r="BK90" s="311" t="s">
        <v>874</v>
      </c>
      <c r="BL90" s="329">
        <v>0</v>
      </c>
      <c r="BM90" s="329">
        <v>0.06</v>
      </c>
      <c r="BN90" s="329">
        <v>0.5</v>
      </c>
      <c r="BO90" s="329">
        <v>0.44</v>
      </c>
      <c r="BP90" s="329">
        <v>0.31</v>
      </c>
      <c r="BQ90" s="329">
        <v>0.23</v>
      </c>
      <c r="BR90" s="329">
        <v>0.25</v>
      </c>
      <c r="BS90" s="426">
        <v>62</v>
      </c>
      <c r="BT90" s="426" t="s">
        <v>874</v>
      </c>
      <c r="BU90" s="426">
        <v>5</v>
      </c>
      <c r="BV90" s="426" t="s">
        <v>876</v>
      </c>
      <c r="BW90" s="430">
        <v>0</v>
      </c>
      <c r="BX90" s="430">
        <v>0</v>
      </c>
      <c r="BY90" s="430">
        <v>0.9</v>
      </c>
      <c r="BZ90" s="430">
        <v>0.1</v>
      </c>
      <c r="CA90" s="430">
        <v>0.27</v>
      </c>
      <c r="CB90" s="430">
        <v>0.31</v>
      </c>
      <c r="CC90" s="430">
        <v>0.35</v>
      </c>
      <c r="CD90" s="660">
        <v>61</v>
      </c>
      <c r="CE90" s="660" t="s">
        <v>874</v>
      </c>
      <c r="CF90" s="660">
        <v>7</v>
      </c>
      <c r="CG90" s="660" t="s">
        <v>874</v>
      </c>
      <c r="CH90" s="661">
        <v>0</v>
      </c>
      <c r="CI90" s="661">
        <v>0.06</v>
      </c>
      <c r="CJ90" s="661">
        <v>0.61</v>
      </c>
      <c r="CK90" s="661">
        <v>0.33</v>
      </c>
      <c r="CL90" s="661">
        <v>0.36</v>
      </c>
      <c r="CM90" s="661">
        <v>0.35</v>
      </c>
      <c r="CN90" s="661">
        <v>0.22</v>
      </c>
    </row>
    <row r="91" spans="1:92" ht="24.95" customHeight="1" x14ac:dyDescent="0.2">
      <c r="A91" s="814" t="s">
        <v>232</v>
      </c>
      <c r="B91" s="1" t="s">
        <v>221</v>
      </c>
      <c r="C91" s="2">
        <v>5</v>
      </c>
      <c r="D91" s="12"/>
      <c r="E91" s="12"/>
      <c r="F91" s="12"/>
      <c r="G91" s="12"/>
      <c r="H91" s="12"/>
      <c r="I91" s="12"/>
      <c r="J91" s="12"/>
      <c r="K91" s="12"/>
      <c r="L91" s="12"/>
      <c r="M91" s="12" t="s">
        <v>224</v>
      </c>
      <c r="N91" s="12" t="s">
        <v>224</v>
      </c>
      <c r="O91" s="61"/>
      <c r="P91" s="61"/>
      <c r="Q91" s="61"/>
      <c r="R91" s="61"/>
      <c r="S91" s="61"/>
      <c r="T91" s="61"/>
      <c r="U91" s="61"/>
      <c r="V91" s="12" t="s">
        <v>224</v>
      </c>
      <c r="W91" s="12" t="s">
        <v>224</v>
      </c>
      <c r="X91" s="12"/>
      <c r="Y91" s="12"/>
      <c r="Z91" s="12"/>
      <c r="AA91" s="12"/>
      <c r="AB91" s="12"/>
      <c r="AC91" s="12"/>
      <c r="AD91" s="12"/>
      <c r="AE91" s="12">
        <v>54</v>
      </c>
      <c r="AF91" s="12">
        <v>7</v>
      </c>
      <c r="AG91" s="63">
        <v>0</v>
      </c>
      <c r="AH91" s="63">
        <v>0.33</v>
      </c>
      <c r="AI91" s="63">
        <v>0.67</v>
      </c>
      <c r="AJ91" s="63">
        <v>0</v>
      </c>
      <c r="AK91" s="63">
        <v>0.47</v>
      </c>
      <c r="AL91" s="63">
        <v>0.36</v>
      </c>
      <c r="AM91" s="63">
        <v>0.39</v>
      </c>
      <c r="AN91" s="41"/>
      <c r="AO91" s="41"/>
      <c r="AP91" s="41"/>
      <c r="AQ91" s="41"/>
      <c r="AR91" s="41"/>
      <c r="AS91" s="41"/>
      <c r="AT91" s="41"/>
      <c r="AU91" s="41"/>
      <c r="AV91" s="41"/>
      <c r="AW91" s="652"/>
      <c r="AX91" s="652"/>
      <c r="AY91" s="652"/>
      <c r="AZ91" s="652"/>
      <c r="BA91" s="652"/>
      <c r="BB91" s="652"/>
      <c r="BC91" s="652"/>
      <c r="BD91" s="652"/>
      <c r="BE91" s="652"/>
      <c r="BF91" s="652"/>
      <c r="BG91" s="652"/>
      <c r="BH91" s="655"/>
      <c r="BI91" s="655"/>
      <c r="BJ91" s="655"/>
      <c r="BK91" s="655"/>
      <c r="BL91" s="655"/>
      <c r="BM91" s="655"/>
      <c r="BN91" s="655"/>
      <c r="BO91" s="655"/>
      <c r="BP91" s="655"/>
      <c r="BQ91" s="655"/>
      <c r="BR91" s="655"/>
      <c r="BS91" s="657"/>
      <c r="BT91" s="657"/>
      <c r="BU91" s="657"/>
      <c r="BV91" s="657"/>
      <c r="BW91" s="657"/>
      <c r="BX91" s="657"/>
      <c r="BY91" s="657"/>
      <c r="BZ91" s="657"/>
      <c r="CA91" s="657"/>
      <c r="CB91" s="657"/>
      <c r="CC91" s="657"/>
      <c r="CD91" s="656"/>
      <c r="CE91" s="656"/>
      <c r="CF91" s="656"/>
      <c r="CG91" s="656"/>
      <c r="CH91" s="656"/>
      <c r="CI91" s="656"/>
      <c r="CJ91" s="656"/>
      <c r="CK91" s="656"/>
      <c r="CL91" s="656"/>
      <c r="CM91" s="656"/>
      <c r="CN91" s="656"/>
    </row>
    <row r="92" spans="1:92" ht="24.95" customHeight="1" x14ac:dyDescent="0.2">
      <c r="A92" s="820" t="s">
        <v>153</v>
      </c>
      <c r="B92" s="1" t="s">
        <v>221</v>
      </c>
      <c r="C92" s="2">
        <v>2</v>
      </c>
      <c r="D92" s="12">
        <v>56</v>
      </c>
      <c r="E92" s="12">
        <v>7</v>
      </c>
      <c r="F92" s="63">
        <v>0</v>
      </c>
      <c r="G92" s="63">
        <v>0.28000000000000003</v>
      </c>
      <c r="H92" s="63">
        <v>0.62</v>
      </c>
      <c r="I92" s="63">
        <v>0.1</v>
      </c>
      <c r="J92" s="63">
        <v>0.39</v>
      </c>
      <c r="K92" s="63">
        <v>0.42</v>
      </c>
      <c r="L92" s="63">
        <v>0.51</v>
      </c>
      <c r="M92" s="25">
        <v>56</v>
      </c>
      <c r="N92" s="25">
        <v>7</v>
      </c>
      <c r="O92" s="61">
        <v>0</v>
      </c>
      <c r="P92" s="61">
        <v>0.2</v>
      </c>
      <c r="Q92" s="61">
        <v>0.7</v>
      </c>
      <c r="R92" s="61">
        <v>0.1</v>
      </c>
      <c r="S92" s="61">
        <v>0.39</v>
      </c>
      <c r="T92" s="61">
        <v>0.43</v>
      </c>
      <c r="U92" s="61">
        <v>0.44</v>
      </c>
      <c r="V92" s="25">
        <v>57</v>
      </c>
      <c r="W92" s="25">
        <v>10</v>
      </c>
      <c r="X92" s="66">
        <v>0.06</v>
      </c>
      <c r="Y92" s="66">
        <v>0.12</v>
      </c>
      <c r="Z92" s="66">
        <v>0.65</v>
      </c>
      <c r="AA92" s="66">
        <v>0.18</v>
      </c>
      <c r="AB92" s="66">
        <v>0.37</v>
      </c>
      <c r="AC92" s="66">
        <v>0.47</v>
      </c>
      <c r="AD92" s="66">
        <v>0.43</v>
      </c>
      <c r="AE92" s="12">
        <v>57</v>
      </c>
      <c r="AF92" s="12">
        <v>8</v>
      </c>
      <c r="AG92" s="63">
        <v>0.04</v>
      </c>
      <c r="AH92" s="63">
        <v>0.11</v>
      </c>
      <c r="AI92" s="63">
        <v>0.67</v>
      </c>
      <c r="AJ92" s="63">
        <v>0.19</v>
      </c>
      <c r="AK92" s="63">
        <v>0.41</v>
      </c>
      <c r="AL92" s="63">
        <v>0.31</v>
      </c>
      <c r="AM92" s="63">
        <v>0.34</v>
      </c>
      <c r="AN92" s="45">
        <v>56</v>
      </c>
      <c r="AO92" s="45">
        <v>8</v>
      </c>
      <c r="AP92" s="46">
        <v>0</v>
      </c>
      <c r="AQ92" s="46">
        <v>0.26</v>
      </c>
      <c r="AR92" s="46">
        <v>0.66</v>
      </c>
      <c r="AS92" s="46">
        <v>0.09</v>
      </c>
      <c r="AT92" s="46">
        <v>0.44</v>
      </c>
      <c r="AU92" s="46">
        <v>0.3</v>
      </c>
      <c r="AV92" s="46">
        <v>0.4</v>
      </c>
      <c r="AW92" s="653">
        <v>56</v>
      </c>
      <c r="AX92" s="653" t="s">
        <v>874</v>
      </c>
      <c r="AY92" s="653">
        <v>8</v>
      </c>
      <c r="AZ92" s="653" t="s">
        <v>874</v>
      </c>
      <c r="BA92" s="654">
        <v>0</v>
      </c>
      <c r="BB92" s="654">
        <v>0.23</v>
      </c>
      <c r="BC92" s="654">
        <v>0.62</v>
      </c>
      <c r="BD92" s="654">
        <v>0.15</v>
      </c>
      <c r="BE92" s="654">
        <v>0.39</v>
      </c>
      <c r="BF92" s="654">
        <v>0.3</v>
      </c>
      <c r="BG92" s="654">
        <v>0.49</v>
      </c>
      <c r="BH92" s="74">
        <v>56</v>
      </c>
      <c r="BI92" s="74" t="s">
        <v>874</v>
      </c>
      <c r="BJ92" s="74">
        <v>8</v>
      </c>
      <c r="BK92" s="74" t="s">
        <v>874</v>
      </c>
      <c r="BL92" s="96">
        <v>0.02</v>
      </c>
      <c r="BM92" s="96">
        <v>0.19</v>
      </c>
      <c r="BN92" s="96">
        <v>0.69</v>
      </c>
      <c r="BO92" s="96">
        <v>0.1</v>
      </c>
      <c r="BP92" s="96">
        <v>0.44</v>
      </c>
      <c r="BQ92" s="96">
        <v>0.31</v>
      </c>
      <c r="BR92" s="96">
        <v>0.41</v>
      </c>
      <c r="BS92" s="658">
        <v>57</v>
      </c>
      <c r="BT92" s="658" t="s">
        <v>874</v>
      </c>
      <c r="BU92" s="658">
        <v>8</v>
      </c>
      <c r="BV92" s="658" t="s">
        <v>874</v>
      </c>
      <c r="BW92" s="659">
        <v>0</v>
      </c>
      <c r="BX92" s="659">
        <v>0.15</v>
      </c>
      <c r="BY92" s="659">
        <v>0.7</v>
      </c>
      <c r="BZ92" s="659">
        <v>0.15</v>
      </c>
      <c r="CA92" s="659">
        <v>0.28000000000000003</v>
      </c>
      <c r="CB92" s="659">
        <v>0.45</v>
      </c>
      <c r="CC92" s="659">
        <v>0.43</v>
      </c>
      <c r="CD92" s="74">
        <v>58</v>
      </c>
      <c r="CE92" s="74" t="s">
        <v>874</v>
      </c>
      <c r="CF92" s="74">
        <v>9</v>
      </c>
      <c r="CG92" s="74" t="s">
        <v>874</v>
      </c>
      <c r="CH92" s="96">
        <v>0</v>
      </c>
      <c r="CI92" s="96">
        <v>0.2</v>
      </c>
      <c r="CJ92" s="96">
        <v>0.6</v>
      </c>
      <c r="CK92" s="96">
        <v>0.2</v>
      </c>
      <c r="CL92" s="96">
        <v>0.41</v>
      </c>
      <c r="CM92" s="96">
        <v>0.38</v>
      </c>
      <c r="CN92" s="96">
        <v>0.27</v>
      </c>
    </row>
    <row r="93" spans="1:92" ht="24.95" customHeight="1" x14ac:dyDescent="0.2">
      <c r="A93" s="814" t="s">
        <v>136</v>
      </c>
      <c r="B93" s="1" t="s">
        <v>221</v>
      </c>
      <c r="C93" s="2">
        <v>4</v>
      </c>
      <c r="D93" s="12">
        <v>51</v>
      </c>
      <c r="E93" s="12">
        <v>6</v>
      </c>
      <c r="F93" s="63">
        <v>0</v>
      </c>
      <c r="G93" s="63">
        <v>0.38</v>
      </c>
      <c r="H93" s="63">
        <v>0.62</v>
      </c>
      <c r="I93" s="63">
        <v>0</v>
      </c>
      <c r="J93" s="63">
        <v>0.46</v>
      </c>
      <c r="K93" s="63">
        <v>0.54</v>
      </c>
      <c r="L93" s="63">
        <v>0.57999999999999996</v>
      </c>
      <c r="M93" s="25">
        <v>56</v>
      </c>
      <c r="N93" s="25">
        <v>9</v>
      </c>
      <c r="O93" s="61">
        <v>0.03</v>
      </c>
      <c r="P93" s="61">
        <v>0.14000000000000001</v>
      </c>
      <c r="Q93" s="61">
        <v>0.75</v>
      </c>
      <c r="R93" s="61">
        <v>0.08</v>
      </c>
      <c r="S93" s="61">
        <v>0.37</v>
      </c>
      <c r="T93" s="61">
        <v>0.44</v>
      </c>
      <c r="U93" s="61">
        <v>0.45</v>
      </c>
      <c r="V93" s="25">
        <v>54</v>
      </c>
      <c r="W93" s="25">
        <v>7</v>
      </c>
      <c r="X93" s="66">
        <v>0</v>
      </c>
      <c r="Y93" s="66">
        <v>0.28000000000000003</v>
      </c>
      <c r="Z93" s="66">
        <v>0.67</v>
      </c>
      <c r="AA93" s="66">
        <v>0.06</v>
      </c>
      <c r="AB93" s="66">
        <v>0.43</v>
      </c>
      <c r="AC93" s="66">
        <v>0.48</v>
      </c>
      <c r="AD93" s="66">
        <v>0.52</v>
      </c>
      <c r="AE93" s="12">
        <v>54</v>
      </c>
      <c r="AF93" s="12">
        <v>9</v>
      </c>
      <c r="AG93" s="63">
        <v>0.04</v>
      </c>
      <c r="AH93" s="63">
        <v>0.26</v>
      </c>
      <c r="AI93" s="63">
        <v>0.62</v>
      </c>
      <c r="AJ93" s="63">
        <v>0.08</v>
      </c>
      <c r="AK93" s="63">
        <v>0.41</v>
      </c>
      <c r="AL93" s="63">
        <v>0.37</v>
      </c>
      <c r="AM93" s="63">
        <v>0.42</v>
      </c>
      <c r="AN93" s="35">
        <v>56</v>
      </c>
      <c r="AO93" s="35">
        <v>10</v>
      </c>
      <c r="AP93" s="40">
        <v>0.05</v>
      </c>
      <c r="AQ93" s="40">
        <v>0.26</v>
      </c>
      <c r="AR93" s="40">
        <v>0.54</v>
      </c>
      <c r="AS93" s="40">
        <v>0.15</v>
      </c>
      <c r="AT93" s="40">
        <v>0.43</v>
      </c>
      <c r="AU93" s="40">
        <v>0.34</v>
      </c>
      <c r="AV93" s="40">
        <v>0.38</v>
      </c>
      <c r="AW93" s="247">
        <v>54</v>
      </c>
      <c r="AX93" s="247" t="s">
        <v>874</v>
      </c>
      <c r="AY93" s="247">
        <v>9</v>
      </c>
      <c r="AZ93" s="247" t="s">
        <v>874</v>
      </c>
      <c r="BA93" s="264">
        <v>0</v>
      </c>
      <c r="BB93" s="264">
        <v>0.36</v>
      </c>
      <c r="BC93" s="264">
        <v>0.53</v>
      </c>
      <c r="BD93" s="264">
        <v>0.11</v>
      </c>
      <c r="BE93" s="264">
        <v>0.41</v>
      </c>
      <c r="BF93" s="264">
        <v>0.36</v>
      </c>
      <c r="BG93" s="264">
        <v>0.54</v>
      </c>
      <c r="BH93" s="311">
        <v>57</v>
      </c>
      <c r="BI93" s="311" t="s">
        <v>874</v>
      </c>
      <c r="BJ93" s="311">
        <v>9</v>
      </c>
      <c r="BK93" s="311" t="s">
        <v>874</v>
      </c>
      <c r="BL93" s="329">
        <v>0</v>
      </c>
      <c r="BM93" s="329">
        <v>0.25</v>
      </c>
      <c r="BN93" s="329">
        <v>0.52</v>
      </c>
      <c r="BO93" s="329">
        <v>0.23</v>
      </c>
      <c r="BP93" s="329">
        <v>0.39</v>
      </c>
      <c r="BQ93" s="329">
        <v>0.28999999999999998</v>
      </c>
      <c r="BR93" s="329">
        <v>0.43</v>
      </c>
      <c r="BS93" s="426">
        <v>53</v>
      </c>
      <c r="BT93" s="426" t="s">
        <v>874</v>
      </c>
      <c r="BU93" s="426">
        <v>10</v>
      </c>
      <c r="BV93" s="426" t="s">
        <v>874</v>
      </c>
      <c r="BW93" s="430">
        <v>0.04</v>
      </c>
      <c r="BX93" s="430">
        <v>0.37</v>
      </c>
      <c r="BY93" s="430">
        <v>0.49</v>
      </c>
      <c r="BZ93" s="430">
        <v>0.09</v>
      </c>
      <c r="CA93" s="430">
        <v>0.38</v>
      </c>
      <c r="CB93" s="430">
        <v>0.49</v>
      </c>
      <c r="CC93" s="430">
        <v>0.5</v>
      </c>
      <c r="CD93" s="466">
        <v>58</v>
      </c>
      <c r="CE93" s="466" t="s">
        <v>874</v>
      </c>
      <c r="CF93" s="466">
        <v>9</v>
      </c>
      <c r="CG93" s="466" t="s">
        <v>874</v>
      </c>
      <c r="CH93" s="480">
        <v>0.01</v>
      </c>
      <c r="CI93" s="480">
        <v>0.2</v>
      </c>
      <c r="CJ93" s="480">
        <v>0.63</v>
      </c>
      <c r="CK93" s="480">
        <v>0.16</v>
      </c>
      <c r="CL93" s="480">
        <v>0.38</v>
      </c>
      <c r="CM93" s="480">
        <v>0.4</v>
      </c>
      <c r="CN93" s="480">
        <v>0.31</v>
      </c>
    </row>
    <row r="94" spans="1:92" ht="24.95" customHeight="1" x14ac:dyDescent="0.2">
      <c r="A94" s="814" t="s">
        <v>97</v>
      </c>
      <c r="B94" s="1" t="s">
        <v>221</v>
      </c>
      <c r="C94" s="2">
        <v>2</v>
      </c>
      <c r="D94" s="12">
        <v>63</v>
      </c>
      <c r="E94" s="12">
        <v>8</v>
      </c>
      <c r="F94" s="63">
        <v>0</v>
      </c>
      <c r="G94" s="63">
        <v>0</v>
      </c>
      <c r="H94" s="63">
        <v>0.56999999999999995</v>
      </c>
      <c r="I94" s="63">
        <v>0.43</v>
      </c>
      <c r="J94" s="63">
        <v>0.33</v>
      </c>
      <c r="K94" s="63">
        <v>0.31</v>
      </c>
      <c r="L94" s="63">
        <v>0.3</v>
      </c>
      <c r="M94" s="25">
        <v>48</v>
      </c>
      <c r="N94" s="25">
        <v>5</v>
      </c>
      <c r="O94" s="61">
        <v>0</v>
      </c>
      <c r="P94" s="61">
        <v>0.78</v>
      </c>
      <c r="Q94" s="61">
        <v>0.22</v>
      </c>
      <c r="R94" s="61">
        <v>0</v>
      </c>
      <c r="S94" s="61">
        <v>0.53</v>
      </c>
      <c r="T94" s="61">
        <v>0.52</v>
      </c>
      <c r="U94" s="61">
        <v>0.6</v>
      </c>
      <c r="V94" s="25">
        <v>44</v>
      </c>
      <c r="W94" s="25">
        <v>8</v>
      </c>
      <c r="X94" s="66">
        <v>0</v>
      </c>
      <c r="Y94" s="66">
        <v>0.83</v>
      </c>
      <c r="Z94" s="66">
        <v>0.17</v>
      </c>
      <c r="AA94" s="66">
        <v>0</v>
      </c>
      <c r="AB94" s="66">
        <v>0.62</v>
      </c>
      <c r="AC94" s="66">
        <v>0.56999999999999995</v>
      </c>
      <c r="AD94" s="66">
        <v>0.65</v>
      </c>
      <c r="AE94" s="12">
        <v>51</v>
      </c>
      <c r="AF94" s="12">
        <v>8</v>
      </c>
      <c r="AG94" s="63">
        <v>0</v>
      </c>
      <c r="AH94" s="63">
        <v>0.56000000000000005</v>
      </c>
      <c r="AI94" s="63">
        <v>0.33</v>
      </c>
      <c r="AJ94" s="63">
        <v>0.11</v>
      </c>
      <c r="AK94" s="63">
        <v>0.45</v>
      </c>
      <c r="AL94" s="63">
        <v>0.43</v>
      </c>
      <c r="AM94" s="63">
        <v>0.56999999999999995</v>
      </c>
      <c r="AN94" s="35">
        <v>49</v>
      </c>
      <c r="AO94" s="35">
        <v>6</v>
      </c>
      <c r="AP94" s="40">
        <v>0.09</v>
      </c>
      <c r="AQ94" s="40">
        <v>0.36</v>
      </c>
      <c r="AR94" s="40">
        <v>0.55000000000000004</v>
      </c>
      <c r="AS94" s="40">
        <v>0</v>
      </c>
      <c r="AT94" s="40">
        <v>0.53</v>
      </c>
      <c r="AU94" s="40">
        <v>0.43</v>
      </c>
      <c r="AV94" s="40">
        <v>0.56000000000000005</v>
      </c>
      <c r="AW94" s="247">
        <v>50</v>
      </c>
      <c r="AX94" s="247" t="s">
        <v>874</v>
      </c>
      <c r="AY94" s="247">
        <v>8</v>
      </c>
      <c r="AZ94" s="247" t="s">
        <v>874</v>
      </c>
      <c r="BA94" s="264">
        <v>0</v>
      </c>
      <c r="BB94" s="264">
        <v>0.5</v>
      </c>
      <c r="BC94" s="264">
        <v>0.5</v>
      </c>
      <c r="BD94" s="264">
        <v>0</v>
      </c>
      <c r="BE94" s="264">
        <v>0.55000000000000004</v>
      </c>
      <c r="BF94" s="264">
        <v>0.39</v>
      </c>
      <c r="BG94" s="264">
        <v>0.64</v>
      </c>
      <c r="BH94" s="311">
        <v>52</v>
      </c>
      <c r="BI94" s="311" t="s">
        <v>874</v>
      </c>
      <c r="BJ94" s="311">
        <v>13</v>
      </c>
      <c r="BK94" s="311" t="s">
        <v>875</v>
      </c>
      <c r="BL94" s="329">
        <v>0</v>
      </c>
      <c r="BM94" s="329">
        <v>0.33</v>
      </c>
      <c r="BN94" s="329">
        <v>0.67</v>
      </c>
      <c r="BO94" s="329">
        <v>0</v>
      </c>
      <c r="BP94" s="329">
        <v>0.53</v>
      </c>
      <c r="BQ94" s="329">
        <v>0.35</v>
      </c>
      <c r="BR94" s="329">
        <v>0.45</v>
      </c>
      <c r="BS94" s="426">
        <v>55</v>
      </c>
      <c r="BT94" s="426" t="s">
        <v>874</v>
      </c>
      <c r="BU94" s="426">
        <v>11</v>
      </c>
      <c r="BV94" s="426" t="s">
        <v>874</v>
      </c>
      <c r="BW94" s="430">
        <v>0.13</v>
      </c>
      <c r="BX94" s="430">
        <v>0.13</v>
      </c>
      <c r="BY94" s="430">
        <v>0.63</v>
      </c>
      <c r="BZ94" s="430">
        <v>0.13</v>
      </c>
      <c r="CA94" s="430">
        <v>0.36</v>
      </c>
      <c r="CB94" s="430">
        <v>0.44</v>
      </c>
      <c r="CC94" s="430">
        <v>0.42</v>
      </c>
      <c r="CD94" s="466">
        <v>60</v>
      </c>
      <c r="CE94" s="466" t="s">
        <v>874</v>
      </c>
      <c r="CF94" s="466">
        <v>4</v>
      </c>
      <c r="CG94" s="466" t="s">
        <v>876</v>
      </c>
      <c r="CH94" s="480">
        <v>0</v>
      </c>
      <c r="CI94" s="480">
        <v>0</v>
      </c>
      <c r="CJ94" s="480">
        <v>0.83</v>
      </c>
      <c r="CK94" s="480">
        <v>0.17</v>
      </c>
      <c r="CL94" s="480">
        <v>0.32</v>
      </c>
      <c r="CM94" s="480">
        <v>0.37</v>
      </c>
      <c r="CN94" s="480">
        <v>0.31</v>
      </c>
    </row>
    <row r="95" spans="1:92" ht="24.95" customHeight="1" x14ac:dyDescent="0.2">
      <c r="A95" s="814" t="s">
        <v>180</v>
      </c>
      <c r="B95" s="1" t="s">
        <v>221</v>
      </c>
      <c r="C95" s="2">
        <v>3</v>
      </c>
      <c r="D95" s="12">
        <v>58</v>
      </c>
      <c r="E95" s="12">
        <v>6</v>
      </c>
      <c r="F95" s="63">
        <v>0</v>
      </c>
      <c r="G95" s="63">
        <v>0.13</v>
      </c>
      <c r="H95" s="63">
        <v>0.77</v>
      </c>
      <c r="I95" s="63">
        <v>0.1</v>
      </c>
      <c r="J95" s="63">
        <v>0.34</v>
      </c>
      <c r="K95" s="63">
        <v>0.36</v>
      </c>
      <c r="L95" s="63">
        <v>0.49</v>
      </c>
      <c r="M95" s="25">
        <v>60</v>
      </c>
      <c r="N95" s="25">
        <v>7</v>
      </c>
      <c r="O95" s="61">
        <v>0</v>
      </c>
      <c r="P95" s="61">
        <v>0.09</v>
      </c>
      <c r="Q95" s="61">
        <v>0.69</v>
      </c>
      <c r="R95" s="61">
        <v>0.22</v>
      </c>
      <c r="S95" s="61">
        <v>0.3</v>
      </c>
      <c r="T95" s="61">
        <v>0.36</v>
      </c>
      <c r="U95" s="61">
        <v>0.39</v>
      </c>
      <c r="V95" s="25">
        <v>57</v>
      </c>
      <c r="W95" s="25">
        <v>8</v>
      </c>
      <c r="X95" s="66">
        <v>0</v>
      </c>
      <c r="Y95" s="66">
        <v>0.22</v>
      </c>
      <c r="Z95" s="66">
        <v>0.56000000000000005</v>
      </c>
      <c r="AA95" s="66">
        <v>0.22</v>
      </c>
      <c r="AB95" s="66">
        <v>0.36</v>
      </c>
      <c r="AC95" s="66">
        <v>0.42</v>
      </c>
      <c r="AD95" s="66">
        <v>0.46</v>
      </c>
      <c r="AE95" s="12">
        <v>56</v>
      </c>
      <c r="AF95" s="12">
        <v>9</v>
      </c>
      <c r="AG95" s="63">
        <v>0.02</v>
      </c>
      <c r="AH95" s="63">
        <v>0.25</v>
      </c>
      <c r="AI95" s="63">
        <v>0.63</v>
      </c>
      <c r="AJ95" s="63">
        <v>0.1</v>
      </c>
      <c r="AK95" s="63">
        <v>0.4</v>
      </c>
      <c r="AL95" s="63">
        <v>0.33</v>
      </c>
      <c r="AM95" s="63">
        <v>0.39</v>
      </c>
      <c r="AN95" s="35">
        <v>56</v>
      </c>
      <c r="AO95" s="35">
        <v>9</v>
      </c>
      <c r="AP95" s="40">
        <v>0.06</v>
      </c>
      <c r="AQ95" s="40">
        <v>0.14000000000000001</v>
      </c>
      <c r="AR95" s="40">
        <v>0.68</v>
      </c>
      <c r="AS95" s="40">
        <v>0.11</v>
      </c>
      <c r="AT95" s="40">
        <v>0.45</v>
      </c>
      <c r="AU95" s="40">
        <v>0.31</v>
      </c>
      <c r="AV95" s="40">
        <v>0.37</v>
      </c>
      <c r="AW95" s="247">
        <v>59</v>
      </c>
      <c r="AX95" s="247" t="s">
        <v>874</v>
      </c>
      <c r="AY95" s="247">
        <v>7</v>
      </c>
      <c r="AZ95" s="247" t="s">
        <v>874</v>
      </c>
      <c r="BA95" s="264">
        <v>0</v>
      </c>
      <c r="BB95" s="264">
        <v>0.12</v>
      </c>
      <c r="BC95" s="264">
        <v>0.7</v>
      </c>
      <c r="BD95" s="264">
        <v>0.18</v>
      </c>
      <c r="BE95" s="264">
        <v>0.35</v>
      </c>
      <c r="BF95" s="264">
        <v>0.26</v>
      </c>
      <c r="BG95" s="264">
        <v>0.48</v>
      </c>
      <c r="BH95" s="311">
        <v>58</v>
      </c>
      <c r="BI95" s="311" t="s">
        <v>874</v>
      </c>
      <c r="BJ95" s="311">
        <v>8</v>
      </c>
      <c r="BK95" s="311" t="s">
        <v>874</v>
      </c>
      <c r="BL95" s="329">
        <v>0</v>
      </c>
      <c r="BM95" s="329">
        <v>0.15</v>
      </c>
      <c r="BN95" s="329">
        <v>0.73</v>
      </c>
      <c r="BO95" s="329">
        <v>0.12</v>
      </c>
      <c r="BP95" s="329">
        <v>0.41</v>
      </c>
      <c r="BQ95" s="329">
        <v>0.28000000000000003</v>
      </c>
      <c r="BR95" s="329">
        <v>0.36</v>
      </c>
      <c r="BS95" s="426">
        <v>58</v>
      </c>
      <c r="BT95" s="426" t="s">
        <v>874</v>
      </c>
      <c r="BU95" s="426">
        <v>8</v>
      </c>
      <c r="BV95" s="426" t="s">
        <v>874</v>
      </c>
      <c r="BW95" s="430">
        <v>0</v>
      </c>
      <c r="BX95" s="430">
        <v>0.2</v>
      </c>
      <c r="BY95" s="430">
        <v>0.61</v>
      </c>
      <c r="BZ95" s="430">
        <v>0.19</v>
      </c>
      <c r="CA95" s="430">
        <v>0.3</v>
      </c>
      <c r="CB95" s="430">
        <v>0.38</v>
      </c>
      <c r="CC95" s="430">
        <v>0.43</v>
      </c>
      <c r="CD95" s="466">
        <v>58</v>
      </c>
      <c r="CE95" s="466" t="s">
        <v>874</v>
      </c>
      <c r="CF95" s="466">
        <v>8</v>
      </c>
      <c r="CG95" s="466" t="s">
        <v>874</v>
      </c>
      <c r="CH95" s="480">
        <v>0</v>
      </c>
      <c r="CI95" s="480">
        <v>0.17</v>
      </c>
      <c r="CJ95" s="480">
        <v>0.7</v>
      </c>
      <c r="CK95" s="480">
        <v>0.13</v>
      </c>
      <c r="CL95" s="480">
        <v>0.41</v>
      </c>
      <c r="CM95" s="480">
        <v>0.39</v>
      </c>
      <c r="CN95" s="480">
        <v>0.28999999999999998</v>
      </c>
    </row>
    <row r="96" spans="1:92" ht="24.95" customHeight="1" x14ac:dyDescent="0.2">
      <c r="A96" s="814" t="s">
        <v>170</v>
      </c>
      <c r="B96" s="1" t="s">
        <v>221</v>
      </c>
      <c r="C96" s="2">
        <v>2</v>
      </c>
      <c r="D96" s="12">
        <v>56</v>
      </c>
      <c r="E96" s="12">
        <v>6</v>
      </c>
      <c r="F96" s="63">
        <v>0</v>
      </c>
      <c r="G96" s="63">
        <v>0.24</v>
      </c>
      <c r="H96" s="63">
        <v>0.68</v>
      </c>
      <c r="I96" s="63">
        <v>7.0000000000000007E-2</v>
      </c>
      <c r="J96" s="63">
        <v>0.41</v>
      </c>
      <c r="K96" s="63">
        <v>0.41</v>
      </c>
      <c r="L96" s="63">
        <v>0.54</v>
      </c>
      <c r="M96" s="25">
        <v>57</v>
      </c>
      <c r="N96" s="25">
        <v>9</v>
      </c>
      <c r="O96" s="61">
        <v>0</v>
      </c>
      <c r="P96" s="61">
        <v>0.25</v>
      </c>
      <c r="Q96" s="61">
        <v>0.56000000000000005</v>
      </c>
      <c r="R96" s="61">
        <v>0.19</v>
      </c>
      <c r="S96" s="61">
        <v>0.33</v>
      </c>
      <c r="T96" s="61">
        <v>0.46</v>
      </c>
      <c r="U96" s="61">
        <v>0.43</v>
      </c>
      <c r="V96" s="25">
        <v>54</v>
      </c>
      <c r="W96" s="25">
        <v>7</v>
      </c>
      <c r="X96" s="66">
        <v>0</v>
      </c>
      <c r="Y96" s="66">
        <v>0.3</v>
      </c>
      <c r="Z96" s="66">
        <v>0.7</v>
      </c>
      <c r="AA96" s="66">
        <v>0</v>
      </c>
      <c r="AB96" s="66">
        <v>0.44</v>
      </c>
      <c r="AC96" s="66">
        <v>0.46</v>
      </c>
      <c r="AD96" s="66">
        <v>0.47</v>
      </c>
      <c r="AE96" s="12">
        <v>54</v>
      </c>
      <c r="AF96" s="12">
        <v>9</v>
      </c>
      <c r="AG96" s="63">
        <v>0.05</v>
      </c>
      <c r="AH96" s="63">
        <v>0.24</v>
      </c>
      <c r="AI96" s="63">
        <v>0.68</v>
      </c>
      <c r="AJ96" s="63">
        <v>0.03</v>
      </c>
      <c r="AK96" s="63">
        <v>0.42</v>
      </c>
      <c r="AL96" s="63">
        <v>0.37</v>
      </c>
      <c r="AM96" s="63">
        <v>0.4</v>
      </c>
      <c r="AN96" s="35">
        <v>56</v>
      </c>
      <c r="AO96" s="35">
        <v>7</v>
      </c>
      <c r="AP96" s="40">
        <v>0</v>
      </c>
      <c r="AQ96" s="40">
        <v>0.2</v>
      </c>
      <c r="AR96" s="40">
        <v>0.71</v>
      </c>
      <c r="AS96" s="40">
        <v>0.08</v>
      </c>
      <c r="AT96" s="40">
        <v>0.42</v>
      </c>
      <c r="AU96" s="40">
        <v>0.33</v>
      </c>
      <c r="AV96" s="40">
        <v>0.37</v>
      </c>
      <c r="AW96" s="247">
        <v>58</v>
      </c>
      <c r="AX96" s="247" t="s">
        <v>874</v>
      </c>
      <c r="AY96" s="247">
        <v>11</v>
      </c>
      <c r="AZ96" s="247" t="s">
        <v>874</v>
      </c>
      <c r="BA96" s="264">
        <v>0.04</v>
      </c>
      <c r="BB96" s="264">
        <v>0.19</v>
      </c>
      <c r="BC96" s="264">
        <v>0.55000000000000004</v>
      </c>
      <c r="BD96" s="264">
        <v>0.23</v>
      </c>
      <c r="BE96" s="264">
        <v>0.38</v>
      </c>
      <c r="BF96" s="264">
        <v>0.3</v>
      </c>
      <c r="BG96" s="264">
        <v>0.45</v>
      </c>
      <c r="BH96" s="311">
        <v>60</v>
      </c>
      <c r="BI96" s="311" t="s">
        <v>874</v>
      </c>
      <c r="BJ96" s="311">
        <v>7</v>
      </c>
      <c r="BK96" s="311" t="s">
        <v>874</v>
      </c>
      <c r="BL96" s="329">
        <v>0</v>
      </c>
      <c r="BM96" s="329">
        <v>0.11</v>
      </c>
      <c r="BN96" s="329">
        <v>0.7</v>
      </c>
      <c r="BO96" s="329">
        <v>0.19</v>
      </c>
      <c r="BP96" s="329">
        <v>0.39</v>
      </c>
      <c r="BQ96" s="329">
        <v>0.26</v>
      </c>
      <c r="BR96" s="329">
        <v>0.34</v>
      </c>
      <c r="BS96" s="426">
        <v>58</v>
      </c>
      <c r="BT96" s="426" t="s">
        <v>874</v>
      </c>
      <c r="BU96" s="426">
        <v>8</v>
      </c>
      <c r="BV96" s="426" t="s">
        <v>874</v>
      </c>
      <c r="BW96" s="430">
        <v>0</v>
      </c>
      <c r="BX96" s="430">
        <v>0.26</v>
      </c>
      <c r="BY96" s="430">
        <v>0.56000000000000005</v>
      </c>
      <c r="BZ96" s="430">
        <v>0.18</v>
      </c>
      <c r="CA96" s="430">
        <v>0.31</v>
      </c>
      <c r="CB96" s="430">
        <v>0.39</v>
      </c>
      <c r="CC96" s="430">
        <v>0.45</v>
      </c>
      <c r="CD96" s="466">
        <v>57</v>
      </c>
      <c r="CE96" s="466" t="s">
        <v>874</v>
      </c>
      <c r="CF96" s="466">
        <v>8</v>
      </c>
      <c r="CG96" s="466" t="s">
        <v>874</v>
      </c>
      <c r="CH96" s="480">
        <v>0</v>
      </c>
      <c r="CI96" s="480">
        <v>0.17</v>
      </c>
      <c r="CJ96" s="480">
        <v>0.69</v>
      </c>
      <c r="CK96" s="480">
        <v>0.14000000000000001</v>
      </c>
      <c r="CL96" s="480">
        <v>0.42</v>
      </c>
      <c r="CM96" s="480">
        <v>0.39</v>
      </c>
      <c r="CN96" s="480">
        <v>0.28999999999999998</v>
      </c>
    </row>
    <row r="97" spans="1:92" ht="24.95" customHeight="1" x14ac:dyDescent="0.2">
      <c r="A97" s="814" t="s">
        <v>77</v>
      </c>
      <c r="B97" s="1" t="s">
        <v>221</v>
      </c>
      <c r="C97" s="2">
        <v>2</v>
      </c>
      <c r="D97" s="12">
        <v>54</v>
      </c>
      <c r="E97" s="12">
        <v>10</v>
      </c>
      <c r="F97" s="63">
        <v>0.06</v>
      </c>
      <c r="G97" s="63">
        <v>0.24</v>
      </c>
      <c r="H97" s="63">
        <v>0.53</v>
      </c>
      <c r="I97" s="63">
        <v>0.18</v>
      </c>
      <c r="J97" s="63">
        <v>0.43</v>
      </c>
      <c r="K97" s="63">
        <v>0.52</v>
      </c>
      <c r="L97" s="63">
        <v>0.52</v>
      </c>
      <c r="M97" s="25">
        <v>49</v>
      </c>
      <c r="N97" s="25">
        <v>8</v>
      </c>
      <c r="O97" s="61">
        <v>0.06</v>
      </c>
      <c r="P97" s="61">
        <v>0.41</v>
      </c>
      <c r="Q97" s="61">
        <v>0.53</v>
      </c>
      <c r="R97" s="61">
        <v>0</v>
      </c>
      <c r="S97" s="61">
        <v>0.55000000000000004</v>
      </c>
      <c r="T97" s="61">
        <v>0.56000000000000005</v>
      </c>
      <c r="U97" s="61">
        <v>0.55000000000000004</v>
      </c>
      <c r="V97" s="25">
        <v>53</v>
      </c>
      <c r="W97" s="25">
        <v>9</v>
      </c>
      <c r="X97" s="66">
        <v>0</v>
      </c>
      <c r="Y97" s="66">
        <v>0.47</v>
      </c>
      <c r="Z97" s="66">
        <v>0.53</v>
      </c>
      <c r="AA97" s="66">
        <v>0</v>
      </c>
      <c r="AB97" s="66">
        <v>0.45</v>
      </c>
      <c r="AC97" s="66">
        <v>0.55000000000000004</v>
      </c>
      <c r="AD97" s="66">
        <v>0.5</v>
      </c>
      <c r="AE97" s="12">
        <v>53</v>
      </c>
      <c r="AF97" s="12">
        <v>10</v>
      </c>
      <c r="AG97" s="63">
        <v>0</v>
      </c>
      <c r="AH97" s="63">
        <v>0.36</v>
      </c>
      <c r="AI97" s="63">
        <v>0.55000000000000004</v>
      </c>
      <c r="AJ97" s="63">
        <v>0.09</v>
      </c>
      <c r="AK97" s="63">
        <v>0.45</v>
      </c>
      <c r="AL97" s="63">
        <v>0.31</v>
      </c>
      <c r="AM97" s="63">
        <v>0.39</v>
      </c>
      <c r="AN97" s="35">
        <v>56</v>
      </c>
      <c r="AO97" s="35">
        <v>8</v>
      </c>
      <c r="AP97" s="40">
        <v>0</v>
      </c>
      <c r="AQ97" s="40">
        <v>0.36</v>
      </c>
      <c r="AR97" s="40">
        <v>0.43</v>
      </c>
      <c r="AS97" s="40">
        <v>0.21</v>
      </c>
      <c r="AT97" s="40">
        <v>0.43</v>
      </c>
      <c r="AU97" s="40">
        <v>0.33</v>
      </c>
      <c r="AV97" s="40">
        <v>0.39</v>
      </c>
      <c r="AW97" s="247">
        <v>50</v>
      </c>
      <c r="AX97" s="247" t="s">
        <v>874</v>
      </c>
      <c r="AY97" s="247">
        <v>9</v>
      </c>
      <c r="AZ97" s="247" t="s">
        <v>874</v>
      </c>
      <c r="BA97" s="264">
        <v>0.14000000000000001</v>
      </c>
      <c r="BB97" s="264">
        <v>0.28999999999999998</v>
      </c>
      <c r="BC97" s="264">
        <v>0.56999999999999995</v>
      </c>
      <c r="BD97" s="264">
        <v>0</v>
      </c>
      <c r="BE97" s="264">
        <v>0.51</v>
      </c>
      <c r="BF97" s="264">
        <v>0.35</v>
      </c>
      <c r="BG97" s="264">
        <v>0.65</v>
      </c>
      <c r="BH97" s="311">
        <v>59</v>
      </c>
      <c r="BI97" s="311" t="s">
        <v>874</v>
      </c>
      <c r="BJ97" s="311">
        <v>8</v>
      </c>
      <c r="BK97" s="311" t="s">
        <v>874</v>
      </c>
      <c r="BL97" s="329">
        <v>0</v>
      </c>
      <c r="BM97" s="329">
        <v>0.1</v>
      </c>
      <c r="BN97" s="329">
        <v>0.7</v>
      </c>
      <c r="BO97" s="329">
        <v>0.2</v>
      </c>
      <c r="BP97" s="329">
        <v>0.4</v>
      </c>
      <c r="BQ97" s="329">
        <v>0.28000000000000003</v>
      </c>
      <c r="BR97" s="329">
        <v>0.28999999999999998</v>
      </c>
      <c r="BS97" s="426">
        <v>57</v>
      </c>
      <c r="BT97" s="426" t="s">
        <v>874</v>
      </c>
      <c r="BU97" s="426">
        <v>8</v>
      </c>
      <c r="BV97" s="426" t="s">
        <v>874</v>
      </c>
      <c r="BW97" s="430">
        <v>0</v>
      </c>
      <c r="BX97" s="430">
        <v>0.17</v>
      </c>
      <c r="BY97" s="430">
        <v>0.5</v>
      </c>
      <c r="BZ97" s="430">
        <v>0.33</v>
      </c>
      <c r="CA97" s="430">
        <v>0.3</v>
      </c>
      <c r="CB97" s="430">
        <v>0.45</v>
      </c>
      <c r="CC97" s="430">
        <v>0.41</v>
      </c>
      <c r="CD97" s="466">
        <v>59</v>
      </c>
      <c r="CE97" s="466" t="s">
        <v>874</v>
      </c>
      <c r="CF97" s="466">
        <v>7</v>
      </c>
      <c r="CG97" s="466" t="s">
        <v>874</v>
      </c>
      <c r="CH97" s="480">
        <v>0</v>
      </c>
      <c r="CI97" s="480">
        <v>0</v>
      </c>
      <c r="CJ97" s="480">
        <v>0.71</v>
      </c>
      <c r="CK97" s="480">
        <v>0.28999999999999998</v>
      </c>
      <c r="CL97" s="480">
        <v>0.39</v>
      </c>
      <c r="CM97" s="480">
        <v>0.45</v>
      </c>
      <c r="CN97" s="480">
        <v>0.25</v>
      </c>
    </row>
    <row r="98" spans="1:92" ht="24.95" customHeight="1" x14ac:dyDescent="0.2">
      <c r="A98" s="814" t="s">
        <v>36</v>
      </c>
      <c r="B98" s="1" t="s">
        <v>219</v>
      </c>
      <c r="C98" s="2" t="s">
        <v>220</v>
      </c>
      <c r="D98" s="12">
        <v>53</v>
      </c>
      <c r="E98" s="12">
        <v>8</v>
      </c>
      <c r="F98" s="63">
        <v>0.02</v>
      </c>
      <c r="G98" s="63">
        <v>0.32</v>
      </c>
      <c r="H98" s="63">
        <v>0.66</v>
      </c>
      <c r="I98" s="63">
        <v>0</v>
      </c>
      <c r="J98" s="63">
        <v>0.47</v>
      </c>
      <c r="K98" s="63">
        <v>0.53</v>
      </c>
      <c r="L98" s="63">
        <v>0.56999999999999995</v>
      </c>
      <c r="M98" s="25">
        <v>51</v>
      </c>
      <c r="N98" s="25">
        <v>8</v>
      </c>
      <c r="O98" s="61">
        <v>0.02</v>
      </c>
      <c r="P98" s="61">
        <v>0.43</v>
      </c>
      <c r="Q98" s="61">
        <v>0.5</v>
      </c>
      <c r="R98" s="61">
        <v>0.05</v>
      </c>
      <c r="S98" s="61">
        <v>0.47</v>
      </c>
      <c r="T98" s="61">
        <v>0.53</v>
      </c>
      <c r="U98" s="61">
        <v>0.56999999999999995</v>
      </c>
      <c r="V98" s="25">
        <v>51</v>
      </c>
      <c r="W98" s="25">
        <v>9</v>
      </c>
      <c r="X98" s="66">
        <v>0.09</v>
      </c>
      <c r="Y98" s="66">
        <v>0.41</v>
      </c>
      <c r="Z98" s="66">
        <v>0.44</v>
      </c>
      <c r="AA98" s="66">
        <v>0.06</v>
      </c>
      <c r="AB98" s="66">
        <v>0.52</v>
      </c>
      <c r="AC98" s="66">
        <v>0.49</v>
      </c>
      <c r="AD98" s="66">
        <v>0.54</v>
      </c>
      <c r="AE98" s="12">
        <v>52</v>
      </c>
      <c r="AF98" s="12">
        <v>10</v>
      </c>
      <c r="AG98" s="63">
        <v>0.02</v>
      </c>
      <c r="AH98" s="63">
        <v>0.47</v>
      </c>
      <c r="AI98" s="63">
        <v>0.45</v>
      </c>
      <c r="AJ98" s="63">
        <v>0.06</v>
      </c>
      <c r="AK98" s="63">
        <v>0.49</v>
      </c>
      <c r="AL98" s="63">
        <v>0.37</v>
      </c>
      <c r="AM98" s="63">
        <v>0.45</v>
      </c>
      <c r="AN98" s="35">
        <v>52</v>
      </c>
      <c r="AO98" s="35">
        <v>9</v>
      </c>
      <c r="AP98" s="40">
        <v>0</v>
      </c>
      <c r="AQ98" s="40">
        <v>0.39</v>
      </c>
      <c r="AR98" s="40">
        <v>0.55000000000000004</v>
      </c>
      <c r="AS98" s="40">
        <v>0.05</v>
      </c>
      <c r="AT98" s="40">
        <v>0.5</v>
      </c>
      <c r="AU98" s="40">
        <v>0.38</v>
      </c>
      <c r="AV98" s="40">
        <v>0.47</v>
      </c>
      <c r="AW98" s="247">
        <v>52</v>
      </c>
      <c r="AX98" s="247" t="s">
        <v>874</v>
      </c>
      <c r="AY98" s="247">
        <v>8</v>
      </c>
      <c r="AZ98" s="247" t="s">
        <v>874</v>
      </c>
      <c r="BA98" s="264">
        <v>0.02</v>
      </c>
      <c r="BB98" s="264">
        <v>0.43</v>
      </c>
      <c r="BC98" s="264">
        <v>0.5</v>
      </c>
      <c r="BD98" s="264">
        <v>0.05</v>
      </c>
      <c r="BE98" s="264">
        <v>0.48</v>
      </c>
      <c r="BF98" s="264">
        <v>0.38</v>
      </c>
      <c r="BG98" s="264">
        <v>0.57999999999999996</v>
      </c>
      <c r="BH98" s="311">
        <v>52</v>
      </c>
      <c r="BI98" s="311" t="s">
        <v>874</v>
      </c>
      <c r="BJ98" s="311">
        <v>10</v>
      </c>
      <c r="BK98" s="311" t="s">
        <v>874</v>
      </c>
      <c r="BL98" s="329">
        <v>0.03</v>
      </c>
      <c r="BM98" s="329">
        <v>0.4</v>
      </c>
      <c r="BN98" s="329">
        <v>0.45</v>
      </c>
      <c r="BO98" s="329">
        <v>0.13</v>
      </c>
      <c r="BP98" s="329">
        <v>0.49</v>
      </c>
      <c r="BQ98" s="329">
        <v>0.37</v>
      </c>
      <c r="BR98" s="329">
        <v>0.52</v>
      </c>
      <c r="BS98" s="426">
        <v>51</v>
      </c>
      <c r="BT98" s="426" t="s">
        <v>874</v>
      </c>
      <c r="BU98" s="426">
        <v>9</v>
      </c>
      <c r="BV98" s="426" t="s">
        <v>874</v>
      </c>
      <c r="BW98" s="430">
        <v>0</v>
      </c>
      <c r="BX98" s="430">
        <v>0.44</v>
      </c>
      <c r="BY98" s="430">
        <v>0.54</v>
      </c>
      <c r="BZ98" s="430">
        <v>0.02</v>
      </c>
      <c r="CA98" s="430">
        <v>0.43</v>
      </c>
      <c r="CB98" s="430">
        <v>0.56000000000000005</v>
      </c>
      <c r="CC98" s="430">
        <v>0.5</v>
      </c>
      <c r="CD98" s="466">
        <v>52</v>
      </c>
      <c r="CE98" s="466" t="s">
        <v>874</v>
      </c>
      <c r="CF98" s="466">
        <v>8</v>
      </c>
      <c r="CG98" s="466" t="s">
        <v>874</v>
      </c>
      <c r="CH98" s="480">
        <v>0.02</v>
      </c>
      <c r="CI98" s="480">
        <v>0.34</v>
      </c>
      <c r="CJ98" s="480">
        <v>0.6</v>
      </c>
      <c r="CK98" s="480">
        <v>0.04</v>
      </c>
      <c r="CL98" s="480">
        <v>0.47</v>
      </c>
      <c r="CM98" s="480">
        <v>0.46</v>
      </c>
      <c r="CN98" s="480">
        <v>0.4</v>
      </c>
    </row>
    <row r="99" spans="1:92" ht="24.95" customHeight="1" x14ac:dyDescent="0.2">
      <c r="A99" s="814" t="s">
        <v>225</v>
      </c>
      <c r="B99" s="1" t="s">
        <v>221</v>
      </c>
      <c r="C99" s="2">
        <v>4</v>
      </c>
      <c r="D99" s="12"/>
      <c r="E99" s="12"/>
      <c r="F99" s="12"/>
      <c r="G99" s="12"/>
      <c r="H99" s="12"/>
      <c r="I99" s="12"/>
      <c r="J99" s="12"/>
      <c r="K99" s="12"/>
      <c r="L99" s="12"/>
      <c r="M99" s="25">
        <v>62</v>
      </c>
      <c r="N99" s="25">
        <v>0</v>
      </c>
      <c r="O99" s="61">
        <v>0</v>
      </c>
      <c r="P99" s="61">
        <v>0</v>
      </c>
      <c r="Q99" s="61">
        <v>1</v>
      </c>
      <c r="R99" s="61">
        <v>0</v>
      </c>
      <c r="S99" s="61">
        <v>0.38</v>
      </c>
      <c r="T99" s="61">
        <v>0.4</v>
      </c>
      <c r="U99" s="61">
        <v>0.38</v>
      </c>
      <c r="V99" s="12" t="s">
        <v>224</v>
      </c>
      <c r="W99" s="12" t="s">
        <v>224</v>
      </c>
      <c r="X99" s="12"/>
      <c r="Y99" s="12"/>
      <c r="Z99" s="12"/>
      <c r="AA99" s="12"/>
      <c r="AB99" s="12"/>
      <c r="AC99" s="12"/>
      <c r="AD99" s="12"/>
      <c r="AE99" s="12" t="s">
        <v>224</v>
      </c>
      <c r="AF99" s="12" t="s">
        <v>224</v>
      </c>
      <c r="AG99" s="2"/>
      <c r="AH99" s="2"/>
      <c r="AI99" s="2"/>
      <c r="AJ99" s="2"/>
      <c r="AK99" s="2"/>
      <c r="AL99" s="2"/>
      <c r="AM99" s="2"/>
      <c r="AN99" s="41"/>
      <c r="AO99" s="41"/>
      <c r="AP99" s="41"/>
      <c r="AQ99" s="41"/>
      <c r="AR99" s="41"/>
      <c r="AS99" s="41"/>
      <c r="AT99" s="41"/>
      <c r="AU99" s="41"/>
      <c r="AV99" s="41"/>
      <c r="AW99" s="652"/>
      <c r="AX99" s="652"/>
      <c r="AY99" s="652"/>
      <c r="AZ99" s="652"/>
      <c r="BA99" s="652"/>
      <c r="BB99" s="652"/>
      <c r="BC99" s="652"/>
      <c r="BD99" s="652"/>
      <c r="BE99" s="652"/>
      <c r="BF99" s="652"/>
      <c r="BG99" s="652"/>
      <c r="BH99" s="655"/>
      <c r="BI99" s="655"/>
      <c r="BJ99" s="655"/>
      <c r="BK99" s="655"/>
      <c r="BL99" s="655"/>
      <c r="BM99" s="655"/>
      <c r="BN99" s="655"/>
      <c r="BO99" s="655"/>
      <c r="BP99" s="655"/>
      <c r="BQ99" s="655"/>
      <c r="BR99" s="655"/>
      <c r="BS99" s="657"/>
      <c r="BT99" s="657"/>
      <c r="BU99" s="657"/>
      <c r="BV99" s="657"/>
      <c r="BW99" s="657"/>
      <c r="BX99" s="657"/>
      <c r="BY99" s="657"/>
      <c r="BZ99" s="657"/>
      <c r="CA99" s="657"/>
      <c r="CB99" s="657"/>
      <c r="CC99" s="657"/>
      <c r="CD99" s="656"/>
      <c r="CE99" s="656"/>
      <c r="CF99" s="656"/>
      <c r="CG99" s="656"/>
      <c r="CH99" s="656"/>
      <c r="CI99" s="656"/>
      <c r="CJ99" s="656"/>
      <c r="CK99" s="656"/>
      <c r="CL99" s="656"/>
      <c r="CM99" s="656"/>
      <c r="CN99" s="656"/>
    </row>
    <row r="100" spans="1:92" ht="24.95" customHeight="1" x14ac:dyDescent="0.2">
      <c r="A100" s="814" t="s">
        <v>92</v>
      </c>
      <c r="B100" s="1" t="s">
        <v>219</v>
      </c>
      <c r="C100" s="2">
        <v>1</v>
      </c>
      <c r="D100" s="12">
        <v>51</v>
      </c>
      <c r="E100" s="12">
        <v>8</v>
      </c>
      <c r="F100" s="63">
        <v>0.02</v>
      </c>
      <c r="G100" s="63">
        <v>0.44</v>
      </c>
      <c r="H100" s="63">
        <v>0.5</v>
      </c>
      <c r="I100" s="63">
        <v>0.04</v>
      </c>
      <c r="J100" s="63">
        <v>0.45</v>
      </c>
      <c r="K100" s="63">
        <v>0.49</v>
      </c>
      <c r="L100" s="63">
        <v>0.56000000000000005</v>
      </c>
      <c r="M100" s="25">
        <v>55</v>
      </c>
      <c r="N100" s="25">
        <v>8</v>
      </c>
      <c r="O100" s="61">
        <v>0</v>
      </c>
      <c r="P100" s="61">
        <v>0.35</v>
      </c>
      <c r="Q100" s="61">
        <v>0.53</v>
      </c>
      <c r="R100" s="61">
        <v>0.12</v>
      </c>
      <c r="S100" s="61">
        <v>0.39</v>
      </c>
      <c r="T100" s="61">
        <v>0.45</v>
      </c>
      <c r="U100" s="61">
        <v>0.45</v>
      </c>
      <c r="V100" s="12">
        <v>54</v>
      </c>
      <c r="W100" s="12">
        <v>8</v>
      </c>
      <c r="X100" s="66">
        <v>0.01</v>
      </c>
      <c r="Y100" s="66">
        <v>0.35</v>
      </c>
      <c r="Z100" s="66">
        <v>0.55000000000000004</v>
      </c>
      <c r="AA100" s="66">
        <v>0.09</v>
      </c>
      <c r="AB100" s="66">
        <v>0.44</v>
      </c>
      <c r="AC100" s="66">
        <v>0.49</v>
      </c>
      <c r="AD100" s="66">
        <v>0.51</v>
      </c>
      <c r="AE100" s="12">
        <v>55</v>
      </c>
      <c r="AF100" s="12">
        <v>9</v>
      </c>
      <c r="AG100" s="63">
        <v>0.01</v>
      </c>
      <c r="AH100" s="63">
        <v>0.3</v>
      </c>
      <c r="AI100" s="63">
        <v>0.56999999999999995</v>
      </c>
      <c r="AJ100" s="63">
        <v>0.11</v>
      </c>
      <c r="AK100" s="63">
        <v>0.41</v>
      </c>
      <c r="AL100" s="63">
        <v>0.36</v>
      </c>
      <c r="AM100" s="63">
        <v>0.39</v>
      </c>
      <c r="AN100" s="35">
        <v>53</v>
      </c>
      <c r="AO100" s="35">
        <v>8</v>
      </c>
      <c r="AP100" s="40">
        <v>0.03</v>
      </c>
      <c r="AQ100" s="40">
        <v>0.34</v>
      </c>
      <c r="AR100" s="40">
        <v>0.59</v>
      </c>
      <c r="AS100" s="40">
        <v>0.04</v>
      </c>
      <c r="AT100" s="40">
        <v>0.48</v>
      </c>
      <c r="AU100" s="40">
        <v>0.38</v>
      </c>
      <c r="AV100" s="40">
        <v>0.43</v>
      </c>
      <c r="AW100" s="653">
        <v>55</v>
      </c>
      <c r="AX100" s="653" t="s">
        <v>874</v>
      </c>
      <c r="AY100" s="653">
        <v>9</v>
      </c>
      <c r="AZ100" s="653" t="s">
        <v>874</v>
      </c>
      <c r="BA100" s="654">
        <v>0.01</v>
      </c>
      <c r="BB100" s="654">
        <v>0.32</v>
      </c>
      <c r="BC100" s="654">
        <v>0.56000000000000005</v>
      </c>
      <c r="BD100" s="654">
        <v>0.11</v>
      </c>
      <c r="BE100" s="654">
        <v>0.43</v>
      </c>
      <c r="BF100" s="654">
        <v>0.34</v>
      </c>
      <c r="BG100" s="654">
        <v>0.52</v>
      </c>
      <c r="BH100" s="74">
        <v>53</v>
      </c>
      <c r="BI100" s="74" t="s">
        <v>874</v>
      </c>
      <c r="BJ100" s="74">
        <v>9</v>
      </c>
      <c r="BK100" s="74" t="s">
        <v>874</v>
      </c>
      <c r="BL100" s="96">
        <v>0.04</v>
      </c>
      <c r="BM100" s="96">
        <v>0.34</v>
      </c>
      <c r="BN100" s="96">
        <v>0.56000000000000005</v>
      </c>
      <c r="BO100" s="96">
        <v>0.06</v>
      </c>
      <c r="BP100" s="96">
        <v>0.49</v>
      </c>
      <c r="BQ100" s="96">
        <v>0.39</v>
      </c>
      <c r="BR100" s="96">
        <v>0.47</v>
      </c>
      <c r="BS100" s="658">
        <v>52</v>
      </c>
      <c r="BT100" s="658" t="s">
        <v>874</v>
      </c>
      <c r="BU100" s="658">
        <v>8</v>
      </c>
      <c r="BV100" s="658" t="s">
        <v>874</v>
      </c>
      <c r="BW100" s="659">
        <v>0.01</v>
      </c>
      <c r="BX100" s="659">
        <v>0.44</v>
      </c>
      <c r="BY100" s="659">
        <v>0.49</v>
      </c>
      <c r="BZ100" s="659">
        <v>0.06</v>
      </c>
      <c r="CA100" s="659">
        <v>0.4</v>
      </c>
      <c r="CB100" s="659">
        <v>0.51</v>
      </c>
      <c r="CC100" s="659">
        <v>0.54</v>
      </c>
      <c r="CD100" s="74">
        <v>54</v>
      </c>
      <c r="CE100" s="74" t="s">
        <v>874</v>
      </c>
      <c r="CF100" s="74">
        <v>9</v>
      </c>
      <c r="CG100" s="74" t="s">
        <v>874</v>
      </c>
      <c r="CH100" s="96">
        <v>0.02</v>
      </c>
      <c r="CI100" s="96">
        <v>0.35</v>
      </c>
      <c r="CJ100" s="96">
        <v>0.53</v>
      </c>
      <c r="CK100" s="96">
        <v>0.1</v>
      </c>
      <c r="CL100" s="96">
        <v>0.46</v>
      </c>
      <c r="CM100" s="96">
        <v>0.46</v>
      </c>
      <c r="CN100" s="96">
        <v>0.36</v>
      </c>
    </row>
    <row r="101" spans="1:92" ht="24.95" customHeight="1" x14ac:dyDescent="0.2">
      <c r="A101" s="814" t="s">
        <v>27</v>
      </c>
      <c r="B101" s="1" t="s">
        <v>219</v>
      </c>
      <c r="C101" s="2">
        <v>6</v>
      </c>
      <c r="D101" s="12">
        <v>52</v>
      </c>
      <c r="E101" s="12">
        <v>8</v>
      </c>
      <c r="F101" s="63">
        <v>0.01</v>
      </c>
      <c r="G101" s="63">
        <v>0.42</v>
      </c>
      <c r="H101" s="63">
        <v>0.52</v>
      </c>
      <c r="I101" s="63">
        <v>0.05</v>
      </c>
      <c r="J101" s="63">
        <v>0.44</v>
      </c>
      <c r="K101" s="63">
        <v>0.51</v>
      </c>
      <c r="L101" s="63">
        <v>0.56999999999999995</v>
      </c>
      <c r="M101" s="25">
        <v>52</v>
      </c>
      <c r="N101" s="25">
        <v>8</v>
      </c>
      <c r="O101" s="61">
        <v>0.01</v>
      </c>
      <c r="P101" s="61">
        <v>0.47</v>
      </c>
      <c r="Q101" s="61">
        <v>0.47</v>
      </c>
      <c r="R101" s="61">
        <v>0.05</v>
      </c>
      <c r="S101" s="61">
        <v>0.47</v>
      </c>
      <c r="T101" s="61">
        <v>0.51</v>
      </c>
      <c r="U101" s="61">
        <v>0.51</v>
      </c>
      <c r="V101" s="12">
        <v>51</v>
      </c>
      <c r="W101" s="12">
        <v>9</v>
      </c>
      <c r="X101" s="66">
        <v>0.06</v>
      </c>
      <c r="Y101" s="66">
        <v>0.45</v>
      </c>
      <c r="Z101" s="66">
        <v>0.43</v>
      </c>
      <c r="AA101" s="66">
        <v>0.06</v>
      </c>
      <c r="AB101" s="66">
        <v>0.48</v>
      </c>
      <c r="AC101" s="66">
        <v>0.52</v>
      </c>
      <c r="AD101" s="66">
        <v>0.54</v>
      </c>
      <c r="AE101" s="12">
        <v>52</v>
      </c>
      <c r="AF101" s="12">
        <v>9</v>
      </c>
      <c r="AG101" s="63">
        <v>0.02</v>
      </c>
      <c r="AH101" s="63">
        <v>0.35</v>
      </c>
      <c r="AI101" s="63">
        <v>0.56999999999999995</v>
      </c>
      <c r="AJ101" s="63">
        <v>0.06</v>
      </c>
      <c r="AK101" s="63">
        <v>0.44</v>
      </c>
      <c r="AL101" s="63">
        <v>0.41</v>
      </c>
      <c r="AM101" s="63">
        <v>0.43</v>
      </c>
      <c r="AN101" s="35">
        <v>52</v>
      </c>
      <c r="AO101" s="35">
        <v>8</v>
      </c>
      <c r="AP101" s="40">
        <v>0.01</v>
      </c>
      <c r="AQ101" s="40">
        <v>0.4</v>
      </c>
      <c r="AR101" s="40">
        <v>0.54</v>
      </c>
      <c r="AS101" s="40">
        <v>0.05</v>
      </c>
      <c r="AT101" s="40">
        <v>0.48</v>
      </c>
      <c r="AU101" s="40">
        <v>0.4</v>
      </c>
      <c r="AV101" s="40">
        <v>0.46</v>
      </c>
      <c r="AW101" s="247">
        <v>52</v>
      </c>
      <c r="AX101" s="247" t="s">
        <v>874</v>
      </c>
      <c r="AY101" s="247">
        <v>9</v>
      </c>
      <c r="AZ101" s="247" t="s">
        <v>874</v>
      </c>
      <c r="BA101" s="264">
        <v>0.04</v>
      </c>
      <c r="BB101" s="264">
        <v>0.42</v>
      </c>
      <c r="BC101" s="264">
        <v>0.48</v>
      </c>
      <c r="BD101" s="264">
        <v>0.06</v>
      </c>
      <c r="BE101" s="264">
        <v>0.47</v>
      </c>
      <c r="BF101" s="264">
        <v>0.37</v>
      </c>
      <c r="BG101" s="264">
        <v>0.57999999999999996</v>
      </c>
      <c r="BH101" s="311">
        <v>52</v>
      </c>
      <c r="BI101" s="311" t="s">
        <v>874</v>
      </c>
      <c r="BJ101" s="311">
        <v>8</v>
      </c>
      <c r="BK101" s="311" t="s">
        <v>874</v>
      </c>
      <c r="BL101" s="329">
        <v>0.02</v>
      </c>
      <c r="BM101" s="329">
        <v>0.39</v>
      </c>
      <c r="BN101" s="329">
        <v>0.54</v>
      </c>
      <c r="BO101" s="329">
        <v>0.05</v>
      </c>
      <c r="BP101" s="329">
        <v>0.51</v>
      </c>
      <c r="BQ101" s="329">
        <v>0.4</v>
      </c>
      <c r="BR101" s="329">
        <v>0.48</v>
      </c>
      <c r="BS101" s="426">
        <v>52</v>
      </c>
      <c r="BT101" s="426" t="s">
        <v>874</v>
      </c>
      <c r="BU101" s="426">
        <v>8</v>
      </c>
      <c r="BV101" s="426" t="s">
        <v>874</v>
      </c>
      <c r="BW101" s="430">
        <v>0.02</v>
      </c>
      <c r="BX101" s="430">
        <v>0.39</v>
      </c>
      <c r="BY101" s="430">
        <v>0.54</v>
      </c>
      <c r="BZ101" s="430">
        <v>0.04</v>
      </c>
      <c r="CA101" s="430">
        <v>0.4</v>
      </c>
      <c r="CB101" s="430">
        <v>0.51</v>
      </c>
      <c r="CC101" s="430">
        <v>0.53</v>
      </c>
      <c r="CD101" s="466">
        <v>53</v>
      </c>
      <c r="CE101" s="466" t="s">
        <v>874</v>
      </c>
      <c r="CF101" s="466">
        <v>8</v>
      </c>
      <c r="CG101" s="466" t="s">
        <v>874</v>
      </c>
      <c r="CH101" s="480">
        <v>0.01</v>
      </c>
      <c r="CI101" s="480">
        <v>0.38</v>
      </c>
      <c r="CJ101" s="480">
        <v>0.55000000000000004</v>
      </c>
      <c r="CK101" s="480">
        <v>0.06</v>
      </c>
      <c r="CL101" s="480">
        <v>0.48</v>
      </c>
      <c r="CM101" s="480">
        <v>0.47</v>
      </c>
      <c r="CN101" s="480">
        <v>0.39</v>
      </c>
    </row>
    <row r="102" spans="1:92" ht="24.95" customHeight="1" x14ac:dyDescent="0.2">
      <c r="A102" s="814" t="s">
        <v>147</v>
      </c>
      <c r="B102" s="1" t="s">
        <v>219</v>
      </c>
      <c r="C102" s="2">
        <v>5</v>
      </c>
      <c r="D102" s="12">
        <v>55</v>
      </c>
      <c r="E102" s="12">
        <v>8</v>
      </c>
      <c r="F102" s="63">
        <v>0.01</v>
      </c>
      <c r="G102" s="63">
        <v>0.3</v>
      </c>
      <c r="H102" s="63">
        <v>0.6</v>
      </c>
      <c r="I102" s="63">
        <v>0.09</v>
      </c>
      <c r="J102" s="63">
        <v>0.42</v>
      </c>
      <c r="K102" s="63">
        <v>0.46</v>
      </c>
      <c r="L102" s="63">
        <v>0.52</v>
      </c>
      <c r="M102" s="25">
        <v>55</v>
      </c>
      <c r="N102" s="25">
        <v>9</v>
      </c>
      <c r="O102" s="61">
        <v>0.02</v>
      </c>
      <c r="P102" s="61">
        <v>0.28999999999999998</v>
      </c>
      <c r="Q102" s="61">
        <v>0.57999999999999996</v>
      </c>
      <c r="R102" s="61">
        <v>0.11</v>
      </c>
      <c r="S102" s="61">
        <v>0.41</v>
      </c>
      <c r="T102" s="61">
        <v>0.45</v>
      </c>
      <c r="U102" s="61">
        <v>0.47</v>
      </c>
      <c r="V102" s="12">
        <v>54</v>
      </c>
      <c r="W102" s="12">
        <v>8</v>
      </c>
      <c r="X102" s="66">
        <v>0.01</v>
      </c>
      <c r="Y102" s="66">
        <v>0.32</v>
      </c>
      <c r="Z102" s="66">
        <v>0.57999999999999996</v>
      </c>
      <c r="AA102" s="66">
        <v>0.09</v>
      </c>
      <c r="AB102" s="66">
        <v>0.43</v>
      </c>
      <c r="AC102" s="66">
        <v>0.47</v>
      </c>
      <c r="AD102" s="66">
        <v>0.51</v>
      </c>
      <c r="AE102" s="12">
        <v>54</v>
      </c>
      <c r="AF102" s="12">
        <v>8</v>
      </c>
      <c r="AG102" s="63">
        <v>0.02</v>
      </c>
      <c r="AH102" s="63">
        <v>0.28000000000000003</v>
      </c>
      <c r="AI102" s="63">
        <v>0.62</v>
      </c>
      <c r="AJ102" s="63">
        <v>7.0000000000000007E-2</v>
      </c>
      <c r="AK102" s="63">
        <v>0.41</v>
      </c>
      <c r="AL102" s="63">
        <v>0.36</v>
      </c>
      <c r="AM102" s="63">
        <v>0.42</v>
      </c>
      <c r="AN102" s="35">
        <v>54</v>
      </c>
      <c r="AO102" s="35">
        <v>8</v>
      </c>
      <c r="AP102" s="40">
        <v>0.01</v>
      </c>
      <c r="AQ102" s="40">
        <v>0.31</v>
      </c>
      <c r="AR102" s="40">
        <v>0.6</v>
      </c>
      <c r="AS102" s="40">
        <v>0.08</v>
      </c>
      <c r="AT102" s="40">
        <v>0.47</v>
      </c>
      <c r="AU102" s="40">
        <v>0.35</v>
      </c>
      <c r="AV102" s="40">
        <v>0.43</v>
      </c>
      <c r="AW102" s="247">
        <v>54</v>
      </c>
      <c r="AX102" s="247" t="s">
        <v>874</v>
      </c>
      <c r="AY102" s="247">
        <v>9</v>
      </c>
      <c r="AZ102" s="247" t="s">
        <v>874</v>
      </c>
      <c r="BA102" s="264">
        <v>0.01</v>
      </c>
      <c r="BB102" s="264">
        <v>0.36</v>
      </c>
      <c r="BC102" s="264">
        <v>0.49</v>
      </c>
      <c r="BD102" s="264">
        <v>0.13</v>
      </c>
      <c r="BE102" s="264">
        <v>0.44</v>
      </c>
      <c r="BF102" s="264">
        <v>0.35</v>
      </c>
      <c r="BG102" s="264">
        <v>0.54</v>
      </c>
      <c r="BH102" s="311">
        <v>55</v>
      </c>
      <c r="BI102" s="311" t="s">
        <v>874</v>
      </c>
      <c r="BJ102" s="311">
        <v>8</v>
      </c>
      <c r="BK102" s="311" t="s">
        <v>874</v>
      </c>
      <c r="BL102" s="329">
        <v>0.01</v>
      </c>
      <c r="BM102" s="329">
        <v>0.27</v>
      </c>
      <c r="BN102" s="329">
        <v>0.63</v>
      </c>
      <c r="BO102" s="329">
        <v>0.09</v>
      </c>
      <c r="BP102" s="329">
        <v>0.46</v>
      </c>
      <c r="BQ102" s="329">
        <v>0.34</v>
      </c>
      <c r="BR102" s="329">
        <v>0.45</v>
      </c>
      <c r="BS102" s="426">
        <v>55</v>
      </c>
      <c r="BT102" s="426" t="s">
        <v>874</v>
      </c>
      <c r="BU102" s="426">
        <v>10</v>
      </c>
      <c r="BV102" s="426" t="s">
        <v>874</v>
      </c>
      <c r="BW102" s="430">
        <v>0.03</v>
      </c>
      <c r="BX102" s="430">
        <v>0.28999999999999998</v>
      </c>
      <c r="BY102" s="430">
        <v>0.56000000000000005</v>
      </c>
      <c r="BZ102" s="430">
        <v>0.13</v>
      </c>
      <c r="CA102" s="430">
        <v>0.35</v>
      </c>
      <c r="CB102" s="430">
        <v>0.45</v>
      </c>
      <c r="CC102" s="430">
        <v>0.48</v>
      </c>
      <c r="CD102" s="466">
        <v>56</v>
      </c>
      <c r="CE102" s="466" t="s">
        <v>874</v>
      </c>
      <c r="CF102" s="466">
        <v>9</v>
      </c>
      <c r="CG102" s="466" t="s">
        <v>874</v>
      </c>
      <c r="CH102" s="480">
        <v>0.02</v>
      </c>
      <c r="CI102" s="480">
        <v>0.21</v>
      </c>
      <c r="CJ102" s="480">
        <v>0.61</v>
      </c>
      <c r="CK102" s="480">
        <v>0.15</v>
      </c>
      <c r="CL102" s="480">
        <v>0.42</v>
      </c>
      <c r="CM102" s="480">
        <v>0.42</v>
      </c>
      <c r="CN102" s="480">
        <v>0.3</v>
      </c>
    </row>
    <row r="103" spans="1:92" ht="24.6" customHeight="1" x14ac:dyDescent="0.2">
      <c r="A103" s="814" t="s">
        <v>112</v>
      </c>
      <c r="B103" s="1" t="s">
        <v>219</v>
      </c>
      <c r="C103" s="2">
        <v>4</v>
      </c>
      <c r="D103" s="12">
        <v>49</v>
      </c>
      <c r="E103" s="12">
        <v>8</v>
      </c>
      <c r="F103" s="63">
        <v>0.03</v>
      </c>
      <c r="G103" s="63">
        <v>0.56999999999999995</v>
      </c>
      <c r="H103" s="63">
        <v>0.38</v>
      </c>
      <c r="I103" s="63">
        <v>0.02</v>
      </c>
      <c r="J103" s="63">
        <v>0.5</v>
      </c>
      <c r="K103" s="63">
        <v>0.57999999999999996</v>
      </c>
      <c r="L103" s="63">
        <v>0.65</v>
      </c>
      <c r="M103" s="25">
        <v>51</v>
      </c>
      <c r="N103" s="25">
        <v>9</v>
      </c>
      <c r="O103" s="61">
        <v>0.03</v>
      </c>
      <c r="P103" s="61">
        <v>0.46</v>
      </c>
      <c r="Q103" s="61">
        <v>0.45</v>
      </c>
      <c r="R103" s="61">
        <v>0.06</v>
      </c>
      <c r="S103" s="61">
        <v>0.47</v>
      </c>
      <c r="T103" s="61">
        <v>0.51</v>
      </c>
      <c r="U103" s="61">
        <v>0.52</v>
      </c>
      <c r="V103" s="12">
        <v>49</v>
      </c>
      <c r="W103" s="12">
        <v>9</v>
      </c>
      <c r="X103" s="66">
        <v>0.06</v>
      </c>
      <c r="Y103" s="66">
        <v>0.53</v>
      </c>
      <c r="Z103" s="66">
        <v>0.37</v>
      </c>
      <c r="AA103" s="66">
        <v>0.04</v>
      </c>
      <c r="AB103" s="66">
        <v>0.54</v>
      </c>
      <c r="AC103" s="66">
        <v>0.56000000000000005</v>
      </c>
      <c r="AD103" s="66">
        <v>0.56999999999999995</v>
      </c>
      <c r="AE103" s="12">
        <v>47</v>
      </c>
      <c r="AF103" s="12">
        <v>9</v>
      </c>
      <c r="AG103" s="63">
        <v>0.11</v>
      </c>
      <c r="AH103" s="63">
        <v>0.56999999999999995</v>
      </c>
      <c r="AI103" s="63">
        <v>0.28999999999999998</v>
      </c>
      <c r="AJ103" s="63">
        <v>0.03</v>
      </c>
      <c r="AK103" s="63">
        <v>0.55000000000000004</v>
      </c>
      <c r="AL103" s="63">
        <v>0.5</v>
      </c>
      <c r="AM103" s="63">
        <v>0.52</v>
      </c>
      <c r="AN103" s="35">
        <v>49</v>
      </c>
      <c r="AO103" s="35">
        <v>9</v>
      </c>
      <c r="AP103" s="40">
        <v>7.0000000000000007E-2</v>
      </c>
      <c r="AQ103" s="40">
        <v>0.47</v>
      </c>
      <c r="AR103" s="40">
        <v>0.44</v>
      </c>
      <c r="AS103" s="40">
        <v>0.03</v>
      </c>
      <c r="AT103" s="40">
        <v>0.53</v>
      </c>
      <c r="AU103" s="40">
        <v>0.45</v>
      </c>
      <c r="AV103" s="40">
        <v>0.5</v>
      </c>
      <c r="AW103" s="247">
        <v>50</v>
      </c>
      <c r="AX103" s="247" t="s">
        <v>874</v>
      </c>
      <c r="AY103" s="247">
        <v>8</v>
      </c>
      <c r="AZ103" s="247" t="s">
        <v>874</v>
      </c>
      <c r="BA103" s="264">
        <v>0.03</v>
      </c>
      <c r="BB103" s="264">
        <v>0.55000000000000004</v>
      </c>
      <c r="BC103" s="264">
        <v>0.36</v>
      </c>
      <c r="BD103" s="264">
        <v>0.06</v>
      </c>
      <c r="BE103" s="264">
        <v>0.5</v>
      </c>
      <c r="BF103" s="264">
        <v>0.41</v>
      </c>
      <c r="BG103" s="264">
        <v>0.6</v>
      </c>
      <c r="BH103" s="311">
        <v>51</v>
      </c>
      <c r="BI103" s="311" t="s">
        <v>874</v>
      </c>
      <c r="BJ103" s="311">
        <v>9</v>
      </c>
      <c r="BK103" s="311" t="s">
        <v>874</v>
      </c>
      <c r="BL103" s="329">
        <v>0.03</v>
      </c>
      <c r="BM103" s="329">
        <v>0.44</v>
      </c>
      <c r="BN103" s="329">
        <v>0.48</v>
      </c>
      <c r="BO103" s="329">
        <v>0.05</v>
      </c>
      <c r="BP103" s="329">
        <v>0.53</v>
      </c>
      <c r="BQ103" s="329">
        <v>0.4</v>
      </c>
      <c r="BR103" s="329">
        <v>0.52</v>
      </c>
      <c r="BS103" s="426">
        <v>48</v>
      </c>
      <c r="BT103" s="426" t="s">
        <v>874</v>
      </c>
      <c r="BU103" s="426">
        <v>7</v>
      </c>
      <c r="BV103" s="426" t="s">
        <v>874</v>
      </c>
      <c r="BW103" s="430">
        <v>7.0000000000000007E-2</v>
      </c>
      <c r="BX103" s="430">
        <v>0.52</v>
      </c>
      <c r="BY103" s="430">
        <v>0.41</v>
      </c>
      <c r="BZ103" s="430">
        <v>0</v>
      </c>
      <c r="CA103" s="430">
        <v>0.46</v>
      </c>
      <c r="CB103" s="430">
        <v>0.59</v>
      </c>
      <c r="CC103" s="430">
        <v>0.6</v>
      </c>
      <c r="CD103" s="466">
        <v>51</v>
      </c>
      <c r="CE103" s="466" t="s">
        <v>874</v>
      </c>
      <c r="CF103" s="466">
        <v>9</v>
      </c>
      <c r="CG103" s="466" t="s">
        <v>874</v>
      </c>
      <c r="CH103" s="480">
        <v>0.05</v>
      </c>
      <c r="CI103" s="480">
        <v>0.43</v>
      </c>
      <c r="CJ103" s="480">
        <v>0.51</v>
      </c>
      <c r="CK103" s="480">
        <v>0.01</v>
      </c>
      <c r="CL103" s="480">
        <v>0.5</v>
      </c>
      <c r="CM103" s="480">
        <v>0.5</v>
      </c>
      <c r="CN103" s="480">
        <v>0.41</v>
      </c>
    </row>
    <row r="104" spans="1:92" ht="24.95" customHeight="1" x14ac:dyDescent="0.2">
      <c r="A104" s="814" t="s">
        <v>48</v>
      </c>
      <c r="B104" s="1" t="s">
        <v>219</v>
      </c>
      <c r="C104" s="2">
        <v>4</v>
      </c>
      <c r="D104" s="12">
        <v>50</v>
      </c>
      <c r="E104" s="12">
        <v>6</v>
      </c>
      <c r="F104" s="63">
        <v>0</v>
      </c>
      <c r="G104" s="63">
        <v>0.54</v>
      </c>
      <c r="H104" s="63">
        <v>0.46</v>
      </c>
      <c r="I104" s="63">
        <v>0</v>
      </c>
      <c r="J104" s="63">
        <v>0.51</v>
      </c>
      <c r="K104" s="63">
        <v>0.53</v>
      </c>
      <c r="L104" s="63">
        <v>0.65</v>
      </c>
      <c r="M104" s="25">
        <v>50</v>
      </c>
      <c r="N104" s="25">
        <v>8</v>
      </c>
      <c r="O104" s="61">
        <v>0.03</v>
      </c>
      <c r="P104" s="61">
        <v>0.52</v>
      </c>
      <c r="Q104" s="61">
        <v>0.41</v>
      </c>
      <c r="R104" s="61">
        <v>0.03</v>
      </c>
      <c r="S104" s="61">
        <v>0.51</v>
      </c>
      <c r="T104" s="61">
        <v>0.55000000000000004</v>
      </c>
      <c r="U104" s="61">
        <v>0.51</v>
      </c>
      <c r="V104" s="12">
        <v>52</v>
      </c>
      <c r="W104" s="12">
        <v>10</v>
      </c>
      <c r="X104" s="66">
        <v>0.03</v>
      </c>
      <c r="Y104" s="66">
        <v>0.41</v>
      </c>
      <c r="Z104" s="66">
        <v>0.48</v>
      </c>
      <c r="AA104" s="66">
        <v>7.0000000000000007E-2</v>
      </c>
      <c r="AB104" s="66">
        <v>0.48</v>
      </c>
      <c r="AC104" s="66">
        <v>0.49</v>
      </c>
      <c r="AD104" s="66">
        <v>0.53</v>
      </c>
      <c r="AE104" s="12">
        <v>51</v>
      </c>
      <c r="AF104" s="12">
        <v>7</v>
      </c>
      <c r="AG104" s="63">
        <v>0</v>
      </c>
      <c r="AH104" s="63">
        <v>0.48</v>
      </c>
      <c r="AI104" s="63">
        <v>0.52</v>
      </c>
      <c r="AJ104" s="63">
        <v>0</v>
      </c>
      <c r="AK104" s="63">
        <v>0.49</v>
      </c>
      <c r="AL104" s="63">
        <v>0.41</v>
      </c>
      <c r="AM104" s="63">
        <v>0.43</v>
      </c>
      <c r="AN104" s="35">
        <v>49</v>
      </c>
      <c r="AO104" s="35">
        <v>7</v>
      </c>
      <c r="AP104" s="40">
        <v>0.03</v>
      </c>
      <c r="AQ104" s="40">
        <v>0.52</v>
      </c>
      <c r="AR104" s="40">
        <v>0.45</v>
      </c>
      <c r="AS104" s="40">
        <v>0</v>
      </c>
      <c r="AT104" s="40">
        <v>0.54</v>
      </c>
      <c r="AU104" s="40">
        <v>0.42</v>
      </c>
      <c r="AV104" s="40">
        <v>0.52</v>
      </c>
      <c r="AW104" s="247">
        <v>50</v>
      </c>
      <c r="AX104" s="247" t="s">
        <v>874</v>
      </c>
      <c r="AY104" s="247">
        <v>7</v>
      </c>
      <c r="AZ104" s="247" t="s">
        <v>874</v>
      </c>
      <c r="BA104" s="264">
        <v>0.03</v>
      </c>
      <c r="BB104" s="264">
        <v>0.44</v>
      </c>
      <c r="BC104" s="264">
        <v>0.53</v>
      </c>
      <c r="BD104" s="264">
        <v>0</v>
      </c>
      <c r="BE104" s="264">
        <v>0.45</v>
      </c>
      <c r="BF104" s="264">
        <v>0.42</v>
      </c>
      <c r="BG104" s="264">
        <v>0.62</v>
      </c>
      <c r="BH104" s="311">
        <v>54</v>
      </c>
      <c r="BI104" s="311" t="s">
        <v>874</v>
      </c>
      <c r="BJ104" s="311">
        <v>7</v>
      </c>
      <c r="BK104" s="311" t="s">
        <v>874</v>
      </c>
      <c r="BL104" s="329">
        <v>0</v>
      </c>
      <c r="BM104" s="329">
        <v>0.39</v>
      </c>
      <c r="BN104" s="329">
        <v>0.48</v>
      </c>
      <c r="BO104" s="329">
        <v>0.12</v>
      </c>
      <c r="BP104" s="329">
        <v>0.46</v>
      </c>
      <c r="BQ104" s="329">
        <v>0.39</v>
      </c>
      <c r="BR104" s="329">
        <v>0.47</v>
      </c>
      <c r="BS104" s="426">
        <v>51</v>
      </c>
      <c r="BT104" s="426" t="s">
        <v>874</v>
      </c>
      <c r="BU104" s="426">
        <v>9</v>
      </c>
      <c r="BV104" s="426" t="s">
        <v>874</v>
      </c>
      <c r="BW104" s="430">
        <v>7.0000000000000007E-2</v>
      </c>
      <c r="BX104" s="430">
        <v>0.36</v>
      </c>
      <c r="BY104" s="430">
        <v>0.5</v>
      </c>
      <c r="BZ104" s="430">
        <v>7.0000000000000007E-2</v>
      </c>
      <c r="CA104" s="430">
        <v>0.41</v>
      </c>
      <c r="CB104" s="430">
        <v>0.55000000000000004</v>
      </c>
      <c r="CC104" s="430">
        <v>0.56000000000000005</v>
      </c>
      <c r="CD104" s="466">
        <v>51</v>
      </c>
      <c r="CE104" s="466" t="s">
        <v>874</v>
      </c>
      <c r="CF104" s="466">
        <v>9</v>
      </c>
      <c r="CG104" s="466" t="s">
        <v>874</v>
      </c>
      <c r="CH104" s="480">
        <v>0.03</v>
      </c>
      <c r="CI104" s="480">
        <v>0.44</v>
      </c>
      <c r="CJ104" s="480">
        <v>0.47</v>
      </c>
      <c r="CK104" s="480">
        <v>0.06</v>
      </c>
      <c r="CL104" s="480">
        <v>0.49</v>
      </c>
      <c r="CM104" s="480">
        <v>0.47</v>
      </c>
      <c r="CN104" s="480">
        <v>0.47</v>
      </c>
    </row>
    <row r="105" spans="1:92" ht="24.95" customHeight="1" x14ac:dyDescent="0.2">
      <c r="A105" s="814" t="s">
        <v>890</v>
      </c>
      <c r="B105" s="1" t="s">
        <v>219</v>
      </c>
      <c r="C105" s="2">
        <v>3</v>
      </c>
      <c r="D105" s="12">
        <v>54</v>
      </c>
      <c r="E105" s="12">
        <v>8</v>
      </c>
      <c r="F105" s="63">
        <v>0.02</v>
      </c>
      <c r="G105" s="63">
        <v>0.33</v>
      </c>
      <c r="H105" s="63">
        <v>0.6</v>
      </c>
      <c r="I105" s="63">
        <v>0.05</v>
      </c>
      <c r="J105" s="63">
        <v>0.49</v>
      </c>
      <c r="K105" s="63">
        <v>0.49</v>
      </c>
      <c r="L105" s="63">
        <v>0.53</v>
      </c>
      <c r="M105" s="25">
        <v>56</v>
      </c>
      <c r="N105" s="25">
        <v>9</v>
      </c>
      <c r="O105" s="61">
        <v>0.01</v>
      </c>
      <c r="P105" s="61">
        <v>0.23</v>
      </c>
      <c r="Q105" s="61">
        <v>0.63</v>
      </c>
      <c r="R105" s="61">
        <v>0.12</v>
      </c>
      <c r="S105" s="61">
        <v>0.42</v>
      </c>
      <c r="T105" s="61">
        <v>0.47</v>
      </c>
      <c r="U105" s="61">
        <v>0.46</v>
      </c>
      <c r="V105" s="12">
        <v>54</v>
      </c>
      <c r="W105" s="12">
        <v>8</v>
      </c>
      <c r="X105" s="66">
        <v>0.01</v>
      </c>
      <c r="Y105" s="66">
        <v>0.28000000000000003</v>
      </c>
      <c r="Z105" s="66">
        <v>0.63</v>
      </c>
      <c r="AA105" s="66">
        <v>0.08</v>
      </c>
      <c r="AB105" s="66">
        <v>0.42</v>
      </c>
      <c r="AC105" s="66">
        <v>0.49</v>
      </c>
      <c r="AD105" s="66">
        <v>0.51</v>
      </c>
      <c r="AE105" s="12">
        <v>54</v>
      </c>
      <c r="AF105" s="12">
        <v>9</v>
      </c>
      <c r="AG105" s="63">
        <v>0</v>
      </c>
      <c r="AH105" s="63">
        <v>0.4</v>
      </c>
      <c r="AI105" s="63">
        <v>0.5</v>
      </c>
      <c r="AJ105" s="63">
        <v>0.1</v>
      </c>
      <c r="AK105" s="63">
        <v>0.35</v>
      </c>
      <c r="AL105" s="63">
        <v>0.42</v>
      </c>
      <c r="AM105" s="63">
        <v>0.43</v>
      </c>
      <c r="AN105" s="45">
        <v>55</v>
      </c>
      <c r="AO105" s="45">
        <v>9</v>
      </c>
      <c r="AP105" s="46">
        <v>0.03</v>
      </c>
      <c r="AQ105" s="46">
        <v>0.25</v>
      </c>
      <c r="AR105" s="46">
        <v>0.63</v>
      </c>
      <c r="AS105" s="46">
        <v>0.1</v>
      </c>
      <c r="AT105" s="46">
        <v>0.46</v>
      </c>
      <c r="AU105" s="46">
        <v>0.37</v>
      </c>
      <c r="AV105" s="46">
        <v>0.43</v>
      </c>
      <c r="AW105" s="247">
        <v>54</v>
      </c>
      <c r="AX105" s="247" t="s">
        <v>874</v>
      </c>
      <c r="AY105" s="247">
        <v>9</v>
      </c>
      <c r="AZ105" s="247" t="s">
        <v>874</v>
      </c>
      <c r="BA105" s="264">
        <v>0.02</v>
      </c>
      <c r="BB105" s="264">
        <v>0.33</v>
      </c>
      <c r="BC105" s="264">
        <v>0.55000000000000004</v>
      </c>
      <c r="BD105" s="264">
        <v>0.11</v>
      </c>
      <c r="BE105" s="264">
        <v>0.44</v>
      </c>
      <c r="BF105" s="264">
        <v>0.36</v>
      </c>
      <c r="BG105" s="264">
        <v>0.54</v>
      </c>
      <c r="BH105" s="311">
        <v>55</v>
      </c>
      <c r="BI105" s="311" t="s">
        <v>874</v>
      </c>
      <c r="BJ105" s="311">
        <v>9</v>
      </c>
      <c r="BK105" s="311" t="s">
        <v>874</v>
      </c>
      <c r="BL105" s="329">
        <v>0</v>
      </c>
      <c r="BM105" s="329">
        <v>0.28999999999999998</v>
      </c>
      <c r="BN105" s="329">
        <v>0.57999999999999996</v>
      </c>
      <c r="BO105" s="329">
        <v>0.13</v>
      </c>
      <c r="BP105" s="329">
        <v>0.46</v>
      </c>
      <c r="BQ105" s="329">
        <v>0.33</v>
      </c>
      <c r="BR105" s="329">
        <v>0.41</v>
      </c>
      <c r="BS105" s="426">
        <v>56</v>
      </c>
      <c r="BT105" s="426" t="s">
        <v>874</v>
      </c>
      <c r="BU105" s="426">
        <v>9</v>
      </c>
      <c r="BV105" s="426" t="s">
        <v>874</v>
      </c>
      <c r="BW105" s="430">
        <v>0.01</v>
      </c>
      <c r="BX105" s="430">
        <v>0.24</v>
      </c>
      <c r="BY105" s="430">
        <v>0.6</v>
      </c>
      <c r="BZ105" s="430">
        <v>0.15</v>
      </c>
      <c r="CA105" s="430">
        <v>0.33</v>
      </c>
      <c r="CB105" s="430">
        <v>0.44</v>
      </c>
      <c r="CC105" s="430">
        <v>0.45</v>
      </c>
      <c r="CD105" s="466">
        <v>55</v>
      </c>
      <c r="CE105" s="466" t="s">
        <v>874</v>
      </c>
      <c r="CF105" s="466">
        <v>9</v>
      </c>
      <c r="CG105" s="466" t="s">
        <v>874</v>
      </c>
      <c r="CH105" s="480">
        <v>0.03</v>
      </c>
      <c r="CI105" s="480">
        <v>0.28999999999999998</v>
      </c>
      <c r="CJ105" s="480">
        <v>0.59</v>
      </c>
      <c r="CK105" s="480">
        <v>0.1</v>
      </c>
      <c r="CL105" s="480">
        <v>0.46</v>
      </c>
      <c r="CM105" s="480">
        <v>0.44</v>
      </c>
      <c r="CN105" s="480">
        <v>0.33</v>
      </c>
    </row>
    <row r="106" spans="1:92" ht="24.95" customHeight="1" x14ac:dyDescent="0.2">
      <c r="A106" s="814" t="s">
        <v>138</v>
      </c>
      <c r="B106" s="1" t="s">
        <v>219</v>
      </c>
      <c r="C106" s="2">
        <v>1</v>
      </c>
      <c r="D106" s="12">
        <v>53</v>
      </c>
      <c r="E106" s="12">
        <v>7</v>
      </c>
      <c r="F106" s="63">
        <v>0</v>
      </c>
      <c r="G106" s="63">
        <v>0.36</v>
      </c>
      <c r="H106" s="63">
        <v>0.61</v>
      </c>
      <c r="I106" s="63">
        <v>0.03</v>
      </c>
      <c r="J106" s="63">
        <v>0.48</v>
      </c>
      <c r="K106" s="63">
        <v>0.52</v>
      </c>
      <c r="L106" s="63">
        <v>0.56000000000000005</v>
      </c>
      <c r="M106" s="25">
        <v>55</v>
      </c>
      <c r="N106" s="25">
        <v>7</v>
      </c>
      <c r="O106" s="61">
        <v>0.02</v>
      </c>
      <c r="P106" s="61">
        <v>0.23</v>
      </c>
      <c r="Q106" s="61">
        <v>0.72</v>
      </c>
      <c r="R106" s="61">
        <v>0.03</v>
      </c>
      <c r="S106" s="61">
        <v>0.43</v>
      </c>
      <c r="T106" s="61">
        <v>0.46</v>
      </c>
      <c r="U106" s="61">
        <v>0.45</v>
      </c>
      <c r="V106" s="12">
        <v>52</v>
      </c>
      <c r="W106" s="12">
        <v>9</v>
      </c>
      <c r="X106" s="66">
        <v>0.03</v>
      </c>
      <c r="Y106" s="66">
        <v>0.43</v>
      </c>
      <c r="Z106" s="66">
        <v>0.48</v>
      </c>
      <c r="AA106" s="66">
        <v>0.06</v>
      </c>
      <c r="AB106" s="66">
        <v>0.45</v>
      </c>
      <c r="AC106" s="66">
        <v>0.52</v>
      </c>
      <c r="AD106" s="66">
        <v>0.53</v>
      </c>
      <c r="AE106" s="12">
        <v>53</v>
      </c>
      <c r="AF106" s="12">
        <v>9</v>
      </c>
      <c r="AG106" s="63">
        <v>0.05</v>
      </c>
      <c r="AH106" s="63">
        <v>0.34</v>
      </c>
      <c r="AI106" s="63">
        <v>0.53</v>
      </c>
      <c r="AJ106" s="63">
        <v>0.08</v>
      </c>
      <c r="AK106" s="63">
        <v>0.44</v>
      </c>
      <c r="AL106" s="63">
        <v>0.38</v>
      </c>
      <c r="AM106" s="63">
        <v>0.43</v>
      </c>
      <c r="AN106" s="45">
        <v>54</v>
      </c>
      <c r="AO106" s="45">
        <v>8</v>
      </c>
      <c r="AP106" s="46">
        <v>0.02</v>
      </c>
      <c r="AQ106" s="46">
        <v>0.28000000000000003</v>
      </c>
      <c r="AR106" s="46">
        <v>0.61</v>
      </c>
      <c r="AS106" s="46">
        <v>0.09</v>
      </c>
      <c r="AT106" s="46">
        <v>0.46</v>
      </c>
      <c r="AU106" s="46">
        <v>0.36</v>
      </c>
      <c r="AV106" s="46">
        <v>0.43</v>
      </c>
      <c r="AW106" s="247">
        <v>53</v>
      </c>
      <c r="AX106" s="247" t="s">
        <v>874</v>
      </c>
      <c r="AY106" s="247">
        <v>9</v>
      </c>
      <c r="AZ106" s="247" t="s">
        <v>874</v>
      </c>
      <c r="BA106" s="264">
        <v>0.03</v>
      </c>
      <c r="BB106" s="264">
        <v>0.38</v>
      </c>
      <c r="BC106" s="264">
        <v>0.51</v>
      </c>
      <c r="BD106" s="264">
        <v>0.08</v>
      </c>
      <c r="BE106" s="264">
        <v>0.47</v>
      </c>
      <c r="BF106" s="264">
        <v>0.33</v>
      </c>
      <c r="BG106" s="264">
        <v>0.56000000000000005</v>
      </c>
      <c r="BH106" s="311">
        <v>55</v>
      </c>
      <c r="BI106" s="311" t="s">
        <v>874</v>
      </c>
      <c r="BJ106" s="311">
        <v>9</v>
      </c>
      <c r="BK106" s="311" t="s">
        <v>874</v>
      </c>
      <c r="BL106" s="329">
        <v>0.01</v>
      </c>
      <c r="BM106" s="329">
        <v>0.31</v>
      </c>
      <c r="BN106" s="329">
        <v>0.55000000000000004</v>
      </c>
      <c r="BO106" s="329">
        <v>0.13</v>
      </c>
      <c r="BP106" s="329">
        <v>0.46</v>
      </c>
      <c r="BQ106" s="329">
        <v>0.33</v>
      </c>
      <c r="BR106" s="329">
        <v>0.44</v>
      </c>
      <c r="BS106" s="426">
        <v>52</v>
      </c>
      <c r="BT106" s="426" t="s">
        <v>874</v>
      </c>
      <c r="BU106" s="426">
        <v>9</v>
      </c>
      <c r="BV106" s="426" t="s">
        <v>874</v>
      </c>
      <c r="BW106" s="430">
        <v>0.03</v>
      </c>
      <c r="BX106" s="430">
        <v>0.39</v>
      </c>
      <c r="BY106" s="430">
        <v>0.55000000000000004</v>
      </c>
      <c r="BZ106" s="430">
        <v>0.04</v>
      </c>
      <c r="CA106" s="430">
        <v>0.39</v>
      </c>
      <c r="CB106" s="430">
        <v>0.51</v>
      </c>
      <c r="CC106" s="430">
        <v>0.51</v>
      </c>
      <c r="CD106" s="466">
        <v>53</v>
      </c>
      <c r="CE106" s="466" t="s">
        <v>874</v>
      </c>
      <c r="CF106" s="466">
        <v>9</v>
      </c>
      <c r="CG106" s="466" t="s">
        <v>874</v>
      </c>
      <c r="CH106" s="480">
        <v>0.03</v>
      </c>
      <c r="CI106" s="480">
        <v>0.31</v>
      </c>
      <c r="CJ106" s="480">
        <v>0.6</v>
      </c>
      <c r="CK106" s="480">
        <v>0.06</v>
      </c>
      <c r="CL106" s="480">
        <v>0.47</v>
      </c>
      <c r="CM106" s="480">
        <v>0.47</v>
      </c>
      <c r="CN106" s="480">
        <v>0.38</v>
      </c>
    </row>
    <row r="107" spans="1:92" ht="24.95" customHeight="1" x14ac:dyDescent="0.2">
      <c r="A107" s="820" t="s">
        <v>287</v>
      </c>
      <c r="B107" s="14" t="s">
        <v>219</v>
      </c>
      <c r="C107" s="2">
        <v>3</v>
      </c>
      <c r="D107" s="12">
        <v>51</v>
      </c>
      <c r="E107" s="12">
        <v>9</v>
      </c>
      <c r="F107" s="66">
        <v>0.04</v>
      </c>
      <c r="G107" s="66">
        <v>0.46</v>
      </c>
      <c r="H107" s="66">
        <v>0.46</v>
      </c>
      <c r="I107" s="66">
        <v>0.04</v>
      </c>
      <c r="J107" s="63">
        <v>0.48</v>
      </c>
      <c r="K107" s="63">
        <v>0.5</v>
      </c>
      <c r="L107" s="63">
        <v>0.56000000000000005</v>
      </c>
      <c r="M107" s="25">
        <v>54</v>
      </c>
      <c r="N107" s="25">
        <v>8</v>
      </c>
      <c r="O107" s="61">
        <v>0.02</v>
      </c>
      <c r="P107" s="61">
        <v>0.32</v>
      </c>
      <c r="Q107" s="61">
        <v>0.62</v>
      </c>
      <c r="R107" s="61">
        <v>0.04</v>
      </c>
      <c r="S107" s="61">
        <v>0.44</v>
      </c>
      <c r="T107" s="61">
        <v>0.51</v>
      </c>
      <c r="U107" s="61">
        <v>0.48</v>
      </c>
      <c r="V107" s="25">
        <v>55</v>
      </c>
      <c r="W107" s="25">
        <v>9</v>
      </c>
      <c r="X107" s="66">
        <v>0.02</v>
      </c>
      <c r="Y107" s="66">
        <v>0.25</v>
      </c>
      <c r="Z107" s="66">
        <v>0.57999999999999996</v>
      </c>
      <c r="AA107" s="66">
        <v>0.14000000000000001</v>
      </c>
      <c r="AB107" s="66">
        <v>0.42</v>
      </c>
      <c r="AC107" s="66">
        <v>0.46</v>
      </c>
      <c r="AD107" s="66">
        <v>0.5</v>
      </c>
      <c r="AE107" s="12">
        <v>54</v>
      </c>
      <c r="AF107" s="12">
        <v>8</v>
      </c>
      <c r="AG107" s="63">
        <v>0.02</v>
      </c>
      <c r="AH107" s="63">
        <v>0.3</v>
      </c>
      <c r="AI107" s="63">
        <v>0.6</v>
      </c>
      <c r="AJ107" s="63">
        <v>0.08</v>
      </c>
      <c r="AK107" s="63">
        <v>0.44</v>
      </c>
      <c r="AL107" s="63">
        <v>0.37</v>
      </c>
      <c r="AM107" s="63">
        <v>0.42</v>
      </c>
      <c r="AN107" s="35">
        <v>56</v>
      </c>
      <c r="AO107" s="35">
        <v>8</v>
      </c>
      <c r="AP107" s="40">
        <v>0.02</v>
      </c>
      <c r="AQ107" s="40">
        <v>0.2</v>
      </c>
      <c r="AR107" s="40">
        <v>0.66</v>
      </c>
      <c r="AS107" s="40">
        <v>0.12</v>
      </c>
      <c r="AT107" s="40">
        <v>0.43</v>
      </c>
      <c r="AU107" s="40">
        <v>0.34</v>
      </c>
      <c r="AV107" s="40">
        <v>0.4</v>
      </c>
      <c r="AW107" s="247">
        <v>56</v>
      </c>
      <c r="AX107" s="247" t="s">
        <v>874</v>
      </c>
      <c r="AY107" s="247">
        <v>8</v>
      </c>
      <c r="AZ107" s="247" t="s">
        <v>874</v>
      </c>
      <c r="BA107" s="264">
        <v>0.01</v>
      </c>
      <c r="BB107" s="264">
        <v>0.25</v>
      </c>
      <c r="BC107" s="264">
        <v>0.62</v>
      </c>
      <c r="BD107" s="264">
        <v>0.12</v>
      </c>
      <c r="BE107" s="264">
        <v>0.42</v>
      </c>
      <c r="BF107" s="264">
        <v>0.31</v>
      </c>
      <c r="BG107" s="264">
        <v>0.52</v>
      </c>
      <c r="BH107" s="311">
        <v>56</v>
      </c>
      <c r="BI107" s="311" t="s">
        <v>874</v>
      </c>
      <c r="BJ107" s="311">
        <v>9</v>
      </c>
      <c r="BK107" s="311" t="s">
        <v>874</v>
      </c>
      <c r="BL107" s="329">
        <v>0.01</v>
      </c>
      <c r="BM107" s="329">
        <v>0.24</v>
      </c>
      <c r="BN107" s="329">
        <v>0.61</v>
      </c>
      <c r="BO107" s="329">
        <v>0.14000000000000001</v>
      </c>
      <c r="BP107" s="329">
        <v>0.44</v>
      </c>
      <c r="BQ107" s="329">
        <v>0.3</v>
      </c>
      <c r="BR107" s="329">
        <v>0.42</v>
      </c>
      <c r="BS107" s="426">
        <v>56</v>
      </c>
      <c r="BT107" s="426" t="s">
        <v>874</v>
      </c>
      <c r="BU107" s="426">
        <v>9</v>
      </c>
      <c r="BV107" s="426" t="s">
        <v>874</v>
      </c>
      <c r="BW107" s="430">
        <v>0.02</v>
      </c>
      <c r="BX107" s="430">
        <v>0.25</v>
      </c>
      <c r="BY107" s="430">
        <v>0.6</v>
      </c>
      <c r="BZ107" s="430">
        <v>0.14000000000000001</v>
      </c>
      <c r="CA107" s="430">
        <v>0.34</v>
      </c>
      <c r="CB107" s="430">
        <v>0.43</v>
      </c>
      <c r="CC107" s="430">
        <v>0.44</v>
      </c>
      <c r="CD107" s="466">
        <v>56</v>
      </c>
      <c r="CE107" s="466" t="s">
        <v>874</v>
      </c>
      <c r="CF107" s="466">
        <v>9</v>
      </c>
      <c r="CG107" s="466" t="s">
        <v>874</v>
      </c>
      <c r="CH107" s="480">
        <v>0.01</v>
      </c>
      <c r="CI107" s="480">
        <v>0.24</v>
      </c>
      <c r="CJ107" s="480">
        <v>0.6</v>
      </c>
      <c r="CK107" s="480">
        <v>0.15</v>
      </c>
      <c r="CL107" s="480">
        <v>0.43</v>
      </c>
      <c r="CM107" s="480">
        <v>0.41</v>
      </c>
      <c r="CN107" s="480">
        <v>0.32</v>
      </c>
    </row>
    <row r="108" spans="1:92" ht="24.95" customHeight="1" x14ac:dyDescent="0.2">
      <c r="A108" s="814" t="s">
        <v>103</v>
      </c>
      <c r="B108" s="1" t="s">
        <v>219</v>
      </c>
      <c r="C108" s="2">
        <v>4</v>
      </c>
      <c r="D108" s="12">
        <v>50</v>
      </c>
      <c r="E108" s="12">
        <v>8</v>
      </c>
      <c r="F108" s="63">
        <v>0.02</v>
      </c>
      <c r="G108" s="63">
        <v>0.54</v>
      </c>
      <c r="H108" s="63">
        <v>0.43</v>
      </c>
      <c r="I108" s="63">
        <v>0.01</v>
      </c>
      <c r="J108" s="63">
        <v>0.47</v>
      </c>
      <c r="K108" s="63">
        <v>0.54</v>
      </c>
      <c r="L108" s="63">
        <v>0.6</v>
      </c>
      <c r="M108" s="25">
        <v>50</v>
      </c>
      <c r="N108" s="25">
        <v>8</v>
      </c>
      <c r="O108" s="61">
        <v>0.02</v>
      </c>
      <c r="P108" s="61">
        <v>0.54</v>
      </c>
      <c r="Q108" s="61">
        <v>0.41</v>
      </c>
      <c r="R108" s="61">
        <v>0.03</v>
      </c>
      <c r="S108" s="61">
        <v>0.49</v>
      </c>
      <c r="T108" s="61">
        <v>0.54</v>
      </c>
      <c r="U108" s="61">
        <v>0.53</v>
      </c>
      <c r="V108" s="12">
        <v>50</v>
      </c>
      <c r="W108" s="12">
        <v>9</v>
      </c>
      <c r="X108" s="66">
        <v>0.05</v>
      </c>
      <c r="Y108" s="66">
        <v>0.49</v>
      </c>
      <c r="Z108" s="66">
        <v>0.42</v>
      </c>
      <c r="AA108" s="66">
        <v>0.03</v>
      </c>
      <c r="AB108" s="66">
        <v>0.53</v>
      </c>
      <c r="AC108" s="66">
        <v>0.54</v>
      </c>
      <c r="AD108" s="66">
        <v>0.54</v>
      </c>
      <c r="AE108" s="12">
        <v>49</v>
      </c>
      <c r="AF108" s="12">
        <v>9</v>
      </c>
      <c r="AG108" s="63">
        <v>0.06</v>
      </c>
      <c r="AH108" s="63">
        <v>0.54</v>
      </c>
      <c r="AI108" s="63">
        <v>0.37</v>
      </c>
      <c r="AJ108" s="63">
        <v>0.04</v>
      </c>
      <c r="AK108" s="63">
        <v>0.5</v>
      </c>
      <c r="AL108" s="63">
        <v>0.46</v>
      </c>
      <c r="AM108" s="63">
        <v>0.5</v>
      </c>
      <c r="AN108" s="35">
        <v>51</v>
      </c>
      <c r="AO108" s="35">
        <v>9</v>
      </c>
      <c r="AP108" s="40">
        <v>0.01</v>
      </c>
      <c r="AQ108" s="40">
        <v>0.52</v>
      </c>
      <c r="AR108" s="40">
        <v>0.41</v>
      </c>
      <c r="AS108" s="40">
        <v>0.06</v>
      </c>
      <c r="AT108" s="40">
        <v>0.52</v>
      </c>
      <c r="AU108" s="40">
        <v>0.42</v>
      </c>
      <c r="AV108" s="40">
        <v>0.47</v>
      </c>
      <c r="AW108" s="247">
        <v>49</v>
      </c>
      <c r="AX108" s="247" t="s">
        <v>874</v>
      </c>
      <c r="AY108" s="247">
        <v>10</v>
      </c>
      <c r="AZ108" s="247" t="s">
        <v>874</v>
      </c>
      <c r="BA108" s="264">
        <v>0.09</v>
      </c>
      <c r="BB108" s="264">
        <v>0.48</v>
      </c>
      <c r="BC108" s="264">
        <v>0.4</v>
      </c>
      <c r="BD108" s="264">
        <v>0.03</v>
      </c>
      <c r="BE108" s="264">
        <v>0.54</v>
      </c>
      <c r="BF108" s="264">
        <v>0.43</v>
      </c>
      <c r="BG108" s="264">
        <v>0.61</v>
      </c>
      <c r="BH108" s="311">
        <v>50</v>
      </c>
      <c r="BI108" s="311" t="s">
        <v>874</v>
      </c>
      <c r="BJ108" s="311">
        <v>9</v>
      </c>
      <c r="BK108" s="311" t="s">
        <v>874</v>
      </c>
      <c r="BL108" s="329">
        <v>0.03</v>
      </c>
      <c r="BM108" s="329">
        <v>0.48</v>
      </c>
      <c r="BN108" s="329">
        <v>0.46</v>
      </c>
      <c r="BO108" s="329">
        <v>0.03</v>
      </c>
      <c r="BP108" s="329">
        <v>0.54</v>
      </c>
      <c r="BQ108" s="329">
        <v>0.39</v>
      </c>
      <c r="BR108" s="329">
        <v>0.53</v>
      </c>
      <c r="BS108" s="426">
        <v>49</v>
      </c>
      <c r="BT108" s="426" t="s">
        <v>874</v>
      </c>
      <c r="BU108" s="426">
        <v>10</v>
      </c>
      <c r="BV108" s="426" t="s">
        <v>874</v>
      </c>
      <c r="BW108" s="430">
        <v>0.08</v>
      </c>
      <c r="BX108" s="430">
        <v>0.5</v>
      </c>
      <c r="BY108" s="430">
        <v>0.36</v>
      </c>
      <c r="BZ108" s="430">
        <v>0.05</v>
      </c>
      <c r="CA108" s="430">
        <v>0.44</v>
      </c>
      <c r="CB108" s="430">
        <v>0.53</v>
      </c>
      <c r="CC108" s="430">
        <v>0.61</v>
      </c>
      <c r="CD108" s="466">
        <v>50</v>
      </c>
      <c r="CE108" s="466" t="s">
        <v>874</v>
      </c>
      <c r="CF108" s="466">
        <v>9</v>
      </c>
      <c r="CG108" s="466" t="s">
        <v>874</v>
      </c>
      <c r="CH108" s="480">
        <v>0.06</v>
      </c>
      <c r="CI108" s="480">
        <v>0.45</v>
      </c>
      <c r="CJ108" s="480">
        <v>0.45</v>
      </c>
      <c r="CK108" s="480">
        <v>0.03</v>
      </c>
      <c r="CL108" s="480">
        <v>0.53</v>
      </c>
      <c r="CM108" s="480">
        <v>0.53</v>
      </c>
      <c r="CN108" s="480">
        <v>0.43</v>
      </c>
    </row>
    <row r="109" spans="1:92" ht="24.95" customHeight="1" x14ac:dyDescent="0.2">
      <c r="A109" s="814" t="s">
        <v>86</v>
      </c>
      <c r="B109" s="1" t="s">
        <v>219</v>
      </c>
      <c r="C109" s="2">
        <v>1</v>
      </c>
      <c r="D109" s="12">
        <v>53</v>
      </c>
      <c r="E109" s="12">
        <v>8</v>
      </c>
      <c r="F109" s="63">
        <v>0.01</v>
      </c>
      <c r="G109" s="63">
        <v>0.41</v>
      </c>
      <c r="H109" s="63">
        <v>0.52</v>
      </c>
      <c r="I109" s="63">
        <v>0.06</v>
      </c>
      <c r="J109" s="63">
        <v>0.41</v>
      </c>
      <c r="K109" s="63">
        <v>0.49</v>
      </c>
      <c r="L109" s="63">
        <v>0.55000000000000004</v>
      </c>
      <c r="M109" s="25">
        <v>52</v>
      </c>
      <c r="N109" s="25">
        <v>8</v>
      </c>
      <c r="O109" s="61">
        <v>0.02</v>
      </c>
      <c r="P109" s="61">
        <v>0.39</v>
      </c>
      <c r="Q109" s="61">
        <v>0.56000000000000005</v>
      </c>
      <c r="R109" s="61">
        <v>0.03</v>
      </c>
      <c r="S109" s="61">
        <v>0.48</v>
      </c>
      <c r="T109" s="61">
        <v>0.5</v>
      </c>
      <c r="U109" s="61">
        <v>0.5</v>
      </c>
      <c r="V109" s="12">
        <v>53</v>
      </c>
      <c r="W109" s="12">
        <v>9</v>
      </c>
      <c r="X109" s="66">
        <v>0.02</v>
      </c>
      <c r="Y109" s="66">
        <v>0.37</v>
      </c>
      <c r="Z109" s="66">
        <v>0.53</v>
      </c>
      <c r="AA109" s="66">
        <v>0.08</v>
      </c>
      <c r="AB109" s="66">
        <v>0.45</v>
      </c>
      <c r="AC109" s="66">
        <v>0.49</v>
      </c>
      <c r="AD109" s="66">
        <v>0.52</v>
      </c>
      <c r="AE109" s="12">
        <v>53</v>
      </c>
      <c r="AF109" s="12">
        <v>9</v>
      </c>
      <c r="AG109" s="63">
        <v>0.02</v>
      </c>
      <c r="AH109" s="63">
        <v>0.36</v>
      </c>
      <c r="AI109" s="63">
        <v>0.56999999999999995</v>
      </c>
      <c r="AJ109" s="63">
        <v>0.06</v>
      </c>
      <c r="AK109" s="63">
        <v>0.45</v>
      </c>
      <c r="AL109" s="63">
        <v>0.38</v>
      </c>
      <c r="AM109" s="63">
        <v>0.45</v>
      </c>
      <c r="AN109" s="35">
        <v>53</v>
      </c>
      <c r="AO109" s="35">
        <v>8</v>
      </c>
      <c r="AP109" s="40">
        <v>0.01</v>
      </c>
      <c r="AQ109" s="40">
        <v>0.42</v>
      </c>
      <c r="AR109" s="40">
        <v>0.51</v>
      </c>
      <c r="AS109" s="40">
        <v>0.05</v>
      </c>
      <c r="AT109" s="40">
        <v>0.5</v>
      </c>
      <c r="AU109" s="40">
        <v>0.37</v>
      </c>
      <c r="AV109" s="40">
        <v>0.44</v>
      </c>
      <c r="AW109" s="247">
        <v>52</v>
      </c>
      <c r="AX109" s="247" t="s">
        <v>874</v>
      </c>
      <c r="AY109" s="247">
        <v>10</v>
      </c>
      <c r="AZ109" s="247" t="s">
        <v>874</v>
      </c>
      <c r="BA109" s="264">
        <v>0.03</v>
      </c>
      <c r="BB109" s="264">
        <v>0.37</v>
      </c>
      <c r="BC109" s="264">
        <v>0.52</v>
      </c>
      <c r="BD109" s="264">
        <v>7.0000000000000007E-2</v>
      </c>
      <c r="BE109" s="264">
        <v>0.46</v>
      </c>
      <c r="BF109" s="264">
        <v>0.36</v>
      </c>
      <c r="BG109" s="264">
        <v>0.56999999999999995</v>
      </c>
      <c r="BH109" s="311">
        <v>54</v>
      </c>
      <c r="BI109" s="311" t="s">
        <v>874</v>
      </c>
      <c r="BJ109" s="311">
        <v>9</v>
      </c>
      <c r="BK109" s="311" t="s">
        <v>874</v>
      </c>
      <c r="BL109" s="329">
        <v>0.01</v>
      </c>
      <c r="BM109" s="329">
        <v>0.31</v>
      </c>
      <c r="BN109" s="329">
        <v>0.56000000000000005</v>
      </c>
      <c r="BO109" s="329">
        <v>0.11</v>
      </c>
      <c r="BP109" s="329">
        <v>0.48</v>
      </c>
      <c r="BQ109" s="329">
        <v>0.35</v>
      </c>
      <c r="BR109" s="329">
        <v>0.45</v>
      </c>
      <c r="BS109" s="426">
        <v>53</v>
      </c>
      <c r="BT109" s="426" t="s">
        <v>874</v>
      </c>
      <c r="BU109" s="426">
        <v>8</v>
      </c>
      <c r="BV109" s="426" t="s">
        <v>874</v>
      </c>
      <c r="BW109" s="430">
        <v>0.02</v>
      </c>
      <c r="BX109" s="430">
        <v>0.37</v>
      </c>
      <c r="BY109" s="430">
        <v>0.54</v>
      </c>
      <c r="BZ109" s="430">
        <v>0.08</v>
      </c>
      <c r="CA109" s="430">
        <v>0.37</v>
      </c>
      <c r="CB109" s="430">
        <v>0.5</v>
      </c>
      <c r="CC109" s="430">
        <v>0.52</v>
      </c>
      <c r="CD109" s="466">
        <v>55</v>
      </c>
      <c r="CE109" s="466" t="s">
        <v>874</v>
      </c>
      <c r="CF109" s="466">
        <v>9</v>
      </c>
      <c r="CG109" s="466" t="s">
        <v>874</v>
      </c>
      <c r="CH109" s="480">
        <v>0.01</v>
      </c>
      <c r="CI109" s="480">
        <v>0.31</v>
      </c>
      <c r="CJ109" s="480">
        <v>0.57999999999999996</v>
      </c>
      <c r="CK109" s="480">
        <v>0.1</v>
      </c>
      <c r="CL109" s="480">
        <v>0.44</v>
      </c>
      <c r="CM109" s="480">
        <v>0.43</v>
      </c>
      <c r="CN109" s="480">
        <v>0.36</v>
      </c>
    </row>
    <row r="110" spans="1:92" ht="24.95" customHeight="1" x14ac:dyDescent="0.2">
      <c r="A110" s="814" t="s">
        <v>46</v>
      </c>
      <c r="B110" s="1" t="s">
        <v>221</v>
      </c>
      <c r="C110" s="2">
        <v>5</v>
      </c>
      <c r="D110" s="12">
        <v>56</v>
      </c>
      <c r="E110" s="12">
        <v>8</v>
      </c>
      <c r="F110" s="63">
        <v>0.03</v>
      </c>
      <c r="G110" s="63">
        <v>0.25</v>
      </c>
      <c r="H110" s="63">
        <v>0.61</v>
      </c>
      <c r="I110" s="63">
        <v>0.11</v>
      </c>
      <c r="J110" s="63">
        <v>0.35</v>
      </c>
      <c r="K110" s="63">
        <v>0.44</v>
      </c>
      <c r="L110" s="63">
        <v>0.53</v>
      </c>
      <c r="M110" s="25">
        <v>55</v>
      </c>
      <c r="N110" s="25">
        <v>7</v>
      </c>
      <c r="O110" s="61">
        <v>0</v>
      </c>
      <c r="P110" s="61">
        <v>0.27</v>
      </c>
      <c r="Q110" s="61">
        <v>0.71</v>
      </c>
      <c r="R110" s="61">
        <v>0.02</v>
      </c>
      <c r="S110" s="61">
        <v>0.41</v>
      </c>
      <c r="T110" s="61">
        <v>0.47</v>
      </c>
      <c r="U110" s="61">
        <v>0.46</v>
      </c>
      <c r="V110" s="12">
        <v>53</v>
      </c>
      <c r="W110" s="12">
        <v>9</v>
      </c>
      <c r="X110" s="66">
        <v>0</v>
      </c>
      <c r="Y110" s="66">
        <v>0.48</v>
      </c>
      <c r="Z110" s="66">
        <v>0.43</v>
      </c>
      <c r="AA110" s="66">
        <v>0.1</v>
      </c>
      <c r="AB110" s="66">
        <v>0.42</v>
      </c>
      <c r="AC110" s="66">
        <v>0.53</v>
      </c>
      <c r="AD110" s="66">
        <v>0.5</v>
      </c>
      <c r="AE110" s="12">
        <v>57</v>
      </c>
      <c r="AF110" s="12">
        <v>8</v>
      </c>
      <c r="AG110" s="63">
        <v>0</v>
      </c>
      <c r="AH110" s="63">
        <v>0.14000000000000001</v>
      </c>
      <c r="AI110" s="63">
        <v>0.77</v>
      </c>
      <c r="AJ110" s="63">
        <v>0.09</v>
      </c>
      <c r="AK110" s="63">
        <v>0.34</v>
      </c>
      <c r="AL110" s="63">
        <v>0.33</v>
      </c>
      <c r="AM110" s="63">
        <v>0.39</v>
      </c>
      <c r="AN110" s="35">
        <v>53</v>
      </c>
      <c r="AO110" s="35">
        <v>8</v>
      </c>
      <c r="AP110" s="40">
        <v>0</v>
      </c>
      <c r="AQ110" s="40">
        <v>0.33</v>
      </c>
      <c r="AR110" s="40">
        <v>0.59</v>
      </c>
      <c r="AS110" s="40">
        <v>7.0000000000000007E-2</v>
      </c>
      <c r="AT110" s="40">
        <v>0.49</v>
      </c>
      <c r="AU110" s="40">
        <v>0.33</v>
      </c>
      <c r="AV110" s="40">
        <v>0.48</v>
      </c>
      <c r="AW110" s="247">
        <v>57</v>
      </c>
      <c r="AX110" s="247" t="s">
        <v>874</v>
      </c>
      <c r="AY110" s="247">
        <v>8</v>
      </c>
      <c r="AZ110" s="247" t="s">
        <v>874</v>
      </c>
      <c r="BA110" s="264">
        <v>0</v>
      </c>
      <c r="BB110" s="264">
        <v>0.22</v>
      </c>
      <c r="BC110" s="264">
        <v>0.61</v>
      </c>
      <c r="BD110" s="264">
        <v>0.17</v>
      </c>
      <c r="BE110" s="264">
        <v>0.41</v>
      </c>
      <c r="BF110" s="264">
        <v>0.21</v>
      </c>
      <c r="BG110" s="264">
        <v>0.48</v>
      </c>
      <c r="BH110" s="655"/>
      <c r="BI110" s="655"/>
      <c r="BJ110" s="655"/>
      <c r="BK110" s="655"/>
      <c r="BL110" s="655"/>
      <c r="BM110" s="655"/>
      <c r="BN110" s="655"/>
      <c r="BO110" s="655"/>
      <c r="BP110" s="655"/>
      <c r="BQ110" s="655"/>
      <c r="BR110" s="655"/>
      <c r="BS110" s="657"/>
      <c r="BT110" s="657"/>
      <c r="BU110" s="657"/>
      <c r="BV110" s="657"/>
      <c r="BW110" s="657"/>
      <c r="BX110" s="657"/>
      <c r="BY110" s="657"/>
      <c r="BZ110" s="657"/>
      <c r="CA110" s="657"/>
      <c r="CB110" s="657"/>
      <c r="CC110" s="657"/>
      <c r="CD110" s="656"/>
      <c r="CE110" s="656"/>
      <c r="CF110" s="656"/>
      <c r="CG110" s="656"/>
      <c r="CH110" s="656"/>
      <c r="CI110" s="656"/>
      <c r="CJ110" s="656"/>
      <c r="CK110" s="656"/>
      <c r="CL110" s="656"/>
      <c r="CM110" s="656"/>
      <c r="CN110" s="656"/>
    </row>
    <row r="111" spans="1:92" ht="24.95" customHeight="1" x14ac:dyDescent="0.2">
      <c r="A111" s="814" t="s">
        <v>61</v>
      </c>
      <c r="B111" s="1" t="s">
        <v>219</v>
      </c>
      <c r="C111" s="2">
        <v>6</v>
      </c>
      <c r="D111" s="12">
        <v>53</v>
      </c>
      <c r="E111" s="12">
        <v>8</v>
      </c>
      <c r="F111" s="63">
        <v>0.01</v>
      </c>
      <c r="G111" s="63">
        <v>0.4</v>
      </c>
      <c r="H111" s="63">
        <v>0.55000000000000004</v>
      </c>
      <c r="I111" s="63">
        <v>0.04</v>
      </c>
      <c r="J111" s="63">
        <v>0.51</v>
      </c>
      <c r="K111" s="63">
        <v>0.5</v>
      </c>
      <c r="L111" s="63">
        <v>0.5</v>
      </c>
      <c r="M111" s="25">
        <v>53</v>
      </c>
      <c r="N111" s="25">
        <v>7</v>
      </c>
      <c r="O111" s="61">
        <v>0</v>
      </c>
      <c r="P111" s="61">
        <v>0.37</v>
      </c>
      <c r="Q111" s="61">
        <v>0.59</v>
      </c>
      <c r="R111" s="61">
        <v>0.03</v>
      </c>
      <c r="S111" s="61">
        <v>0.43</v>
      </c>
      <c r="T111" s="61">
        <v>0.49</v>
      </c>
      <c r="U111" s="61">
        <v>0.47</v>
      </c>
      <c r="V111" s="12">
        <v>52</v>
      </c>
      <c r="W111" s="12">
        <v>9</v>
      </c>
      <c r="X111" s="66">
        <v>0.01</v>
      </c>
      <c r="Y111" s="66">
        <v>0.43</v>
      </c>
      <c r="Z111" s="66">
        <v>0.48</v>
      </c>
      <c r="AA111" s="66">
        <v>7.0000000000000007E-2</v>
      </c>
      <c r="AB111" s="66">
        <v>0.46</v>
      </c>
      <c r="AC111" s="66">
        <v>0.52</v>
      </c>
      <c r="AD111" s="66">
        <v>0.53</v>
      </c>
      <c r="AE111" s="12">
        <v>53</v>
      </c>
      <c r="AF111" s="12">
        <v>8</v>
      </c>
      <c r="AG111" s="63">
        <v>0.01</v>
      </c>
      <c r="AH111" s="63">
        <v>0.36</v>
      </c>
      <c r="AI111" s="63">
        <v>0.55000000000000004</v>
      </c>
      <c r="AJ111" s="63">
        <v>0.08</v>
      </c>
      <c r="AK111" s="63">
        <v>0.45</v>
      </c>
      <c r="AL111" s="63">
        <v>0.36</v>
      </c>
      <c r="AM111" s="63">
        <v>0.42</v>
      </c>
      <c r="AN111" s="35">
        <v>53</v>
      </c>
      <c r="AO111" s="35">
        <v>10</v>
      </c>
      <c r="AP111" s="40">
        <v>0.06</v>
      </c>
      <c r="AQ111" s="40">
        <v>0.35</v>
      </c>
      <c r="AR111" s="40">
        <v>0.48</v>
      </c>
      <c r="AS111" s="40">
        <v>0.11</v>
      </c>
      <c r="AT111" s="40">
        <v>0.47</v>
      </c>
      <c r="AU111" s="40">
        <v>0.38</v>
      </c>
      <c r="AV111" s="40">
        <v>0.45</v>
      </c>
      <c r="AW111" s="247">
        <v>53</v>
      </c>
      <c r="AX111" s="247" t="s">
        <v>874</v>
      </c>
      <c r="AY111" s="247">
        <v>9</v>
      </c>
      <c r="AZ111" s="247" t="s">
        <v>874</v>
      </c>
      <c r="BA111" s="264">
        <v>0.03</v>
      </c>
      <c r="BB111" s="264">
        <v>0.39</v>
      </c>
      <c r="BC111" s="264">
        <v>0.49</v>
      </c>
      <c r="BD111" s="264">
        <v>0.1</v>
      </c>
      <c r="BE111" s="264">
        <v>0.48</v>
      </c>
      <c r="BF111" s="264">
        <v>0.36</v>
      </c>
      <c r="BG111" s="264">
        <v>0.56000000000000005</v>
      </c>
      <c r="BH111" s="74">
        <v>54</v>
      </c>
      <c r="BI111" s="74" t="s">
        <v>874</v>
      </c>
      <c r="BJ111" s="74">
        <v>8</v>
      </c>
      <c r="BK111" s="74" t="s">
        <v>874</v>
      </c>
      <c r="BL111" s="96">
        <v>0.01</v>
      </c>
      <c r="BM111" s="96">
        <v>0.33</v>
      </c>
      <c r="BN111" s="96">
        <v>0.6</v>
      </c>
      <c r="BO111" s="96">
        <v>0.05</v>
      </c>
      <c r="BP111" s="96">
        <v>0.47</v>
      </c>
      <c r="BQ111" s="96">
        <v>0.34</v>
      </c>
      <c r="BR111" s="96">
        <v>0.45</v>
      </c>
      <c r="BS111" s="658">
        <v>53</v>
      </c>
      <c r="BT111" s="658" t="s">
        <v>874</v>
      </c>
      <c r="BU111" s="658">
        <v>8</v>
      </c>
      <c r="BV111" s="658" t="s">
        <v>874</v>
      </c>
      <c r="BW111" s="659">
        <v>0.02</v>
      </c>
      <c r="BX111" s="659">
        <v>0.39</v>
      </c>
      <c r="BY111" s="659">
        <v>0.54</v>
      </c>
      <c r="BZ111" s="659">
        <v>0.05</v>
      </c>
      <c r="CA111" s="659">
        <v>0.37</v>
      </c>
      <c r="CB111" s="659">
        <v>0.51</v>
      </c>
      <c r="CC111" s="659">
        <v>0.51</v>
      </c>
      <c r="CD111" s="74">
        <v>55</v>
      </c>
      <c r="CE111" s="74" t="s">
        <v>874</v>
      </c>
      <c r="CF111" s="74">
        <v>9</v>
      </c>
      <c r="CG111" s="74" t="s">
        <v>874</v>
      </c>
      <c r="CH111" s="96">
        <v>0.01</v>
      </c>
      <c r="CI111" s="96">
        <v>0.3</v>
      </c>
      <c r="CJ111" s="96">
        <v>0.56999999999999995</v>
      </c>
      <c r="CK111" s="96">
        <v>0.11</v>
      </c>
      <c r="CL111" s="96">
        <v>0.45</v>
      </c>
      <c r="CM111" s="96">
        <v>0.44</v>
      </c>
      <c r="CN111" s="96">
        <v>0.36</v>
      </c>
    </row>
    <row r="112" spans="1:92" ht="24.95" customHeight="1" x14ac:dyDescent="0.2">
      <c r="A112" s="814" t="s">
        <v>21</v>
      </c>
      <c r="B112" s="1" t="s">
        <v>219</v>
      </c>
      <c r="C112" s="2">
        <v>5</v>
      </c>
      <c r="D112" s="12">
        <v>52</v>
      </c>
      <c r="E112" s="12">
        <v>7</v>
      </c>
      <c r="F112" s="63">
        <v>0.01</v>
      </c>
      <c r="G112" s="63">
        <v>0.41</v>
      </c>
      <c r="H112" s="63">
        <v>0.55000000000000004</v>
      </c>
      <c r="I112" s="63">
        <v>0.03</v>
      </c>
      <c r="J112" s="63">
        <v>0.44</v>
      </c>
      <c r="K112" s="63">
        <v>0.47</v>
      </c>
      <c r="L112" s="63">
        <v>0.55000000000000004</v>
      </c>
      <c r="M112" s="25">
        <v>53</v>
      </c>
      <c r="N112" s="25">
        <v>8</v>
      </c>
      <c r="O112" s="61">
        <v>0.01</v>
      </c>
      <c r="P112" s="61">
        <v>0.38</v>
      </c>
      <c r="Q112" s="61">
        <v>0.55000000000000004</v>
      </c>
      <c r="R112" s="61">
        <v>0.05</v>
      </c>
      <c r="S112" s="61">
        <v>0.46</v>
      </c>
      <c r="T112" s="61">
        <v>0.48</v>
      </c>
      <c r="U112" s="61">
        <v>0.5</v>
      </c>
      <c r="V112" s="12">
        <v>51</v>
      </c>
      <c r="W112" s="12">
        <v>8</v>
      </c>
      <c r="X112" s="66">
        <v>0.01</v>
      </c>
      <c r="Y112" s="66">
        <v>0.48</v>
      </c>
      <c r="Z112" s="66">
        <v>0.48</v>
      </c>
      <c r="AA112" s="66">
        <v>0.04</v>
      </c>
      <c r="AB112" s="66">
        <v>0.48</v>
      </c>
      <c r="AC112" s="66">
        <v>0.52</v>
      </c>
      <c r="AD112" s="66">
        <v>0.54</v>
      </c>
      <c r="AE112" s="12">
        <v>53</v>
      </c>
      <c r="AF112" s="12">
        <v>8</v>
      </c>
      <c r="AG112" s="63">
        <v>0.02</v>
      </c>
      <c r="AH112" s="63">
        <v>0.33</v>
      </c>
      <c r="AI112" s="63">
        <v>0.57999999999999996</v>
      </c>
      <c r="AJ112" s="63">
        <v>7.0000000000000007E-2</v>
      </c>
      <c r="AK112" s="63">
        <v>0.44</v>
      </c>
      <c r="AL112" s="63">
        <v>0.37</v>
      </c>
      <c r="AM112" s="63">
        <v>0.44</v>
      </c>
      <c r="AN112" s="35">
        <v>53</v>
      </c>
      <c r="AO112" s="35">
        <v>8</v>
      </c>
      <c r="AP112" s="40">
        <v>0.03</v>
      </c>
      <c r="AQ112" s="40">
        <v>0.36</v>
      </c>
      <c r="AR112" s="40">
        <v>0.54</v>
      </c>
      <c r="AS112" s="40">
        <v>7.0000000000000007E-2</v>
      </c>
      <c r="AT112" s="40">
        <v>0.47</v>
      </c>
      <c r="AU112" s="40">
        <v>0.38</v>
      </c>
      <c r="AV112" s="40">
        <v>0.46</v>
      </c>
      <c r="AW112" s="247">
        <v>54</v>
      </c>
      <c r="AX112" s="247" t="s">
        <v>874</v>
      </c>
      <c r="AY112" s="247">
        <v>9</v>
      </c>
      <c r="AZ112" s="247" t="s">
        <v>874</v>
      </c>
      <c r="BA112" s="264">
        <v>0.04</v>
      </c>
      <c r="BB112" s="264">
        <v>0.33</v>
      </c>
      <c r="BC112" s="264">
        <v>0.53</v>
      </c>
      <c r="BD112" s="264">
        <v>0.1</v>
      </c>
      <c r="BE112" s="264">
        <v>0.44</v>
      </c>
      <c r="BF112" s="264">
        <v>0.33</v>
      </c>
      <c r="BG112" s="264">
        <v>0.55000000000000004</v>
      </c>
      <c r="BH112" s="311">
        <v>55</v>
      </c>
      <c r="BI112" s="311" t="s">
        <v>874</v>
      </c>
      <c r="BJ112" s="311">
        <v>9</v>
      </c>
      <c r="BK112" s="311" t="s">
        <v>874</v>
      </c>
      <c r="BL112" s="329">
        <v>0.02</v>
      </c>
      <c r="BM112" s="329">
        <v>0.28000000000000003</v>
      </c>
      <c r="BN112" s="329">
        <v>0.59</v>
      </c>
      <c r="BO112" s="329">
        <v>0.11</v>
      </c>
      <c r="BP112" s="329">
        <v>0.46</v>
      </c>
      <c r="BQ112" s="329">
        <v>0.35</v>
      </c>
      <c r="BR112" s="329">
        <v>0.43</v>
      </c>
      <c r="BS112" s="426">
        <v>52</v>
      </c>
      <c r="BT112" s="426" t="s">
        <v>874</v>
      </c>
      <c r="BU112" s="426">
        <v>9</v>
      </c>
      <c r="BV112" s="426" t="s">
        <v>874</v>
      </c>
      <c r="BW112" s="430">
        <v>0.03</v>
      </c>
      <c r="BX112" s="430">
        <v>0.46</v>
      </c>
      <c r="BY112" s="430">
        <v>0.48</v>
      </c>
      <c r="BZ112" s="430">
        <v>0.04</v>
      </c>
      <c r="CA112" s="430">
        <v>0.41</v>
      </c>
      <c r="CB112" s="430">
        <v>0.52</v>
      </c>
      <c r="CC112" s="430">
        <v>0.52</v>
      </c>
      <c r="CD112" s="466">
        <v>54</v>
      </c>
      <c r="CE112" s="466" t="s">
        <v>874</v>
      </c>
      <c r="CF112" s="466">
        <v>9</v>
      </c>
      <c r="CG112" s="466" t="s">
        <v>874</v>
      </c>
      <c r="CH112" s="480">
        <v>0.01</v>
      </c>
      <c r="CI112" s="480">
        <v>0.38</v>
      </c>
      <c r="CJ112" s="480">
        <v>0.5</v>
      </c>
      <c r="CK112" s="480">
        <v>0.12</v>
      </c>
      <c r="CL112" s="480">
        <v>0.43</v>
      </c>
      <c r="CM112" s="480">
        <v>0.45</v>
      </c>
      <c r="CN112" s="480">
        <v>0.37</v>
      </c>
    </row>
    <row r="113" spans="1:92" ht="24.95" customHeight="1" x14ac:dyDescent="0.2">
      <c r="A113" s="814" t="s">
        <v>124</v>
      </c>
      <c r="B113" s="1" t="s">
        <v>219</v>
      </c>
      <c r="C113" s="2">
        <v>4</v>
      </c>
      <c r="D113" s="12">
        <v>46</v>
      </c>
      <c r="E113" s="12">
        <v>7</v>
      </c>
      <c r="F113" s="63">
        <v>0.1</v>
      </c>
      <c r="G113" s="63">
        <v>0.65</v>
      </c>
      <c r="H113" s="63">
        <v>0.24</v>
      </c>
      <c r="I113" s="63">
        <v>0</v>
      </c>
      <c r="J113" s="63">
        <v>0.55000000000000004</v>
      </c>
      <c r="K113" s="63">
        <v>0.55000000000000004</v>
      </c>
      <c r="L113" s="63">
        <v>0.67</v>
      </c>
      <c r="M113" s="25">
        <v>48</v>
      </c>
      <c r="N113" s="25">
        <v>8</v>
      </c>
      <c r="O113" s="61">
        <v>0.02</v>
      </c>
      <c r="P113" s="61">
        <v>0.65</v>
      </c>
      <c r="Q113" s="61">
        <v>0.28999999999999998</v>
      </c>
      <c r="R113" s="61">
        <v>0.04</v>
      </c>
      <c r="S113" s="61">
        <v>0.52</v>
      </c>
      <c r="T113" s="61">
        <v>0.56000000000000005</v>
      </c>
      <c r="U113" s="61">
        <v>0.6</v>
      </c>
      <c r="V113" s="12">
        <v>48</v>
      </c>
      <c r="W113" s="12">
        <v>8</v>
      </c>
      <c r="X113" s="66">
        <v>0.02</v>
      </c>
      <c r="Y113" s="66">
        <v>0.62</v>
      </c>
      <c r="Z113" s="66">
        <v>0.34</v>
      </c>
      <c r="AA113" s="66">
        <v>0.02</v>
      </c>
      <c r="AB113" s="66">
        <v>0.53</v>
      </c>
      <c r="AC113" s="66">
        <v>0.59</v>
      </c>
      <c r="AD113" s="66">
        <v>0.59</v>
      </c>
      <c r="AE113" s="12">
        <v>49</v>
      </c>
      <c r="AF113" s="12">
        <v>10</v>
      </c>
      <c r="AG113" s="63">
        <v>7.0000000000000007E-2</v>
      </c>
      <c r="AH113" s="63">
        <v>0.49</v>
      </c>
      <c r="AI113" s="63">
        <v>0.39</v>
      </c>
      <c r="AJ113" s="63">
        <v>0.05</v>
      </c>
      <c r="AK113" s="63">
        <v>0.49</v>
      </c>
      <c r="AL113" s="63">
        <v>0.45</v>
      </c>
      <c r="AM113" s="63">
        <v>0.49</v>
      </c>
      <c r="AN113" s="35">
        <v>49</v>
      </c>
      <c r="AO113" s="35">
        <v>9</v>
      </c>
      <c r="AP113" s="40">
        <v>0.02</v>
      </c>
      <c r="AQ113" s="40">
        <v>0.55000000000000004</v>
      </c>
      <c r="AR113" s="40">
        <v>0.39</v>
      </c>
      <c r="AS113" s="40">
        <v>0.05</v>
      </c>
      <c r="AT113" s="40">
        <v>0.56000000000000005</v>
      </c>
      <c r="AU113" s="40">
        <v>0.49</v>
      </c>
      <c r="AV113" s="40">
        <v>0.51</v>
      </c>
      <c r="AW113" s="247">
        <v>50</v>
      </c>
      <c r="AX113" s="247" t="s">
        <v>874</v>
      </c>
      <c r="AY113" s="247">
        <v>8</v>
      </c>
      <c r="AZ113" s="247" t="s">
        <v>874</v>
      </c>
      <c r="BA113" s="264">
        <v>0.02</v>
      </c>
      <c r="BB113" s="264">
        <v>0.51</v>
      </c>
      <c r="BC113" s="264">
        <v>0.47</v>
      </c>
      <c r="BD113" s="264">
        <v>0</v>
      </c>
      <c r="BE113" s="264">
        <v>0.5</v>
      </c>
      <c r="BF113" s="264">
        <v>0.46</v>
      </c>
      <c r="BG113" s="264">
        <v>0.61</v>
      </c>
      <c r="BH113" s="311">
        <v>50</v>
      </c>
      <c r="BI113" s="311" t="s">
        <v>874</v>
      </c>
      <c r="BJ113" s="311">
        <v>9</v>
      </c>
      <c r="BK113" s="311" t="s">
        <v>874</v>
      </c>
      <c r="BL113" s="329">
        <v>0.08</v>
      </c>
      <c r="BM113" s="329">
        <v>0.43</v>
      </c>
      <c r="BN113" s="329">
        <v>0.47</v>
      </c>
      <c r="BO113" s="329">
        <v>0.02</v>
      </c>
      <c r="BP113" s="329">
        <v>0.54</v>
      </c>
      <c r="BQ113" s="329">
        <v>0.41</v>
      </c>
      <c r="BR113" s="329">
        <v>0.53</v>
      </c>
      <c r="BS113" s="426">
        <v>49</v>
      </c>
      <c r="BT113" s="426" t="s">
        <v>874</v>
      </c>
      <c r="BU113" s="426">
        <v>9</v>
      </c>
      <c r="BV113" s="426" t="s">
        <v>874</v>
      </c>
      <c r="BW113" s="430">
        <v>0.03</v>
      </c>
      <c r="BX113" s="430">
        <v>0.47</v>
      </c>
      <c r="BY113" s="430">
        <v>0.48</v>
      </c>
      <c r="BZ113" s="430">
        <v>0.02</v>
      </c>
      <c r="CA113" s="430">
        <v>0.46</v>
      </c>
      <c r="CB113" s="430">
        <v>0.56000000000000005</v>
      </c>
      <c r="CC113" s="430">
        <v>0.6</v>
      </c>
      <c r="CD113" s="466">
        <v>49</v>
      </c>
      <c r="CE113" s="466" t="s">
        <v>874</v>
      </c>
      <c r="CF113" s="466">
        <v>9</v>
      </c>
      <c r="CG113" s="466" t="s">
        <v>874</v>
      </c>
      <c r="CH113" s="480">
        <v>0.09</v>
      </c>
      <c r="CI113" s="480">
        <v>0.53</v>
      </c>
      <c r="CJ113" s="480">
        <v>0.37</v>
      </c>
      <c r="CK113" s="480">
        <v>0.02</v>
      </c>
      <c r="CL113" s="480">
        <v>0.54</v>
      </c>
      <c r="CM113" s="480">
        <v>0.54</v>
      </c>
      <c r="CN113" s="480">
        <v>0.46</v>
      </c>
    </row>
    <row r="114" spans="1:92" ht="24.95" customHeight="1" x14ac:dyDescent="0.2">
      <c r="A114" s="814" t="s">
        <v>23</v>
      </c>
      <c r="B114" s="1" t="s">
        <v>219</v>
      </c>
      <c r="C114" s="2">
        <v>2</v>
      </c>
      <c r="D114" s="12">
        <v>54</v>
      </c>
      <c r="E114" s="12">
        <v>8</v>
      </c>
      <c r="F114" s="63">
        <v>0</v>
      </c>
      <c r="G114" s="63">
        <v>0.34</v>
      </c>
      <c r="H114" s="63">
        <v>0.56999999999999995</v>
      </c>
      <c r="I114" s="63">
        <v>0.08</v>
      </c>
      <c r="J114" s="63">
        <v>0.42</v>
      </c>
      <c r="K114" s="63">
        <v>0.46</v>
      </c>
      <c r="L114" s="63">
        <v>0.52</v>
      </c>
      <c r="M114" s="25">
        <v>55</v>
      </c>
      <c r="N114" s="25">
        <v>8</v>
      </c>
      <c r="O114" s="61">
        <v>0.02</v>
      </c>
      <c r="P114" s="61">
        <v>0.25</v>
      </c>
      <c r="Q114" s="61">
        <v>0.65</v>
      </c>
      <c r="R114" s="61">
        <v>7.0000000000000007E-2</v>
      </c>
      <c r="S114" s="61">
        <v>0.42</v>
      </c>
      <c r="T114" s="61">
        <v>0.46</v>
      </c>
      <c r="U114" s="61">
        <v>0.46</v>
      </c>
      <c r="V114" s="12">
        <v>54</v>
      </c>
      <c r="W114" s="12">
        <v>9</v>
      </c>
      <c r="X114" s="66">
        <v>0.01</v>
      </c>
      <c r="Y114" s="66">
        <v>0.3</v>
      </c>
      <c r="Z114" s="66">
        <v>0.56000000000000005</v>
      </c>
      <c r="AA114" s="66">
        <v>0.13</v>
      </c>
      <c r="AB114" s="66">
        <v>0.41</v>
      </c>
      <c r="AC114" s="66">
        <v>0.48</v>
      </c>
      <c r="AD114" s="66">
        <v>0.5</v>
      </c>
      <c r="AE114" s="12">
        <v>54</v>
      </c>
      <c r="AF114" s="12">
        <v>9</v>
      </c>
      <c r="AG114" s="63">
        <v>0.03</v>
      </c>
      <c r="AH114" s="63">
        <v>0.3</v>
      </c>
      <c r="AI114" s="63">
        <v>0.57999999999999996</v>
      </c>
      <c r="AJ114" s="63">
        <v>0.09</v>
      </c>
      <c r="AK114" s="63">
        <v>0.42</v>
      </c>
      <c r="AL114" s="63">
        <v>0.37</v>
      </c>
      <c r="AM114" s="63">
        <v>0.42</v>
      </c>
      <c r="AN114" s="35">
        <v>54</v>
      </c>
      <c r="AO114" s="35">
        <v>9</v>
      </c>
      <c r="AP114" s="40">
        <v>0.01</v>
      </c>
      <c r="AQ114" s="40">
        <v>0.34</v>
      </c>
      <c r="AR114" s="40">
        <v>0.55000000000000004</v>
      </c>
      <c r="AS114" s="40">
        <v>0.1</v>
      </c>
      <c r="AT114" s="40">
        <v>0.48</v>
      </c>
      <c r="AU114" s="40">
        <v>0.36</v>
      </c>
      <c r="AV114" s="40">
        <v>0.43</v>
      </c>
      <c r="AW114" s="247">
        <v>54</v>
      </c>
      <c r="AX114" s="247" t="s">
        <v>874</v>
      </c>
      <c r="AY114" s="247">
        <v>9</v>
      </c>
      <c r="AZ114" s="247" t="s">
        <v>874</v>
      </c>
      <c r="BA114" s="264">
        <v>0.02</v>
      </c>
      <c r="BB114" s="264">
        <v>0.37</v>
      </c>
      <c r="BC114" s="264">
        <v>0.49</v>
      </c>
      <c r="BD114" s="264">
        <v>0.12</v>
      </c>
      <c r="BE114" s="264">
        <v>0.45</v>
      </c>
      <c r="BF114" s="264">
        <v>0.36</v>
      </c>
      <c r="BG114" s="264">
        <v>0.54</v>
      </c>
      <c r="BH114" s="311">
        <v>54</v>
      </c>
      <c r="BI114" s="311" t="s">
        <v>874</v>
      </c>
      <c r="BJ114" s="311">
        <v>9</v>
      </c>
      <c r="BK114" s="311" t="s">
        <v>874</v>
      </c>
      <c r="BL114" s="329">
        <v>0.01</v>
      </c>
      <c r="BM114" s="329">
        <v>0.33</v>
      </c>
      <c r="BN114" s="329">
        <v>0.55000000000000004</v>
      </c>
      <c r="BO114" s="329">
        <v>0.11</v>
      </c>
      <c r="BP114" s="329">
        <v>0.47</v>
      </c>
      <c r="BQ114" s="329">
        <v>0.35</v>
      </c>
      <c r="BR114" s="329">
        <v>0.44</v>
      </c>
      <c r="BS114" s="426">
        <v>55</v>
      </c>
      <c r="BT114" s="426" t="s">
        <v>874</v>
      </c>
      <c r="BU114" s="426">
        <v>9</v>
      </c>
      <c r="BV114" s="426" t="s">
        <v>874</v>
      </c>
      <c r="BW114" s="430">
        <v>0.01</v>
      </c>
      <c r="BX114" s="430">
        <v>0.33</v>
      </c>
      <c r="BY114" s="430">
        <v>0.54</v>
      </c>
      <c r="BZ114" s="430">
        <v>0.12</v>
      </c>
      <c r="CA114" s="430">
        <v>0.37</v>
      </c>
      <c r="CB114" s="430">
        <v>0.47</v>
      </c>
      <c r="CC114" s="430">
        <v>0.47</v>
      </c>
      <c r="CD114" s="466">
        <v>54</v>
      </c>
      <c r="CE114" s="466" t="s">
        <v>874</v>
      </c>
      <c r="CF114" s="466">
        <v>9</v>
      </c>
      <c r="CG114" s="466" t="s">
        <v>874</v>
      </c>
      <c r="CH114" s="480">
        <v>0.01</v>
      </c>
      <c r="CI114" s="480">
        <v>0.32</v>
      </c>
      <c r="CJ114" s="480">
        <v>0.57999999999999996</v>
      </c>
      <c r="CK114" s="480">
        <v>0.09</v>
      </c>
      <c r="CL114" s="480">
        <v>0.45</v>
      </c>
      <c r="CM114" s="480">
        <v>0.46</v>
      </c>
      <c r="CN114" s="480">
        <v>0.35</v>
      </c>
    </row>
    <row r="115" spans="1:92" ht="24.95" customHeight="1" x14ac:dyDescent="0.2">
      <c r="A115" s="814" t="s">
        <v>222</v>
      </c>
      <c r="B115" s="1" t="s">
        <v>221</v>
      </c>
      <c r="C115" s="2">
        <v>1</v>
      </c>
      <c r="D115" s="12">
        <v>52</v>
      </c>
      <c r="E115" s="12">
        <v>7</v>
      </c>
      <c r="F115" s="66">
        <v>0</v>
      </c>
      <c r="G115" s="66">
        <v>0.52</v>
      </c>
      <c r="H115" s="66">
        <v>0.46</v>
      </c>
      <c r="I115" s="66">
        <v>0.02</v>
      </c>
      <c r="J115" s="66">
        <v>0.45</v>
      </c>
      <c r="K115" s="66">
        <v>0.53</v>
      </c>
      <c r="L115" s="66">
        <v>0.62</v>
      </c>
      <c r="M115" s="25">
        <v>57</v>
      </c>
      <c r="N115" s="25">
        <v>8</v>
      </c>
      <c r="O115" s="61">
        <v>0</v>
      </c>
      <c r="P115" s="61">
        <v>0.18</v>
      </c>
      <c r="Q115" s="61">
        <v>0.67</v>
      </c>
      <c r="R115" s="61">
        <v>0.15</v>
      </c>
      <c r="S115" s="61">
        <v>0.37</v>
      </c>
      <c r="T115" s="61">
        <v>0.44</v>
      </c>
      <c r="U115" s="61">
        <v>0.39</v>
      </c>
      <c r="V115" s="12">
        <v>56</v>
      </c>
      <c r="W115" s="12">
        <v>7</v>
      </c>
      <c r="X115" s="66">
        <v>0</v>
      </c>
      <c r="Y115" s="66">
        <v>0.24</v>
      </c>
      <c r="Z115" s="66">
        <v>0.71</v>
      </c>
      <c r="AA115" s="66">
        <v>0.05</v>
      </c>
      <c r="AB115" s="66">
        <v>0.43</v>
      </c>
      <c r="AC115" s="66">
        <v>0.44</v>
      </c>
      <c r="AD115" s="66">
        <v>0.45</v>
      </c>
      <c r="AE115" s="12">
        <v>57</v>
      </c>
      <c r="AF115" s="12">
        <v>9</v>
      </c>
      <c r="AG115" s="63">
        <v>0.03</v>
      </c>
      <c r="AH115" s="63">
        <v>0.22</v>
      </c>
      <c r="AI115" s="63">
        <v>0.56999999999999995</v>
      </c>
      <c r="AJ115" s="63">
        <v>0.19</v>
      </c>
      <c r="AK115" s="63">
        <v>0.35</v>
      </c>
      <c r="AL115" s="63">
        <v>0.34</v>
      </c>
      <c r="AM115" s="63">
        <v>0.38</v>
      </c>
      <c r="AN115" s="35">
        <v>57</v>
      </c>
      <c r="AO115" s="35">
        <v>8</v>
      </c>
      <c r="AP115" s="40">
        <v>0</v>
      </c>
      <c r="AQ115" s="40">
        <v>0.24</v>
      </c>
      <c r="AR115" s="40">
        <v>0.62</v>
      </c>
      <c r="AS115" s="40">
        <v>0.13</v>
      </c>
      <c r="AT115" s="40">
        <v>0.42</v>
      </c>
      <c r="AU115" s="40">
        <v>0.28000000000000003</v>
      </c>
      <c r="AV115" s="40">
        <v>0.36</v>
      </c>
      <c r="AW115" s="247">
        <v>59</v>
      </c>
      <c r="AX115" s="247" t="s">
        <v>874</v>
      </c>
      <c r="AY115" s="247">
        <v>8</v>
      </c>
      <c r="AZ115" s="247" t="s">
        <v>874</v>
      </c>
      <c r="BA115" s="264">
        <v>0.02</v>
      </c>
      <c r="BB115" s="264">
        <v>0.1</v>
      </c>
      <c r="BC115" s="264">
        <v>0.69</v>
      </c>
      <c r="BD115" s="264">
        <v>0.19</v>
      </c>
      <c r="BE115" s="264">
        <v>0.37</v>
      </c>
      <c r="BF115" s="264">
        <v>0.27</v>
      </c>
      <c r="BG115" s="264">
        <v>0.45</v>
      </c>
      <c r="BH115" s="311">
        <v>55</v>
      </c>
      <c r="BI115" s="311" t="s">
        <v>874</v>
      </c>
      <c r="BJ115" s="311">
        <v>9</v>
      </c>
      <c r="BK115" s="311" t="s">
        <v>874</v>
      </c>
      <c r="BL115" s="329">
        <v>0.04</v>
      </c>
      <c r="BM115" s="329">
        <v>0.28000000000000003</v>
      </c>
      <c r="BN115" s="329">
        <v>0.59</v>
      </c>
      <c r="BO115" s="329">
        <v>0.09</v>
      </c>
      <c r="BP115" s="329">
        <v>0.47</v>
      </c>
      <c r="BQ115" s="329">
        <v>0.34</v>
      </c>
      <c r="BR115" s="329">
        <v>0.44</v>
      </c>
      <c r="BS115" s="426">
        <v>57</v>
      </c>
      <c r="BT115" s="426" t="s">
        <v>874</v>
      </c>
      <c r="BU115" s="426">
        <v>9</v>
      </c>
      <c r="BV115" s="426" t="s">
        <v>874</v>
      </c>
      <c r="BW115" s="430">
        <v>0.02</v>
      </c>
      <c r="BX115" s="430">
        <v>0.22</v>
      </c>
      <c r="BY115" s="430">
        <v>0.61</v>
      </c>
      <c r="BZ115" s="430">
        <v>0.15</v>
      </c>
      <c r="CA115" s="430">
        <v>0.28999999999999998</v>
      </c>
      <c r="CB115" s="430">
        <v>0.39</v>
      </c>
      <c r="CC115" s="430">
        <v>0.45</v>
      </c>
      <c r="CD115" s="647">
        <v>56</v>
      </c>
      <c r="CE115" s="647" t="s">
        <v>874</v>
      </c>
      <c r="CF115" s="647">
        <v>7</v>
      </c>
      <c r="CG115" s="647" t="s">
        <v>874</v>
      </c>
      <c r="CH115" s="648">
        <v>0</v>
      </c>
      <c r="CI115" s="648">
        <v>0.17</v>
      </c>
      <c r="CJ115" s="648">
        <v>0.72</v>
      </c>
      <c r="CK115" s="648">
        <v>0.11</v>
      </c>
      <c r="CL115" s="648">
        <v>0.39</v>
      </c>
      <c r="CM115" s="648">
        <v>0.44</v>
      </c>
      <c r="CN115" s="648">
        <v>0.33</v>
      </c>
    </row>
    <row r="116" spans="1:92" ht="24.95" customHeight="1" x14ac:dyDescent="0.2">
      <c r="A116" s="814" t="s">
        <v>88</v>
      </c>
      <c r="B116" s="1" t="s">
        <v>219</v>
      </c>
      <c r="C116" s="2">
        <v>2</v>
      </c>
      <c r="D116" s="12">
        <v>53</v>
      </c>
      <c r="E116" s="12">
        <v>7</v>
      </c>
      <c r="F116" s="63">
        <v>0.01</v>
      </c>
      <c r="G116" s="63">
        <v>0.38</v>
      </c>
      <c r="H116" s="63">
        <v>0.56000000000000005</v>
      </c>
      <c r="I116" s="63">
        <v>0.05</v>
      </c>
      <c r="J116" s="63">
        <v>0.44</v>
      </c>
      <c r="K116" s="63">
        <v>0.52</v>
      </c>
      <c r="L116" s="63">
        <v>0.56999999999999995</v>
      </c>
      <c r="M116" s="25">
        <v>54</v>
      </c>
      <c r="N116" s="25">
        <v>8</v>
      </c>
      <c r="O116" s="61">
        <v>0.01</v>
      </c>
      <c r="P116" s="61">
        <v>0.34</v>
      </c>
      <c r="Q116" s="61">
        <v>0.57999999999999996</v>
      </c>
      <c r="R116" s="61">
        <v>7.0000000000000007E-2</v>
      </c>
      <c r="S116" s="61">
        <v>0.44</v>
      </c>
      <c r="T116" s="61">
        <v>0.47</v>
      </c>
      <c r="U116" s="61">
        <v>0.49</v>
      </c>
      <c r="V116" s="12">
        <v>53</v>
      </c>
      <c r="W116" s="12">
        <v>9</v>
      </c>
      <c r="X116" s="66">
        <v>0.01</v>
      </c>
      <c r="Y116" s="66">
        <v>0.37</v>
      </c>
      <c r="Z116" s="66">
        <v>0.52</v>
      </c>
      <c r="AA116" s="66">
        <v>0.09</v>
      </c>
      <c r="AB116" s="66">
        <v>0.44</v>
      </c>
      <c r="AC116" s="66">
        <v>0.51</v>
      </c>
      <c r="AD116" s="66">
        <v>0.51</v>
      </c>
      <c r="AE116" s="12">
        <v>54</v>
      </c>
      <c r="AF116" s="12">
        <v>9</v>
      </c>
      <c r="AG116" s="63">
        <v>0.02</v>
      </c>
      <c r="AH116" s="63">
        <v>0.31</v>
      </c>
      <c r="AI116" s="63">
        <v>0.57999999999999996</v>
      </c>
      <c r="AJ116" s="63">
        <v>0.09</v>
      </c>
      <c r="AK116" s="63">
        <v>0.4</v>
      </c>
      <c r="AL116" s="63">
        <v>0.35</v>
      </c>
      <c r="AM116" s="63">
        <v>0.42</v>
      </c>
      <c r="AN116" s="35">
        <v>54</v>
      </c>
      <c r="AO116" s="35">
        <v>8</v>
      </c>
      <c r="AP116" s="40">
        <v>0</v>
      </c>
      <c r="AQ116" s="40">
        <v>0.32</v>
      </c>
      <c r="AR116" s="40">
        <v>0.6</v>
      </c>
      <c r="AS116" s="40">
        <v>7.0000000000000007E-2</v>
      </c>
      <c r="AT116" s="40">
        <v>0.47</v>
      </c>
      <c r="AU116" s="40">
        <v>0.36</v>
      </c>
      <c r="AV116" s="40">
        <v>0.42</v>
      </c>
      <c r="AW116" s="247">
        <v>53</v>
      </c>
      <c r="AX116" s="247" t="s">
        <v>874</v>
      </c>
      <c r="AY116" s="247">
        <v>9</v>
      </c>
      <c r="AZ116" s="247" t="s">
        <v>874</v>
      </c>
      <c r="BA116" s="264">
        <v>0.02</v>
      </c>
      <c r="BB116" s="264">
        <v>0.39</v>
      </c>
      <c r="BC116" s="264">
        <v>0.51</v>
      </c>
      <c r="BD116" s="264">
        <v>0.08</v>
      </c>
      <c r="BE116" s="264">
        <v>0.46</v>
      </c>
      <c r="BF116" s="264">
        <v>0.36</v>
      </c>
      <c r="BG116" s="264">
        <v>0.56000000000000005</v>
      </c>
      <c r="BH116" s="311">
        <v>53</v>
      </c>
      <c r="BI116" s="311" t="s">
        <v>874</v>
      </c>
      <c r="BJ116" s="311">
        <v>9</v>
      </c>
      <c r="BK116" s="311" t="s">
        <v>874</v>
      </c>
      <c r="BL116" s="329">
        <v>0.03</v>
      </c>
      <c r="BM116" s="329">
        <v>0.37</v>
      </c>
      <c r="BN116" s="329">
        <v>0.54</v>
      </c>
      <c r="BO116" s="329">
        <v>7.0000000000000007E-2</v>
      </c>
      <c r="BP116" s="329">
        <v>0.49</v>
      </c>
      <c r="BQ116" s="329">
        <v>0.37</v>
      </c>
      <c r="BR116" s="329">
        <v>0.48</v>
      </c>
      <c r="BS116" s="426">
        <v>54</v>
      </c>
      <c r="BT116" s="426" t="s">
        <v>874</v>
      </c>
      <c r="BU116" s="426">
        <v>8</v>
      </c>
      <c r="BV116" s="426" t="s">
        <v>874</v>
      </c>
      <c r="BW116" s="430">
        <v>0.01</v>
      </c>
      <c r="BX116" s="430">
        <v>0.31</v>
      </c>
      <c r="BY116" s="430">
        <v>0.62</v>
      </c>
      <c r="BZ116" s="430">
        <v>0.06</v>
      </c>
      <c r="CA116" s="430">
        <v>0.37</v>
      </c>
      <c r="CB116" s="430">
        <v>0.47</v>
      </c>
      <c r="CC116" s="430">
        <v>0.51</v>
      </c>
      <c r="CD116" s="660">
        <v>55</v>
      </c>
      <c r="CE116" s="660" t="s">
        <v>874</v>
      </c>
      <c r="CF116" s="660">
        <v>8</v>
      </c>
      <c r="CG116" s="660" t="s">
        <v>874</v>
      </c>
      <c r="CH116" s="661">
        <v>0.02</v>
      </c>
      <c r="CI116" s="661">
        <v>0.26</v>
      </c>
      <c r="CJ116" s="661">
        <v>0.62</v>
      </c>
      <c r="CK116" s="661">
        <v>0.1</v>
      </c>
      <c r="CL116" s="661">
        <v>0.44</v>
      </c>
      <c r="CM116" s="661">
        <v>0.44</v>
      </c>
      <c r="CN116" s="661">
        <v>0.33</v>
      </c>
    </row>
    <row r="117" spans="1:92" ht="24.95" customHeight="1" x14ac:dyDescent="0.2">
      <c r="A117" s="814" t="s">
        <v>1096</v>
      </c>
      <c r="B117" s="1" t="s">
        <v>219</v>
      </c>
      <c r="C117" s="2">
        <v>4</v>
      </c>
      <c r="D117" s="12">
        <v>54</v>
      </c>
      <c r="E117" s="12">
        <v>8</v>
      </c>
      <c r="F117" s="63">
        <v>0.01</v>
      </c>
      <c r="G117" s="63">
        <v>0.3</v>
      </c>
      <c r="H117" s="63">
        <v>0.63</v>
      </c>
      <c r="I117" s="63">
        <v>0.05</v>
      </c>
      <c r="J117" s="63">
        <v>0.41</v>
      </c>
      <c r="K117" s="63">
        <v>0.44</v>
      </c>
      <c r="L117" s="63">
        <v>0.51</v>
      </c>
      <c r="M117" s="25">
        <v>57</v>
      </c>
      <c r="N117" s="25">
        <v>9</v>
      </c>
      <c r="O117" s="61">
        <v>0</v>
      </c>
      <c r="P117" s="61">
        <v>0.24</v>
      </c>
      <c r="Q117" s="61">
        <v>0.59</v>
      </c>
      <c r="R117" s="61">
        <v>0.17</v>
      </c>
      <c r="S117" s="61">
        <v>0.41</v>
      </c>
      <c r="T117" s="61">
        <v>0.43</v>
      </c>
      <c r="U117" s="61">
        <v>0.44</v>
      </c>
      <c r="V117" s="25">
        <v>53</v>
      </c>
      <c r="W117" s="25">
        <v>8</v>
      </c>
      <c r="X117" s="66">
        <v>0</v>
      </c>
      <c r="Y117" s="66">
        <v>0.39</v>
      </c>
      <c r="Z117" s="66">
        <v>0.55000000000000004</v>
      </c>
      <c r="AA117" s="66">
        <v>0.06</v>
      </c>
      <c r="AB117" s="66">
        <v>0.43</v>
      </c>
      <c r="AC117" s="66">
        <v>0.48</v>
      </c>
      <c r="AD117" s="66">
        <v>0.53</v>
      </c>
      <c r="AE117" s="12">
        <v>53</v>
      </c>
      <c r="AF117" s="12">
        <v>9</v>
      </c>
      <c r="AG117" s="63">
        <v>0.03</v>
      </c>
      <c r="AH117" s="63">
        <v>0.34</v>
      </c>
      <c r="AI117" s="63">
        <v>0.51</v>
      </c>
      <c r="AJ117" s="63">
        <v>0.12</v>
      </c>
      <c r="AK117" s="63">
        <v>0.43</v>
      </c>
      <c r="AL117" s="63">
        <v>0.36</v>
      </c>
      <c r="AM117" s="63">
        <v>0.44</v>
      </c>
      <c r="AN117" s="35">
        <v>53</v>
      </c>
      <c r="AO117" s="35">
        <v>8</v>
      </c>
      <c r="AP117" s="40">
        <v>0.01</v>
      </c>
      <c r="AQ117" s="40">
        <v>0.32</v>
      </c>
      <c r="AR117" s="40">
        <v>0.57999999999999996</v>
      </c>
      <c r="AS117" s="40">
        <v>0.09</v>
      </c>
      <c r="AT117" s="40">
        <v>0.46</v>
      </c>
      <c r="AU117" s="40">
        <v>0.38</v>
      </c>
      <c r="AV117" s="40">
        <v>0.43</v>
      </c>
      <c r="AW117" s="247">
        <v>53</v>
      </c>
      <c r="AX117" s="247" t="s">
        <v>874</v>
      </c>
      <c r="AY117" s="247">
        <v>9</v>
      </c>
      <c r="AZ117" s="247" t="s">
        <v>874</v>
      </c>
      <c r="BA117" s="264">
        <v>0.02</v>
      </c>
      <c r="BB117" s="264">
        <v>0.33</v>
      </c>
      <c r="BC117" s="264">
        <v>0.56999999999999995</v>
      </c>
      <c r="BD117" s="264">
        <v>0.08</v>
      </c>
      <c r="BE117" s="264">
        <v>0.46</v>
      </c>
      <c r="BF117" s="264">
        <v>0.36</v>
      </c>
      <c r="BG117" s="264">
        <v>0.53</v>
      </c>
      <c r="BH117" s="311">
        <v>52</v>
      </c>
      <c r="BI117" s="311" t="s">
        <v>874</v>
      </c>
      <c r="BJ117" s="311">
        <v>9</v>
      </c>
      <c r="BK117" s="311" t="s">
        <v>874</v>
      </c>
      <c r="BL117" s="329">
        <v>0.01</v>
      </c>
      <c r="BM117" s="329">
        <v>0.4</v>
      </c>
      <c r="BN117" s="329">
        <v>0.51</v>
      </c>
      <c r="BO117" s="329">
        <v>0.08</v>
      </c>
      <c r="BP117" s="329">
        <v>0.5</v>
      </c>
      <c r="BQ117" s="329">
        <v>0.4</v>
      </c>
      <c r="BR117" s="329">
        <v>0.49</v>
      </c>
      <c r="BS117" s="426">
        <v>53</v>
      </c>
      <c r="BT117" s="426" t="s">
        <v>874</v>
      </c>
      <c r="BU117" s="426">
        <v>9</v>
      </c>
      <c r="BV117" s="426" t="s">
        <v>874</v>
      </c>
      <c r="BW117" s="430">
        <v>0.02</v>
      </c>
      <c r="BX117" s="430">
        <v>0.35</v>
      </c>
      <c r="BY117" s="430">
        <v>0.54</v>
      </c>
      <c r="BZ117" s="430">
        <v>0.08</v>
      </c>
      <c r="CA117" s="430">
        <v>0.38</v>
      </c>
      <c r="CB117" s="430">
        <v>0.5</v>
      </c>
      <c r="CC117" s="430">
        <v>0.51</v>
      </c>
      <c r="CD117" s="466">
        <v>54</v>
      </c>
      <c r="CE117" s="466" t="s">
        <v>874</v>
      </c>
      <c r="CF117" s="466">
        <v>9</v>
      </c>
      <c r="CG117" s="466" t="s">
        <v>874</v>
      </c>
      <c r="CH117" s="480">
        <v>0.02</v>
      </c>
      <c r="CI117" s="480">
        <v>0.34</v>
      </c>
      <c r="CJ117" s="480">
        <v>0.56000000000000005</v>
      </c>
      <c r="CK117" s="480">
        <v>0.08</v>
      </c>
      <c r="CL117" s="480">
        <v>0.47</v>
      </c>
      <c r="CM117" s="480">
        <v>0.45</v>
      </c>
      <c r="CN117" s="480">
        <v>0.38</v>
      </c>
    </row>
    <row r="118" spans="1:92" ht="24.95" customHeight="1" x14ac:dyDescent="0.2">
      <c r="A118" s="814" t="s">
        <v>1097</v>
      </c>
      <c r="B118" s="1" t="s">
        <v>221</v>
      </c>
      <c r="C118" s="2">
        <v>1</v>
      </c>
      <c r="D118" s="12">
        <v>50</v>
      </c>
      <c r="E118" s="12">
        <v>9</v>
      </c>
      <c r="F118" s="63">
        <v>0</v>
      </c>
      <c r="G118" s="63">
        <v>0.6</v>
      </c>
      <c r="H118" s="63">
        <v>0.36</v>
      </c>
      <c r="I118" s="63">
        <v>0.05</v>
      </c>
      <c r="J118" s="63">
        <v>0.52</v>
      </c>
      <c r="K118" s="63">
        <v>0.47</v>
      </c>
      <c r="L118" s="63">
        <v>0.56999999999999995</v>
      </c>
      <c r="M118" s="25">
        <v>50</v>
      </c>
      <c r="N118" s="25">
        <v>9</v>
      </c>
      <c r="O118" s="61">
        <v>0.06</v>
      </c>
      <c r="P118" s="61">
        <v>0.41</v>
      </c>
      <c r="Q118" s="61">
        <v>0.53</v>
      </c>
      <c r="R118" s="61">
        <v>0</v>
      </c>
      <c r="S118" s="61">
        <v>0.55000000000000004</v>
      </c>
      <c r="T118" s="61">
        <v>0.51</v>
      </c>
      <c r="U118" s="61">
        <v>0.54</v>
      </c>
      <c r="V118" s="25">
        <v>48</v>
      </c>
      <c r="W118" s="25">
        <v>7</v>
      </c>
      <c r="X118" s="66">
        <v>7.0000000000000007E-2</v>
      </c>
      <c r="Y118" s="66">
        <v>0.64</v>
      </c>
      <c r="Z118" s="66">
        <v>0.28999999999999998</v>
      </c>
      <c r="AA118" s="66">
        <v>0</v>
      </c>
      <c r="AB118" s="66">
        <v>0.56999999999999995</v>
      </c>
      <c r="AC118" s="66">
        <v>0.51</v>
      </c>
      <c r="AD118" s="66">
        <v>0.59</v>
      </c>
      <c r="AE118" s="12">
        <v>51</v>
      </c>
      <c r="AF118" s="12">
        <v>8</v>
      </c>
      <c r="AG118" s="63">
        <v>0.04</v>
      </c>
      <c r="AH118" s="63">
        <v>0.43</v>
      </c>
      <c r="AI118" s="63">
        <v>0.52</v>
      </c>
      <c r="AJ118" s="63">
        <v>0</v>
      </c>
      <c r="AK118" s="63">
        <v>0.44</v>
      </c>
      <c r="AL118" s="63">
        <v>0.43</v>
      </c>
      <c r="AM118" s="63">
        <v>0.42</v>
      </c>
      <c r="AN118" s="35">
        <v>54</v>
      </c>
      <c r="AO118" s="35">
        <v>8</v>
      </c>
      <c r="AP118" s="40">
        <v>0</v>
      </c>
      <c r="AQ118" s="40">
        <v>0.38</v>
      </c>
      <c r="AR118" s="40">
        <v>0.57999999999999996</v>
      </c>
      <c r="AS118" s="40">
        <v>0.04</v>
      </c>
      <c r="AT118" s="40">
        <v>0.48</v>
      </c>
      <c r="AU118" s="40">
        <v>0.36</v>
      </c>
      <c r="AV118" s="40">
        <v>0.45</v>
      </c>
      <c r="AW118" s="247">
        <v>55</v>
      </c>
      <c r="AX118" s="247" t="s">
        <v>874</v>
      </c>
      <c r="AY118" s="247">
        <v>9</v>
      </c>
      <c r="AZ118" s="247" t="s">
        <v>874</v>
      </c>
      <c r="BA118" s="264">
        <v>0</v>
      </c>
      <c r="BB118" s="264">
        <v>0.33</v>
      </c>
      <c r="BC118" s="264">
        <v>0.52</v>
      </c>
      <c r="BD118" s="264">
        <v>0.14000000000000001</v>
      </c>
      <c r="BE118" s="264">
        <v>0.39</v>
      </c>
      <c r="BF118" s="264">
        <v>0.32</v>
      </c>
      <c r="BG118" s="264">
        <v>0.56000000000000005</v>
      </c>
      <c r="BH118" s="311">
        <v>54</v>
      </c>
      <c r="BI118" s="311" t="s">
        <v>874</v>
      </c>
      <c r="BJ118" s="311">
        <v>10</v>
      </c>
      <c r="BK118" s="311" t="s">
        <v>874</v>
      </c>
      <c r="BL118" s="329">
        <v>0.05</v>
      </c>
      <c r="BM118" s="329">
        <v>0.24</v>
      </c>
      <c r="BN118" s="329">
        <v>0.56999999999999995</v>
      </c>
      <c r="BO118" s="329">
        <v>0.14000000000000001</v>
      </c>
      <c r="BP118" s="329">
        <v>0.46</v>
      </c>
      <c r="BQ118" s="329">
        <v>0.31</v>
      </c>
      <c r="BR118" s="329">
        <v>0.48</v>
      </c>
      <c r="BS118" s="426">
        <v>54</v>
      </c>
      <c r="BT118" s="426" t="s">
        <v>874</v>
      </c>
      <c r="BU118" s="426">
        <v>9</v>
      </c>
      <c r="BV118" s="426" t="s">
        <v>874</v>
      </c>
      <c r="BW118" s="430">
        <v>0.04</v>
      </c>
      <c r="BX118" s="430">
        <v>0.28000000000000003</v>
      </c>
      <c r="BY118" s="430">
        <v>0.64</v>
      </c>
      <c r="BZ118" s="430">
        <v>0.04</v>
      </c>
      <c r="CA118" s="430">
        <v>0.39</v>
      </c>
      <c r="CB118" s="430">
        <v>0.48</v>
      </c>
      <c r="CC118" s="430">
        <v>0.47</v>
      </c>
      <c r="CD118" s="466">
        <v>57</v>
      </c>
      <c r="CE118" s="466" t="s">
        <v>874</v>
      </c>
      <c r="CF118" s="466">
        <v>7</v>
      </c>
      <c r="CG118" s="466" t="s">
        <v>874</v>
      </c>
      <c r="CH118" s="480">
        <v>0</v>
      </c>
      <c r="CI118" s="480">
        <v>0.21</v>
      </c>
      <c r="CJ118" s="480">
        <v>0.63</v>
      </c>
      <c r="CK118" s="480">
        <v>0.16</v>
      </c>
      <c r="CL118" s="480">
        <v>0.43</v>
      </c>
      <c r="CM118" s="480">
        <v>0.43</v>
      </c>
      <c r="CN118" s="480">
        <v>0.26</v>
      </c>
    </row>
    <row r="119" spans="1:92" ht="24.95" customHeight="1" x14ac:dyDescent="0.2">
      <c r="A119" s="814" t="s">
        <v>172</v>
      </c>
      <c r="B119" s="1" t="s">
        <v>219</v>
      </c>
      <c r="C119" s="2">
        <v>3</v>
      </c>
      <c r="D119" s="12">
        <v>52</v>
      </c>
      <c r="E119" s="12">
        <v>9</v>
      </c>
      <c r="F119" s="63">
        <v>0.04</v>
      </c>
      <c r="G119" s="63">
        <v>0.45</v>
      </c>
      <c r="H119" s="63">
        <v>0.46</v>
      </c>
      <c r="I119" s="63">
        <v>0.05</v>
      </c>
      <c r="J119" s="63">
        <v>0.48</v>
      </c>
      <c r="K119" s="63">
        <v>0.5</v>
      </c>
      <c r="L119" s="63">
        <v>0.56000000000000005</v>
      </c>
      <c r="M119" s="25">
        <v>53</v>
      </c>
      <c r="N119" s="25">
        <v>8</v>
      </c>
      <c r="O119" s="61">
        <v>0.02</v>
      </c>
      <c r="P119" s="61">
        <v>0.36</v>
      </c>
      <c r="Q119" s="61">
        <v>0.59</v>
      </c>
      <c r="R119" s="61">
        <v>0.03</v>
      </c>
      <c r="S119" s="61">
        <v>0.44</v>
      </c>
      <c r="T119" s="61">
        <v>0.51</v>
      </c>
      <c r="U119" s="61">
        <v>0.48</v>
      </c>
      <c r="V119" s="12">
        <v>54</v>
      </c>
      <c r="W119" s="12">
        <v>9</v>
      </c>
      <c r="X119" s="66">
        <v>0.01</v>
      </c>
      <c r="Y119" s="66">
        <v>0.31</v>
      </c>
      <c r="Z119" s="66">
        <v>0.56000000000000005</v>
      </c>
      <c r="AA119" s="66">
        <v>0.12</v>
      </c>
      <c r="AB119" s="66">
        <v>0.42</v>
      </c>
      <c r="AC119" s="66">
        <v>0.46</v>
      </c>
      <c r="AD119" s="66">
        <v>0.5</v>
      </c>
      <c r="AE119" s="12">
        <v>54</v>
      </c>
      <c r="AF119" s="12">
        <v>8</v>
      </c>
      <c r="AG119" s="63">
        <v>0.01</v>
      </c>
      <c r="AH119" s="63">
        <v>0.33</v>
      </c>
      <c r="AI119" s="63">
        <v>0.59</v>
      </c>
      <c r="AJ119" s="63">
        <v>0.06</v>
      </c>
      <c r="AK119" s="63">
        <v>0.44</v>
      </c>
      <c r="AL119" s="63">
        <v>0.37</v>
      </c>
      <c r="AM119" s="63">
        <v>0.42</v>
      </c>
      <c r="AN119" s="35">
        <v>52</v>
      </c>
      <c r="AO119" s="35">
        <v>8</v>
      </c>
      <c r="AP119" s="40">
        <v>0.03</v>
      </c>
      <c r="AQ119" s="40">
        <v>0.38</v>
      </c>
      <c r="AR119" s="40">
        <v>0.56000000000000005</v>
      </c>
      <c r="AS119" s="40">
        <v>0.03</v>
      </c>
      <c r="AT119" s="40">
        <v>0.5</v>
      </c>
      <c r="AU119" s="40">
        <v>0.41</v>
      </c>
      <c r="AV119" s="40">
        <v>0.47</v>
      </c>
      <c r="AW119" s="247">
        <v>53</v>
      </c>
      <c r="AX119" s="247" t="s">
        <v>874</v>
      </c>
      <c r="AY119" s="247">
        <v>8</v>
      </c>
      <c r="AZ119" s="247" t="s">
        <v>874</v>
      </c>
      <c r="BA119" s="264">
        <v>0.01</v>
      </c>
      <c r="BB119" s="264">
        <v>0.4</v>
      </c>
      <c r="BC119" s="264">
        <v>0.51</v>
      </c>
      <c r="BD119" s="264">
        <v>0.08</v>
      </c>
      <c r="BE119" s="264">
        <v>0.47</v>
      </c>
      <c r="BF119" s="264">
        <v>0.36</v>
      </c>
      <c r="BG119" s="264">
        <v>0.56000000000000005</v>
      </c>
      <c r="BH119" s="311">
        <v>53</v>
      </c>
      <c r="BI119" s="311" t="s">
        <v>874</v>
      </c>
      <c r="BJ119" s="311">
        <v>8</v>
      </c>
      <c r="BK119" s="311" t="s">
        <v>874</v>
      </c>
      <c r="BL119" s="329">
        <v>0</v>
      </c>
      <c r="BM119" s="329">
        <v>0.36</v>
      </c>
      <c r="BN119" s="329">
        <v>0.56999999999999995</v>
      </c>
      <c r="BO119" s="329">
        <v>0.08</v>
      </c>
      <c r="BP119" s="329">
        <v>0.49</v>
      </c>
      <c r="BQ119" s="329">
        <v>0.38</v>
      </c>
      <c r="BR119" s="329">
        <v>0.46</v>
      </c>
      <c r="BS119" s="426">
        <v>52</v>
      </c>
      <c r="BT119" s="426" t="s">
        <v>874</v>
      </c>
      <c r="BU119" s="426">
        <v>8</v>
      </c>
      <c r="BV119" s="426" t="s">
        <v>874</v>
      </c>
      <c r="BW119" s="430">
        <v>0.02</v>
      </c>
      <c r="BX119" s="430">
        <v>0.38</v>
      </c>
      <c r="BY119" s="430">
        <v>0.55000000000000004</v>
      </c>
      <c r="BZ119" s="430">
        <v>0.05</v>
      </c>
      <c r="CA119" s="430">
        <v>0.39</v>
      </c>
      <c r="CB119" s="430">
        <v>0.51</v>
      </c>
      <c r="CC119" s="430">
        <v>0.54</v>
      </c>
      <c r="CD119" s="466">
        <v>52</v>
      </c>
      <c r="CE119" s="466" t="s">
        <v>874</v>
      </c>
      <c r="CF119" s="466">
        <v>9</v>
      </c>
      <c r="CG119" s="466" t="s">
        <v>874</v>
      </c>
      <c r="CH119" s="480">
        <v>0.02</v>
      </c>
      <c r="CI119" s="480">
        <v>0.41</v>
      </c>
      <c r="CJ119" s="480">
        <v>0.5</v>
      </c>
      <c r="CK119" s="480">
        <v>7.0000000000000007E-2</v>
      </c>
      <c r="CL119" s="480">
        <v>0.48</v>
      </c>
      <c r="CM119" s="480">
        <v>0.48</v>
      </c>
      <c r="CN119" s="480">
        <v>0.39</v>
      </c>
    </row>
    <row r="120" spans="1:92" ht="24.95" customHeight="1" x14ac:dyDescent="0.2">
      <c r="A120" s="814" t="s">
        <v>33</v>
      </c>
      <c r="B120" s="1" t="s">
        <v>219</v>
      </c>
      <c r="C120" s="2">
        <v>6</v>
      </c>
      <c r="D120" s="12">
        <v>53</v>
      </c>
      <c r="E120" s="12">
        <v>8</v>
      </c>
      <c r="F120" s="63">
        <v>0</v>
      </c>
      <c r="G120" s="63">
        <v>0.41</v>
      </c>
      <c r="H120" s="63">
        <v>0.55000000000000004</v>
      </c>
      <c r="I120" s="63">
        <v>0.04</v>
      </c>
      <c r="J120" s="63">
        <v>0.45</v>
      </c>
      <c r="K120" s="63">
        <v>0.5</v>
      </c>
      <c r="L120" s="63">
        <v>0.56999999999999995</v>
      </c>
      <c r="M120" s="25">
        <v>53</v>
      </c>
      <c r="N120" s="25">
        <v>8</v>
      </c>
      <c r="O120" s="61">
        <v>0.01</v>
      </c>
      <c r="P120" s="61">
        <v>0.36</v>
      </c>
      <c r="Q120" s="61">
        <v>0.57999999999999996</v>
      </c>
      <c r="R120" s="61">
        <v>0.06</v>
      </c>
      <c r="S120" s="61">
        <v>0.44</v>
      </c>
      <c r="T120" s="61">
        <v>0.49</v>
      </c>
      <c r="U120" s="61">
        <v>0.51</v>
      </c>
      <c r="V120" s="12">
        <v>55</v>
      </c>
      <c r="W120" s="12">
        <v>9</v>
      </c>
      <c r="X120" s="66">
        <v>0.01</v>
      </c>
      <c r="Y120" s="66">
        <v>0.35</v>
      </c>
      <c r="Z120" s="66">
        <v>0.52</v>
      </c>
      <c r="AA120" s="66">
        <v>0.13</v>
      </c>
      <c r="AB120" s="66">
        <v>0.44</v>
      </c>
      <c r="AC120" s="66">
        <v>0.45</v>
      </c>
      <c r="AD120" s="66">
        <v>0.47</v>
      </c>
      <c r="AE120" s="12">
        <v>53</v>
      </c>
      <c r="AF120" s="12">
        <v>9</v>
      </c>
      <c r="AG120" s="63">
        <v>0.04</v>
      </c>
      <c r="AH120" s="63">
        <v>0.36</v>
      </c>
      <c r="AI120" s="63">
        <v>0.53</v>
      </c>
      <c r="AJ120" s="63">
        <v>0.08</v>
      </c>
      <c r="AK120" s="63">
        <v>0.43</v>
      </c>
      <c r="AL120" s="63">
        <v>0.38</v>
      </c>
      <c r="AM120" s="63">
        <v>0.44</v>
      </c>
      <c r="AN120" s="35">
        <v>54</v>
      </c>
      <c r="AO120" s="35">
        <v>8</v>
      </c>
      <c r="AP120" s="40">
        <v>0.02</v>
      </c>
      <c r="AQ120" s="40">
        <v>0.33</v>
      </c>
      <c r="AR120" s="40">
        <v>0.59</v>
      </c>
      <c r="AS120" s="40">
        <v>7.0000000000000007E-2</v>
      </c>
      <c r="AT120" s="40">
        <v>0.45</v>
      </c>
      <c r="AU120" s="40">
        <v>0.36</v>
      </c>
      <c r="AV120" s="40">
        <v>0.44</v>
      </c>
      <c r="AW120" s="247">
        <v>52</v>
      </c>
      <c r="AX120" s="247" t="s">
        <v>874</v>
      </c>
      <c r="AY120" s="247">
        <v>8</v>
      </c>
      <c r="AZ120" s="247" t="s">
        <v>874</v>
      </c>
      <c r="BA120" s="264">
        <v>0.03</v>
      </c>
      <c r="BB120" s="264">
        <v>0.38</v>
      </c>
      <c r="BC120" s="264">
        <v>0.54</v>
      </c>
      <c r="BD120" s="264">
        <v>0.06</v>
      </c>
      <c r="BE120" s="264">
        <v>0.48</v>
      </c>
      <c r="BF120" s="264">
        <v>0.38</v>
      </c>
      <c r="BG120" s="264">
        <v>0.56000000000000005</v>
      </c>
      <c r="BH120" s="311">
        <v>53</v>
      </c>
      <c r="BI120" s="311" t="s">
        <v>874</v>
      </c>
      <c r="BJ120" s="311">
        <v>9</v>
      </c>
      <c r="BK120" s="311" t="s">
        <v>874</v>
      </c>
      <c r="BL120" s="329">
        <v>0.04</v>
      </c>
      <c r="BM120" s="329">
        <v>0.35</v>
      </c>
      <c r="BN120" s="329">
        <v>0.48</v>
      </c>
      <c r="BO120" s="329">
        <v>0.12</v>
      </c>
      <c r="BP120" s="329">
        <v>0.5</v>
      </c>
      <c r="BQ120" s="329">
        <v>0.36</v>
      </c>
      <c r="BR120" s="329">
        <v>0.47</v>
      </c>
      <c r="BS120" s="426">
        <v>52</v>
      </c>
      <c r="BT120" s="426" t="s">
        <v>874</v>
      </c>
      <c r="BU120" s="426">
        <v>9</v>
      </c>
      <c r="BV120" s="426" t="s">
        <v>874</v>
      </c>
      <c r="BW120" s="430">
        <v>0.03</v>
      </c>
      <c r="BX120" s="430">
        <v>0.39</v>
      </c>
      <c r="BY120" s="430">
        <v>0.52</v>
      </c>
      <c r="BZ120" s="430">
        <v>0.06</v>
      </c>
      <c r="CA120" s="430">
        <v>0.39</v>
      </c>
      <c r="CB120" s="430">
        <v>0.51</v>
      </c>
      <c r="CC120" s="430">
        <v>0.53</v>
      </c>
      <c r="CD120" s="466">
        <v>52</v>
      </c>
      <c r="CE120" s="466" t="s">
        <v>874</v>
      </c>
      <c r="CF120" s="466">
        <v>9</v>
      </c>
      <c r="CG120" s="466" t="s">
        <v>874</v>
      </c>
      <c r="CH120" s="480">
        <v>0.04</v>
      </c>
      <c r="CI120" s="480">
        <v>0.38</v>
      </c>
      <c r="CJ120" s="480">
        <v>0.51</v>
      </c>
      <c r="CK120" s="480">
        <v>7.0000000000000007E-2</v>
      </c>
      <c r="CL120" s="480">
        <v>0.48</v>
      </c>
      <c r="CM120" s="480">
        <v>0.48</v>
      </c>
      <c r="CN120" s="480">
        <v>0.39</v>
      </c>
    </row>
    <row r="121" spans="1:92" ht="24.95" customHeight="1" x14ac:dyDescent="0.2">
      <c r="A121" s="814" t="s">
        <v>65</v>
      </c>
      <c r="B121" s="1" t="s">
        <v>219</v>
      </c>
      <c r="C121" s="2">
        <v>3</v>
      </c>
      <c r="D121" s="12">
        <v>54</v>
      </c>
      <c r="E121" s="12">
        <v>8</v>
      </c>
      <c r="F121" s="63">
        <v>0.02</v>
      </c>
      <c r="G121" s="63">
        <v>0.33</v>
      </c>
      <c r="H121" s="63">
        <v>0.61</v>
      </c>
      <c r="I121" s="63">
        <v>0.05</v>
      </c>
      <c r="J121" s="63">
        <v>0.49</v>
      </c>
      <c r="K121" s="63">
        <v>0.49</v>
      </c>
      <c r="L121" s="63">
        <v>0.53</v>
      </c>
      <c r="M121" s="25">
        <v>54</v>
      </c>
      <c r="N121" s="25">
        <v>9</v>
      </c>
      <c r="O121" s="61">
        <v>0.02</v>
      </c>
      <c r="P121" s="61">
        <v>0.3</v>
      </c>
      <c r="Q121" s="61">
        <v>0.59</v>
      </c>
      <c r="R121" s="61">
        <v>0.09</v>
      </c>
      <c r="S121" s="61">
        <v>0.42</v>
      </c>
      <c r="T121" s="61">
        <v>0.47</v>
      </c>
      <c r="U121" s="61">
        <v>0.46</v>
      </c>
      <c r="V121" s="12">
        <v>54</v>
      </c>
      <c r="W121" s="12">
        <v>8</v>
      </c>
      <c r="X121" s="66">
        <v>0</v>
      </c>
      <c r="Y121" s="66">
        <v>0.31</v>
      </c>
      <c r="Z121" s="66">
        <v>0.61</v>
      </c>
      <c r="AA121" s="66">
        <v>0.08</v>
      </c>
      <c r="AB121" s="66">
        <v>0.42</v>
      </c>
      <c r="AC121" s="66">
        <v>0.49</v>
      </c>
      <c r="AD121" s="66">
        <v>0.51</v>
      </c>
      <c r="AE121" s="12">
        <v>54</v>
      </c>
      <c r="AF121" s="12">
        <v>9</v>
      </c>
      <c r="AG121" s="63">
        <v>0</v>
      </c>
      <c r="AH121" s="63">
        <v>0.33</v>
      </c>
      <c r="AI121" s="63">
        <v>0.56999999999999995</v>
      </c>
      <c r="AJ121" s="63">
        <v>0.09</v>
      </c>
      <c r="AK121" s="63">
        <v>0.42</v>
      </c>
      <c r="AL121" s="63">
        <v>0.35</v>
      </c>
      <c r="AM121" s="63">
        <v>0.43</v>
      </c>
      <c r="AN121" s="35">
        <v>54</v>
      </c>
      <c r="AO121" s="35">
        <v>8</v>
      </c>
      <c r="AP121" s="40">
        <v>0.02</v>
      </c>
      <c r="AQ121" s="40">
        <v>0.28000000000000003</v>
      </c>
      <c r="AR121" s="40">
        <v>0.62</v>
      </c>
      <c r="AS121" s="40">
        <v>0.08</v>
      </c>
      <c r="AT121" s="40">
        <v>0.46</v>
      </c>
      <c r="AU121" s="40">
        <v>0.37</v>
      </c>
      <c r="AV121" s="40">
        <v>0.43</v>
      </c>
      <c r="AW121" s="247">
        <v>53</v>
      </c>
      <c r="AX121" s="247" t="s">
        <v>874</v>
      </c>
      <c r="AY121" s="247">
        <v>9</v>
      </c>
      <c r="AZ121" s="247" t="s">
        <v>874</v>
      </c>
      <c r="BA121" s="264">
        <v>0.01</v>
      </c>
      <c r="BB121" s="264">
        <v>0.36</v>
      </c>
      <c r="BC121" s="264">
        <v>0.56000000000000005</v>
      </c>
      <c r="BD121" s="264">
        <v>7.0000000000000007E-2</v>
      </c>
      <c r="BE121" s="264">
        <v>0.45</v>
      </c>
      <c r="BF121" s="264">
        <v>0.35</v>
      </c>
      <c r="BG121" s="264">
        <v>0.56000000000000005</v>
      </c>
      <c r="BH121" s="311">
        <v>53</v>
      </c>
      <c r="BI121" s="311" t="s">
        <v>874</v>
      </c>
      <c r="BJ121" s="311">
        <v>9</v>
      </c>
      <c r="BK121" s="311" t="s">
        <v>874</v>
      </c>
      <c r="BL121" s="329">
        <v>0.02</v>
      </c>
      <c r="BM121" s="329">
        <v>0.35</v>
      </c>
      <c r="BN121" s="329">
        <v>0.56999999999999995</v>
      </c>
      <c r="BO121" s="329">
        <v>0.06</v>
      </c>
      <c r="BP121" s="329">
        <v>0.5</v>
      </c>
      <c r="BQ121" s="329">
        <v>0.38</v>
      </c>
      <c r="BR121" s="329">
        <v>0.47</v>
      </c>
      <c r="BS121" s="426">
        <v>52</v>
      </c>
      <c r="BT121" s="426" t="s">
        <v>874</v>
      </c>
      <c r="BU121" s="426">
        <v>9</v>
      </c>
      <c r="BV121" s="426" t="s">
        <v>874</v>
      </c>
      <c r="BW121" s="430">
        <v>0.03</v>
      </c>
      <c r="BX121" s="430">
        <v>0.36</v>
      </c>
      <c r="BY121" s="430">
        <v>0.54</v>
      </c>
      <c r="BZ121" s="430">
        <v>7.0000000000000007E-2</v>
      </c>
      <c r="CA121" s="430">
        <v>0.4</v>
      </c>
      <c r="CB121" s="430">
        <v>0.5</v>
      </c>
      <c r="CC121" s="430">
        <v>0.54</v>
      </c>
      <c r="CD121" s="466">
        <v>55</v>
      </c>
      <c r="CE121" s="466" t="s">
        <v>874</v>
      </c>
      <c r="CF121" s="466">
        <v>9</v>
      </c>
      <c r="CG121" s="466" t="s">
        <v>874</v>
      </c>
      <c r="CH121" s="480">
        <v>0.03</v>
      </c>
      <c r="CI121" s="480">
        <v>0.28000000000000003</v>
      </c>
      <c r="CJ121" s="480">
        <v>0.55000000000000004</v>
      </c>
      <c r="CK121" s="480">
        <v>0.15</v>
      </c>
      <c r="CL121" s="480">
        <v>0.45</v>
      </c>
      <c r="CM121" s="480">
        <v>0.42</v>
      </c>
      <c r="CN121" s="480">
        <v>0.35</v>
      </c>
    </row>
    <row r="122" spans="1:92" ht="24.95" customHeight="1" x14ac:dyDescent="0.2">
      <c r="A122" s="814" t="s">
        <v>106</v>
      </c>
      <c r="B122" s="1" t="s">
        <v>221</v>
      </c>
      <c r="C122" s="2">
        <v>1</v>
      </c>
      <c r="D122" s="12">
        <v>57</v>
      </c>
      <c r="E122" s="12">
        <v>8</v>
      </c>
      <c r="F122" s="63">
        <v>0</v>
      </c>
      <c r="G122" s="63">
        <v>0.28999999999999998</v>
      </c>
      <c r="H122" s="63">
        <v>0.61</v>
      </c>
      <c r="I122" s="63">
        <v>0.1</v>
      </c>
      <c r="J122" s="63">
        <v>0.35</v>
      </c>
      <c r="K122" s="63">
        <v>0.45</v>
      </c>
      <c r="L122" s="63">
        <v>0.47</v>
      </c>
      <c r="M122" s="25">
        <v>57</v>
      </c>
      <c r="N122" s="25">
        <v>9</v>
      </c>
      <c r="O122" s="61">
        <v>0.03</v>
      </c>
      <c r="P122" s="61">
        <v>0.21</v>
      </c>
      <c r="Q122" s="61">
        <v>0.61</v>
      </c>
      <c r="R122" s="61">
        <v>0.16</v>
      </c>
      <c r="S122" s="61">
        <v>0.39</v>
      </c>
      <c r="T122" s="61">
        <v>0.41</v>
      </c>
      <c r="U122" s="61">
        <v>0.39</v>
      </c>
      <c r="V122" s="12">
        <v>55</v>
      </c>
      <c r="W122" s="12">
        <v>10</v>
      </c>
      <c r="X122" s="66">
        <v>0</v>
      </c>
      <c r="Y122" s="66">
        <v>0.39</v>
      </c>
      <c r="Z122" s="66">
        <v>0.37</v>
      </c>
      <c r="AA122" s="66">
        <v>0.24</v>
      </c>
      <c r="AB122" s="66">
        <v>0.41</v>
      </c>
      <c r="AC122" s="66">
        <v>0.47</v>
      </c>
      <c r="AD122" s="66">
        <v>0.47</v>
      </c>
      <c r="AE122" s="12">
        <v>53</v>
      </c>
      <c r="AF122" s="12">
        <v>10</v>
      </c>
      <c r="AG122" s="63">
        <v>0</v>
      </c>
      <c r="AH122" s="63">
        <v>0.35</v>
      </c>
      <c r="AI122" s="63">
        <v>0.54</v>
      </c>
      <c r="AJ122" s="63">
        <v>0.11</v>
      </c>
      <c r="AK122" s="63">
        <v>0.39</v>
      </c>
      <c r="AL122" s="63">
        <v>0.4</v>
      </c>
      <c r="AM122" s="63">
        <v>0.44</v>
      </c>
      <c r="AN122" s="35">
        <v>55</v>
      </c>
      <c r="AO122" s="35">
        <v>8</v>
      </c>
      <c r="AP122" s="40">
        <v>0.05</v>
      </c>
      <c r="AQ122" s="40">
        <v>0.14000000000000001</v>
      </c>
      <c r="AR122" s="40">
        <v>0.73</v>
      </c>
      <c r="AS122" s="40">
        <v>0.09</v>
      </c>
      <c r="AT122" s="40">
        <v>0.42</v>
      </c>
      <c r="AU122" s="40">
        <v>0.35</v>
      </c>
      <c r="AV122" s="40">
        <v>0.41</v>
      </c>
      <c r="AW122" s="247">
        <v>54</v>
      </c>
      <c r="AX122" s="247" t="s">
        <v>874</v>
      </c>
      <c r="AY122" s="247">
        <v>8</v>
      </c>
      <c r="AZ122" s="247" t="s">
        <v>874</v>
      </c>
      <c r="BA122" s="264">
        <v>0</v>
      </c>
      <c r="BB122" s="264">
        <v>0.38</v>
      </c>
      <c r="BC122" s="264">
        <v>0.56999999999999995</v>
      </c>
      <c r="BD122" s="264">
        <v>0.05</v>
      </c>
      <c r="BE122" s="264">
        <v>0.45</v>
      </c>
      <c r="BF122" s="264">
        <v>0.3</v>
      </c>
      <c r="BG122" s="264">
        <v>0.55000000000000004</v>
      </c>
      <c r="BH122" s="311">
        <v>58</v>
      </c>
      <c r="BI122" s="311" t="s">
        <v>874</v>
      </c>
      <c r="BJ122" s="311">
        <v>7</v>
      </c>
      <c r="BK122" s="311" t="s">
        <v>874</v>
      </c>
      <c r="BL122" s="329">
        <v>0</v>
      </c>
      <c r="BM122" s="329">
        <v>0.15</v>
      </c>
      <c r="BN122" s="329">
        <v>0.68</v>
      </c>
      <c r="BO122" s="329">
        <v>0.18</v>
      </c>
      <c r="BP122" s="329">
        <v>0.38</v>
      </c>
      <c r="BQ122" s="329">
        <v>0.3</v>
      </c>
      <c r="BR122" s="329">
        <v>0.37</v>
      </c>
      <c r="BS122" s="426">
        <v>59</v>
      </c>
      <c r="BT122" s="426" t="s">
        <v>874</v>
      </c>
      <c r="BU122" s="426">
        <v>8</v>
      </c>
      <c r="BV122" s="426" t="s">
        <v>874</v>
      </c>
      <c r="BW122" s="430">
        <v>0</v>
      </c>
      <c r="BX122" s="430">
        <v>0.12</v>
      </c>
      <c r="BY122" s="430">
        <v>0.66</v>
      </c>
      <c r="BZ122" s="430">
        <v>0.22</v>
      </c>
      <c r="CA122" s="430">
        <v>0.27</v>
      </c>
      <c r="CB122" s="430">
        <v>0.39</v>
      </c>
      <c r="CC122" s="430">
        <v>0.39</v>
      </c>
      <c r="CD122" s="466">
        <v>57</v>
      </c>
      <c r="CE122" s="466" t="s">
        <v>874</v>
      </c>
      <c r="CF122" s="466">
        <v>8</v>
      </c>
      <c r="CG122" s="466" t="s">
        <v>874</v>
      </c>
      <c r="CH122" s="480">
        <v>0</v>
      </c>
      <c r="CI122" s="480">
        <v>0.23</v>
      </c>
      <c r="CJ122" s="480">
        <v>0.63</v>
      </c>
      <c r="CK122" s="480">
        <v>0.15</v>
      </c>
      <c r="CL122" s="480">
        <v>0.43</v>
      </c>
      <c r="CM122" s="480">
        <v>0.42</v>
      </c>
      <c r="CN122" s="480">
        <v>0.28999999999999998</v>
      </c>
    </row>
    <row r="123" spans="1:92" ht="24.95" customHeight="1" x14ac:dyDescent="0.2">
      <c r="A123" s="814" t="s">
        <v>187</v>
      </c>
      <c r="B123" s="1" t="s">
        <v>219</v>
      </c>
      <c r="C123" s="2">
        <v>4</v>
      </c>
      <c r="D123" s="12">
        <v>49</v>
      </c>
      <c r="E123" s="12">
        <v>9</v>
      </c>
      <c r="F123" s="63">
        <v>0.03</v>
      </c>
      <c r="G123" s="63">
        <v>0.63</v>
      </c>
      <c r="H123" s="63">
        <v>0.31</v>
      </c>
      <c r="I123" s="63">
        <v>0.03</v>
      </c>
      <c r="J123" s="63">
        <v>0.49</v>
      </c>
      <c r="K123" s="63">
        <v>0.52</v>
      </c>
      <c r="L123" s="63">
        <v>0.63</v>
      </c>
      <c r="M123" s="25">
        <v>52</v>
      </c>
      <c r="N123" s="25">
        <v>7</v>
      </c>
      <c r="O123" s="61">
        <v>0</v>
      </c>
      <c r="P123" s="61">
        <v>0.41</v>
      </c>
      <c r="Q123" s="61">
        <v>0.59</v>
      </c>
      <c r="R123" s="61">
        <v>0</v>
      </c>
      <c r="S123" s="61">
        <v>0.47</v>
      </c>
      <c r="T123" s="61">
        <v>0.51</v>
      </c>
      <c r="U123" s="61">
        <v>0.53</v>
      </c>
      <c r="V123" s="12">
        <v>50</v>
      </c>
      <c r="W123" s="12">
        <v>8</v>
      </c>
      <c r="X123" s="66">
        <v>0</v>
      </c>
      <c r="Y123" s="66">
        <v>0.61</v>
      </c>
      <c r="Z123" s="66">
        <v>0.36</v>
      </c>
      <c r="AA123" s="66">
        <v>0.03</v>
      </c>
      <c r="AB123" s="66">
        <v>0.52</v>
      </c>
      <c r="AC123" s="66">
        <v>0.56999999999999995</v>
      </c>
      <c r="AD123" s="66">
        <v>0.56000000000000005</v>
      </c>
      <c r="AE123" s="12">
        <v>51</v>
      </c>
      <c r="AF123" s="12">
        <v>9</v>
      </c>
      <c r="AG123" s="63">
        <v>0.02</v>
      </c>
      <c r="AH123" s="63">
        <v>0.54</v>
      </c>
      <c r="AI123" s="63">
        <v>0.37</v>
      </c>
      <c r="AJ123" s="63">
        <v>7.0000000000000007E-2</v>
      </c>
      <c r="AK123" s="63">
        <v>0.47</v>
      </c>
      <c r="AL123" s="63">
        <v>0.43</v>
      </c>
      <c r="AM123" s="63">
        <v>0.47</v>
      </c>
      <c r="AN123" s="35">
        <v>49</v>
      </c>
      <c r="AO123" s="35">
        <v>9</v>
      </c>
      <c r="AP123" s="40">
        <v>0.09</v>
      </c>
      <c r="AQ123" s="40">
        <v>0.5</v>
      </c>
      <c r="AR123" s="40">
        <v>0.41</v>
      </c>
      <c r="AS123" s="40">
        <v>0</v>
      </c>
      <c r="AT123" s="40">
        <v>0.56000000000000005</v>
      </c>
      <c r="AU123" s="40">
        <v>0.43</v>
      </c>
      <c r="AV123" s="40">
        <v>0.5</v>
      </c>
      <c r="AW123" s="247">
        <v>50</v>
      </c>
      <c r="AX123" s="247" t="s">
        <v>874</v>
      </c>
      <c r="AY123" s="247">
        <v>9</v>
      </c>
      <c r="AZ123" s="247" t="s">
        <v>874</v>
      </c>
      <c r="BA123" s="264">
        <v>0.03</v>
      </c>
      <c r="BB123" s="264">
        <v>0.53</v>
      </c>
      <c r="BC123" s="264">
        <v>0.37</v>
      </c>
      <c r="BD123" s="264">
        <v>7.0000000000000007E-2</v>
      </c>
      <c r="BE123" s="264">
        <v>0.5</v>
      </c>
      <c r="BF123" s="264">
        <v>0.44</v>
      </c>
      <c r="BG123" s="264">
        <v>0.6</v>
      </c>
      <c r="BH123" s="311">
        <v>49</v>
      </c>
      <c r="BI123" s="311" t="s">
        <v>874</v>
      </c>
      <c r="BJ123" s="311">
        <v>9</v>
      </c>
      <c r="BK123" s="311" t="s">
        <v>874</v>
      </c>
      <c r="BL123" s="329">
        <v>0.08</v>
      </c>
      <c r="BM123" s="329">
        <v>0.47</v>
      </c>
      <c r="BN123" s="329">
        <v>0.44</v>
      </c>
      <c r="BO123" s="329">
        <v>0</v>
      </c>
      <c r="BP123" s="329">
        <v>0.56000000000000005</v>
      </c>
      <c r="BQ123" s="329">
        <v>0.43</v>
      </c>
      <c r="BR123" s="329">
        <v>0.57999999999999996</v>
      </c>
      <c r="BS123" s="426">
        <v>49</v>
      </c>
      <c r="BT123" s="426" t="s">
        <v>874</v>
      </c>
      <c r="BU123" s="426">
        <v>9</v>
      </c>
      <c r="BV123" s="426" t="s">
        <v>874</v>
      </c>
      <c r="BW123" s="430">
        <v>0.03</v>
      </c>
      <c r="BX123" s="430">
        <v>0.5</v>
      </c>
      <c r="BY123" s="430">
        <v>0.41</v>
      </c>
      <c r="BZ123" s="430">
        <v>0.06</v>
      </c>
      <c r="CA123" s="430">
        <v>0.44</v>
      </c>
      <c r="CB123" s="430">
        <v>0.54</v>
      </c>
      <c r="CC123" s="430">
        <v>0.57999999999999996</v>
      </c>
      <c r="CD123" s="466">
        <v>49</v>
      </c>
      <c r="CE123" s="466" t="s">
        <v>874</v>
      </c>
      <c r="CF123" s="466">
        <v>10</v>
      </c>
      <c r="CG123" s="466" t="s">
        <v>874</v>
      </c>
      <c r="CH123" s="480">
        <v>0.1</v>
      </c>
      <c r="CI123" s="480">
        <v>0.47</v>
      </c>
      <c r="CJ123" s="480">
        <v>0.37</v>
      </c>
      <c r="CK123" s="480">
        <v>7.0000000000000007E-2</v>
      </c>
      <c r="CL123" s="480">
        <v>0.49</v>
      </c>
      <c r="CM123" s="480">
        <v>0.54</v>
      </c>
      <c r="CN123" s="480">
        <v>0.46</v>
      </c>
    </row>
    <row r="124" spans="1:92" ht="24.95" customHeight="1" x14ac:dyDescent="0.2">
      <c r="A124" s="814" t="s">
        <v>928</v>
      </c>
      <c r="B124" s="1" t="s">
        <v>219</v>
      </c>
      <c r="C124" s="2">
        <v>2</v>
      </c>
      <c r="D124" s="12"/>
      <c r="E124" s="12"/>
      <c r="F124" s="63"/>
      <c r="G124" s="63"/>
      <c r="H124" s="63"/>
      <c r="I124" s="63"/>
      <c r="J124" s="63"/>
      <c r="K124" s="63"/>
      <c r="L124" s="63"/>
      <c r="M124" s="25"/>
      <c r="N124" s="25"/>
      <c r="O124" s="61"/>
      <c r="P124" s="61"/>
      <c r="Q124" s="61"/>
      <c r="R124" s="61"/>
      <c r="S124" s="61"/>
      <c r="T124" s="61"/>
      <c r="U124" s="61"/>
      <c r="V124" s="12"/>
      <c r="W124" s="12"/>
      <c r="X124" s="66"/>
      <c r="Y124" s="66"/>
      <c r="Z124" s="66"/>
      <c r="AA124" s="66"/>
      <c r="AB124" s="66"/>
      <c r="AC124" s="66"/>
      <c r="AD124" s="66"/>
      <c r="AE124" s="12"/>
      <c r="AF124" s="12"/>
      <c r="AG124" s="63"/>
      <c r="AH124" s="63"/>
      <c r="AI124" s="63"/>
      <c r="AJ124" s="63"/>
      <c r="AK124" s="63"/>
      <c r="AL124" s="63"/>
      <c r="AM124" s="63"/>
      <c r="AN124" s="35"/>
      <c r="AO124" s="35"/>
      <c r="AP124" s="40"/>
      <c r="AQ124" s="40"/>
      <c r="AR124" s="40"/>
      <c r="AS124" s="40"/>
      <c r="AT124" s="40"/>
      <c r="AU124" s="40"/>
      <c r="AV124" s="40"/>
      <c r="AW124" s="247"/>
      <c r="AX124" s="247"/>
      <c r="AY124" s="247"/>
      <c r="AZ124" s="247"/>
      <c r="BA124" s="264"/>
      <c r="BB124" s="264"/>
      <c r="BC124" s="264"/>
      <c r="BD124" s="264"/>
      <c r="BE124" s="264"/>
      <c r="BF124" s="264"/>
      <c r="BG124" s="264"/>
      <c r="BH124" s="311">
        <v>55</v>
      </c>
      <c r="BI124" s="311" t="s">
        <v>874</v>
      </c>
      <c r="BJ124" s="311">
        <v>9</v>
      </c>
      <c r="BK124" s="311" t="s">
        <v>874</v>
      </c>
      <c r="BL124" s="329">
        <v>0</v>
      </c>
      <c r="BM124" s="329">
        <v>0.28999999999999998</v>
      </c>
      <c r="BN124" s="329">
        <v>0.61</v>
      </c>
      <c r="BO124" s="329">
        <v>0.11</v>
      </c>
      <c r="BP124" s="329">
        <v>0.45</v>
      </c>
      <c r="BQ124" s="329">
        <v>0.33</v>
      </c>
      <c r="BR124" s="329">
        <v>0.44</v>
      </c>
      <c r="BS124" s="426">
        <v>54</v>
      </c>
      <c r="BT124" s="426" t="s">
        <v>874</v>
      </c>
      <c r="BU124" s="426">
        <v>9</v>
      </c>
      <c r="BV124" s="426" t="s">
        <v>874</v>
      </c>
      <c r="BW124" s="430">
        <v>0.06</v>
      </c>
      <c r="BX124" s="430">
        <v>0.23</v>
      </c>
      <c r="BY124" s="430">
        <v>0.62</v>
      </c>
      <c r="BZ124" s="430">
        <v>0.08</v>
      </c>
      <c r="CA124" s="430">
        <v>0.36</v>
      </c>
      <c r="CB124" s="430">
        <v>0.48</v>
      </c>
      <c r="CC124" s="430">
        <v>0.5</v>
      </c>
      <c r="CD124" s="466">
        <v>53</v>
      </c>
      <c r="CE124" s="466" t="s">
        <v>874</v>
      </c>
      <c r="CF124" s="466">
        <v>8</v>
      </c>
      <c r="CG124" s="466" t="s">
        <v>874</v>
      </c>
      <c r="CH124" s="480">
        <v>0.01</v>
      </c>
      <c r="CI124" s="480">
        <v>0.4</v>
      </c>
      <c r="CJ124" s="480">
        <v>0.55000000000000004</v>
      </c>
      <c r="CK124" s="480">
        <v>0.04</v>
      </c>
      <c r="CL124" s="480">
        <v>0.49</v>
      </c>
      <c r="CM124" s="480">
        <v>0.47</v>
      </c>
      <c r="CN124" s="480">
        <v>0.35</v>
      </c>
    </row>
    <row r="125" spans="1:92" ht="24.95" customHeight="1" x14ac:dyDescent="0.2">
      <c r="A125" s="815" t="s">
        <v>130</v>
      </c>
      <c r="B125" s="1" t="s">
        <v>219</v>
      </c>
      <c r="C125" s="311">
        <v>3</v>
      </c>
      <c r="D125" s="330">
        <v>54</v>
      </c>
      <c r="E125" s="330">
        <v>9</v>
      </c>
      <c r="F125" s="329">
        <v>0</v>
      </c>
      <c r="G125" s="329">
        <v>0.35</v>
      </c>
      <c r="H125" s="329">
        <v>0.55000000000000004</v>
      </c>
      <c r="I125" s="329">
        <v>0.11</v>
      </c>
      <c r="J125" s="329">
        <v>0.43</v>
      </c>
      <c r="K125" s="329">
        <v>0.44</v>
      </c>
      <c r="L125" s="329">
        <v>0.51</v>
      </c>
      <c r="M125" s="331">
        <v>55</v>
      </c>
      <c r="N125" s="331">
        <v>9</v>
      </c>
      <c r="O125" s="332">
        <v>0</v>
      </c>
      <c r="P125" s="332">
        <v>0.3</v>
      </c>
      <c r="Q125" s="332">
        <v>0.57999999999999996</v>
      </c>
      <c r="R125" s="332">
        <v>0.13</v>
      </c>
      <c r="S125" s="332">
        <v>0.41</v>
      </c>
      <c r="T125" s="332">
        <v>0.46</v>
      </c>
      <c r="U125" s="332">
        <v>0.45</v>
      </c>
      <c r="V125" s="330">
        <v>54</v>
      </c>
      <c r="W125" s="330">
        <v>9</v>
      </c>
      <c r="X125" s="335">
        <v>0.03</v>
      </c>
      <c r="Y125" s="335">
        <v>0.3</v>
      </c>
      <c r="Z125" s="335">
        <v>0.56999999999999995</v>
      </c>
      <c r="AA125" s="335">
        <v>0.1</v>
      </c>
      <c r="AB125" s="335">
        <v>0.44</v>
      </c>
      <c r="AC125" s="335">
        <v>0.48</v>
      </c>
      <c r="AD125" s="335">
        <v>0.5</v>
      </c>
      <c r="AE125" s="330">
        <v>52</v>
      </c>
      <c r="AF125" s="330">
        <v>8</v>
      </c>
      <c r="AG125" s="329">
        <v>0.02</v>
      </c>
      <c r="AH125" s="329">
        <v>0.39</v>
      </c>
      <c r="AI125" s="329">
        <v>0.53</v>
      </c>
      <c r="AJ125" s="329">
        <v>0.06</v>
      </c>
      <c r="AK125" s="329">
        <v>0.45</v>
      </c>
      <c r="AL125" s="329">
        <v>0.42</v>
      </c>
      <c r="AM125" s="329">
        <v>0.43</v>
      </c>
      <c r="AN125" s="313">
        <v>51</v>
      </c>
      <c r="AO125" s="313">
        <v>9</v>
      </c>
      <c r="AP125" s="333">
        <v>7.0000000000000007E-2</v>
      </c>
      <c r="AQ125" s="333">
        <v>0.41</v>
      </c>
      <c r="AR125" s="333">
        <v>0.5</v>
      </c>
      <c r="AS125" s="333">
        <v>0.03</v>
      </c>
      <c r="AT125" s="333">
        <v>0.53</v>
      </c>
      <c r="AU125" s="333">
        <v>0.4</v>
      </c>
      <c r="AV125" s="333">
        <v>0.45</v>
      </c>
      <c r="AW125" s="314">
        <v>53</v>
      </c>
      <c r="AX125" s="314" t="s">
        <v>874</v>
      </c>
      <c r="AY125" s="314">
        <v>9</v>
      </c>
      <c r="AZ125" s="314" t="s">
        <v>874</v>
      </c>
      <c r="BA125" s="334">
        <v>0.03</v>
      </c>
      <c r="BB125" s="334">
        <v>0.37</v>
      </c>
      <c r="BC125" s="334">
        <v>0.54</v>
      </c>
      <c r="BD125" s="334">
        <v>0.06</v>
      </c>
      <c r="BE125" s="334">
        <v>0.46</v>
      </c>
      <c r="BF125" s="334">
        <v>0.36</v>
      </c>
      <c r="BG125" s="334">
        <v>0.55000000000000004</v>
      </c>
      <c r="BH125" s="311">
        <v>55</v>
      </c>
      <c r="BI125" s="311" t="s">
        <v>874</v>
      </c>
      <c r="BJ125" s="311">
        <v>9</v>
      </c>
      <c r="BK125" s="311" t="s">
        <v>874</v>
      </c>
      <c r="BL125" s="329">
        <v>0.02</v>
      </c>
      <c r="BM125" s="329">
        <v>0.27</v>
      </c>
      <c r="BN125" s="329">
        <v>0.6</v>
      </c>
      <c r="BO125" s="329">
        <v>0.11</v>
      </c>
      <c r="BP125" s="329">
        <v>0.48</v>
      </c>
      <c r="BQ125" s="329">
        <v>0.33</v>
      </c>
      <c r="BR125" s="329">
        <v>0.43</v>
      </c>
      <c r="BS125" s="426">
        <v>54</v>
      </c>
      <c r="BT125" s="426" t="s">
        <v>874</v>
      </c>
      <c r="BU125" s="426">
        <v>8</v>
      </c>
      <c r="BV125" s="426" t="s">
        <v>874</v>
      </c>
      <c r="BW125" s="430">
        <v>0.02</v>
      </c>
      <c r="BX125" s="430">
        <v>0.28000000000000003</v>
      </c>
      <c r="BY125" s="430">
        <v>0.64</v>
      </c>
      <c r="BZ125" s="430">
        <v>0.06</v>
      </c>
      <c r="CA125" s="430">
        <v>0.37</v>
      </c>
      <c r="CB125" s="430">
        <v>0.47</v>
      </c>
      <c r="CC125" s="430">
        <v>0.5</v>
      </c>
      <c r="CD125" s="466">
        <v>53</v>
      </c>
      <c r="CE125" s="466" t="s">
        <v>874</v>
      </c>
      <c r="CF125" s="466">
        <v>9</v>
      </c>
      <c r="CG125" s="466" t="s">
        <v>874</v>
      </c>
      <c r="CH125" s="480">
        <v>0.01</v>
      </c>
      <c r="CI125" s="480">
        <v>0.33</v>
      </c>
      <c r="CJ125" s="480">
        <v>0.59</v>
      </c>
      <c r="CK125" s="480">
        <v>7.0000000000000007E-2</v>
      </c>
      <c r="CL125" s="480">
        <v>0.48</v>
      </c>
      <c r="CM125" s="480">
        <v>0.46</v>
      </c>
      <c r="CN125" s="480">
        <v>0.37</v>
      </c>
    </row>
    <row r="126" spans="1:92" ht="24.95" customHeight="1" x14ac:dyDescent="0.2">
      <c r="A126" s="814" t="s">
        <v>930</v>
      </c>
      <c r="B126" s="1" t="s">
        <v>219</v>
      </c>
      <c r="C126" s="2">
        <v>1</v>
      </c>
      <c r="D126" s="12"/>
      <c r="E126" s="12"/>
      <c r="F126" s="63"/>
      <c r="G126" s="63"/>
      <c r="H126" s="63"/>
      <c r="I126" s="63"/>
      <c r="J126" s="63"/>
      <c r="K126" s="63"/>
      <c r="L126" s="63"/>
      <c r="M126" s="25"/>
      <c r="N126" s="25"/>
      <c r="O126" s="61"/>
      <c r="P126" s="61"/>
      <c r="Q126" s="61"/>
      <c r="R126" s="61"/>
      <c r="S126" s="61"/>
      <c r="T126" s="61"/>
      <c r="U126" s="61"/>
      <c r="V126" s="12"/>
      <c r="W126" s="12"/>
      <c r="X126" s="66"/>
      <c r="Y126" s="66"/>
      <c r="Z126" s="66"/>
      <c r="AA126" s="66"/>
      <c r="AB126" s="66"/>
      <c r="AC126" s="66"/>
      <c r="AD126" s="66"/>
      <c r="AE126" s="12"/>
      <c r="AF126" s="12"/>
      <c r="AG126" s="63"/>
      <c r="AH126" s="63"/>
      <c r="AI126" s="63"/>
      <c r="AJ126" s="63"/>
      <c r="AK126" s="63"/>
      <c r="AL126" s="63"/>
      <c r="AM126" s="63"/>
      <c r="AN126" s="35"/>
      <c r="AO126" s="35"/>
      <c r="AP126" s="40"/>
      <c r="AQ126" s="40"/>
      <c r="AR126" s="40"/>
      <c r="AS126" s="40"/>
      <c r="AT126" s="40"/>
      <c r="AU126" s="40"/>
      <c r="AV126" s="40"/>
      <c r="AW126" s="247"/>
      <c r="AX126" s="247"/>
      <c r="AY126" s="247"/>
      <c r="AZ126" s="247"/>
      <c r="BA126" s="264"/>
      <c r="BB126" s="264"/>
      <c r="BC126" s="264"/>
      <c r="BD126" s="264"/>
      <c r="BE126" s="264"/>
      <c r="BF126" s="264"/>
      <c r="BG126" s="264"/>
      <c r="BH126" s="311">
        <v>54</v>
      </c>
      <c r="BI126" s="311" t="s">
        <v>874</v>
      </c>
      <c r="BJ126" s="311">
        <v>8</v>
      </c>
      <c r="BK126" s="311" t="s">
        <v>874</v>
      </c>
      <c r="BL126" s="329">
        <v>0</v>
      </c>
      <c r="BM126" s="329">
        <v>0.32</v>
      </c>
      <c r="BN126" s="329">
        <v>0.59</v>
      </c>
      <c r="BO126" s="329">
        <v>0.08</v>
      </c>
      <c r="BP126" s="329">
        <v>0.45</v>
      </c>
      <c r="BQ126" s="329">
        <v>0.36</v>
      </c>
      <c r="BR126" s="329">
        <v>0.45</v>
      </c>
      <c r="BS126" s="426">
        <v>54</v>
      </c>
      <c r="BT126" s="426" t="s">
        <v>874</v>
      </c>
      <c r="BU126" s="426">
        <v>8</v>
      </c>
      <c r="BV126" s="426" t="s">
        <v>874</v>
      </c>
      <c r="BW126" s="430">
        <v>0</v>
      </c>
      <c r="BX126" s="430">
        <v>0.26</v>
      </c>
      <c r="BY126" s="430">
        <v>0.67</v>
      </c>
      <c r="BZ126" s="430">
        <v>7.0000000000000007E-2</v>
      </c>
      <c r="CA126" s="430">
        <v>0.35</v>
      </c>
      <c r="CB126" s="430">
        <v>0.48</v>
      </c>
      <c r="CC126" s="430">
        <v>0.49</v>
      </c>
      <c r="CD126" s="466">
        <v>53</v>
      </c>
      <c r="CE126" s="466" t="s">
        <v>874</v>
      </c>
      <c r="CF126" s="466">
        <v>11</v>
      </c>
      <c r="CG126" s="466" t="s">
        <v>874</v>
      </c>
      <c r="CH126" s="480">
        <v>0.09</v>
      </c>
      <c r="CI126" s="480">
        <v>0.25</v>
      </c>
      <c r="CJ126" s="480">
        <v>0.55000000000000004</v>
      </c>
      <c r="CK126" s="480">
        <v>0.11</v>
      </c>
      <c r="CL126" s="480">
        <v>0.48</v>
      </c>
      <c r="CM126" s="480">
        <v>0.46</v>
      </c>
      <c r="CN126" s="480">
        <v>0.38</v>
      </c>
    </row>
    <row r="127" spans="1:92" ht="24.95" customHeight="1" x14ac:dyDescent="0.2">
      <c r="A127" s="815" t="s">
        <v>90</v>
      </c>
      <c r="B127" s="1" t="s">
        <v>219</v>
      </c>
      <c r="C127" s="311">
        <v>1</v>
      </c>
      <c r="D127" s="330">
        <v>55</v>
      </c>
      <c r="E127" s="330">
        <v>6</v>
      </c>
      <c r="F127" s="329">
        <v>0</v>
      </c>
      <c r="G127" s="329">
        <v>0.25</v>
      </c>
      <c r="H127" s="329">
        <v>0.72</v>
      </c>
      <c r="I127" s="329">
        <v>0.02</v>
      </c>
      <c r="J127" s="329">
        <v>0.4</v>
      </c>
      <c r="K127" s="329">
        <v>0.45</v>
      </c>
      <c r="L127" s="329">
        <v>0.53</v>
      </c>
      <c r="M127" s="331">
        <v>58</v>
      </c>
      <c r="N127" s="331">
        <v>6</v>
      </c>
      <c r="O127" s="332">
        <v>0</v>
      </c>
      <c r="P127" s="332">
        <v>0.13</v>
      </c>
      <c r="Q127" s="332">
        <v>0.78</v>
      </c>
      <c r="R127" s="332">
        <v>0.09</v>
      </c>
      <c r="S127" s="332">
        <v>0.38</v>
      </c>
      <c r="T127" s="332">
        <v>0.41</v>
      </c>
      <c r="U127" s="332">
        <v>0.41</v>
      </c>
      <c r="V127" s="330">
        <v>56</v>
      </c>
      <c r="W127" s="330">
        <v>8</v>
      </c>
      <c r="X127" s="335">
        <v>0</v>
      </c>
      <c r="Y127" s="335">
        <v>0.28000000000000003</v>
      </c>
      <c r="Z127" s="335">
        <v>0.59</v>
      </c>
      <c r="AA127" s="335">
        <v>0.13</v>
      </c>
      <c r="AB127" s="335">
        <v>0.39</v>
      </c>
      <c r="AC127" s="335">
        <v>0.44</v>
      </c>
      <c r="AD127" s="335">
        <v>0.46</v>
      </c>
      <c r="AE127" s="330">
        <v>56</v>
      </c>
      <c r="AF127" s="330">
        <v>8</v>
      </c>
      <c r="AG127" s="329">
        <v>0.03</v>
      </c>
      <c r="AH127" s="329">
        <v>0.23</v>
      </c>
      <c r="AI127" s="329">
        <v>0.61</v>
      </c>
      <c r="AJ127" s="329">
        <v>0.13</v>
      </c>
      <c r="AK127" s="329">
        <v>0.39</v>
      </c>
      <c r="AL127" s="329">
        <v>0.33</v>
      </c>
      <c r="AM127" s="329">
        <v>0.39</v>
      </c>
      <c r="AN127" s="313">
        <v>57</v>
      </c>
      <c r="AO127" s="313">
        <v>8</v>
      </c>
      <c r="AP127" s="333">
        <v>0.01</v>
      </c>
      <c r="AQ127" s="333">
        <v>0.23</v>
      </c>
      <c r="AR127" s="333">
        <v>0.61</v>
      </c>
      <c r="AS127" s="333">
        <v>0.15</v>
      </c>
      <c r="AT127" s="333">
        <v>0.41</v>
      </c>
      <c r="AU127" s="333">
        <v>0.31</v>
      </c>
      <c r="AV127" s="333">
        <v>0.37</v>
      </c>
      <c r="AW127" s="314">
        <v>55</v>
      </c>
      <c r="AX127" s="314" t="s">
        <v>874</v>
      </c>
      <c r="AY127" s="314">
        <v>10</v>
      </c>
      <c r="AZ127" s="314" t="s">
        <v>874</v>
      </c>
      <c r="BA127" s="334">
        <v>0.03</v>
      </c>
      <c r="BB127" s="334">
        <v>0.28000000000000003</v>
      </c>
      <c r="BC127" s="334">
        <v>0.53</v>
      </c>
      <c r="BD127" s="334">
        <v>0.16</v>
      </c>
      <c r="BE127" s="334">
        <v>0.43</v>
      </c>
      <c r="BF127" s="334">
        <v>0.33</v>
      </c>
      <c r="BG127" s="334">
        <v>0.54</v>
      </c>
      <c r="BH127" s="311">
        <v>54</v>
      </c>
      <c r="BI127" s="311" t="s">
        <v>874</v>
      </c>
      <c r="BJ127" s="311">
        <v>8</v>
      </c>
      <c r="BK127" s="311" t="s">
        <v>874</v>
      </c>
      <c r="BL127" s="329">
        <v>0.01</v>
      </c>
      <c r="BM127" s="329">
        <v>0.33</v>
      </c>
      <c r="BN127" s="329">
        <v>0.6</v>
      </c>
      <c r="BO127" s="329">
        <v>0.06</v>
      </c>
      <c r="BP127" s="329">
        <v>0.48</v>
      </c>
      <c r="BQ127" s="329">
        <v>0.33</v>
      </c>
      <c r="BR127" s="329">
        <v>0.47</v>
      </c>
      <c r="BS127" s="426">
        <v>53</v>
      </c>
      <c r="BT127" s="426" t="s">
        <v>874</v>
      </c>
      <c r="BU127" s="426">
        <v>8</v>
      </c>
      <c r="BV127" s="426" t="s">
        <v>874</v>
      </c>
      <c r="BW127" s="430">
        <v>0.02</v>
      </c>
      <c r="BX127" s="430">
        <v>0.35</v>
      </c>
      <c r="BY127" s="430">
        <v>0.59</v>
      </c>
      <c r="BZ127" s="430">
        <v>0.04</v>
      </c>
      <c r="CA127" s="430">
        <v>0.36</v>
      </c>
      <c r="CB127" s="430">
        <v>0.49</v>
      </c>
      <c r="CC127" s="430">
        <v>0.51</v>
      </c>
      <c r="CD127" s="466">
        <v>55</v>
      </c>
      <c r="CE127" s="466" t="s">
        <v>874</v>
      </c>
      <c r="CF127" s="466">
        <v>9</v>
      </c>
      <c r="CG127" s="466" t="s">
        <v>874</v>
      </c>
      <c r="CH127" s="480">
        <v>0.03</v>
      </c>
      <c r="CI127" s="480">
        <v>0.24</v>
      </c>
      <c r="CJ127" s="480">
        <v>0.61</v>
      </c>
      <c r="CK127" s="480">
        <v>0.12</v>
      </c>
      <c r="CL127" s="480">
        <v>0.42</v>
      </c>
      <c r="CM127" s="480">
        <v>0.45</v>
      </c>
      <c r="CN127" s="480">
        <v>0.33</v>
      </c>
    </row>
    <row r="128" spans="1:92" ht="24.95" customHeight="1" x14ac:dyDescent="0.2">
      <c r="A128" s="814" t="s">
        <v>50</v>
      </c>
      <c r="B128" s="1" t="s">
        <v>221</v>
      </c>
      <c r="C128" s="2">
        <v>1</v>
      </c>
      <c r="D128" s="12">
        <v>55</v>
      </c>
      <c r="E128" s="12">
        <v>8</v>
      </c>
      <c r="F128" s="63">
        <v>0</v>
      </c>
      <c r="G128" s="63">
        <v>0.31</v>
      </c>
      <c r="H128" s="63">
        <v>0.6</v>
      </c>
      <c r="I128" s="63">
        <v>0.1</v>
      </c>
      <c r="J128" s="63">
        <v>0.41</v>
      </c>
      <c r="K128" s="63">
        <v>0.48</v>
      </c>
      <c r="L128" s="63">
        <v>0.51</v>
      </c>
      <c r="M128" s="25">
        <v>53</v>
      </c>
      <c r="N128" s="25">
        <v>8</v>
      </c>
      <c r="O128" s="61">
        <v>0.01</v>
      </c>
      <c r="P128" s="61">
        <v>0.36</v>
      </c>
      <c r="Q128" s="61">
        <v>0.57999999999999996</v>
      </c>
      <c r="R128" s="61">
        <v>0.05</v>
      </c>
      <c r="S128" s="61">
        <v>0.46</v>
      </c>
      <c r="T128" s="61">
        <v>0.5</v>
      </c>
      <c r="U128" s="61">
        <v>0.48</v>
      </c>
      <c r="V128" s="12">
        <v>55</v>
      </c>
      <c r="W128" s="12">
        <v>8</v>
      </c>
      <c r="X128" s="66">
        <v>0</v>
      </c>
      <c r="Y128" s="66">
        <v>0.3</v>
      </c>
      <c r="Z128" s="66">
        <v>0.56999999999999995</v>
      </c>
      <c r="AA128" s="66">
        <v>0.13</v>
      </c>
      <c r="AB128" s="66">
        <v>0.42</v>
      </c>
      <c r="AC128" s="66">
        <v>0.48</v>
      </c>
      <c r="AD128" s="66">
        <v>0.5</v>
      </c>
      <c r="AE128" s="12">
        <v>54</v>
      </c>
      <c r="AF128" s="12">
        <v>7</v>
      </c>
      <c r="AG128" s="63">
        <v>0</v>
      </c>
      <c r="AH128" s="63">
        <v>0.33</v>
      </c>
      <c r="AI128" s="63">
        <v>0.61</v>
      </c>
      <c r="AJ128" s="63">
        <v>0.05</v>
      </c>
      <c r="AK128" s="63">
        <v>0.44</v>
      </c>
      <c r="AL128" s="63">
        <v>0.37</v>
      </c>
      <c r="AM128" s="63">
        <v>0.4</v>
      </c>
      <c r="AN128" s="35">
        <v>55</v>
      </c>
      <c r="AO128" s="35">
        <v>8</v>
      </c>
      <c r="AP128" s="40">
        <v>0</v>
      </c>
      <c r="AQ128" s="40">
        <v>0.25</v>
      </c>
      <c r="AR128" s="40">
        <v>0.65</v>
      </c>
      <c r="AS128" s="40">
        <v>0.1</v>
      </c>
      <c r="AT128" s="40">
        <v>0.46</v>
      </c>
      <c r="AU128" s="40">
        <v>0.35</v>
      </c>
      <c r="AV128" s="40">
        <v>0.44</v>
      </c>
      <c r="AW128" s="247">
        <v>53</v>
      </c>
      <c r="AX128" s="247" t="s">
        <v>874</v>
      </c>
      <c r="AY128" s="247">
        <v>10</v>
      </c>
      <c r="AZ128" s="247" t="s">
        <v>874</v>
      </c>
      <c r="BA128" s="264">
        <v>0.03</v>
      </c>
      <c r="BB128" s="264">
        <v>0.38</v>
      </c>
      <c r="BC128" s="264">
        <v>0.49</v>
      </c>
      <c r="BD128" s="264">
        <v>0.1</v>
      </c>
      <c r="BE128" s="264">
        <v>0.47</v>
      </c>
      <c r="BF128" s="264">
        <v>0.37</v>
      </c>
      <c r="BG128" s="264">
        <v>0.54</v>
      </c>
      <c r="BH128" s="311">
        <v>57</v>
      </c>
      <c r="BI128" s="311" t="s">
        <v>874</v>
      </c>
      <c r="BJ128" s="311">
        <v>9</v>
      </c>
      <c r="BK128" s="311" t="s">
        <v>874</v>
      </c>
      <c r="BL128" s="329">
        <v>0.02</v>
      </c>
      <c r="BM128" s="329">
        <v>0.21</v>
      </c>
      <c r="BN128" s="329">
        <v>0.64</v>
      </c>
      <c r="BO128" s="329">
        <v>0.14000000000000001</v>
      </c>
      <c r="BP128" s="329">
        <v>0.44</v>
      </c>
      <c r="BQ128" s="329">
        <v>0.28999999999999998</v>
      </c>
      <c r="BR128" s="329">
        <v>0.37</v>
      </c>
      <c r="BS128" s="657"/>
      <c r="BT128" s="657"/>
      <c r="BU128" s="657"/>
      <c r="BV128" s="657"/>
      <c r="BW128" s="657"/>
      <c r="BX128" s="657"/>
      <c r="BY128" s="657"/>
      <c r="BZ128" s="657"/>
      <c r="CA128" s="657"/>
      <c r="CB128" s="657"/>
      <c r="CC128" s="657"/>
      <c r="CD128" s="656"/>
      <c r="CE128" s="656"/>
      <c r="CF128" s="656"/>
      <c r="CG128" s="656"/>
      <c r="CH128" s="656"/>
      <c r="CI128" s="656"/>
      <c r="CJ128" s="656"/>
      <c r="CK128" s="656"/>
      <c r="CL128" s="656"/>
      <c r="CM128" s="656"/>
      <c r="CN128" s="656"/>
    </row>
    <row r="129" spans="1:92" ht="24.95" customHeight="1" x14ac:dyDescent="0.2">
      <c r="A129" s="814" t="s">
        <v>932</v>
      </c>
      <c r="B129" s="1" t="s">
        <v>219</v>
      </c>
      <c r="C129" s="2">
        <v>3</v>
      </c>
      <c r="D129" s="12"/>
      <c r="E129" s="12"/>
      <c r="F129" s="63"/>
      <c r="G129" s="63"/>
      <c r="H129" s="63"/>
      <c r="I129" s="63"/>
      <c r="J129" s="63"/>
      <c r="K129" s="63"/>
      <c r="L129" s="63"/>
      <c r="M129" s="25"/>
      <c r="N129" s="25"/>
      <c r="O129" s="61"/>
      <c r="P129" s="61"/>
      <c r="Q129" s="61"/>
      <c r="R129" s="61"/>
      <c r="S129" s="61"/>
      <c r="T129" s="61"/>
      <c r="U129" s="61"/>
      <c r="V129" s="12"/>
      <c r="W129" s="12"/>
      <c r="X129" s="66"/>
      <c r="Y129" s="66"/>
      <c r="Z129" s="66"/>
      <c r="AA129" s="66"/>
      <c r="AB129" s="66"/>
      <c r="AC129" s="66"/>
      <c r="AD129" s="66"/>
      <c r="AE129" s="12"/>
      <c r="AF129" s="12"/>
      <c r="AG129" s="63"/>
      <c r="AH129" s="63"/>
      <c r="AI129" s="63"/>
      <c r="AJ129" s="63"/>
      <c r="AK129" s="63"/>
      <c r="AL129" s="63"/>
      <c r="AM129" s="63"/>
      <c r="AN129" s="35"/>
      <c r="AO129" s="35"/>
      <c r="AP129" s="40"/>
      <c r="AQ129" s="40"/>
      <c r="AR129" s="40"/>
      <c r="AS129" s="40"/>
      <c r="AT129" s="40"/>
      <c r="AU129" s="40"/>
      <c r="AV129" s="40"/>
      <c r="AW129" s="247"/>
      <c r="AX129" s="247"/>
      <c r="AY129" s="247"/>
      <c r="AZ129" s="247"/>
      <c r="BA129" s="264"/>
      <c r="BB129" s="264"/>
      <c r="BC129" s="264"/>
      <c r="BD129" s="264"/>
      <c r="BE129" s="264"/>
      <c r="BF129" s="264"/>
      <c r="BG129" s="264"/>
      <c r="BH129" s="311">
        <v>54</v>
      </c>
      <c r="BI129" s="311" t="s">
        <v>874</v>
      </c>
      <c r="BJ129" s="311">
        <v>9</v>
      </c>
      <c r="BK129" s="311" t="s">
        <v>874</v>
      </c>
      <c r="BL129" s="329">
        <v>0.01</v>
      </c>
      <c r="BM129" s="329">
        <v>0.35</v>
      </c>
      <c r="BN129" s="329">
        <v>0.57999999999999996</v>
      </c>
      <c r="BO129" s="329">
        <v>0.06</v>
      </c>
      <c r="BP129" s="329">
        <v>0.49</v>
      </c>
      <c r="BQ129" s="329">
        <v>0.36</v>
      </c>
      <c r="BR129" s="329">
        <v>0.45</v>
      </c>
      <c r="BS129" s="658">
        <v>54</v>
      </c>
      <c r="BT129" s="658" t="s">
        <v>874</v>
      </c>
      <c r="BU129" s="658">
        <v>9</v>
      </c>
      <c r="BV129" s="658" t="s">
        <v>874</v>
      </c>
      <c r="BW129" s="659">
        <v>0.04</v>
      </c>
      <c r="BX129" s="659">
        <v>0.31</v>
      </c>
      <c r="BY129" s="659">
        <v>0.56000000000000005</v>
      </c>
      <c r="BZ129" s="659">
        <v>0.08</v>
      </c>
      <c r="CA129" s="659">
        <v>0.37</v>
      </c>
      <c r="CB129" s="659">
        <v>0.46</v>
      </c>
      <c r="CC129" s="659">
        <v>0.48</v>
      </c>
      <c r="CD129" s="74">
        <v>56</v>
      </c>
      <c r="CE129" s="74" t="s">
        <v>874</v>
      </c>
      <c r="CF129" s="74">
        <v>9</v>
      </c>
      <c r="CG129" s="74" t="s">
        <v>874</v>
      </c>
      <c r="CH129" s="96">
        <v>0.03</v>
      </c>
      <c r="CI129" s="96">
        <v>0.19</v>
      </c>
      <c r="CJ129" s="96">
        <v>0.64</v>
      </c>
      <c r="CK129" s="96">
        <v>0.14000000000000001</v>
      </c>
      <c r="CL129" s="96">
        <v>0.43</v>
      </c>
      <c r="CM129" s="96">
        <v>0.43</v>
      </c>
      <c r="CN129" s="96">
        <v>0.3</v>
      </c>
    </row>
    <row r="130" spans="1:92" ht="24.95" customHeight="1" x14ac:dyDescent="0.2">
      <c r="A130" s="816" t="s">
        <v>286</v>
      </c>
      <c r="B130" s="1" t="s">
        <v>219</v>
      </c>
      <c r="C130" s="311">
        <v>6</v>
      </c>
      <c r="D130" s="330">
        <v>54</v>
      </c>
      <c r="E130" s="330">
        <v>8</v>
      </c>
      <c r="F130" s="329">
        <v>0.02</v>
      </c>
      <c r="G130" s="329">
        <v>0.32</v>
      </c>
      <c r="H130" s="329">
        <v>0.61</v>
      </c>
      <c r="I130" s="329">
        <v>0.05</v>
      </c>
      <c r="J130" s="329">
        <v>0.44</v>
      </c>
      <c r="K130" s="329">
        <v>0.45</v>
      </c>
      <c r="L130" s="329">
        <v>0.56000000000000005</v>
      </c>
      <c r="M130" s="331">
        <v>53</v>
      </c>
      <c r="N130" s="331">
        <v>9</v>
      </c>
      <c r="O130" s="332">
        <v>0.04</v>
      </c>
      <c r="P130" s="332">
        <v>0.34</v>
      </c>
      <c r="Q130" s="332">
        <v>0.54</v>
      </c>
      <c r="R130" s="332">
        <v>0.08</v>
      </c>
      <c r="S130" s="332">
        <v>0.45</v>
      </c>
      <c r="T130" s="332">
        <v>0.49</v>
      </c>
      <c r="U130" s="332">
        <v>0.49</v>
      </c>
      <c r="V130" s="331">
        <v>53</v>
      </c>
      <c r="W130" s="331">
        <v>7</v>
      </c>
      <c r="X130" s="335">
        <v>0.01</v>
      </c>
      <c r="Y130" s="335">
        <v>0.35</v>
      </c>
      <c r="Z130" s="335">
        <v>0.59</v>
      </c>
      <c r="AA130" s="335">
        <v>0.06</v>
      </c>
      <c r="AB130" s="335">
        <v>0.44</v>
      </c>
      <c r="AC130" s="335">
        <v>0.51</v>
      </c>
      <c r="AD130" s="335">
        <v>0.52</v>
      </c>
      <c r="AE130" s="330">
        <v>53</v>
      </c>
      <c r="AF130" s="330">
        <v>7</v>
      </c>
      <c r="AG130" s="329">
        <v>0.01</v>
      </c>
      <c r="AH130" s="329">
        <v>0.37</v>
      </c>
      <c r="AI130" s="329">
        <v>0.59</v>
      </c>
      <c r="AJ130" s="329">
        <v>0.03</v>
      </c>
      <c r="AK130" s="329">
        <v>0.44</v>
      </c>
      <c r="AL130" s="329">
        <v>0.39</v>
      </c>
      <c r="AM130" s="329">
        <v>0.47</v>
      </c>
      <c r="AN130" s="313">
        <v>53</v>
      </c>
      <c r="AO130" s="313">
        <v>8</v>
      </c>
      <c r="AP130" s="333">
        <v>0</v>
      </c>
      <c r="AQ130" s="333">
        <v>0.34</v>
      </c>
      <c r="AR130" s="333">
        <v>0.59</v>
      </c>
      <c r="AS130" s="333">
        <v>7.0000000000000007E-2</v>
      </c>
      <c r="AT130" s="333">
        <v>0.47</v>
      </c>
      <c r="AU130" s="333">
        <v>0.39</v>
      </c>
      <c r="AV130" s="333">
        <v>0.45</v>
      </c>
      <c r="AW130" s="314">
        <v>53</v>
      </c>
      <c r="AX130" s="314" t="s">
        <v>874</v>
      </c>
      <c r="AY130" s="314">
        <v>9</v>
      </c>
      <c r="AZ130" s="314" t="s">
        <v>874</v>
      </c>
      <c r="BA130" s="334">
        <v>0.03</v>
      </c>
      <c r="BB130" s="334">
        <v>0.35</v>
      </c>
      <c r="BC130" s="334">
        <v>0.54</v>
      </c>
      <c r="BD130" s="334">
        <v>0.09</v>
      </c>
      <c r="BE130" s="334">
        <v>0.47</v>
      </c>
      <c r="BF130" s="334">
        <v>0.36</v>
      </c>
      <c r="BG130" s="334">
        <v>0.55000000000000004</v>
      </c>
      <c r="BH130" s="311">
        <v>52</v>
      </c>
      <c r="BI130" s="311" t="s">
        <v>874</v>
      </c>
      <c r="BJ130" s="311">
        <v>9</v>
      </c>
      <c r="BK130" s="311" t="s">
        <v>874</v>
      </c>
      <c r="BL130" s="329">
        <v>0.04</v>
      </c>
      <c r="BM130" s="329">
        <v>0.41</v>
      </c>
      <c r="BN130" s="329">
        <v>0.53</v>
      </c>
      <c r="BO130" s="329">
        <v>0.03</v>
      </c>
      <c r="BP130" s="329">
        <v>0.54</v>
      </c>
      <c r="BQ130" s="329">
        <v>0.39</v>
      </c>
      <c r="BR130" s="329">
        <v>0.49</v>
      </c>
      <c r="BS130" s="426">
        <v>53</v>
      </c>
      <c r="BT130" s="426" t="s">
        <v>874</v>
      </c>
      <c r="BU130" s="426">
        <v>9</v>
      </c>
      <c r="BV130" s="426" t="s">
        <v>874</v>
      </c>
      <c r="BW130" s="430">
        <v>0.03</v>
      </c>
      <c r="BX130" s="430">
        <v>0.38</v>
      </c>
      <c r="BY130" s="430">
        <v>0.55000000000000004</v>
      </c>
      <c r="BZ130" s="430">
        <v>0.05</v>
      </c>
      <c r="CA130" s="430">
        <v>0.4</v>
      </c>
      <c r="CB130" s="430">
        <v>0.49</v>
      </c>
      <c r="CC130" s="430">
        <v>0.51</v>
      </c>
      <c r="CD130" s="466">
        <v>56</v>
      </c>
      <c r="CE130" s="466" t="s">
        <v>874</v>
      </c>
      <c r="CF130" s="466">
        <v>8</v>
      </c>
      <c r="CG130" s="466" t="s">
        <v>874</v>
      </c>
      <c r="CH130" s="480">
        <v>0.01</v>
      </c>
      <c r="CI130" s="480">
        <v>0.19</v>
      </c>
      <c r="CJ130" s="480">
        <v>0.67</v>
      </c>
      <c r="CK130" s="480">
        <v>0.12</v>
      </c>
      <c r="CL130" s="480">
        <v>0.44</v>
      </c>
      <c r="CM130" s="480">
        <v>0.42</v>
      </c>
      <c r="CN130" s="480">
        <v>0.32</v>
      </c>
    </row>
    <row r="131" spans="1:92" ht="24.95" customHeight="1" x14ac:dyDescent="0.2">
      <c r="A131" s="814" t="s">
        <v>934</v>
      </c>
      <c r="B131" s="1" t="s">
        <v>219</v>
      </c>
      <c r="C131" s="2">
        <v>2</v>
      </c>
      <c r="D131" s="12"/>
      <c r="E131" s="12"/>
      <c r="F131" s="63"/>
      <c r="G131" s="63"/>
      <c r="H131" s="63"/>
      <c r="I131" s="63"/>
      <c r="J131" s="63"/>
      <c r="K131" s="63"/>
      <c r="L131" s="63"/>
      <c r="M131" s="25"/>
      <c r="N131" s="25"/>
      <c r="O131" s="61"/>
      <c r="P131" s="61"/>
      <c r="Q131" s="61"/>
      <c r="R131" s="61"/>
      <c r="S131" s="61"/>
      <c r="T131" s="61"/>
      <c r="U131" s="61"/>
      <c r="V131" s="25"/>
      <c r="W131" s="25"/>
      <c r="X131" s="66"/>
      <c r="Y131" s="66"/>
      <c r="Z131" s="66"/>
      <c r="AA131" s="66"/>
      <c r="AB131" s="66"/>
      <c r="AC131" s="66"/>
      <c r="AD131" s="66"/>
      <c r="AE131" s="12"/>
      <c r="AF131" s="12"/>
      <c r="AG131" s="63"/>
      <c r="AH131" s="63"/>
      <c r="AI131" s="63"/>
      <c r="AJ131" s="63"/>
      <c r="AK131" s="63"/>
      <c r="AL131" s="63"/>
      <c r="AM131" s="63"/>
      <c r="AN131" s="35"/>
      <c r="AO131" s="35"/>
      <c r="AP131" s="40"/>
      <c r="AQ131" s="40"/>
      <c r="AR131" s="40"/>
      <c r="AS131" s="40"/>
      <c r="AT131" s="40"/>
      <c r="AU131" s="40"/>
      <c r="AV131" s="40"/>
      <c r="AW131" s="247"/>
      <c r="AX131" s="247"/>
      <c r="AY131" s="247"/>
      <c r="AZ131" s="247"/>
      <c r="BA131" s="264"/>
      <c r="BB131" s="264"/>
      <c r="BC131" s="264"/>
      <c r="BD131" s="264"/>
      <c r="BE131" s="264"/>
      <c r="BF131" s="264"/>
      <c r="BG131" s="264"/>
      <c r="BH131" s="311">
        <v>53</v>
      </c>
      <c r="BI131" s="311" t="s">
        <v>874</v>
      </c>
      <c r="BJ131" s="311">
        <v>8</v>
      </c>
      <c r="BK131" s="311" t="s">
        <v>874</v>
      </c>
      <c r="BL131" s="329">
        <v>0.02</v>
      </c>
      <c r="BM131" s="329">
        <v>0.28999999999999998</v>
      </c>
      <c r="BN131" s="329">
        <v>0.59</v>
      </c>
      <c r="BO131" s="329">
        <v>0.1</v>
      </c>
      <c r="BP131" s="329">
        <v>0.46</v>
      </c>
      <c r="BQ131" s="329">
        <v>0.39</v>
      </c>
      <c r="BR131" s="329">
        <v>0.46</v>
      </c>
      <c r="BS131" s="426">
        <v>54</v>
      </c>
      <c r="BT131" s="426" t="s">
        <v>874</v>
      </c>
      <c r="BU131" s="426">
        <v>8</v>
      </c>
      <c r="BV131" s="426" t="s">
        <v>874</v>
      </c>
      <c r="BW131" s="430">
        <v>0</v>
      </c>
      <c r="BX131" s="430">
        <v>0.33</v>
      </c>
      <c r="BY131" s="430">
        <v>0.61</v>
      </c>
      <c r="BZ131" s="430">
        <v>0.06</v>
      </c>
      <c r="CA131" s="430">
        <v>0.38</v>
      </c>
      <c r="CB131" s="430">
        <v>0.47</v>
      </c>
      <c r="CC131" s="430">
        <v>0.51</v>
      </c>
      <c r="CD131" s="466">
        <v>57</v>
      </c>
      <c r="CE131" s="466" t="s">
        <v>874</v>
      </c>
      <c r="CF131" s="466">
        <v>9</v>
      </c>
      <c r="CG131" s="466" t="s">
        <v>874</v>
      </c>
      <c r="CH131" s="480">
        <v>0.01</v>
      </c>
      <c r="CI131" s="480">
        <v>0.24</v>
      </c>
      <c r="CJ131" s="480">
        <v>0.59</v>
      </c>
      <c r="CK131" s="480">
        <v>0.16</v>
      </c>
      <c r="CL131" s="480">
        <v>0.42</v>
      </c>
      <c r="CM131" s="480">
        <v>0.42</v>
      </c>
      <c r="CN131" s="480">
        <v>0.31</v>
      </c>
    </row>
    <row r="132" spans="1:92" ht="24.95" customHeight="1" x14ac:dyDescent="0.2">
      <c r="A132" s="815" t="s">
        <v>192</v>
      </c>
      <c r="B132" s="1" t="s">
        <v>221</v>
      </c>
      <c r="C132" s="311">
        <v>2</v>
      </c>
      <c r="D132" s="330">
        <v>49</v>
      </c>
      <c r="E132" s="330">
        <v>4</v>
      </c>
      <c r="F132" s="329">
        <v>0</v>
      </c>
      <c r="G132" s="329">
        <v>1</v>
      </c>
      <c r="H132" s="329">
        <v>0</v>
      </c>
      <c r="I132" s="329">
        <v>0</v>
      </c>
      <c r="J132" s="329">
        <v>0.42</v>
      </c>
      <c r="K132" s="329">
        <v>0.46</v>
      </c>
      <c r="L132" s="329">
        <v>0.69</v>
      </c>
      <c r="M132" s="330" t="s">
        <v>224</v>
      </c>
      <c r="N132" s="330" t="s">
        <v>224</v>
      </c>
      <c r="O132" s="332"/>
      <c r="P132" s="332"/>
      <c r="Q132" s="332"/>
      <c r="R132" s="332"/>
      <c r="S132" s="332"/>
      <c r="T132" s="332"/>
      <c r="U132" s="332"/>
      <c r="V132" s="330" t="s">
        <v>224</v>
      </c>
      <c r="W132" s="330" t="s">
        <v>224</v>
      </c>
      <c r="X132" s="330"/>
      <c r="Y132" s="330"/>
      <c r="Z132" s="330"/>
      <c r="AA132" s="330"/>
      <c r="AB132" s="330"/>
      <c r="AC132" s="330"/>
      <c r="AD132" s="330"/>
      <c r="AE132" s="330" t="s">
        <v>224</v>
      </c>
      <c r="AF132" s="330" t="s">
        <v>224</v>
      </c>
      <c r="AG132" s="311"/>
      <c r="AH132" s="311"/>
      <c r="AI132" s="311"/>
      <c r="AJ132" s="311"/>
      <c r="AK132" s="311"/>
      <c r="AL132" s="311"/>
      <c r="AM132" s="311"/>
      <c r="AN132" s="313">
        <v>50</v>
      </c>
      <c r="AO132" s="313">
        <v>8</v>
      </c>
      <c r="AP132" s="333">
        <v>0.03</v>
      </c>
      <c r="AQ132" s="333">
        <v>0.48</v>
      </c>
      <c r="AR132" s="333">
        <v>0.45</v>
      </c>
      <c r="AS132" s="333">
        <v>0.04</v>
      </c>
      <c r="AT132" s="333">
        <v>0.53</v>
      </c>
      <c r="AU132" s="333">
        <v>0.42</v>
      </c>
      <c r="AV132" s="333">
        <v>0.47</v>
      </c>
      <c r="AW132" s="314">
        <v>39</v>
      </c>
      <c r="AX132" s="314" t="s">
        <v>876</v>
      </c>
      <c r="AY132" s="314">
        <v>6</v>
      </c>
      <c r="AZ132" s="314" t="s">
        <v>874</v>
      </c>
      <c r="BA132" s="334">
        <v>0.22</v>
      </c>
      <c r="BB132" s="334">
        <v>0.67</v>
      </c>
      <c r="BC132" s="334">
        <v>0.11</v>
      </c>
      <c r="BD132" s="334">
        <v>0</v>
      </c>
      <c r="BE132" s="334">
        <v>0.67</v>
      </c>
      <c r="BF132" s="334">
        <v>0.57999999999999996</v>
      </c>
      <c r="BG132" s="334">
        <v>0.79</v>
      </c>
      <c r="BH132" s="655"/>
      <c r="BI132" s="655"/>
      <c r="BJ132" s="655"/>
      <c r="BK132" s="655"/>
      <c r="BL132" s="655"/>
      <c r="BM132" s="655"/>
      <c r="BN132" s="655"/>
      <c r="BO132" s="655"/>
      <c r="BP132" s="655"/>
      <c r="BQ132" s="655"/>
      <c r="BR132" s="655"/>
      <c r="BS132" s="657"/>
      <c r="BT132" s="657"/>
      <c r="BU132" s="657"/>
      <c r="BV132" s="657"/>
      <c r="BW132" s="657"/>
      <c r="BX132" s="657"/>
      <c r="BY132" s="657"/>
      <c r="BZ132" s="657"/>
      <c r="CA132" s="657"/>
      <c r="CB132" s="657"/>
      <c r="CC132" s="657"/>
      <c r="CD132" s="466">
        <v>63</v>
      </c>
      <c r="CE132" s="466" t="s">
        <v>874</v>
      </c>
      <c r="CF132" s="466">
        <v>17</v>
      </c>
      <c r="CG132" s="466" t="s">
        <v>875</v>
      </c>
      <c r="CH132" s="480">
        <v>0</v>
      </c>
      <c r="CI132" s="480">
        <v>0</v>
      </c>
      <c r="CJ132" s="480">
        <v>0.5</v>
      </c>
      <c r="CK132" s="480">
        <v>0.5</v>
      </c>
      <c r="CL132" s="480">
        <v>0.25</v>
      </c>
      <c r="CM132" s="480">
        <v>0.32</v>
      </c>
      <c r="CN132" s="480">
        <v>0.28999999999999998</v>
      </c>
    </row>
    <row r="133" spans="1:92" ht="24.6" customHeight="1" x14ac:dyDescent="0.2">
      <c r="A133" s="814" t="s">
        <v>231</v>
      </c>
      <c r="B133" s="1" t="s">
        <v>221</v>
      </c>
      <c r="C133" s="2">
        <v>4</v>
      </c>
      <c r="D133" s="12"/>
      <c r="E133" s="12"/>
      <c r="F133" s="12"/>
      <c r="G133" s="12"/>
      <c r="H133" s="12"/>
      <c r="I133" s="12"/>
      <c r="J133" s="12"/>
      <c r="K133" s="12"/>
      <c r="L133" s="12"/>
      <c r="M133" s="12" t="s">
        <v>224</v>
      </c>
      <c r="N133" s="12" t="s">
        <v>224</v>
      </c>
      <c r="O133" s="61"/>
      <c r="P133" s="61"/>
      <c r="Q133" s="61"/>
      <c r="R133" s="61"/>
      <c r="S133" s="61"/>
      <c r="T133" s="61"/>
      <c r="U133" s="61"/>
      <c r="V133" s="12">
        <v>61</v>
      </c>
      <c r="W133" s="12">
        <v>6</v>
      </c>
      <c r="X133" s="66">
        <v>0</v>
      </c>
      <c r="Y133" s="66">
        <v>0</v>
      </c>
      <c r="Z133" s="66">
        <v>1</v>
      </c>
      <c r="AA133" s="66">
        <v>0</v>
      </c>
      <c r="AB133" s="66">
        <v>0.31</v>
      </c>
      <c r="AC133" s="66">
        <v>0.5</v>
      </c>
      <c r="AD133" s="66">
        <v>0.28000000000000003</v>
      </c>
      <c r="AE133" s="12" t="s">
        <v>224</v>
      </c>
      <c r="AF133" s="12" t="s">
        <v>224</v>
      </c>
      <c r="AG133" s="2"/>
      <c r="AH133" s="2"/>
      <c r="AI133" s="2"/>
      <c r="AJ133" s="2"/>
      <c r="AK133" s="2"/>
      <c r="AL133" s="2"/>
      <c r="AM133" s="2"/>
      <c r="AN133" s="41"/>
      <c r="AO133" s="41"/>
      <c r="AP133" s="41"/>
      <c r="AQ133" s="41"/>
      <c r="AR133" s="41"/>
      <c r="AS133" s="41"/>
      <c r="AT133" s="41"/>
      <c r="AU133" s="41"/>
      <c r="AV133" s="41"/>
      <c r="AW133" s="652"/>
      <c r="AX133" s="652"/>
      <c r="AY133" s="652"/>
      <c r="AZ133" s="652"/>
      <c r="BA133" s="652"/>
      <c r="BB133" s="652"/>
      <c r="BC133" s="652"/>
      <c r="BD133" s="652"/>
      <c r="BE133" s="652"/>
      <c r="BF133" s="652"/>
      <c r="BG133" s="652"/>
      <c r="CD133" s="656"/>
      <c r="CE133" s="656"/>
      <c r="CF133" s="656"/>
      <c r="CG133" s="656"/>
      <c r="CH133" s="656"/>
      <c r="CI133" s="656"/>
      <c r="CJ133" s="656"/>
      <c r="CK133" s="656"/>
      <c r="CL133" s="656"/>
      <c r="CM133" s="656"/>
      <c r="CN133" s="656"/>
    </row>
    <row r="134" spans="1:92" ht="24.95" customHeight="1" x14ac:dyDescent="0.2">
      <c r="A134" s="814" t="s">
        <v>1098</v>
      </c>
      <c r="B134" s="1" t="s">
        <v>221</v>
      </c>
      <c r="C134" s="2">
        <v>5</v>
      </c>
      <c r="D134" s="12">
        <v>56</v>
      </c>
      <c r="E134" s="12">
        <v>7</v>
      </c>
      <c r="F134" s="63">
        <v>0</v>
      </c>
      <c r="G134" s="63">
        <v>0.3</v>
      </c>
      <c r="H134" s="63">
        <v>0.63</v>
      </c>
      <c r="I134" s="63">
        <v>7.0000000000000007E-2</v>
      </c>
      <c r="J134" s="63">
        <v>0.37</v>
      </c>
      <c r="K134" s="63">
        <v>0.42</v>
      </c>
      <c r="L134" s="63">
        <v>0.52</v>
      </c>
      <c r="M134" s="12">
        <v>57</v>
      </c>
      <c r="N134" s="12">
        <v>8</v>
      </c>
      <c r="O134" s="61">
        <v>0.02</v>
      </c>
      <c r="P134" s="61">
        <v>0.09</v>
      </c>
      <c r="Q134" s="61">
        <v>0.74</v>
      </c>
      <c r="R134" s="61">
        <v>0.14000000000000001</v>
      </c>
      <c r="S134" s="61">
        <v>0.37</v>
      </c>
      <c r="T134" s="61">
        <v>0.43</v>
      </c>
      <c r="U134" s="61">
        <v>0.41</v>
      </c>
      <c r="V134" s="12">
        <v>54</v>
      </c>
      <c r="W134" s="12">
        <v>8</v>
      </c>
      <c r="X134" s="66">
        <v>0.02</v>
      </c>
      <c r="Y134" s="66">
        <v>0.28999999999999998</v>
      </c>
      <c r="Z134" s="66">
        <v>0.64</v>
      </c>
      <c r="AA134" s="66">
        <v>0.05</v>
      </c>
      <c r="AB134" s="66">
        <v>0.43</v>
      </c>
      <c r="AC134" s="66">
        <v>0.48</v>
      </c>
      <c r="AD134" s="66">
        <v>0.49</v>
      </c>
      <c r="AE134" s="12">
        <v>54</v>
      </c>
      <c r="AF134" s="12">
        <v>8</v>
      </c>
      <c r="AG134" s="63">
        <v>0.03</v>
      </c>
      <c r="AH134" s="63">
        <v>0.22</v>
      </c>
      <c r="AI134" s="63">
        <v>0.67</v>
      </c>
      <c r="AJ134" s="63">
        <v>7.0000000000000007E-2</v>
      </c>
      <c r="AK134" s="63">
        <v>0.4</v>
      </c>
      <c r="AL134" s="63">
        <v>0.37</v>
      </c>
      <c r="AM134" s="63">
        <v>0.4</v>
      </c>
      <c r="AN134" s="35">
        <v>57</v>
      </c>
      <c r="AO134" s="35">
        <v>8</v>
      </c>
      <c r="AP134" s="40">
        <v>0</v>
      </c>
      <c r="AQ134" s="40">
        <v>0.2</v>
      </c>
      <c r="AR134" s="40">
        <v>0.64</v>
      </c>
      <c r="AS134" s="40">
        <v>0.16</v>
      </c>
      <c r="AT134" s="40">
        <v>0.42</v>
      </c>
      <c r="AU134" s="40">
        <v>0.28000000000000003</v>
      </c>
      <c r="AV134" s="40">
        <v>0.37</v>
      </c>
      <c r="AW134" s="653">
        <v>56</v>
      </c>
      <c r="AX134" s="653" t="s">
        <v>874</v>
      </c>
      <c r="AY134" s="653">
        <v>9</v>
      </c>
      <c r="AZ134" s="653" t="s">
        <v>874</v>
      </c>
      <c r="BA134" s="654">
        <v>0.02</v>
      </c>
      <c r="BB134" s="654">
        <v>0.26</v>
      </c>
      <c r="BC134" s="654">
        <v>0.57999999999999996</v>
      </c>
      <c r="BD134" s="654">
        <v>0.14000000000000001</v>
      </c>
      <c r="BE134" s="654">
        <v>0.41</v>
      </c>
      <c r="BF134" s="654">
        <v>0.31</v>
      </c>
      <c r="BG134" s="654">
        <v>0.49</v>
      </c>
      <c r="BH134" s="74">
        <v>55</v>
      </c>
      <c r="BI134" s="74" t="s">
        <v>874</v>
      </c>
      <c r="BJ134" s="74">
        <v>9</v>
      </c>
      <c r="BK134" s="74" t="s">
        <v>874</v>
      </c>
      <c r="BL134" s="96">
        <v>0.06</v>
      </c>
      <c r="BM134" s="96">
        <v>0.2</v>
      </c>
      <c r="BN134" s="96">
        <v>0.63</v>
      </c>
      <c r="BO134" s="96">
        <v>0.12</v>
      </c>
      <c r="BP134" s="96">
        <v>0.45</v>
      </c>
      <c r="BQ134" s="96">
        <v>0.36</v>
      </c>
      <c r="BR134" s="96">
        <v>0.45</v>
      </c>
      <c r="BS134" s="658">
        <v>58</v>
      </c>
      <c r="BT134" s="658" t="s">
        <v>874</v>
      </c>
      <c r="BU134" s="658">
        <v>8</v>
      </c>
      <c r="BV134" s="658" t="s">
        <v>874</v>
      </c>
      <c r="BW134" s="659">
        <v>0.02</v>
      </c>
      <c r="BX134" s="659">
        <v>0.15</v>
      </c>
      <c r="BY134" s="659">
        <v>0.59</v>
      </c>
      <c r="BZ134" s="659">
        <v>0.24</v>
      </c>
      <c r="CA134" s="659">
        <v>0.27</v>
      </c>
      <c r="CB134" s="659">
        <v>0.42</v>
      </c>
      <c r="CC134" s="659">
        <v>0.43</v>
      </c>
      <c r="CD134" s="74">
        <v>56</v>
      </c>
      <c r="CE134" s="74" t="s">
        <v>874</v>
      </c>
      <c r="CF134" s="74">
        <v>8</v>
      </c>
      <c r="CG134" s="74" t="s">
        <v>874</v>
      </c>
      <c r="CH134" s="96">
        <v>0.02</v>
      </c>
      <c r="CI134" s="96">
        <v>0.26</v>
      </c>
      <c r="CJ134" s="96">
        <v>0.6</v>
      </c>
      <c r="CK134" s="96">
        <v>0.11</v>
      </c>
      <c r="CL134" s="96">
        <v>0.43</v>
      </c>
      <c r="CM134" s="96">
        <v>0.43</v>
      </c>
      <c r="CN134" s="96">
        <v>0.32</v>
      </c>
    </row>
    <row r="135" spans="1:92" ht="24.95" customHeight="1" x14ac:dyDescent="0.2">
      <c r="A135" s="814" t="s">
        <v>215</v>
      </c>
      <c r="B135" s="1" t="s">
        <v>221</v>
      </c>
      <c r="C135" s="2">
        <v>6</v>
      </c>
      <c r="D135" s="12">
        <v>48</v>
      </c>
      <c r="E135" s="12">
        <v>0</v>
      </c>
      <c r="F135" s="63">
        <v>0</v>
      </c>
      <c r="G135" s="63">
        <v>1</v>
      </c>
      <c r="H135" s="63">
        <v>0</v>
      </c>
      <c r="I135" s="63">
        <v>0</v>
      </c>
      <c r="J135" s="63">
        <v>0.5</v>
      </c>
      <c r="K135" s="63">
        <v>0.67</v>
      </c>
      <c r="L135" s="63">
        <v>0.54</v>
      </c>
      <c r="M135" s="12" t="s">
        <v>226</v>
      </c>
      <c r="N135" s="12" t="s">
        <v>226</v>
      </c>
      <c r="O135" s="61"/>
      <c r="P135" s="61"/>
      <c r="Q135" s="61"/>
      <c r="R135" s="61"/>
      <c r="S135" s="61"/>
      <c r="T135" s="61"/>
      <c r="U135" s="61"/>
      <c r="V135" s="12" t="s">
        <v>224</v>
      </c>
      <c r="W135" s="12" t="s">
        <v>224</v>
      </c>
      <c r="X135" s="12"/>
      <c r="Y135" s="12"/>
      <c r="Z135" s="12"/>
      <c r="AA135" s="12"/>
      <c r="AB135" s="12"/>
      <c r="AC135" s="12"/>
      <c r="AD135" s="12"/>
      <c r="AE135" s="12" t="s">
        <v>224</v>
      </c>
      <c r="AF135" s="12" t="s">
        <v>224</v>
      </c>
      <c r="AG135" s="2"/>
      <c r="AH135" s="2"/>
      <c r="AI135" s="2"/>
      <c r="AJ135" s="2"/>
      <c r="AK135" s="2"/>
      <c r="AL135" s="2"/>
      <c r="AM135" s="2"/>
      <c r="AW135" s="247">
        <v>48</v>
      </c>
      <c r="AX135" s="247" t="s">
        <v>874</v>
      </c>
      <c r="AY135" s="247">
        <v>0</v>
      </c>
      <c r="AZ135" s="247" t="s">
        <v>876</v>
      </c>
      <c r="BA135" s="264">
        <v>0</v>
      </c>
      <c r="BB135" s="264">
        <v>1</v>
      </c>
      <c r="BC135" s="264">
        <v>0</v>
      </c>
      <c r="BD135" s="264">
        <v>0</v>
      </c>
      <c r="BE135" s="264">
        <v>0.69</v>
      </c>
      <c r="BF135" s="264">
        <v>0.56000000000000005</v>
      </c>
      <c r="BG135" s="264">
        <v>0.55000000000000004</v>
      </c>
      <c r="BH135" s="655"/>
      <c r="BI135" s="655"/>
      <c r="BJ135" s="655"/>
      <c r="BK135" s="655"/>
      <c r="BL135" s="655"/>
      <c r="BM135" s="655"/>
      <c r="BN135" s="655"/>
      <c r="BO135" s="655"/>
      <c r="BP135" s="655"/>
      <c r="BQ135" s="655"/>
      <c r="BR135" s="655"/>
      <c r="BS135" s="657"/>
      <c r="BT135" s="657"/>
      <c r="BU135" s="657"/>
      <c r="BV135" s="657"/>
      <c r="BW135" s="657"/>
      <c r="BX135" s="657"/>
      <c r="BY135" s="657"/>
      <c r="BZ135" s="657"/>
      <c r="CA135" s="657"/>
      <c r="CB135" s="657"/>
      <c r="CC135" s="657"/>
      <c r="CD135" s="656"/>
      <c r="CE135" s="656"/>
      <c r="CF135" s="656"/>
      <c r="CG135" s="656"/>
      <c r="CH135" s="656"/>
      <c r="CI135" s="656"/>
      <c r="CJ135" s="656"/>
      <c r="CK135" s="656"/>
      <c r="CL135" s="656"/>
      <c r="CM135" s="656"/>
      <c r="CN135" s="656"/>
    </row>
    <row r="136" spans="1:92" ht="24.95" customHeight="1" x14ac:dyDescent="0.2">
      <c r="A136" s="814" t="s">
        <v>120</v>
      </c>
      <c r="B136" s="1" t="s">
        <v>221</v>
      </c>
      <c r="C136" s="2">
        <v>4</v>
      </c>
      <c r="D136" s="12">
        <v>56</v>
      </c>
      <c r="E136" s="12">
        <v>7</v>
      </c>
      <c r="F136" s="63">
        <v>0.06</v>
      </c>
      <c r="G136" s="63">
        <v>0.13</v>
      </c>
      <c r="H136" s="63">
        <v>0.81</v>
      </c>
      <c r="I136" s="63">
        <v>0</v>
      </c>
      <c r="J136" s="63">
        <v>0.4</v>
      </c>
      <c r="K136" s="63">
        <v>0.41</v>
      </c>
      <c r="L136" s="63">
        <v>0.51</v>
      </c>
      <c r="M136" s="25">
        <v>56</v>
      </c>
      <c r="N136" s="25">
        <v>7</v>
      </c>
      <c r="O136" s="61">
        <v>0</v>
      </c>
      <c r="P136" s="61">
        <v>0.15</v>
      </c>
      <c r="Q136" s="61">
        <v>0.75</v>
      </c>
      <c r="R136" s="61">
        <v>0.1</v>
      </c>
      <c r="S136" s="61">
        <v>0.36</v>
      </c>
      <c r="T136" s="61">
        <v>0.47</v>
      </c>
      <c r="U136" s="61">
        <v>0.44</v>
      </c>
      <c r="V136" s="12">
        <v>59</v>
      </c>
      <c r="W136" s="12">
        <v>6</v>
      </c>
      <c r="X136" s="66">
        <v>0</v>
      </c>
      <c r="Y136" s="66">
        <v>0.09</v>
      </c>
      <c r="Z136" s="66">
        <v>0.91</v>
      </c>
      <c r="AA136" s="66">
        <v>0</v>
      </c>
      <c r="AB136" s="66">
        <v>0.35</v>
      </c>
      <c r="AC136" s="66">
        <v>0.4</v>
      </c>
      <c r="AD136" s="66">
        <v>0.41</v>
      </c>
      <c r="AE136" s="12">
        <v>58</v>
      </c>
      <c r="AF136" s="12">
        <v>7</v>
      </c>
      <c r="AG136" s="63">
        <v>0</v>
      </c>
      <c r="AH136" s="63">
        <v>0.15</v>
      </c>
      <c r="AI136" s="63">
        <v>0.77</v>
      </c>
      <c r="AJ136" s="63">
        <v>0.08</v>
      </c>
      <c r="AK136" s="63">
        <v>0.34</v>
      </c>
      <c r="AL136" s="63">
        <v>0.26</v>
      </c>
      <c r="AM136" s="63">
        <v>0.28999999999999998</v>
      </c>
      <c r="AN136" s="35">
        <v>57</v>
      </c>
      <c r="AO136" s="35">
        <v>6</v>
      </c>
      <c r="AP136" s="40">
        <v>0</v>
      </c>
      <c r="AQ136" s="40">
        <v>0.08</v>
      </c>
      <c r="AR136" s="40">
        <v>0.83</v>
      </c>
      <c r="AS136" s="40">
        <v>0.08</v>
      </c>
      <c r="AT136" s="40">
        <v>0.41</v>
      </c>
      <c r="AU136" s="40">
        <v>0.37</v>
      </c>
      <c r="AV136" s="40">
        <v>0.26</v>
      </c>
      <c r="AW136" s="247">
        <v>53</v>
      </c>
      <c r="AX136" s="247" t="s">
        <v>874</v>
      </c>
      <c r="AY136" s="247">
        <v>9</v>
      </c>
      <c r="AZ136" s="247" t="s">
        <v>874</v>
      </c>
      <c r="BA136" s="264">
        <v>0</v>
      </c>
      <c r="BB136" s="264">
        <v>0.32</v>
      </c>
      <c r="BC136" s="264">
        <v>0.64</v>
      </c>
      <c r="BD136" s="264">
        <v>0.05</v>
      </c>
      <c r="BE136" s="264">
        <v>0.45</v>
      </c>
      <c r="BF136" s="264">
        <v>0.38</v>
      </c>
      <c r="BG136" s="264">
        <v>0.56999999999999995</v>
      </c>
      <c r="BH136" s="74">
        <v>62</v>
      </c>
      <c r="BI136" s="74" t="s">
        <v>874</v>
      </c>
      <c r="BJ136" s="74">
        <v>7</v>
      </c>
      <c r="BK136" s="74" t="s">
        <v>874</v>
      </c>
      <c r="BL136" s="96">
        <v>0</v>
      </c>
      <c r="BM136" s="96">
        <v>0.12</v>
      </c>
      <c r="BN136" s="96">
        <v>0.53</v>
      </c>
      <c r="BO136" s="96">
        <v>0.35</v>
      </c>
      <c r="BP136" s="96">
        <v>0.33</v>
      </c>
      <c r="BQ136" s="96">
        <v>0.25</v>
      </c>
      <c r="BR136" s="96">
        <v>0.28000000000000003</v>
      </c>
      <c r="BS136" s="658">
        <v>52</v>
      </c>
      <c r="BT136" s="658" t="s">
        <v>874</v>
      </c>
      <c r="BU136" s="658">
        <v>7</v>
      </c>
      <c r="BV136" s="658" t="s">
        <v>874</v>
      </c>
      <c r="BW136" s="659">
        <v>0</v>
      </c>
      <c r="BX136" s="659">
        <v>0.41</v>
      </c>
      <c r="BY136" s="659">
        <v>0.59</v>
      </c>
      <c r="BZ136" s="659">
        <v>0</v>
      </c>
      <c r="CA136" s="659">
        <v>0.48</v>
      </c>
      <c r="CB136" s="659">
        <v>0.48</v>
      </c>
      <c r="CC136" s="659">
        <v>0.53</v>
      </c>
      <c r="CD136" s="74">
        <v>58</v>
      </c>
      <c r="CE136" s="74" t="s">
        <v>874</v>
      </c>
      <c r="CF136" s="74">
        <v>7</v>
      </c>
      <c r="CG136" s="74" t="s">
        <v>874</v>
      </c>
      <c r="CH136" s="96">
        <v>0</v>
      </c>
      <c r="CI136" s="96">
        <v>0.12</v>
      </c>
      <c r="CJ136" s="96">
        <v>0.7</v>
      </c>
      <c r="CK136" s="96">
        <v>0.18</v>
      </c>
      <c r="CL136" s="96">
        <v>0.37</v>
      </c>
      <c r="CM136" s="96">
        <v>0.4</v>
      </c>
      <c r="CN136" s="96">
        <v>0.28999999999999998</v>
      </c>
    </row>
    <row r="137" spans="1:92" ht="24.95" customHeight="1" x14ac:dyDescent="0.2">
      <c r="A137" s="814" t="s">
        <v>52</v>
      </c>
      <c r="B137" s="1" t="s">
        <v>221</v>
      </c>
      <c r="C137" s="2">
        <v>6</v>
      </c>
      <c r="D137" s="12">
        <v>55</v>
      </c>
      <c r="E137" s="12">
        <v>8</v>
      </c>
      <c r="F137" s="63">
        <v>0</v>
      </c>
      <c r="G137" s="63">
        <v>0.32</v>
      </c>
      <c r="H137" s="63">
        <v>0.59</v>
      </c>
      <c r="I137" s="63">
        <v>0.09</v>
      </c>
      <c r="J137" s="63">
        <v>0.44</v>
      </c>
      <c r="K137" s="63">
        <v>0.47</v>
      </c>
      <c r="L137" s="63">
        <v>0.56000000000000005</v>
      </c>
      <c r="M137" s="25">
        <v>56</v>
      </c>
      <c r="N137" s="25">
        <v>8</v>
      </c>
      <c r="O137" s="61">
        <v>0.01</v>
      </c>
      <c r="P137" s="61">
        <v>0.28000000000000003</v>
      </c>
      <c r="Q137" s="61">
        <v>0.64</v>
      </c>
      <c r="R137" s="61">
        <v>7.0000000000000007E-2</v>
      </c>
      <c r="S137" s="61">
        <v>0.39</v>
      </c>
      <c r="T137" s="61">
        <v>0.46</v>
      </c>
      <c r="U137" s="61">
        <v>0.42</v>
      </c>
      <c r="V137" s="12">
        <v>56</v>
      </c>
      <c r="W137" s="12">
        <v>8</v>
      </c>
      <c r="X137" s="66">
        <v>0</v>
      </c>
      <c r="Y137" s="66">
        <v>0.28999999999999998</v>
      </c>
      <c r="Z137" s="66">
        <v>0.63</v>
      </c>
      <c r="AA137" s="66">
        <v>0.08</v>
      </c>
      <c r="AB137" s="66">
        <v>0.39</v>
      </c>
      <c r="AC137" s="66">
        <v>0.47</v>
      </c>
      <c r="AD137" s="66">
        <v>0.46</v>
      </c>
      <c r="AE137" s="12">
        <v>56</v>
      </c>
      <c r="AF137" s="12">
        <v>11</v>
      </c>
      <c r="AG137" s="63">
        <v>0.03</v>
      </c>
      <c r="AH137" s="63">
        <v>0.27</v>
      </c>
      <c r="AI137" s="63">
        <v>0.47</v>
      </c>
      <c r="AJ137" s="63">
        <v>0.23</v>
      </c>
      <c r="AK137" s="63">
        <v>0.38</v>
      </c>
      <c r="AL137" s="63">
        <v>0.31</v>
      </c>
      <c r="AM137" s="63">
        <v>0.38</v>
      </c>
      <c r="AN137" s="45">
        <v>55</v>
      </c>
      <c r="AO137" s="45">
        <v>8</v>
      </c>
      <c r="AP137" s="46">
        <v>0.01</v>
      </c>
      <c r="AQ137" s="46">
        <v>0.28000000000000003</v>
      </c>
      <c r="AR137" s="46">
        <v>0.61</v>
      </c>
      <c r="AS137" s="46">
        <v>0.1</v>
      </c>
      <c r="AT137" s="46">
        <v>0.45</v>
      </c>
      <c r="AU137" s="46">
        <v>0.33</v>
      </c>
      <c r="AV137" s="46">
        <v>0.41</v>
      </c>
      <c r="AW137" s="247">
        <v>56</v>
      </c>
      <c r="AX137" s="247" t="s">
        <v>874</v>
      </c>
      <c r="AY137" s="247">
        <v>9</v>
      </c>
      <c r="AZ137" s="247" t="s">
        <v>874</v>
      </c>
      <c r="BA137" s="264">
        <v>0</v>
      </c>
      <c r="BB137" s="264">
        <v>0.38</v>
      </c>
      <c r="BC137" s="264">
        <v>0.44</v>
      </c>
      <c r="BD137" s="264">
        <v>0.19</v>
      </c>
      <c r="BE137" s="264">
        <v>0.41</v>
      </c>
      <c r="BF137" s="264">
        <v>0.34</v>
      </c>
      <c r="BG137" s="264">
        <v>0.5</v>
      </c>
      <c r="BH137" s="311">
        <v>58</v>
      </c>
      <c r="BI137" s="311" t="s">
        <v>874</v>
      </c>
      <c r="BJ137" s="311">
        <v>8</v>
      </c>
      <c r="BK137" s="311" t="s">
        <v>874</v>
      </c>
      <c r="BL137" s="329">
        <v>0</v>
      </c>
      <c r="BM137" s="329">
        <v>0.2</v>
      </c>
      <c r="BN137" s="329">
        <v>0.62</v>
      </c>
      <c r="BO137" s="329">
        <v>0.18</v>
      </c>
      <c r="BP137" s="329">
        <v>0.41</v>
      </c>
      <c r="BQ137" s="329">
        <v>0.27</v>
      </c>
      <c r="BR137" s="329">
        <v>0.4</v>
      </c>
      <c r="BS137" s="426">
        <v>55</v>
      </c>
      <c r="BT137" s="426" t="s">
        <v>874</v>
      </c>
      <c r="BU137" s="426">
        <v>8</v>
      </c>
      <c r="BV137" s="426" t="s">
        <v>874</v>
      </c>
      <c r="BW137" s="430">
        <v>0</v>
      </c>
      <c r="BX137" s="430">
        <v>0.34</v>
      </c>
      <c r="BY137" s="430">
        <v>0.56000000000000005</v>
      </c>
      <c r="BZ137" s="430">
        <v>0.1</v>
      </c>
      <c r="CA137" s="430">
        <v>0.34</v>
      </c>
      <c r="CB137" s="430">
        <v>0.47</v>
      </c>
      <c r="CC137" s="430">
        <v>0.47</v>
      </c>
      <c r="CD137" s="466">
        <v>59</v>
      </c>
      <c r="CE137" s="466" t="s">
        <v>874</v>
      </c>
      <c r="CF137" s="466">
        <v>8</v>
      </c>
      <c r="CG137" s="466" t="s">
        <v>874</v>
      </c>
      <c r="CH137" s="480">
        <v>0</v>
      </c>
      <c r="CI137" s="480">
        <v>0.12</v>
      </c>
      <c r="CJ137" s="480">
        <v>0.69</v>
      </c>
      <c r="CK137" s="480">
        <v>0.19</v>
      </c>
      <c r="CL137" s="480">
        <v>0.37</v>
      </c>
      <c r="CM137" s="480">
        <v>0.4</v>
      </c>
      <c r="CN137" s="480">
        <v>0.24</v>
      </c>
    </row>
    <row r="138" spans="1:92" ht="24.95" customHeight="1" x14ac:dyDescent="0.2">
      <c r="A138" s="814" t="s">
        <v>40</v>
      </c>
      <c r="B138" s="1" t="s">
        <v>221</v>
      </c>
      <c r="C138" s="2">
        <v>2</v>
      </c>
      <c r="D138" s="12">
        <v>53</v>
      </c>
      <c r="E138" s="12">
        <v>7</v>
      </c>
      <c r="F138" s="63">
        <v>0</v>
      </c>
      <c r="G138" s="63">
        <v>0.38</v>
      </c>
      <c r="H138" s="63">
        <v>0.62</v>
      </c>
      <c r="I138" s="63">
        <v>0</v>
      </c>
      <c r="J138" s="63">
        <v>0.43</v>
      </c>
      <c r="K138" s="63">
        <v>0.49</v>
      </c>
      <c r="L138" s="63">
        <v>0.55000000000000004</v>
      </c>
      <c r="M138" s="25">
        <v>54</v>
      </c>
      <c r="N138" s="25">
        <v>8</v>
      </c>
      <c r="O138" s="61">
        <v>0.02</v>
      </c>
      <c r="P138" s="61">
        <v>0.3</v>
      </c>
      <c r="Q138" s="61">
        <v>0.61</v>
      </c>
      <c r="R138" s="61">
        <v>0.08</v>
      </c>
      <c r="S138" s="61">
        <v>0.44</v>
      </c>
      <c r="T138" s="61">
        <v>0.46</v>
      </c>
      <c r="U138" s="61">
        <v>0.48</v>
      </c>
      <c r="V138" s="12">
        <v>53</v>
      </c>
      <c r="W138" s="12">
        <v>7</v>
      </c>
      <c r="X138" s="66">
        <v>0</v>
      </c>
      <c r="Y138" s="66">
        <v>0.39</v>
      </c>
      <c r="Z138" s="66">
        <v>0.56999999999999995</v>
      </c>
      <c r="AA138" s="66">
        <v>0.03</v>
      </c>
      <c r="AB138" s="66">
        <v>0.46</v>
      </c>
      <c r="AC138" s="66">
        <v>0.49</v>
      </c>
      <c r="AD138" s="66">
        <v>0.49</v>
      </c>
      <c r="AE138" s="12">
        <v>55</v>
      </c>
      <c r="AF138" s="12">
        <v>9</v>
      </c>
      <c r="AG138" s="63">
        <v>0</v>
      </c>
      <c r="AH138" s="63">
        <v>0.3</v>
      </c>
      <c r="AI138" s="63">
        <v>0.55000000000000004</v>
      </c>
      <c r="AJ138" s="63">
        <v>0.15</v>
      </c>
      <c r="AK138" s="63">
        <v>0.38</v>
      </c>
      <c r="AL138" s="63">
        <v>0.34</v>
      </c>
      <c r="AM138" s="63">
        <v>0.41</v>
      </c>
      <c r="AN138" s="35">
        <v>55</v>
      </c>
      <c r="AO138" s="35">
        <v>8</v>
      </c>
      <c r="AP138" s="40">
        <v>0</v>
      </c>
      <c r="AQ138" s="40">
        <v>0.31</v>
      </c>
      <c r="AR138" s="40">
        <v>0.59</v>
      </c>
      <c r="AS138" s="40">
        <v>0.1</v>
      </c>
      <c r="AT138" s="40">
        <v>0.45</v>
      </c>
      <c r="AU138" s="40">
        <v>0.38</v>
      </c>
      <c r="AV138" s="40">
        <v>0.41</v>
      </c>
      <c r="AW138" s="247">
        <v>54</v>
      </c>
      <c r="AX138" s="247" t="s">
        <v>874</v>
      </c>
      <c r="AY138" s="247">
        <v>8</v>
      </c>
      <c r="AZ138" s="247" t="s">
        <v>874</v>
      </c>
      <c r="BA138" s="264">
        <v>0</v>
      </c>
      <c r="BB138" s="264">
        <v>0.39</v>
      </c>
      <c r="BC138" s="264">
        <v>0.51</v>
      </c>
      <c r="BD138" s="264">
        <v>0.1</v>
      </c>
      <c r="BE138" s="264">
        <v>0.43</v>
      </c>
      <c r="BF138" s="264">
        <v>0.33</v>
      </c>
      <c r="BG138" s="264">
        <v>0.55000000000000004</v>
      </c>
      <c r="BH138" s="311">
        <v>53</v>
      </c>
      <c r="BI138" s="311" t="s">
        <v>874</v>
      </c>
      <c r="BJ138" s="311">
        <v>9</v>
      </c>
      <c r="BK138" s="311" t="s">
        <v>874</v>
      </c>
      <c r="BL138" s="329">
        <v>0.04</v>
      </c>
      <c r="BM138" s="329">
        <v>0.26</v>
      </c>
      <c r="BN138" s="329">
        <v>0.61</v>
      </c>
      <c r="BO138" s="329">
        <v>0.08</v>
      </c>
      <c r="BP138" s="329">
        <v>0.49</v>
      </c>
      <c r="BQ138" s="329">
        <v>0.39</v>
      </c>
      <c r="BR138" s="329">
        <v>0.45</v>
      </c>
      <c r="BS138" s="426">
        <v>55</v>
      </c>
      <c r="BT138" s="426" t="s">
        <v>874</v>
      </c>
      <c r="BU138" s="426">
        <v>9</v>
      </c>
      <c r="BV138" s="426" t="s">
        <v>874</v>
      </c>
      <c r="BW138" s="430">
        <v>0</v>
      </c>
      <c r="BX138" s="430">
        <v>0.36</v>
      </c>
      <c r="BY138" s="430">
        <v>0.48</v>
      </c>
      <c r="BZ138" s="430">
        <v>0.16</v>
      </c>
      <c r="CA138" s="430">
        <v>0.37</v>
      </c>
      <c r="CB138" s="430">
        <v>0.46</v>
      </c>
      <c r="CC138" s="430">
        <v>0.46</v>
      </c>
      <c r="CD138" s="466">
        <v>56</v>
      </c>
      <c r="CE138" s="466" t="s">
        <v>874</v>
      </c>
      <c r="CF138" s="466">
        <v>9</v>
      </c>
      <c r="CG138" s="466" t="s">
        <v>874</v>
      </c>
      <c r="CH138" s="480">
        <v>0.03</v>
      </c>
      <c r="CI138" s="480">
        <v>0.15</v>
      </c>
      <c r="CJ138" s="480">
        <v>0.68</v>
      </c>
      <c r="CK138" s="480">
        <v>0.15</v>
      </c>
      <c r="CL138" s="480">
        <v>0.39</v>
      </c>
      <c r="CM138" s="480">
        <v>0.41</v>
      </c>
      <c r="CN138" s="480">
        <v>0.31</v>
      </c>
    </row>
    <row r="139" spans="1:92" ht="24.95" customHeight="1" x14ac:dyDescent="0.2">
      <c r="A139" s="814" t="s">
        <v>227</v>
      </c>
      <c r="B139" s="1" t="s">
        <v>221</v>
      </c>
      <c r="C139" s="2">
        <v>2</v>
      </c>
      <c r="D139" s="12"/>
      <c r="E139" s="12"/>
      <c r="F139" s="12"/>
      <c r="G139" s="12"/>
      <c r="H139" s="12"/>
      <c r="I139" s="12"/>
      <c r="J139" s="12"/>
      <c r="K139" s="12"/>
      <c r="L139" s="12"/>
      <c r="M139" s="25">
        <v>47</v>
      </c>
      <c r="N139" s="25">
        <v>11</v>
      </c>
      <c r="O139" s="61">
        <v>0.17</v>
      </c>
      <c r="P139" s="61">
        <v>0.5</v>
      </c>
      <c r="Q139" s="61">
        <v>0.22</v>
      </c>
      <c r="R139" s="61">
        <v>0.11</v>
      </c>
      <c r="S139" s="61">
        <v>0.52</v>
      </c>
      <c r="T139" s="61">
        <v>0.61</v>
      </c>
      <c r="U139" s="61">
        <v>0.59</v>
      </c>
      <c r="V139" s="12" t="s">
        <v>224</v>
      </c>
      <c r="W139" s="12" t="s">
        <v>224</v>
      </c>
      <c r="X139" s="12"/>
      <c r="Y139" s="12"/>
      <c r="Z139" s="12"/>
      <c r="AA139" s="12"/>
      <c r="AB139" s="12"/>
      <c r="AC139" s="12"/>
      <c r="AD139" s="12"/>
      <c r="AE139" s="12" t="s">
        <v>224</v>
      </c>
      <c r="AF139" s="12" t="s">
        <v>224</v>
      </c>
      <c r="AG139" s="2"/>
      <c r="AH139" s="2"/>
      <c r="AI139" s="2"/>
      <c r="AJ139" s="2"/>
      <c r="AK139" s="2"/>
      <c r="AL139" s="2"/>
      <c r="AM139" s="2"/>
      <c r="AN139" s="41"/>
      <c r="AO139" s="41"/>
      <c r="AP139" s="41"/>
      <c r="AQ139" s="41"/>
      <c r="AR139" s="41"/>
      <c r="AS139" s="41"/>
      <c r="AT139" s="41"/>
      <c r="AU139" s="41"/>
      <c r="AV139" s="41"/>
      <c r="AW139" s="652"/>
      <c r="AX139" s="652"/>
      <c r="AY139" s="652"/>
      <c r="AZ139" s="652"/>
      <c r="BA139" s="652"/>
      <c r="BB139" s="652"/>
      <c r="BC139" s="652"/>
      <c r="BD139" s="652"/>
      <c r="BE139" s="652"/>
      <c r="BF139" s="652"/>
      <c r="BG139" s="652"/>
      <c r="BH139" s="311">
        <v>60</v>
      </c>
      <c r="BI139" s="311" t="s">
        <v>874</v>
      </c>
      <c r="BJ139" s="311">
        <v>0</v>
      </c>
      <c r="BK139" s="311" t="s">
        <v>876</v>
      </c>
      <c r="BL139" s="329">
        <v>0</v>
      </c>
      <c r="BM139" s="329">
        <v>0</v>
      </c>
      <c r="BN139" s="329">
        <v>1</v>
      </c>
      <c r="BO139" s="329">
        <v>0</v>
      </c>
      <c r="BP139" s="329">
        <v>0.41</v>
      </c>
      <c r="BQ139" s="329">
        <v>0.13</v>
      </c>
      <c r="BR139" s="329">
        <v>0.33</v>
      </c>
      <c r="BS139" s="426">
        <v>47</v>
      </c>
      <c r="BT139" s="426" t="s">
        <v>876</v>
      </c>
      <c r="BU139" s="426">
        <v>9</v>
      </c>
      <c r="BV139" s="426" t="s">
        <v>874</v>
      </c>
      <c r="BW139" s="430">
        <v>0</v>
      </c>
      <c r="BX139" s="430">
        <v>0.69</v>
      </c>
      <c r="BY139" s="430">
        <v>0.23</v>
      </c>
      <c r="BZ139" s="430">
        <v>0.08</v>
      </c>
      <c r="CA139" s="430">
        <v>0.4</v>
      </c>
      <c r="CB139" s="430">
        <v>0.63</v>
      </c>
      <c r="CC139" s="430">
        <v>0.62</v>
      </c>
      <c r="CD139" s="647"/>
      <c r="CE139" s="647"/>
      <c r="CF139" s="647"/>
      <c r="CG139" s="647"/>
      <c r="CH139" s="648"/>
      <c r="CI139" s="648"/>
      <c r="CJ139" s="648"/>
      <c r="CK139" s="648"/>
      <c r="CL139" s="648"/>
      <c r="CM139" s="648"/>
      <c r="CN139" s="648"/>
    </row>
    <row r="140" spans="1:92" ht="24.95" customHeight="1" x14ac:dyDescent="0.2">
      <c r="A140" s="814" t="s">
        <v>936</v>
      </c>
      <c r="B140" s="1" t="s">
        <v>221</v>
      </c>
      <c r="C140" s="2">
        <v>4</v>
      </c>
      <c r="D140" s="12"/>
      <c r="E140" s="12"/>
      <c r="F140" s="12"/>
      <c r="G140" s="12"/>
      <c r="H140" s="12"/>
      <c r="I140" s="12"/>
      <c r="J140" s="12"/>
      <c r="K140" s="12"/>
      <c r="L140" s="12"/>
      <c r="M140" s="25"/>
      <c r="N140" s="25"/>
      <c r="O140" s="61"/>
      <c r="P140" s="61"/>
      <c r="Q140" s="61"/>
      <c r="R140" s="61"/>
      <c r="S140" s="61"/>
      <c r="T140" s="61"/>
      <c r="U140" s="61"/>
      <c r="V140" s="12"/>
      <c r="W140" s="12"/>
      <c r="X140" s="12"/>
      <c r="Y140" s="12"/>
      <c r="Z140" s="12"/>
      <c r="AA140" s="12"/>
      <c r="AB140" s="12"/>
      <c r="AC140" s="12"/>
      <c r="AD140" s="12"/>
      <c r="AE140" s="12"/>
      <c r="AF140" s="12"/>
      <c r="AG140" s="2"/>
      <c r="AH140" s="2"/>
      <c r="AI140" s="2"/>
      <c r="AJ140" s="2"/>
      <c r="AK140" s="2"/>
      <c r="AL140" s="2"/>
      <c r="AM140" s="2"/>
      <c r="AN140" s="41"/>
      <c r="AO140" s="41"/>
      <c r="AP140" s="41"/>
      <c r="AQ140" s="41"/>
      <c r="AR140" s="41"/>
      <c r="AS140" s="41"/>
      <c r="AT140" s="41"/>
      <c r="AU140" s="41"/>
      <c r="AV140" s="41"/>
      <c r="BH140" s="311">
        <v>51</v>
      </c>
      <c r="BI140" s="311" t="s">
        <v>874</v>
      </c>
      <c r="BJ140" s="311">
        <v>8</v>
      </c>
      <c r="BK140" s="311" t="s">
        <v>874</v>
      </c>
      <c r="BL140" s="329">
        <v>0</v>
      </c>
      <c r="BM140" s="329">
        <v>0.4</v>
      </c>
      <c r="BN140" s="329">
        <v>0.6</v>
      </c>
      <c r="BO140" s="329">
        <v>0</v>
      </c>
      <c r="BP140" s="329">
        <v>0.46</v>
      </c>
      <c r="BQ140" s="329">
        <v>0.37</v>
      </c>
      <c r="BR140" s="329">
        <v>0.56000000000000005</v>
      </c>
      <c r="BS140" s="426">
        <v>45</v>
      </c>
      <c r="BT140" s="426" t="s">
        <v>876</v>
      </c>
      <c r="BU140" s="426">
        <v>7</v>
      </c>
      <c r="BV140" s="426" t="s">
        <v>874</v>
      </c>
      <c r="BW140" s="430">
        <v>0.08</v>
      </c>
      <c r="BX140" s="430">
        <v>0.77</v>
      </c>
      <c r="BY140" s="430">
        <v>0.15</v>
      </c>
      <c r="BZ140" s="430">
        <v>0</v>
      </c>
      <c r="CA140" s="430">
        <v>0.51</v>
      </c>
      <c r="CB140" s="430">
        <v>0.66</v>
      </c>
      <c r="CC140" s="430">
        <v>0.66</v>
      </c>
      <c r="CD140" s="426"/>
      <c r="CE140" s="426"/>
      <c r="CF140" s="426"/>
      <c r="CG140" s="426"/>
      <c r="CH140" s="430"/>
      <c r="CI140" s="430"/>
      <c r="CJ140" s="430"/>
      <c r="CK140" s="430"/>
      <c r="CL140" s="430"/>
      <c r="CM140" s="430"/>
      <c r="CN140" s="430"/>
    </row>
    <row r="141" spans="1:92" ht="24.95" customHeight="1" x14ac:dyDescent="0.2">
      <c r="A141" s="815" t="s">
        <v>155</v>
      </c>
      <c r="B141" s="1" t="s">
        <v>221</v>
      </c>
      <c r="C141" s="311">
        <v>5</v>
      </c>
      <c r="D141" s="330">
        <v>53</v>
      </c>
      <c r="E141" s="330">
        <v>11</v>
      </c>
      <c r="F141" s="329">
        <v>0</v>
      </c>
      <c r="G141" s="329">
        <v>0.33</v>
      </c>
      <c r="H141" s="329">
        <v>0.67</v>
      </c>
      <c r="I141" s="329">
        <v>0</v>
      </c>
      <c r="J141" s="329">
        <v>0.56000000000000005</v>
      </c>
      <c r="K141" s="329">
        <v>0.36</v>
      </c>
      <c r="L141" s="329">
        <v>0.62</v>
      </c>
      <c r="M141" s="331">
        <v>56</v>
      </c>
      <c r="N141" s="331">
        <v>9</v>
      </c>
      <c r="O141" s="332">
        <v>0</v>
      </c>
      <c r="P141" s="332">
        <v>0.33</v>
      </c>
      <c r="Q141" s="332">
        <v>0.57999999999999996</v>
      </c>
      <c r="R141" s="332">
        <v>0.08</v>
      </c>
      <c r="S141" s="332">
        <v>0.38</v>
      </c>
      <c r="T141" s="332">
        <v>0.43</v>
      </c>
      <c r="U141" s="332">
        <v>0.48</v>
      </c>
      <c r="V141" s="330">
        <v>52</v>
      </c>
      <c r="W141" s="330">
        <v>4</v>
      </c>
      <c r="X141" s="335">
        <v>0</v>
      </c>
      <c r="Y141" s="335">
        <v>0.5</v>
      </c>
      <c r="Z141" s="335">
        <v>0.5</v>
      </c>
      <c r="AA141" s="335">
        <v>0</v>
      </c>
      <c r="AB141" s="335">
        <v>0.45</v>
      </c>
      <c r="AC141" s="335">
        <v>0.56000000000000005</v>
      </c>
      <c r="AD141" s="335">
        <v>0.52</v>
      </c>
      <c r="AE141" s="330">
        <v>49</v>
      </c>
      <c r="AF141" s="330">
        <v>8</v>
      </c>
      <c r="AG141" s="329">
        <v>0</v>
      </c>
      <c r="AH141" s="329">
        <v>0.8</v>
      </c>
      <c r="AI141" s="329">
        <v>0.2</v>
      </c>
      <c r="AJ141" s="329">
        <v>0</v>
      </c>
      <c r="AK141" s="329">
        <v>0.53</v>
      </c>
      <c r="AL141" s="329">
        <v>0.4</v>
      </c>
      <c r="AM141" s="329">
        <v>0.5</v>
      </c>
      <c r="AN141" s="45">
        <v>55</v>
      </c>
      <c r="AO141" s="45">
        <v>9</v>
      </c>
      <c r="AP141" s="46">
        <v>0</v>
      </c>
      <c r="AQ141" s="46">
        <v>0.33</v>
      </c>
      <c r="AR141" s="46">
        <v>0.67</v>
      </c>
      <c r="AS141" s="46">
        <v>0</v>
      </c>
      <c r="AT141" s="46">
        <v>0.5</v>
      </c>
      <c r="AU141" s="46">
        <v>0.2</v>
      </c>
      <c r="AV141" s="46">
        <v>0.55000000000000004</v>
      </c>
      <c r="AW141" s="653">
        <v>56</v>
      </c>
      <c r="AX141" s="653" t="s">
        <v>874</v>
      </c>
      <c r="AY141" s="653">
        <v>6</v>
      </c>
      <c r="AZ141" s="653" t="s">
        <v>874</v>
      </c>
      <c r="BA141" s="654">
        <v>0</v>
      </c>
      <c r="BB141" s="654">
        <v>0.17</v>
      </c>
      <c r="BC141" s="654">
        <v>0.83</v>
      </c>
      <c r="BD141" s="654">
        <v>0</v>
      </c>
      <c r="BE141" s="654">
        <v>0.42</v>
      </c>
      <c r="BF141" s="654">
        <v>0.36</v>
      </c>
      <c r="BG141" s="654">
        <v>0.41</v>
      </c>
      <c r="BH141" s="311">
        <v>52</v>
      </c>
      <c r="BI141" s="311" t="s">
        <v>874</v>
      </c>
      <c r="BJ141" s="311">
        <v>4</v>
      </c>
      <c r="BK141" s="311" t="s">
        <v>876</v>
      </c>
      <c r="BL141" s="329">
        <v>0</v>
      </c>
      <c r="BM141" s="329">
        <v>0.5</v>
      </c>
      <c r="BN141" s="329">
        <v>0.5</v>
      </c>
      <c r="BO141" s="329">
        <v>0</v>
      </c>
      <c r="BP141" s="329">
        <v>0.56000000000000005</v>
      </c>
      <c r="BQ141" s="329">
        <v>0.31</v>
      </c>
      <c r="BR141" s="329">
        <v>0.5</v>
      </c>
      <c r="BS141" s="426">
        <v>57</v>
      </c>
      <c r="BT141" s="426" t="s">
        <v>874</v>
      </c>
      <c r="BU141" s="426">
        <v>8</v>
      </c>
      <c r="BV141" s="426" t="s">
        <v>874</v>
      </c>
      <c r="BW141" s="430">
        <v>0</v>
      </c>
      <c r="BX141" s="430">
        <v>0.25</v>
      </c>
      <c r="BY141" s="430">
        <v>0.5</v>
      </c>
      <c r="BZ141" s="430">
        <v>0.25</v>
      </c>
      <c r="CA141" s="430">
        <v>0.35</v>
      </c>
      <c r="CB141" s="430">
        <v>0.54</v>
      </c>
      <c r="CC141" s="430">
        <v>0.31</v>
      </c>
      <c r="CD141" s="660">
        <v>53</v>
      </c>
      <c r="CE141" s="660" t="s">
        <v>874</v>
      </c>
      <c r="CF141" s="660">
        <v>6</v>
      </c>
      <c r="CG141" s="660" t="s">
        <v>874</v>
      </c>
      <c r="CH141" s="661">
        <v>0</v>
      </c>
      <c r="CI141" s="661">
        <v>0.28999999999999998</v>
      </c>
      <c r="CJ141" s="661">
        <v>0.71</v>
      </c>
      <c r="CK141" s="661">
        <v>0</v>
      </c>
      <c r="CL141" s="661">
        <v>0.51</v>
      </c>
      <c r="CM141" s="661">
        <v>0.49</v>
      </c>
      <c r="CN141" s="661">
        <v>0.21</v>
      </c>
    </row>
    <row r="142" spans="1:92" ht="24.95" customHeight="1" x14ac:dyDescent="0.2">
      <c r="A142" s="814" t="s">
        <v>233</v>
      </c>
      <c r="B142" s="1" t="s">
        <v>221</v>
      </c>
      <c r="C142" s="2">
        <v>2</v>
      </c>
      <c r="D142" s="12"/>
      <c r="E142" s="12"/>
      <c r="F142" s="12"/>
      <c r="G142" s="12"/>
      <c r="H142" s="12"/>
      <c r="I142" s="12"/>
      <c r="J142" s="12"/>
      <c r="K142" s="12"/>
      <c r="L142" s="12"/>
      <c r="M142" s="12" t="s">
        <v>224</v>
      </c>
      <c r="N142" s="12" t="s">
        <v>224</v>
      </c>
      <c r="O142" s="61"/>
      <c r="P142" s="61"/>
      <c r="Q142" s="61"/>
      <c r="R142" s="61"/>
      <c r="S142" s="61"/>
      <c r="T142" s="61"/>
      <c r="U142" s="61"/>
      <c r="V142" s="12" t="s">
        <v>224</v>
      </c>
      <c r="W142" s="12" t="s">
        <v>224</v>
      </c>
      <c r="X142" s="12"/>
      <c r="Y142" s="12"/>
      <c r="Z142" s="12"/>
      <c r="AA142" s="12"/>
      <c r="AB142" s="12"/>
      <c r="AC142" s="12"/>
      <c r="AD142" s="12"/>
      <c r="AE142" s="12">
        <v>55</v>
      </c>
      <c r="AF142" s="12">
        <v>10</v>
      </c>
      <c r="AG142" s="63">
        <v>0</v>
      </c>
      <c r="AH142" s="63">
        <v>0.17</v>
      </c>
      <c r="AI142" s="63">
        <v>0.83</v>
      </c>
      <c r="AJ142" s="63">
        <v>0</v>
      </c>
      <c r="AK142" s="63">
        <v>0.44</v>
      </c>
      <c r="AL142" s="63">
        <v>0.28000000000000003</v>
      </c>
      <c r="AM142" s="63">
        <v>0.36</v>
      </c>
      <c r="AN142" s="45">
        <v>54</v>
      </c>
      <c r="AO142" s="45">
        <v>3</v>
      </c>
      <c r="AP142" s="46">
        <v>0</v>
      </c>
      <c r="AQ142" s="46">
        <v>0</v>
      </c>
      <c r="AR142" s="46">
        <v>1</v>
      </c>
      <c r="AS142" s="46">
        <v>0</v>
      </c>
      <c r="AT142" s="46">
        <v>0.42</v>
      </c>
      <c r="AU142" s="46">
        <v>0.35</v>
      </c>
      <c r="AV142" s="46">
        <v>0.55000000000000004</v>
      </c>
      <c r="AW142" s="247">
        <v>53</v>
      </c>
      <c r="AX142" s="247" t="s">
        <v>874</v>
      </c>
      <c r="AY142" s="247">
        <v>12</v>
      </c>
      <c r="AZ142" s="247" t="s">
        <v>874</v>
      </c>
      <c r="BA142" s="264">
        <v>7.0000000000000007E-2</v>
      </c>
      <c r="BB142" s="264">
        <v>0.43</v>
      </c>
      <c r="BC142" s="264">
        <v>0.36</v>
      </c>
      <c r="BD142" s="264">
        <v>0.14000000000000001</v>
      </c>
      <c r="BE142" s="264">
        <v>0.48</v>
      </c>
      <c r="BF142" s="264">
        <v>0.36</v>
      </c>
      <c r="BG142" s="264">
        <v>0.55000000000000004</v>
      </c>
      <c r="BH142" s="311">
        <v>53</v>
      </c>
      <c r="BI142" s="311" t="s">
        <v>874</v>
      </c>
      <c r="BJ142" s="311">
        <v>7</v>
      </c>
      <c r="BK142" s="311" t="s">
        <v>874</v>
      </c>
      <c r="BL142" s="329">
        <v>0.05</v>
      </c>
      <c r="BM142" s="329">
        <v>0.33</v>
      </c>
      <c r="BN142" s="329">
        <v>0.62</v>
      </c>
      <c r="BO142" s="329">
        <v>0</v>
      </c>
      <c r="BP142" s="329">
        <v>0.5</v>
      </c>
      <c r="BQ142" s="329">
        <v>0.38</v>
      </c>
      <c r="BR142" s="329">
        <v>0.51</v>
      </c>
      <c r="BS142" s="426">
        <v>51</v>
      </c>
      <c r="BT142" s="426" t="s">
        <v>874</v>
      </c>
      <c r="BU142" s="426">
        <v>9</v>
      </c>
      <c r="BV142" s="426" t="s">
        <v>874</v>
      </c>
      <c r="BW142" s="430">
        <v>0.05</v>
      </c>
      <c r="BX142" s="430">
        <v>0.47</v>
      </c>
      <c r="BY142" s="430">
        <v>0.47</v>
      </c>
      <c r="BZ142" s="430">
        <v>0</v>
      </c>
      <c r="CA142" s="430">
        <v>0.45</v>
      </c>
      <c r="CB142" s="430">
        <v>0.52</v>
      </c>
      <c r="CC142" s="430">
        <v>0.5</v>
      </c>
      <c r="CD142" s="466">
        <v>50</v>
      </c>
      <c r="CE142" s="466" t="s">
        <v>874</v>
      </c>
      <c r="CF142" s="466">
        <v>7</v>
      </c>
      <c r="CG142" s="466" t="s">
        <v>874</v>
      </c>
      <c r="CH142" s="480">
        <v>0</v>
      </c>
      <c r="CI142" s="480">
        <v>0.67</v>
      </c>
      <c r="CJ142" s="480">
        <v>0.33</v>
      </c>
      <c r="CK142" s="480">
        <v>0</v>
      </c>
      <c r="CL142" s="480">
        <v>0.51</v>
      </c>
      <c r="CM142" s="480">
        <v>0.53</v>
      </c>
      <c r="CN142" s="480">
        <v>0.36</v>
      </c>
    </row>
    <row r="143" spans="1:92" ht="24.95" customHeight="1" x14ac:dyDescent="0.2">
      <c r="A143" s="814" t="s">
        <v>144</v>
      </c>
      <c r="B143" s="1" t="s">
        <v>221</v>
      </c>
      <c r="C143" s="2">
        <v>2</v>
      </c>
      <c r="D143" s="12">
        <v>53</v>
      </c>
      <c r="E143" s="12">
        <v>9</v>
      </c>
      <c r="F143" s="63">
        <v>7.0000000000000007E-2</v>
      </c>
      <c r="G143" s="63">
        <v>0.38</v>
      </c>
      <c r="H143" s="63">
        <v>0.48</v>
      </c>
      <c r="I143" s="63">
        <v>7.0000000000000007E-2</v>
      </c>
      <c r="J143" s="63">
        <v>0.49</v>
      </c>
      <c r="K143" s="63">
        <v>0.48</v>
      </c>
      <c r="L143" s="63">
        <v>0.52</v>
      </c>
      <c r="M143" s="25">
        <v>58</v>
      </c>
      <c r="N143" s="25">
        <v>7</v>
      </c>
      <c r="O143" s="61">
        <v>0</v>
      </c>
      <c r="P143" s="61">
        <v>0.15</v>
      </c>
      <c r="Q143" s="61">
        <v>0.77</v>
      </c>
      <c r="R143" s="61">
        <v>0.08</v>
      </c>
      <c r="S143" s="61">
        <v>0.41</v>
      </c>
      <c r="T143" s="61">
        <v>0.42</v>
      </c>
      <c r="U143" s="61">
        <v>0.38</v>
      </c>
      <c r="V143" s="12">
        <v>56</v>
      </c>
      <c r="W143" s="12">
        <v>9</v>
      </c>
      <c r="X143" s="66">
        <v>0</v>
      </c>
      <c r="Y143" s="66">
        <v>0.37</v>
      </c>
      <c r="Z143" s="66">
        <v>0.41</v>
      </c>
      <c r="AA143" s="66">
        <v>0.22</v>
      </c>
      <c r="AB143" s="66">
        <v>0.39</v>
      </c>
      <c r="AC143" s="66">
        <v>0.44</v>
      </c>
      <c r="AD143" s="66">
        <v>0.48</v>
      </c>
      <c r="AE143" s="12">
        <v>57</v>
      </c>
      <c r="AF143" s="12">
        <v>7</v>
      </c>
      <c r="AG143" s="63">
        <v>0</v>
      </c>
      <c r="AH143" s="63">
        <v>0.18</v>
      </c>
      <c r="AI143" s="63">
        <v>0.66</v>
      </c>
      <c r="AJ143" s="63">
        <v>0.16</v>
      </c>
      <c r="AK143" s="63">
        <v>0.37</v>
      </c>
      <c r="AL143" s="63">
        <v>0.3</v>
      </c>
      <c r="AM143" s="63">
        <v>0.37</v>
      </c>
      <c r="AN143" s="35">
        <v>58</v>
      </c>
      <c r="AO143" s="35">
        <v>9</v>
      </c>
      <c r="AP143" s="40">
        <v>0.02</v>
      </c>
      <c r="AQ143" s="40">
        <v>0.27</v>
      </c>
      <c r="AR143" s="40">
        <v>0.46</v>
      </c>
      <c r="AS143" s="40">
        <v>0.25</v>
      </c>
      <c r="AT143" s="40">
        <v>0.38</v>
      </c>
      <c r="AU143" s="40">
        <v>0.3</v>
      </c>
      <c r="AV143" s="40">
        <v>0.34</v>
      </c>
      <c r="AW143" s="247">
        <v>57</v>
      </c>
      <c r="AX143" s="247" t="s">
        <v>874</v>
      </c>
      <c r="AY143" s="247">
        <v>8</v>
      </c>
      <c r="AZ143" s="247" t="s">
        <v>874</v>
      </c>
      <c r="BA143" s="264">
        <v>0</v>
      </c>
      <c r="BB143" s="264">
        <v>0.22</v>
      </c>
      <c r="BC143" s="264">
        <v>0.61</v>
      </c>
      <c r="BD143" s="264">
        <v>0.17</v>
      </c>
      <c r="BE143" s="264">
        <v>0.38</v>
      </c>
      <c r="BF143" s="264">
        <v>0.31</v>
      </c>
      <c r="BG143" s="264">
        <v>0.46</v>
      </c>
      <c r="BH143" s="311">
        <v>56</v>
      </c>
      <c r="BI143" s="311" t="s">
        <v>874</v>
      </c>
      <c r="BJ143" s="311">
        <v>8</v>
      </c>
      <c r="BK143" s="311" t="s">
        <v>874</v>
      </c>
      <c r="BL143" s="329">
        <v>0</v>
      </c>
      <c r="BM143" s="329">
        <v>0.23</v>
      </c>
      <c r="BN143" s="329">
        <v>0.7</v>
      </c>
      <c r="BO143" s="329">
        <v>0.08</v>
      </c>
      <c r="BP143" s="329">
        <v>0.42</v>
      </c>
      <c r="BQ143" s="329">
        <v>0.28999999999999998</v>
      </c>
      <c r="BR143" s="329">
        <v>0.44</v>
      </c>
      <c r="BS143" s="426">
        <v>56</v>
      </c>
      <c r="BT143" s="426" t="s">
        <v>874</v>
      </c>
      <c r="BU143" s="426">
        <v>9</v>
      </c>
      <c r="BV143" s="426" t="s">
        <v>874</v>
      </c>
      <c r="BW143" s="430">
        <v>0.01</v>
      </c>
      <c r="BX143" s="430">
        <v>0.25</v>
      </c>
      <c r="BY143" s="430">
        <v>0.65</v>
      </c>
      <c r="BZ143" s="430">
        <v>0.09</v>
      </c>
      <c r="CA143" s="430">
        <v>0.36</v>
      </c>
      <c r="CB143" s="430">
        <v>0.43</v>
      </c>
      <c r="CC143" s="430">
        <v>0.46</v>
      </c>
      <c r="CD143" s="466">
        <v>56</v>
      </c>
      <c r="CE143" s="466" t="s">
        <v>874</v>
      </c>
      <c r="CF143" s="466">
        <v>9</v>
      </c>
      <c r="CG143" s="466" t="s">
        <v>874</v>
      </c>
      <c r="CH143" s="480">
        <v>0.02</v>
      </c>
      <c r="CI143" s="480">
        <v>0.22</v>
      </c>
      <c r="CJ143" s="480">
        <v>0.59</v>
      </c>
      <c r="CK143" s="480">
        <v>0.17</v>
      </c>
      <c r="CL143" s="480">
        <v>0.42</v>
      </c>
      <c r="CM143" s="480">
        <v>0.43</v>
      </c>
      <c r="CN143" s="480">
        <v>0.3</v>
      </c>
    </row>
    <row r="144" spans="1:92" ht="24.95" customHeight="1" x14ac:dyDescent="0.2">
      <c r="A144" s="814" t="s">
        <v>209</v>
      </c>
      <c r="B144" s="1" t="s">
        <v>221</v>
      </c>
      <c r="C144" s="2">
        <v>1</v>
      </c>
      <c r="D144" s="12">
        <v>54</v>
      </c>
      <c r="E144" s="12">
        <v>5</v>
      </c>
      <c r="F144" s="63">
        <v>0</v>
      </c>
      <c r="G144" s="63">
        <v>0.36</v>
      </c>
      <c r="H144" s="63">
        <v>0.64</v>
      </c>
      <c r="I144" s="63">
        <v>0</v>
      </c>
      <c r="J144" s="63">
        <v>0.32</v>
      </c>
      <c r="K144" s="63">
        <v>0.39</v>
      </c>
      <c r="L144" s="63">
        <v>0.64</v>
      </c>
      <c r="M144" s="25">
        <v>56</v>
      </c>
      <c r="N144" s="25">
        <v>8</v>
      </c>
      <c r="O144" s="61">
        <v>0</v>
      </c>
      <c r="P144" s="61">
        <v>0.24</v>
      </c>
      <c r="Q144" s="61">
        <v>0.67</v>
      </c>
      <c r="R144" s="61">
        <v>0.1</v>
      </c>
      <c r="S144" s="61">
        <v>0.38</v>
      </c>
      <c r="T144" s="61">
        <v>0.48</v>
      </c>
      <c r="U144" s="61">
        <v>0.46</v>
      </c>
      <c r="V144" s="12">
        <v>57</v>
      </c>
      <c r="W144" s="12">
        <v>7</v>
      </c>
      <c r="X144" s="66">
        <v>0</v>
      </c>
      <c r="Y144" s="66">
        <v>0.13</v>
      </c>
      <c r="Z144" s="66">
        <v>0.63</v>
      </c>
      <c r="AA144" s="66">
        <v>0.25</v>
      </c>
      <c r="AB144" s="66">
        <v>0.34</v>
      </c>
      <c r="AC144" s="66">
        <v>0.43</v>
      </c>
      <c r="AD144" s="66">
        <v>0.49</v>
      </c>
      <c r="AE144" s="12">
        <v>56</v>
      </c>
      <c r="AF144" s="12">
        <v>7</v>
      </c>
      <c r="AG144" s="63">
        <v>0</v>
      </c>
      <c r="AH144" s="63">
        <v>0.28000000000000003</v>
      </c>
      <c r="AI144" s="63">
        <v>0.61</v>
      </c>
      <c r="AJ144" s="63">
        <v>0.11</v>
      </c>
      <c r="AK144" s="63">
        <v>0.35</v>
      </c>
      <c r="AL144" s="63">
        <v>0.35</v>
      </c>
      <c r="AM144" s="63">
        <v>0.34</v>
      </c>
      <c r="AN144" s="35">
        <v>57</v>
      </c>
      <c r="AO144" s="35">
        <v>8</v>
      </c>
      <c r="AP144" s="40">
        <v>0</v>
      </c>
      <c r="AQ144" s="40">
        <v>0.16</v>
      </c>
      <c r="AR144" s="40">
        <v>0.64</v>
      </c>
      <c r="AS144" s="40">
        <v>0.2</v>
      </c>
      <c r="AT144" s="40">
        <v>0.39</v>
      </c>
      <c r="AU144" s="40">
        <v>0.27</v>
      </c>
      <c r="AV144" s="40">
        <v>0.44</v>
      </c>
      <c r="AW144" s="247">
        <v>54</v>
      </c>
      <c r="AX144" s="247" t="s">
        <v>874</v>
      </c>
      <c r="AY144" s="247">
        <v>8</v>
      </c>
      <c r="AZ144" s="247" t="s">
        <v>874</v>
      </c>
      <c r="BA144" s="264">
        <v>0</v>
      </c>
      <c r="BB144" s="264">
        <v>0.33</v>
      </c>
      <c r="BC144" s="264">
        <v>0.57999999999999996</v>
      </c>
      <c r="BD144" s="264">
        <v>0.08</v>
      </c>
      <c r="BE144" s="264">
        <v>0.45</v>
      </c>
      <c r="BF144" s="264">
        <v>0.32</v>
      </c>
      <c r="BG144" s="264">
        <v>0.56000000000000005</v>
      </c>
      <c r="BH144" s="311">
        <v>58</v>
      </c>
      <c r="BI144" s="311" t="s">
        <v>874</v>
      </c>
      <c r="BJ144" s="311">
        <v>9</v>
      </c>
      <c r="BK144" s="311" t="s">
        <v>874</v>
      </c>
      <c r="BL144" s="329">
        <v>0.03</v>
      </c>
      <c r="BM144" s="329">
        <v>0.14000000000000001</v>
      </c>
      <c r="BN144" s="329">
        <v>0.66</v>
      </c>
      <c r="BO144" s="329">
        <v>0.17</v>
      </c>
      <c r="BP144" s="329">
        <v>0.42</v>
      </c>
      <c r="BQ144" s="329">
        <v>0.28999999999999998</v>
      </c>
      <c r="BR144" s="329">
        <v>0.36</v>
      </c>
      <c r="BS144" s="426">
        <v>56</v>
      </c>
      <c r="BT144" s="426" t="s">
        <v>874</v>
      </c>
      <c r="BU144" s="426">
        <v>9</v>
      </c>
      <c r="BV144" s="426" t="s">
        <v>874</v>
      </c>
      <c r="BW144" s="430">
        <v>0.04</v>
      </c>
      <c r="BX144" s="430">
        <v>0.15</v>
      </c>
      <c r="BY144" s="430">
        <v>0.74</v>
      </c>
      <c r="BZ144" s="430">
        <v>0.06</v>
      </c>
      <c r="CA144" s="430">
        <v>0.36</v>
      </c>
      <c r="CB144" s="430">
        <v>0.45</v>
      </c>
      <c r="CC144" s="430">
        <v>0.46</v>
      </c>
      <c r="CD144" s="466">
        <v>57</v>
      </c>
      <c r="CE144" s="466" t="s">
        <v>874</v>
      </c>
      <c r="CF144" s="466">
        <v>7</v>
      </c>
      <c r="CG144" s="466" t="s">
        <v>874</v>
      </c>
      <c r="CH144" s="480">
        <v>0</v>
      </c>
      <c r="CI144" s="480">
        <v>0.24</v>
      </c>
      <c r="CJ144" s="480">
        <v>0.67</v>
      </c>
      <c r="CK144" s="480">
        <v>0.1</v>
      </c>
      <c r="CL144" s="480">
        <v>0.42</v>
      </c>
      <c r="CM144" s="480">
        <v>0.41</v>
      </c>
      <c r="CN144" s="480">
        <v>0.28999999999999998</v>
      </c>
    </row>
    <row r="145" spans="1:92" ht="24.95" customHeight="1" x14ac:dyDescent="0.2">
      <c r="A145" s="814" t="s">
        <v>67</v>
      </c>
      <c r="B145" s="1" t="s">
        <v>221</v>
      </c>
      <c r="C145" s="2">
        <v>1</v>
      </c>
      <c r="D145" s="12">
        <v>54</v>
      </c>
      <c r="E145" s="12">
        <v>7</v>
      </c>
      <c r="F145" s="63">
        <v>0.01</v>
      </c>
      <c r="G145" s="63">
        <v>0.32</v>
      </c>
      <c r="H145" s="63">
        <v>0.64</v>
      </c>
      <c r="I145" s="63">
        <v>0.04</v>
      </c>
      <c r="J145" s="63">
        <v>0.41</v>
      </c>
      <c r="K145" s="63">
        <v>0.47</v>
      </c>
      <c r="L145" s="63">
        <v>0.52</v>
      </c>
      <c r="M145" s="25">
        <v>58</v>
      </c>
      <c r="N145" s="25">
        <v>8</v>
      </c>
      <c r="O145" s="61">
        <v>0</v>
      </c>
      <c r="P145" s="61">
        <v>0.16</v>
      </c>
      <c r="Q145" s="61">
        <v>0.66</v>
      </c>
      <c r="R145" s="61">
        <v>0.18</v>
      </c>
      <c r="S145" s="61">
        <v>0.34</v>
      </c>
      <c r="T145" s="61">
        <v>0.42</v>
      </c>
      <c r="U145" s="61">
        <v>0.39</v>
      </c>
      <c r="V145" s="12">
        <v>56</v>
      </c>
      <c r="W145" s="12">
        <v>8</v>
      </c>
      <c r="X145" s="66">
        <v>0.01</v>
      </c>
      <c r="Y145" s="66">
        <v>0.24</v>
      </c>
      <c r="Z145" s="66">
        <v>0.62</v>
      </c>
      <c r="AA145" s="66">
        <v>0.13</v>
      </c>
      <c r="AB145" s="66">
        <v>0.42</v>
      </c>
      <c r="AC145" s="66">
        <v>0.44</v>
      </c>
      <c r="AD145" s="66">
        <v>0.45</v>
      </c>
      <c r="AE145" s="12">
        <v>57</v>
      </c>
      <c r="AF145" s="12">
        <v>8</v>
      </c>
      <c r="AG145" s="63">
        <v>0.01</v>
      </c>
      <c r="AH145" s="63">
        <v>0.17</v>
      </c>
      <c r="AI145" s="63">
        <v>0.66</v>
      </c>
      <c r="AJ145" s="63">
        <v>0.17</v>
      </c>
      <c r="AK145" s="63">
        <v>0.36</v>
      </c>
      <c r="AL145" s="63">
        <v>0.31</v>
      </c>
      <c r="AM145" s="63">
        <v>0.38</v>
      </c>
      <c r="AN145" s="35">
        <v>58</v>
      </c>
      <c r="AO145" s="35">
        <v>8</v>
      </c>
      <c r="AP145" s="40">
        <v>0.01</v>
      </c>
      <c r="AQ145" s="40">
        <v>0.17</v>
      </c>
      <c r="AR145" s="40">
        <v>0.66</v>
      </c>
      <c r="AS145" s="40">
        <v>0.15</v>
      </c>
      <c r="AT145" s="40">
        <v>0.41</v>
      </c>
      <c r="AU145" s="40">
        <v>0.3</v>
      </c>
      <c r="AV145" s="40">
        <v>0.35</v>
      </c>
      <c r="AW145" s="247">
        <v>58</v>
      </c>
      <c r="AX145" s="247" t="s">
        <v>874</v>
      </c>
      <c r="AY145" s="247">
        <v>9</v>
      </c>
      <c r="AZ145" s="247" t="s">
        <v>874</v>
      </c>
      <c r="BA145" s="264">
        <v>0</v>
      </c>
      <c r="BB145" s="264">
        <v>0.24</v>
      </c>
      <c r="BC145" s="264">
        <v>0.54</v>
      </c>
      <c r="BD145" s="264">
        <v>0.22</v>
      </c>
      <c r="BE145" s="264">
        <v>0.37</v>
      </c>
      <c r="BF145" s="264">
        <v>0.27</v>
      </c>
      <c r="BG145" s="264">
        <v>0.49</v>
      </c>
      <c r="BH145" s="311">
        <v>59</v>
      </c>
      <c r="BI145" s="311" t="s">
        <v>874</v>
      </c>
      <c r="BJ145" s="311">
        <v>9</v>
      </c>
      <c r="BK145" s="311" t="s">
        <v>874</v>
      </c>
      <c r="BL145" s="329">
        <v>0</v>
      </c>
      <c r="BM145" s="329">
        <v>0.17</v>
      </c>
      <c r="BN145" s="329">
        <v>0.65</v>
      </c>
      <c r="BO145" s="329">
        <v>0.18</v>
      </c>
      <c r="BP145" s="329">
        <v>0.39</v>
      </c>
      <c r="BQ145" s="329">
        <v>0.27</v>
      </c>
      <c r="BR145" s="329">
        <v>0.38</v>
      </c>
      <c r="BS145" s="426">
        <v>59</v>
      </c>
      <c r="BT145" s="426" t="s">
        <v>874</v>
      </c>
      <c r="BU145" s="426">
        <v>9</v>
      </c>
      <c r="BV145" s="426" t="s">
        <v>874</v>
      </c>
      <c r="BW145" s="430">
        <v>0</v>
      </c>
      <c r="BX145" s="430">
        <v>0.17</v>
      </c>
      <c r="BY145" s="430">
        <v>0.55000000000000004</v>
      </c>
      <c r="BZ145" s="430">
        <v>0.28000000000000003</v>
      </c>
      <c r="CA145" s="430">
        <v>0.27</v>
      </c>
      <c r="CB145" s="430">
        <v>0.38</v>
      </c>
      <c r="CC145" s="430">
        <v>0.4</v>
      </c>
      <c r="CD145" s="466">
        <v>57</v>
      </c>
      <c r="CE145" s="466" t="s">
        <v>874</v>
      </c>
      <c r="CF145" s="466">
        <v>9</v>
      </c>
      <c r="CG145" s="466" t="s">
        <v>874</v>
      </c>
      <c r="CH145" s="480">
        <v>0.02</v>
      </c>
      <c r="CI145" s="480">
        <v>0.15</v>
      </c>
      <c r="CJ145" s="480">
        <v>0.69</v>
      </c>
      <c r="CK145" s="480">
        <v>0.15</v>
      </c>
      <c r="CL145" s="480">
        <v>0.39</v>
      </c>
      <c r="CM145" s="480">
        <v>0.4</v>
      </c>
      <c r="CN145" s="480">
        <v>0.28999999999999998</v>
      </c>
    </row>
    <row r="146" spans="1:92" ht="24.95" customHeight="1" x14ac:dyDescent="0.2">
      <c r="A146" s="814" t="s">
        <v>892</v>
      </c>
      <c r="B146" s="1" t="s">
        <v>221</v>
      </c>
      <c r="C146" s="2">
        <v>6</v>
      </c>
      <c r="D146" s="12"/>
      <c r="E146" s="12"/>
      <c r="F146" s="63"/>
      <c r="G146" s="63"/>
      <c r="H146" s="63"/>
      <c r="I146" s="63"/>
      <c r="J146" s="63"/>
      <c r="K146" s="63"/>
      <c r="L146" s="63"/>
      <c r="M146" s="25"/>
      <c r="N146" s="25"/>
      <c r="O146" s="61"/>
      <c r="P146" s="61"/>
      <c r="Q146" s="61"/>
      <c r="R146" s="61"/>
      <c r="S146" s="61"/>
      <c r="T146" s="61"/>
      <c r="U146" s="61"/>
      <c r="V146" s="12"/>
      <c r="W146" s="12"/>
      <c r="X146" s="66"/>
      <c r="Y146" s="66"/>
      <c r="Z146" s="66"/>
      <c r="AA146" s="66"/>
      <c r="AB146" s="66"/>
      <c r="AC146" s="66"/>
      <c r="AD146" s="66"/>
      <c r="AE146" s="12"/>
      <c r="AF146" s="12"/>
      <c r="AG146" s="63"/>
      <c r="AH146" s="63"/>
      <c r="AI146" s="63"/>
      <c r="AJ146" s="63"/>
      <c r="AK146" s="63"/>
      <c r="AL146" s="63"/>
      <c r="AM146" s="63"/>
      <c r="AN146" s="35"/>
      <c r="AO146" s="35"/>
      <c r="AP146" s="40"/>
      <c r="AQ146" s="40"/>
      <c r="AR146" s="40"/>
      <c r="AS146" s="40"/>
      <c r="AT146" s="40"/>
      <c r="AU146" s="40"/>
      <c r="AV146" s="40"/>
      <c r="AW146" s="247"/>
      <c r="AX146" s="247"/>
      <c r="AY146" s="247"/>
      <c r="AZ146" s="247"/>
      <c r="BA146" s="264"/>
      <c r="BB146" s="264"/>
      <c r="BC146" s="264"/>
      <c r="BD146" s="264"/>
      <c r="BE146" s="264"/>
      <c r="BF146" s="264"/>
      <c r="BG146" s="264"/>
      <c r="BH146" s="311">
        <v>49</v>
      </c>
      <c r="BI146" s="311" t="s">
        <v>874</v>
      </c>
      <c r="BJ146" s="311">
        <v>10</v>
      </c>
      <c r="BK146" s="311" t="s">
        <v>874</v>
      </c>
      <c r="BL146" s="329">
        <v>0.14000000000000001</v>
      </c>
      <c r="BM146" s="329">
        <v>0.43</v>
      </c>
      <c r="BN146" s="329">
        <v>0.43</v>
      </c>
      <c r="BO146" s="329">
        <v>0</v>
      </c>
      <c r="BP146" s="329">
        <v>0.54</v>
      </c>
      <c r="BQ146" s="329">
        <v>0.43</v>
      </c>
      <c r="BR146" s="329">
        <v>0.52</v>
      </c>
      <c r="BS146" s="426">
        <v>45</v>
      </c>
      <c r="BT146" s="426" t="s">
        <v>876</v>
      </c>
      <c r="BU146" s="426">
        <v>7</v>
      </c>
      <c r="BV146" s="426" t="s">
        <v>874</v>
      </c>
      <c r="BW146" s="430">
        <v>0</v>
      </c>
      <c r="BX146" s="430">
        <v>0.83</v>
      </c>
      <c r="BY146" s="430">
        <v>0.17</v>
      </c>
      <c r="BZ146" s="430">
        <v>0</v>
      </c>
      <c r="CA146" s="430">
        <v>0.52</v>
      </c>
      <c r="CB146" s="430">
        <v>0.67</v>
      </c>
      <c r="CC146" s="430">
        <v>0.63</v>
      </c>
      <c r="CD146" s="466">
        <v>45</v>
      </c>
      <c r="CE146" s="466" t="s">
        <v>876</v>
      </c>
      <c r="CF146" s="466">
        <v>14</v>
      </c>
      <c r="CG146" s="466" t="s">
        <v>875</v>
      </c>
      <c r="CH146" s="480">
        <v>0.25</v>
      </c>
      <c r="CI146" s="480">
        <v>0.25</v>
      </c>
      <c r="CJ146" s="480">
        <v>0.5</v>
      </c>
      <c r="CK146" s="480">
        <v>0</v>
      </c>
      <c r="CL146" s="480">
        <v>0.54</v>
      </c>
      <c r="CM146" s="480">
        <v>0.61</v>
      </c>
      <c r="CN146" s="480">
        <v>0.42</v>
      </c>
    </row>
    <row r="147" spans="1:92" ht="24.95" customHeight="1" x14ac:dyDescent="0.2">
      <c r="A147" s="815" t="s">
        <v>31</v>
      </c>
      <c r="B147" s="1" t="s">
        <v>221</v>
      </c>
      <c r="C147" s="311">
        <v>6</v>
      </c>
      <c r="D147" s="330">
        <v>56</v>
      </c>
      <c r="E147" s="330">
        <v>9</v>
      </c>
      <c r="F147" s="329">
        <v>0</v>
      </c>
      <c r="G147" s="329">
        <v>0.36</v>
      </c>
      <c r="H147" s="329">
        <v>0.55000000000000004</v>
      </c>
      <c r="I147" s="329">
        <v>0.09</v>
      </c>
      <c r="J147" s="329">
        <v>0.31</v>
      </c>
      <c r="K147" s="329">
        <v>0.4</v>
      </c>
      <c r="L147" s="329">
        <v>0.55000000000000004</v>
      </c>
      <c r="M147" s="331">
        <v>51</v>
      </c>
      <c r="N147" s="331">
        <v>8</v>
      </c>
      <c r="O147" s="332">
        <v>0.08</v>
      </c>
      <c r="P147" s="332">
        <v>0.33</v>
      </c>
      <c r="Q147" s="332">
        <v>0.57999999999999996</v>
      </c>
      <c r="R147" s="332">
        <v>0</v>
      </c>
      <c r="S147" s="332">
        <v>0.54</v>
      </c>
      <c r="T147" s="332">
        <v>0.45</v>
      </c>
      <c r="U147" s="332">
        <v>0.57999999999999996</v>
      </c>
      <c r="V147" s="330">
        <v>54</v>
      </c>
      <c r="W147" s="330">
        <v>11</v>
      </c>
      <c r="X147" s="335">
        <v>0</v>
      </c>
      <c r="Y147" s="335">
        <v>0.63</v>
      </c>
      <c r="Z147" s="335">
        <v>0.13</v>
      </c>
      <c r="AA147" s="335">
        <v>0.25</v>
      </c>
      <c r="AB147" s="335">
        <v>0.48</v>
      </c>
      <c r="AC147" s="335">
        <v>0.55000000000000004</v>
      </c>
      <c r="AD147" s="335">
        <v>0.47</v>
      </c>
      <c r="AE147" s="330">
        <v>53</v>
      </c>
      <c r="AF147" s="330">
        <v>8</v>
      </c>
      <c r="AG147" s="329">
        <v>0</v>
      </c>
      <c r="AH147" s="329">
        <v>0.5</v>
      </c>
      <c r="AI147" s="329">
        <v>0.5</v>
      </c>
      <c r="AJ147" s="329">
        <v>0</v>
      </c>
      <c r="AK147" s="329">
        <v>0.55000000000000004</v>
      </c>
      <c r="AL147" s="329">
        <v>0.33</v>
      </c>
      <c r="AM147" s="329">
        <v>0.31</v>
      </c>
      <c r="AN147" s="313">
        <v>52</v>
      </c>
      <c r="AO147" s="313">
        <v>4</v>
      </c>
      <c r="AP147" s="333">
        <v>0</v>
      </c>
      <c r="AQ147" s="333">
        <v>0.5</v>
      </c>
      <c r="AR147" s="333">
        <v>0.5</v>
      </c>
      <c r="AS147" s="333">
        <v>0</v>
      </c>
      <c r="AT147" s="333">
        <v>0.48</v>
      </c>
      <c r="AU147" s="333">
        <v>0.4</v>
      </c>
      <c r="AV147" s="333">
        <v>0.55000000000000004</v>
      </c>
      <c r="AW147" s="314">
        <v>59</v>
      </c>
      <c r="AX147" s="314" t="s">
        <v>874</v>
      </c>
      <c r="AY147" s="314">
        <v>8</v>
      </c>
      <c r="AZ147" s="314" t="s">
        <v>874</v>
      </c>
      <c r="BA147" s="334">
        <v>0</v>
      </c>
      <c r="BB147" s="334">
        <v>0.2</v>
      </c>
      <c r="BC147" s="334">
        <v>0.8</v>
      </c>
      <c r="BD147" s="334">
        <v>0</v>
      </c>
      <c r="BE147" s="334">
        <v>0.38</v>
      </c>
      <c r="BF147" s="334">
        <v>0.23</v>
      </c>
      <c r="BG147" s="334">
        <v>0.5</v>
      </c>
      <c r="BH147" s="311">
        <v>52</v>
      </c>
      <c r="BI147" s="311" t="s">
        <v>874</v>
      </c>
      <c r="BJ147" s="311">
        <v>5</v>
      </c>
      <c r="BK147" s="311" t="s">
        <v>876</v>
      </c>
      <c r="BL147" s="329">
        <v>0</v>
      </c>
      <c r="BM147" s="329">
        <v>0.3</v>
      </c>
      <c r="BN147" s="329">
        <v>0.7</v>
      </c>
      <c r="BO147" s="329">
        <v>0</v>
      </c>
      <c r="BP147" s="329">
        <v>0.53</v>
      </c>
      <c r="BQ147" s="329">
        <v>0.43</v>
      </c>
      <c r="BR147" s="329">
        <v>0.43</v>
      </c>
      <c r="BS147" s="426">
        <v>54</v>
      </c>
      <c r="BT147" s="426" t="s">
        <v>874</v>
      </c>
      <c r="BU147" s="426">
        <v>6</v>
      </c>
      <c r="BV147" s="426" t="s">
        <v>874</v>
      </c>
      <c r="BW147" s="430">
        <v>0</v>
      </c>
      <c r="BX147" s="430">
        <v>0.43</v>
      </c>
      <c r="BY147" s="430">
        <v>0.56999999999999995</v>
      </c>
      <c r="BZ147" s="430">
        <v>0</v>
      </c>
      <c r="CA147" s="430">
        <v>0.37</v>
      </c>
      <c r="CB147" s="430">
        <v>0.43</v>
      </c>
      <c r="CC147" s="430">
        <v>0.52</v>
      </c>
      <c r="CD147" s="466">
        <v>53</v>
      </c>
      <c r="CE147" s="466" t="s">
        <v>874</v>
      </c>
      <c r="CF147" s="466">
        <v>6</v>
      </c>
      <c r="CG147" s="466" t="s">
        <v>874</v>
      </c>
      <c r="CH147" s="480">
        <v>0</v>
      </c>
      <c r="CI147" s="480">
        <v>0.3</v>
      </c>
      <c r="CJ147" s="480">
        <v>0.7</v>
      </c>
      <c r="CK147" s="480">
        <v>0</v>
      </c>
      <c r="CL147" s="480">
        <v>0.46</v>
      </c>
      <c r="CM147" s="480">
        <v>0.47</v>
      </c>
      <c r="CN147" s="480">
        <v>0.36</v>
      </c>
    </row>
    <row r="148" spans="1:92" ht="24.95" customHeight="1" x14ac:dyDescent="0.2">
      <c r="A148" s="814" t="s">
        <v>54</v>
      </c>
      <c r="B148" s="1" t="s">
        <v>221</v>
      </c>
      <c r="C148" s="2">
        <v>6</v>
      </c>
      <c r="D148" s="12">
        <v>57</v>
      </c>
      <c r="E148" s="12">
        <v>7</v>
      </c>
      <c r="F148" s="63">
        <v>0</v>
      </c>
      <c r="G148" s="63">
        <v>0.28000000000000003</v>
      </c>
      <c r="H148" s="63">
        <v>0.61</v>
      </c>
      <c r="I148" s="63">
        <v>0.11</v>
      </c>
      <c r="J148" s="63">
        <v>0.41</v>
      </c>
      <c r="K148" s="63">
        <v>0.4</v>
      </c>
      <c r="L148" s="63">
        <v>0.51</v>
      </c>
      <c r="M148" s="25">
        <v>59</v>
      </c>
      <c r="N148" s="25">
        <v>8</v>
      </c>
      <c r="O148" s="61">
        <v>0</v>
      </c>
      <c r="P148" s="61">
        <v>0.14000000000000001</v>
      </c>
      <c r="Q148" s="61">
        <v>0.6</v>
      </c>
      <c r="R148" s="61">
        <v>0.26</v>
      </c>
      <c r="S148" s="61">
        <v>0.36</v>
      </c>
      <c r="T148" s="61">
        <v>0.41</v>
      </c>
      <c r="U148" s="61">
        <v>0.34</v>
      </c>
      <c r="V148" s="12">
        <v>58</v>
      </c>
      <c r="W148" s="12">
        <v>7</v>
      </c>
      <c r="X148" s="66">
        <v>0</v>
      </c>
      <c r="Y148" s="66">
        <v>0.12</v>
      </c>
      <c r="Z148" s="66">
        <v>0.76</v>
      </c>
      <c r="AA148" s="66">
        <v>0.12</v>
      </c>
      <c r="AB148" s="66">
        <v>0.34</v>
      </c>
      <c r="AC148" s="66">
        <v>0.41</v>
      </c>
      <c r="AD148" s="66">
        <v>0.46</v>
      </c>
      <c r="AE148" s="12">
        <v>59</v>
      </c>
      <c r="AF148" s="12">
        <v>9</v>
      </c>
      <c r="AG148" s="63">
        <v>0</v>
      </c>
      <c r="AH148" s="63">
        <v>0.17</v>
      </c>
      <c r="AI148" s="63">
        <v>0.6</v>
      </c>
      <c r="AJ148" s="63">
        <v>0.23</v>
      </c>
      <c r="AK148" s="63">
        <v>0.31</v>
      </c>
      <c r="AL148" s="63">
        <v>0.33</v>
      </c>
      <c r="AM148" s="63">
        <v>0.32</v>
      </c>
      <c r="AN148" s="35">
        <v>57</v>
      </c>
      <c r="AO148" s="35">
        <v>8</v>
      </c>
      <c r="AP148" s="40">
        <v>0</v>
      </c>
      <c r="AQ148" s="40">
        <v>0.24</v>
      </c>
      <c r="AR148" s="40">
        <v>0.6</v>
      </c>
      <c r="AS148" s="40">
        <v>0.16</v>
      </c>
      <c r="AT148" s="40">
        <v>0.37</v>
      </c>
      <c r="AU148" s="40">
        <v>0.28999999999999998</v>
      </c>
      <c r="AV148" s="40">
        <v>0.39</v>
      </c>
      <c r="AW148" s="247">
        <v>61</v>
      </c>
      <c r="AX148" s="247" t="s">
        <v>874</v>
      </c>
      <c r="AY148" s="247">
        <v>6</v>
      </c>
      <c r="AZ148" s="247" t="s">
        <v>874</v>
      </c>
      <c r="BA148" s="264">
        <v>0</v>
      </c>
      <c r="BB148" s="264">
        <v>0.03</v>
      </c>
      <c r="BC148" s="264">
        <v>0.71</v>
      </c>
      <c r="BD148" s="264">
        <v>0.26</v>
      </c>
      <c r="BE148" s="264">
        <v>0.32</v>
      </c>
      <c r="BF148" s="264">
        <v>0.25</v>
      </c>
      <c r="BG148" s="264">
        <v>0.42</v>
      </c>
      <c r="BH148" s="311">
        <v>61</v>
      </c>
      <c r="BI148" s="311" t="s">
        <v>874</v>
      </c>
      <c r="BJ148" s="311">
        <v>7</v>
      </c>
      <c r="BK148" s="311" t="s">
        <v>874</v>
      </c>
      <c r="BL148" s="329">
        <v>0</v>
      </c>
      <c r="BM148" s="329">
        <v>0.08</v>
      </c>
      <c r="BN148" s="329">
        <v>0.65</v>
      </c>
      <c r="BO148" s="329">
        <v>0.27</v>
      </c>
      <c r="BP148" s="329">
        <v>0.34</v>
      </c>
      <c r="BQ148" s="329">
        <v>0.2</v>
      </c>
      <c r="BR148" s="329">
        <v>0.33</v>
      </c>
      <c r="BS148" s="426">
        <v>65</v>
      </c>
      <c r="BT148" s="426" t="s">
        <v>875</v>
      </c>
      <c r="BU148" s="426">
        <v>8</v>
      </c>
      <c r="BV148" s="426" t="s">
        <v>874</v>
      </c>
      <c r="BW148" s="430">
        <v>0</v>
      </c>
      <c r="BX148" s="430">
        <v>0.04</v>
      </c>
      <c r="BY148" s="430">
        <v>0.56999999999999995</v>
      </c>
      <c r="BZ148" s="430">
        <v>0.39</v>
      </c>
      <c r="CA148" s="430">
        <v>0.22</v>
      </c>
      <c r="CB148" s="430">
        <v>0.28999999999999998</v>
      </c>
      <c r="CC148" s="430">
        <v>0.28000000000000003</v>
      </c>
      <c r="CD148" s="466">
        <v>62</v>
      </c>
      <c r="CE148" s="466" t="s">
        <v>874</v>
      </c>
      <c r="CF148" s="466">
        <v>6</v>
      </c>
      <c r="CG148" s="466" t="s">
        <v>874</v>
      </c>
      <c r="CH148" s="480">
        <v>0</v>
      </c>
      <c r="CI148" s="480">
        <v>0.05</v>
      </c>
      <c r="CJ148" s="480">
        <v>0.76</v>
      </c>
      <c r="CK148" s="480">
        <v>0.19</v>
      </c>
      <c r="CL148" s="480">
        <v>0.37</v>
      </c>
      <c r="CM148" s="480">
        <v>0.32</v>
      </c>
      <c r="CN148" s="480">
        <v>0.2</v>
      </c>
    </row>
    <row r="149" spans="1:92" ht="24.95" customHeight="1" x14ac:dyDescent="0.2">
      <c r="A149" s="814" t="s">
        <v>844</v>
      </c>
      <c r="B149" s="1" t="s">
        <v>221</v>
      </c>
      <c r="C149" s="2">
        <v>4</v>
      </c>
      <c r="D149" s="12"/>
      <c r="E149" s="12"/>
      <c r="F149" s="63"/>
      <c r="G149" s="63"/>
      <c r="H149" s="63"/>
      <c r="I149" s="63"/>
      <c r="J149" s="63"/>
      <c r="K149" s="63"/>
      <c r="L149" s="63"/>
      <c r="M149" s="25"/>
      <c r="N149" s="25"/>
      <c r="O149" s="61"/>
      <c r="P149" s="61"/>
      <c r="Q149" s="61"/>
      <c r="R149" s="61"/>
      <c r="S149" s="61"/>
      <c r="T149" s="61"/>
      <c r="U149" s="61"/>
      <c r="V149" s="12"/>
      <c r="W149" s="12"/>
      <c r="X149" s="66"/>
      <c r="Y149" s="66"/>
      <c r="Z149" s="66"/>
      <c r="AA149" s="66"/>
      <c r="AB149" s="66"/>
      <c r="AC149" s="66"/>
      <c r="AD149" s="66"/>
      <c r="AE149" s="12"/>
      <c r="AF149" s="12"/>
      <c r="AG149" s="63"/>
      <c r="AH149" s="63"/>
      <c r="AI149" s="63"/>
      <c r="AJ149" s="63"/>
      <c r="AK149" s="63"/>
      <c r="AL149" s="63"/>
      <c r="AM149" s="63"/>
      <c r="AN149" s="35"/>
      <c r="AO149" s="35"/>
      <c r="AP149" s="40"/>
      <c r="AQ149" s="40"/>
      <c r="AR149" s="40"/>
      <c r="AS149" s="40"/>
      <c r="AT149" s="40"/>
      <c r="AU149" s="40"/>
      <c r="AV149" s="40"/>
      <c r="AW149" s="652"/>
      <c r="AX149" s="652"/>
      <c r="AY149" s="652"/>
      <c r="AZ149" s="652"/>
      <c r="BA149" s="652"/>
      <c r="BB149" s="652"/>
      <c r="BC149" s="652"/>
      <c r="BD149" s="652"/>
      <c r="BE149" s="652"/>
      <c r="BF149" s="652"/>
      <c r="BG149" s="652"/>
      <c r="BH149" s="655"/>
      <c r="BI149" s="655"/>
      <c r="BJ149" s="655"/>
      <c r="BK149" s="655"/>
      <c r="BL149" s="655"/>
      <c r="BM149" s="655"/>
      <c r="BN149" s="655"/>
      <c r="BO149" s="655"/>
      <c r="BP149" s="655"/>
      <c r="BQ149" s="655"/>
      <c r="BR149" s="655"/>
      <c r="BS149" s="426">
        <v>56</v>
      </c>
      <c r="BT149" s="426" t="s">
        <v>874</v>
      </c>
      <c r="BU149" s="426">
        <v>6</v>
      </c>
      <c r="BV149" s="426" t="s">
        <v>874</v>
      </c>
      <c r="BW149" s="430">
        <v>0</v>
      </c>
      <c r="BX149" s="430">
        <v>0.13</v>
      </c>
      <c r="BY149" s="430">
        <v>0.88</v>
      </c>
      <c r="BZ149" s="430">
        <v>0</v>
      </c>
      <c r="CA149" s="430">
        <v>0.33</v>
      </c>
      <c r="CB149" s="430">
        <v>0.44</v>
      </c>
      <c r="CC149" s="430">
        <v>0.46</v>
      </c>
      <c r="CD149" s="647"/>
      <c r="CE149" s="647"/>
      <c r="CF149" s="647"/>
      <c r="CG149" s="647"/>
      <c r="CH149" s="648"/>
      <c r="CI149" s="648"/>
      <c r="CJ149" s="648"/>
      <c r="CK149" s="648"/>
      <c r="CL149" s="648"/>
      <c r="CM149" s="648"/>
      <c r="CN149" s="648"/>
    </row>
    <row r="150" spans="1:92" ht="24.95" customHeight="1" x14ac:dyDescent="0.2">
      <c r="A150" s="814" t="s">
        <v>142</v>
      </c>
      <c r="B150" s="1" t="s">
        <v>221</v>
      </c>
      <c r="C150" s="2">
        <v>2</v>
      </c>
      <c r="D150" s="12">
        <v>49</v>
      </c>
      <c r="E150" s="12">
        <v>8</v>
      </c>
      <c r="F150" s="63">
        <v>0.06</v>
      </c>
      <c r="G150" s="63">
        <v>0.63</v>
      </c>
      <c r="H150" s="63">
        <v>0.31</v>
      </c>
      <c r="I150" s="63">
        <v>0</v>
      </c>
      <c r="J150" s="63">
        <v>0.5</v>
      </c>
      <c r="K150" s="63">
        <v>0.54</v>
      </c>
      <c r="L150" s="63">
        <v>0.64</v>
      </c>
      <c r="M150" s="25">
        <v>58</v>
      </c>
      <c r="N150" s="25">
        <v>10</v>
      </c>
      <c r="O150" s="61">
        <v>0</v>
      </c>
      <c r="P150" s="61">
        <v>0.11</v>
      </c>
      <c r="Q150" s="61">
        <v>0.67</v>
      </c>
      <c r="R150" s="61">
        <v>0.22</v>
      </c>
      <c r="S150" s="61">
        <v>0.36</v>
      </c>
      <c r="T150" s="61">
        <v>0.43</v>
      </c>
      <c r="U150" s="61">
        <v>0.43</v>
      </c>
      <c r="V150" s="12">
        <v>53</v>
      </c>
      <c r="W150" s="12">
        <v>7</v>
      </c>
      <c r="X150" s="66">
        <v>0</v>
      </c>
      <c r="Y150" s="66">
        <v>0.47</v>
      </c>
      <c r="Z150" s="66">
        <v>0.47</v>
      </c>
      <c r="AA150" s="66">
        <v>7.0000000000000007E-2</v>
      </c>
      <c r="AB150" s="66">
        <v>0.51</v>
      </c>
      <c r="AC150" s="66">
        <v>0.44</v>
      </c>
      <c r="AD150" s="66">
        <v>0.44</v>
      </c>
      <c r="AE150" s="12">
        <v>48</v>
      </c>
      <c r="AF150" s="12">
        <v>10</v>
      </c>
      <c r="AG150" s="63">
        <v>0</v>
      </c>
      <c r="AH150" s="63">
        <v>0.64</v>
      </c>
      <c r="AI150" s="63">
        <v>0.27</v>
      </c>
      <c r="AJ150" s="63">
        <v>0.09</v>
      </c>
      <c r="AK150" s="63">
        <v>0.5</v>
      </c>
      <c r="AL150" s="63">
        <v>0.51</v>
      </c>
      <c r="AM150" s="63">
        <v>0.52</v>
      </c>
      <c r="AN150" s="35">
        <v>52</v>
      </c>
      <c r="AO150" s="35">
        <v>11</v>
      </c>
      <c r="AP150" s="40">
        <v>0</v>
      </c>
      <c r="AQ150" s="40">
        <v>0.43</v>
      </c>
      <c r="AR150" s="40">
        <v>0.5</v>
      </c>
      <c r="AS150" s="40">
        <v>7.0000000000000007E-2</v>
      </c>
      <c r="AT150" s="40">
        <v>0.5</v>
      </c>
      <c r="AU150" s="40">
        <v>0.43</v>
      </c>
      <c r="AV150" s="40">
        <v>0.45</v>
      </c>
      <c r="AW150" s="653">
        <v>55</v>
      </c>
      <c r="AX150" s="653" t="s">
        <v>874</v>
      </c>
      <c r="AY150" s="653">
        <v>5</v>
      </c>
      <c r="AZ150" s="653" t="s">
        <v>876</v>
      </c>
      <c r="BA150" s="654">
        <v>0</v>
      </c>
      <c r="BB150" s="654">
        <v>0.31</v>
      </c>
      <c r="BC150" s="654">
        <v>0.62</v>
      </c>
      <c r="BD150" s="654">
        <v>0.08</v>
      </c>
      <c r="BE150" s="654">
        <v>0.46</v>
      </c>
      <c r="BF150" s="654">
        <v>0.28999999999999998</v>
      </c>
      <c r="BG150" s="654">
        <v>0.54</v>
      </c>
      <c r="BH150" s="74">
        <v>58</v>
      </c>
      <c r="BI150" s="74" t="s">
        <v>874</v>
      </c>
      <c r="BJ150" s="74">
        <v>4</v>
      </c>
      <c r="BK150" s="74" t="s">
        <v>876</v>
      </c>
      <c r="BL150" s="96">
        <v>0</v>
      </c>
      <c r="BM150" s="96">
        <v>7.0000000000000007E-2</v>
      </c>
      <c r="BN150" s="96">
        <v>0.93</v>
      </c>
      <c r="BO150" s="96">
        <v>0</v>
      </c>
      <c r="BP150" s="96">
        <v>0.41</v>
      </c>
      <c r="BQ150" s="96">
        <v>0.34</v>
      </c>
      <c r="BR150" s="96">
        <v>0.34</v>
      </c>
      <c r="BS150" s="426">
        <v>56</v>
      </c>
      <c r="BT150" s="426" t="s">
        <v>874</v>
      </c>
      <c r="BU150" s="426">
        <v>7</v>
      </c>
      <c r="BV150" s="426" t="s">
        <v>874</v>
      </c>
      <c r="BW150" s="430">
        <v>0</v>
      </c>
      <c r="BX150" s="430">
        <v>0.26</v>
      </c>
      <c r="BY150" s="430">
        <v>0.63</v>
      </c>
      <c r="BZ150" s="430">
        <v>0.11</v>
      </c>
      <c r="CA150" s="430">
        <v>0.33</v>
      </c>
      <c r="CB150" s="430">
        <v>0.45</v>
      </c>
      <c r="CC150" s="430">
        <v>0.47</v>
      </c>
      <c r="CD150" s="660">
        <v>58</v>
      </c>
      <c r="CE150" s="660" t="s">
        <v>874</v>
      </c>
      <c r="CF150" s="660">
        <v>10</v>
      </c>
      <c r="CG150" s="660" t="s">
        <v>874</v>
      </c>
      <c r="CH150" s="661">
        <v>0.05</v>
      </c>
      <c r="CI150" s="661">
        <v>0.16</v>
      </c>
      <c r="CJ150" s="661">
        <v>0.57999999999999996</v>
      </c>
      <c r="CK150" s="661">
        <v>0.21</v>
      </c>
      <c r="CL150" s="661">
        <v>0.42</v>
      </c>
      <c r="CM150" s="661">
        <v>0.38</v>
      </c>
      <c r="CN150" s="661">
        <v>0.28999999999999998</v>
      </c>
    </row>
    <row r="151" spans="1:92" ht="24.95" customHeight="1" x14ac:dyDescent="0.2">
      <c r="A151" s="814" t="s">
        <v>149</v>
      </c>
      <c r="B151" s="1" t="s">
        <v>221</v>
      </c>
      <c r="C151" s="2">
        <v>5</v>
      </c>
      <c r="D151" s="12">
        <v>52</v>
      </c>
      <c r="E151" s="12">
        <v>7</v>
      </c>
      <c r="F151" s="63">
        <v>0.05</v>
      </c>
      <c r="G151" s="63">
        <v>0.43</v>
      </c>
      <c r="H151" s="63">
        <v>0.52</v>
      </c>
      <c r="I151" s="63">
        <v>0</v>
      </c>
      <c r="J151" s="63">
        <v>0.47</v>
      </c>
      <c r="K151" s="63">
        <v>0.49</v>
      </c>
      <c r="L151" s="63">
        <v>0.61</v>
      </c>
      <c r="M151" s="25">
        <v>52</v>
      </c>
      <c r="N151" s="25">
        <v>9</v>
      </c>
      <c r="O151" s="61">
        <v>0.05</v>
      </c>
      <c r="P151" s="61">
        <v>0.37</v>
      </c>
      <c r="Q151" s="61">
        <v>0.51</v>
      </c>
      <c r="R151" s="61">
        <v>7.0000000000000007E-2</v>
      </c>
      <c r="S151" s="61">
        <v>0.44</v>
      </c>
      <c r="T151" s="61">
        <v>0.49</v>
      </c>
      <c r="U151" s="61">
        <v>0.56000000000000005</v>
      </c>
      <c r="V151" s="12">
        <v>51</v>
      </c>
      <c r="W151" s="12">
        <v>9</v>
      </c>
      <c r="X151" s="66">
        <v>0.03</v>
      </c>
      <c r="Y151" s="66">
        <v>0.44</v>
      </c>
      <c r="Z151" s="66">
        <v>0.53</v>
      </c>
      <c r="AA151" s="66">
        <v>0</v>
      </c>
      <c r="AB151" s="66">
        <v>0.5</v>
      </c>
      <c r="AC151" s="66">
        <v>0.56000000000000005</v>
      </c>
      <c r="AD151" s="66">
        <v>0.5</v>
      </c>
      <c r="AE151" s="12">
        <v>55</v>
      </c>
      <c r="AF151" s="12">
        <v>8</v>
      </c>
      <c r="AG151" s="63">
        <v>0</v>
      </c>
      <c r="AH151" s="63">
        <v>0.33</v>
      </c>
      <c r="AI151" s="63">
        <v>0.54</v>
      </c>
      <c r="AJ151" s="63">
        <v>0.13</v>
      </c>
      <c r="AK151" s="63">
        <v>0.37</v>
      </c>
      <c r="AL151" s="63">
        <v>0.35</v>
      </c>
      <c r="AM151" s="63">
        <v>0.41</v>
      </c>
      <c r="AN151" s="35">
        <v>53</v>
      </c>
      <c r="AO151" s="35">
        <v>9</v>
      </c>
      <c r="AP151" s="40">
        <v>0</v>
      </c>
      <c r="AQ151" s="40">
        <v>0.48</v>
      </c>
      <c r="AR151" s="40">
        <v>0.39</v>
      </c>
      <c r="AS151" s="40">
        <v>0.13</v>
      </c>
      <c r="AT151" s="40">
        <v>0.5</v>
      </c>
      <c r="AU151" s="40">
        <v>0.36</v>
      </c>
      <c r="AV151" s="40">
        <v>0.44</v>
      </c>
      <c r="AW151" s="247">
        <v>52</v>
      </c>
      <c r="AX151" s="247" t="s">
        <v>874</v>
      </c>
      <c r="AY151" s="247">
        <v>7</v>
      </c>
      <c r="AZ151" s="247" t="s">
        <v>874</v>
      </c>
      <c r="BA151" s="264">
        <v>0</v>
      </c>
      <c r="BB151" s="264">
        <v>0.34</v>
      </c>
      <c r="BC151" s="264">
        <v>0.62</v>
      </c>
      <c r="BD151" s="264">
        <v>0.03</v>
      </c>
      <c r="BE151" s="264">
        <v>0.47</v>
      </c>
      <c r="BF151" s="264">
        <v>0.36</v>
      </c>
      <c r="BG151" s="264">
        <v>0.57999999999999996</v>
      </c>
      <c r="BH151" s="311">
        <v>53</v>
      </c>
      <c r="BI151" s="311" t="s">
        <v>874</v>
      </c>
      <c r="BJ151" s="311">
        <v>9</v>
      </c>
      <c r="BK151" s="311" t="s">
        <v>874</v>
      </c>
      <c r="BL151" s="329">
        <v>0.04</v>
      </c>
      <c r="BM151" s="329">
        <v>0.23</v>
      </c>
      <c r="BN151" s="329">
        <v>0.73</v>
      </c>
      <c r="BO151" s="329">
        <v>0</v>
      </c>
      <c r="BP151" s="329">
        <v>0.49</v>
      </c>
      <c r="BQ151" s="329">
        <v>0.33</v>
      </c>
      <c r="BR151" s="329">
        <v>0.49</v>
      </c>
      <c r="BS151" s="426">
        <v>53</v>
      </c>
      <c r="BT151" s="426" t="s">
        <v>874</v>
      </c>
      <c r="BU151" s="426">
        <v>8</v>
      </c>
      <c r="BV151" s="426" t="s">
        <v>874</v>
      </c>
      <c r="BW151" s="430">
        <v>0</v>
      </c>
      <c r="BX151" s="430">
        <v>0.4</v>
      </c>
      <c r="BY151" s="430">
        <v>0.56999999999999995</v>
      </c>
      <c r="BZ151" s="430">
        <v>0.03</v>
      </c>
      <c r="CA151" s="430">
        <v>0.35</v>
      </c>
      <c r="CB151" s="430">
        <v>0.5</v>
      </c>
      <c r="CC151" s="430">
        <v>0.55000000000000004</v>
      </c>
      <c r="CD151" s="466">
        <v>55</v>
      </c>
      <c r="CE151" s="466" t="s">
        <v>874</v>
      </c>
      <c r="CF151" s="466">
        <v>7</v>
      </c>
      <c r="CG151" s="466" t="s">
        <v>874</v>
      </c>
      <c r="CH151" s="480">
        <v>0.02</v>
      </c>
      <c r="CI151" s="480">
        <v>0.16</v>
      </c>
      <c r="CJ151" s="480">
        <v>0.8</v>
      </c>
      <c r="CK151" s="480">
        <v>0.02</v>
      </c>
      <c r="CL151" s="480">
        <v>0.42</v>
      </c>
      <c r="CM151" s="480">
        <v>0.46</v>
      </c>
      <c r="CN151" s="480">
        <v>0.36</v>
      </c>
    </row>
    <row r="152" spans="1:92" ht="24.95" customHeight="1" x14ac:dyDescent="0.2">
      <c r="A152" s="814" t="s">
        <v>140</v>
      </c>
      <c r="B152" s="1" t="s">
        <v>221</v>
      </c>
      <c r="C152" s="2">
        <v>2</v>
      </c>
      <c r="D152" s="12">
        <v>53</v>
      </c>
      <c r="E152" s="12">
        <v>10</v>
      </c>
      <c r="F152" s="63">
        <v>0</v>
      </c>
      <c r="G152" s="63">
        <v>0.38</v>
      </c>
      <c r="H152" s="63">
        <v>0.63</v>
      </c>
      <c r="I152" s="63">
        <v>0</v>
      </c>
      <c r="J152" s="63">
        <v>0.35</v>
      </c>
      <c r="K152" s="63">
        <v>0.55000000000000004</v>
      </c>
      <c r="L152" s="63">
        <v>0.53</v>
      </c>
      <c r="M152" s="25">
        <v>59</v>
      </c>
      <c r="N152" s="25">
        <v>9</v>
      </c>
      <c r="O152" s="61">
        <v>0</v>
      </c>
      <c r="P152" s="61">
        <v>0.15</v>
      </c>
      <c r="Q152" s="61">
        <v>0.55000000000000004</v>
      </c>
      <c r="R152" s="61">
        <v>0.3</v>
      </c>
      <c r="S152" s="61">
        <v>0.39</v>
      </c>
      <c r="T152" s="61">
        <v>0.36</v>
      </c>
      <c r="U152" s="61">
        <v>0.37</v>
      </c>
      <c r="V152" s="12">
        <v>57</v>
      </c>
      <c r="W152" s="12">
        <v>8</v>
      </c>
      <c r="X152" s="66">
        <v>0</v>
      </c>
      <c r="Y152" s="66">
        <v>0.17</v>
      </c>
      <c r="Z152" s="66">
        <v>0.7</v>
      </c>
      <c r="AA152" s="66">
        <v>0.13</v>
      </c>
      <c r="AB152" s="66">
        <v>0.35</v>
      </c>
      <c r="AC152" s="66">
        <v>0.41</v>
      </c>
      <c r="AD152" s="66">
        <v>0.53</v>
      </c>
      <c r="AE152" s="12">
        <v>55</v>
      </c>
      <c r="AF152" s="12">
        <v>8</v>
      </c>
      <c r="AG152" s="63">
        <v>0</v>
      </c>
      <c r="AH152" s="63">
        <v>0.24</v>
      </c>
      <c r="AI152" s="63">
        <v>0.67</v>
      </c>
      <c r="AJ152" s="63">
        <v>0.09</v>
      </c>
      <c r="AK152" s="63">
        <v>0.42</v>
      </c>
      <c r="AL152" s="63">
        <v>0.33</v>
      </c>
      <c r="AM152" s="63">
        <v>0.4</v>
      </c>
      <c r="AN152" s="35">
        <v>55</v>
      </c>
      <c r="AO152" s="35">
        <v>8</v>
      </c>
      <c r="AP152" s="40">
        <v>0</v>
      </c>
      <c r="AQ152" s="40">
        <v>0.35</v>
      </c>
      <c r="AR152" s="40">
        <v>0.57999999999999996</v>
      </c>
      <c r="AS152" s="40">
        <v>0.06</v>
      </c>
      <c r="AT152" s="40">
        <v>0.43</v>
      </c>
      <c r="AU152" s="40">
        <v>0.33</v>
      </c>
      <c r="AV152" s="40">
        <v>0.4</v>
      </c>
      <c r="AW152" s="247">
        <v>53</v>
      </c>
      <c r="AX152" s="247" t="s">
        <v>874</v>
      </c>
      <c r="AY152" s="247">
        <v>6</v>
      </c>
      <c r="AZ152" s="247" t="s">
        <v>874</v>
      </c>
      <c r="BA152" s="264">
        <v>0</v>
      </c>
      <c r="BB152" s="264">
        <v>0.44</v>
      </c>
      <c r="BC152" s="264">
        <v>0.5</v>
      </c>
      <c r="BD152" s="264">
        <v>0.06</v>
      </c>
      <c r="BE152" s="264">
        <v>0.49</v>
      </c>
      <c r="BF152" s="264">
        <v>0.32</v>
      </c>
      <c r="BG152" s="264">
        <v>0.56999999999999995</v>
      </c>
      <c r="BH152" s="311">
        <v>55</v>
      </c>
      <c r="BI152" s="311" t="s">
        <v>874</v>
      </c>
      <c r="BJ152" s="311">
        <v>9</v>
      </c>
      <c r="BK152" s="311" t="s">
        <v>874</v>
      </c>
      <c r="BL152" s="329">
        <v>0</v>
      </c>
      <c r="BM152" s="329">
        <v>0.33</v>
      </c>
      <c r="BN152" s="329">
        <v>0.53</v>
      </c>
      <c r="BO152" s="329">
        <v>0.15</v>
      </c>
      <c r="BP152" s="329">
        <v>0.46</v>
      </c>
      <c r="BQ152" s="329">
        <v>0.35</v>
      </c>
      <c r="BR152" s="329">
        <v>0.44</v>
      </c>
      <c r="BS152" s="426">
        <v>54</v>
      </c>
      <c r="BT152" s="426" t="s">
        <v>874</v>
      </c>
      <c r="BU152" s="426">
        <v>10</v>
      </c>
      <c r="BV152" s="426" t="s">
        <v>874</v>
      </c>
      <c r="BW152" s="430">
        <v>0.05</v>
      </c>
      <c r="BX152" s="430">
        <v>0.22</v>
      </c>
      <c r="BY152" s="430">
        <v>0.59</v>
      </c>
      <c r="BZ152" s="430">
        <v>0.15</v>
      </c>
      <c r="CA152" s="430">
        <v>0.38</v>
      </c>
      <c r="CB152" s="430">
        <v>0.45</v>
      </c>
      <c r="CC152" s="430">
        <v>0.51</v>
      </c>
      <c r="CD152" s="466">
        <v>53</v>
      </c>
      <c r="CE152" s="466" t="s">
        <v>874</v>
      </c>
      <c r="CF152" s="466">
        <v>8</v>
      </c>
      <c r="CG152" s="466" t="s">
        <v>874</v>
      </c>
      <c r="CH152" s="480">
        <v>0</v>
      </c>
      <c r="CI152" s="480">
        <v>0.42</v>
      </c>
      <c r="CJ152" s="480">
        <v>0.53</v>
      </c>
      <c r="CK152" s="480">
        <v>0.05</v>
      </c>
      <c r="CL152" s="480">
        <v>0.49</v>
      </c>
      <c r="CM152" s="480">
        <v>0.48</v>
      </c>
      <c r="CN152" s="480">
        <v>0.33</v>
      </c>
    </row>
    <row r="153" spans="1:92" ht="24.95" customHeight="1" x14ac:dyDescent="0.2">
      <c r="A153" s="814" t="s">
        <v>122</v>
      </c>
      <c r="B153" s="1" t="s">
        <v>221</v>
      </c>
      <c r="C153" s="2">
        <v>6</v>
      </c>
      <c r="D153" s="12">
        <v>57</v>
      </c>
      <c r="E153" s="12">
        <v>7</v>
      </c>
      <c r="F153" s="63">
        <v>0</v>
      </c>
      <c r="G153" s="63">
        <v>0.19</v>
      </c>
      <c r="H153" s="63">
        <v>0.72</v>
      </c>
      <c r="I153" s="63">
        <v>0.09</v>
      </c>
      <c r="J153" s="63">
        <v>0.38</v>
      </c>
      <c r="K153" s="63">
        <v>0.45</v>
      </c>
      <c r="L153" s="63">
        <v>0.51</v>
      </c>
      <c r="M153" s="25">
        <v>57</v>
      </c>
      <c r="N153" s="25">
        <v>8</v>
      </c>
      <c r="O153" s="61">
        <v>0</v>
      </c>
      <c r="P153" s="61">
        <v>0.2</v>
      </c>
      <c r="Q153" s="61">
        <v>0.65</v>
      </c>
      <c r="R153" s="61">
        <v>0.15</v>
      </c>
      <c r="S153" s="61">
        <v>0.36</v>
      </c>
      <c r="T153" s="61">
        <v>0.43</v>
      </c>
      <c r="U153" s="61">
        <v>0.45</v>
      </c>
      <c r="V153" s="12">
        <v>58</v>
      </c>
      <c r="W153" s="12">
        <v>9</v>
      </c>
      <c r="X153" s="66">
        <v>0.01</v>
      </c>
      <c r="Y153" s="66">
        <v>0.22</v>
      </c>
      <c r="Z153" s="66">
        <v>0.54</v>
      </c>
      <c r="AA153" s="66">
        <v>0.24</v>
      </c>
      <c r="AB153" s="66">
        <v>0.37</v>
      </c>
      <c r="AC153" s="66">
        <v>0.42</v>
      </c>
      <c r="AD153" s="66">
        <v>0.44</v>
      </c>
      <c r="AE153" s="12">
        <v>57</v>
      </c>
      <c r="AF153" s="12">
        <v>9</v>
      </c>
      <c r="AG153" s="63">
        <v>0</v>
      </c>
      <c r="AH153" s="63">
        <v>0.25</v>
      </c>
      <c r="AI153" s="63">
        <v>0.56999999999999995</v>
      </c>
      <c r="AJ153" s="63">
        <v>0.18</v>
      </c>
      <c r="AK153" s="63">
        <v>0.36</v>
      </c>
      <c r="AL153" s="63">
        <v>0.32</v>
      </c>
      <c r="AM153" s="63">
        <v>0.36</v>
      </c>
      <c r="AN153" s="35">
        <v>55</v>
      </c>
      <c r="AO153" s="35">
        <v>10</v>
      </c>
      <c r="AP153" s="40">
        <v>0.02</v>
      </c>
      <c r="AQ153" s="40">
        <v>0.28000000000000003</v>
      </c>
      <c r="AR153" s="40">
        <v>0.59</v>
      </c>
      <c r="AS153" s="40">
        <v>0.11</v>
      </c>
      <c r="AT153" s="40">
        <v>0.46</v>
      </c>
      <c r="AU153" s="40">
        <v>0.35</v>
      </c>
      <c r="AV153" s="40">
        <v>0.41</v>
      </c>
      <c r="AW153" s="247">
        <v>56</v>
      </c>
      <c r="AX153" s="247" t="s">
        <v>874</v>
      </c>
      <c r="AY153" s="247">
        <v>10</v>
      </c>
      <c r="AZ153" s="247" t="s">
        <v>874</v>
      </c>
      <c r="BA153" s="264">
        <v>0.02</v>
      </c>
      <c r="BB153" s="264">
        <v>0.26</v>
      </c>
      <c r="BC153" s="264">
        <v>0.53</v>
      </c>
      <c r="BD153" s="264">
        <v>0.19</v>
      </c>
      <c r="BE153" s="264">
        <v>0.42</v>
      </c>
      <c r="BF153" s="264">
        <v>0.3</v>
      </c>
      <c r="BG153" s="264">
        <v>0.47</v>
      </c>
      <c r="BH153" s="311">
        <v>57</v>
      </c>
      <c r="BI153" s="311" t="s">
        <v>874</v>
      </c>
      <c r="BJ153" s="311">
        <v>9</v>
      </c>
      <c r="BK153" s="311" t="s">
        <v>874</v>
      </c>
      <c r="BL153" s="329">
        <v>0.01</v>
      </c>
      <c r="BM153" s="329">
        <v>0.28000000000000003</v>
      </c>
      <c r="BN153" s="329">
        <v>0.53</v>
      </c>
      <c r="BO153" s="329">
        <v>0.19</v>
      </c>
      <c r="BP153" s="329">
        <v>0.42</v>
      </c>
      <c r="BQ153" s="329">
        <v>0.3</v>
      </c>
      <c r="BR153" s="329">
        <v>0.42</v>
      </c>
      <c r="BS153" s="426">
        <v>57</v>
      </c>
      <c r="BT153" s="426" t="s">
        <v>874</v>
      </c>
      <c r="BU153" s="426">
        <v>9</v>
      </c>
      <c r="BV153" s="426" t="s">
        <v>874</v>
      </c>
      <c r="BW153" s="430">
        <v>0.01</v>
      </c>
      <c r="BX153" s="430">
        <v>0.23</v>
      </c>
      <c r="BY153" s="430">
        <v>0.57999999999999996</v>
      </c>
      <c r="BZ153" s="430">
        <v>0.18</v>
      </c>
      <c r="CA153" s="430">
        <v>0.31</v>
      </c>
      <c r="CB153" s="430">
        <v>0.41</v>
      </c>
      <c r="CC153" s="430">
        <v>0.45</v>
      </c>
      <c r="CD153" s="466">
        <v>57</v>
      </c>
      <c r="CE153" s="466" t="s">
        <v>874</v>
      </c>
      <c r="CF153" s="466">
        <v>9</v>
      </c>
      <c r="CG153" s="466" t="s">
        <v>874</v>
      </c>
      <c r="CH153" s="480">
        <v>0.01</v>
      </c>
      <c r="CI153" s="480">
        <v>0.24</v>
      </c>
      <c r="CJ153" s="480">
        <v>0.57999999999999996</v>
      </c>
      <c r="CK153" s="480">
        <v>0.17</v>
      </c>
      <c r="CL153" s="480">
        <v>0.42</v>
      </c>
      <c r="CM153" s="480">
        <v>0.41</v>
      </c>
      <c r="CN153" s="480">
        <v>0.3</v>
      </c>
    </row>
    <row r="154" spans="1:92" ht="24.95" customHeight="1" x14ac:dyDescent="0.2">
      <c r="A154" s="814" t="s">
        <v>197</v>
      </c>
      <c r="B154" s="1" t="s">
        <v>221</v>
      </c>
      <c r="C154" s="2">
        <v>5</v>
      </c>
      <c r="D154" s="12">
        <v>59</v>
      </c>
      <c r="E154" s="12">
        <v>8</v>
      </c>
      <c r="F154" s="63">
        <v>0</v>
      </c>
      <c r="G154" s="63">
        <v>0.2</v>
      </c>
      <c r="H154" s="63">
        <v>0.56999999999999995</v>
      </c>
      <c r="I154" s="63">
        <v>0.23</v>
      </c>
      <c r="J154" s="63">
        <v>0.41</v>
      </c>
      <c r="K154" s="63">
        <v>0.34</v>
      </c>
      <c r="L154" s="63">
        <v>0.5</v>
      </c>
      <c r="M154" s="25">
        <v>58</v>
      </c>
      <c r="N154" s="25">
        <v>6</v>
      </c>
      <c r="O154" s="61">
        <v>0</v>
      </c>
      <c r="P154" s="61">
        <v>0.13</v>
      </c>
      <c r="Q154" s="61">
        <v>0.83</v>
      </c>
      <c r="R154" s="61">
        <v>0.04</v>
      </c>
      <c r="S154" s="61">
        <v>0.34</v>
      </c>
      <c r="T154" s="61">
        <v>0.4</v>
      </c>
      <c r="U154" s="61">
        <v>0.43</v>
      </c>
      <c r="V154" s="12">
        <v>60</v>
      </c>
      <c r="W154" s="12">
        <v>8</v>
      </c>
      <c r="X154" s="66">
        <v>0</v>
      </c>
      <c r="Y154" s="66">
        <v>0.13</v>
      </c>
      <c r="Z154" s="66">
        <v>0.61</v>
      </c>
      <c r="AA154" s="66">
        <v>0.26</v>
      </c>
      <c r="AB154" s="66">
        <v>0.33</v>
      </c>
      <c r="AC154" s="66">
        <v>0.4</v>
      </c>
      <c r="AD154" s="66">
        <v>0.37</v>
      </c>
      <c r="AE154" s="12">
        <v>58</v>
      </c>
      <c r="AF154" s="12">
        <v>9</v>
      </c>
      <c r="AG154" s="63">
        <v>0</v>
      </c>
      <c r="AH154" s="63">
        <v>0.24</v>
      </c>
      <c r="AI154" s="63">
        <v>0.56999999999999995</v>
      </c>
      <c r="AJ154" s="63">
        <v>0.2</v>
      </c>
      <c r="AK154" s="63">
        <v>0.35</v>
      </c>
      <c r="AL154" s="63">
        <v>0.28999999999999998</v>
      </c>
      <c r="AM154" s="63">
        <v>0.38</v>
      </c>
      <c r="AN154" s="35">
        <v>58</v>
      </c>
      <c r="AO154" s="35">
        <v>8</v>
      </c>
      <c r="AP154" s="40">
        <v>0</v>
      </c>
      <c r="AQ154" s="40">
        <v>0.21</v>
      </c>
      <c r="AR154" s="40">
        <v>0.62</v>
      </c>
      <c r="AS154" s="40">
        <v>0.17</v>
      </c>
      <c r="AT154" s="40">
        <v>0.43</v>
      </c>
      <c r="AU154" s="40">
        <v>0.32</v>
      </c>
      <c r="AV154" s="40">
        <v>0.32</v>
      </c>
      <c r="AW154" s="247">
        <v>58</v>
      </c>
      <c r="AX154" s="247" t="s">
        <v>874</v>
      </c>
      <c r="AY154" s="247">
        <v>10</v>
      </c>
      <c r="AZ154" s="247" t="s">
        <v>874</v>
      </c>
      <c r="BA154" s="264">
        <v>0.02</v>
      </c>
      <c r="BB154" s="264">
        <v>0.19</v>
      </c>
      <c r="BC154" s="264">
        <v>0.56000000000000005</v>
      </c>
      <c r="BD154" s="264">
        <v>0.23</v>
      </c>
      <c r="BE154" s="264">
        <v>0.4</v>
      </c>
      <c r="BF154" s="264">
        <v>0.25</v>
      </c>
      <c r="BG154" s="264">
        <v>0.44</v>
      </c>
      <c r="BH154" s="311">
        <v>61</v>
      </c>
      <c r="BI154" s="311" t="s">
        <v>874</v>
      </c>
      <c r="BJ154" s="311">
        <v>7</v>
      </c>
      <c r="BK154" s="311" t="s">
        <v>874</v>
      </c>
      <c r="BL154" s="329">
        <v>0</v>
      </c>
      <c r="BM154" s="329">
        <v>0.09</v>
      </c>
      <c r="BN154" s="329">
        <v>0.62</v>
      </c>
      <c r="BO154" s="329">
        <v>0.3</v>
      </c>
      <c r="BP154" s="329">
        <v>0.38</v>
      </c>
      <c r="BQ154" s="329">
        <v>0.25</v>
      </c>
      <c r="BR154" s="329">
        <v>0.28999999999999998</v>
      </c>
      <c r="BS154" s="426">
        <v>61</v>
      </c>
      <c r="BT154" s="426" t="s">
        <v>874</v>
      </c>
      <c r="BU154" s="426">
        <v>9</v>
      </c>
      <c r="BV154" s="426" t="s">
        <v>874</v>
      </c>
      <c r="BW154" s="430">
        <v>0</v>
      </c>
      <c r="BX154" s="430">
        <v>0.16</v>
      </c>
      <c r="BY154" s="430">
        <v>0.51</v>
      </c>
      <c r="BZ154" s="430">
        <v>0.33</v>
      </c>
      <c r="CA154" s="430">
        <v>0.26</v>
      </c>
      <c r="CB154" s="430">
        <v>0.34</v>
      </c>
      <c r="CC154" s="430">
        <v>0.36</v>
      </c>
      <c r="CD154" s="466">
        <v>63</v>
      </c>
      <c r="CE154" s="466" t="s">
        <v>874</v>
      </c>
      <c r="CF154" s="466">
        <v>9</v>
      </c>
      <c r="CG154" s="466" t="s">
        <v>874</v>
      </c>
      <c r="CH154" s="480">
        <v>0</v>
      </c>
      <c r="CI154" s="480">
        <v>7.0000000000000007E-2</v>
      </c>
      <c r="CJ154" s="480">
        <v>0.62</v>
      </c>
      <c r="CK154" s="480">
        <v>0.31</v>
      </c>
      <c r="CL154" s="480">
        <v>0.33</v>
      </c>
      <c r="CM154" s="480">
        <v>0.32</v>
      </c>
      <c r="CN154" s="480">
        <v>0.22</v>
      </c>
    </row>
    <row r="155" spans="1:92" ht="24.95" customHeight="1" x14ac:dyDescent="0.2">
      <c r="A155" s="814" t="s">
        <v>164</v>
      </c>
      <c r="B155" s="1" t="s">
        <v>221</v>
      </c>
      <c r="C155" s="2">
        <v>1</v>
      </c>
      <c r="D155" s="12">
        <v>52</v>
      </c>
      <c r="E155" s="12">
        <v>8</v>
      </c>
      <c r="F155" s="63">
        <v>0.03</v>
      </c>
      <c r="G155" s="63">
        <v>0.39</v>
      </c>
      <c r="H155" s="63">
        <v>0.57999999999999996</v>
      </c>
      <c r="I155" s="63">
        <v>0</v>
      </c>
      <c r="J155" s="63">
        <v>0.47</v>
      </c>
      <c r="K155" s="63">
        <v>0.5</v>
      </c>
      <c r="L155" s="63">
        <v>0.59</v>
      </c>
      <c r="M155" s="25">
        <v>51</v>
      </c>
      <c r="N155" s="25">
        <v>8</v>
      </c>
      <c r="O155" s="61">
        <v>0.03</v>
      </c>
      <c r="P155" s="61">
        <v>0.42</v>
      </c>
      <c r="Q155" s="61">
        <v>0.52</v>
      </c>
      <c r="R155" s="61">
        <v>0.03</v>
      </c>
      <c r="S155" s="61">
        <v>0.48</v>
      </c>
      <c r="T155" s="61">
        <v>0.53</v>
      </c>
      <c r="U155" s="61">
        <v>0.52</v>
      </c>
      <c r="V155" s="12">
        <v>51</v>
      </c>
      <c r="W155" s="12">
        <v>10</v>
      </c>
      <c r="X155" s="66">
        <v>0</v>
      </c>
      <c r="Y155" s="66">
        <v>0.4</v>
      </c>
      <c r="Z155" s="66">
        <v>0.55000000000000004</v>
      </c>
      <c r="AA155" s="66">
        <v>0.05</v>
      </c>
      <c r="AB155" s="66">
        <v>0.48</v>
      </c>
      <c r="AC155" s="66">
        <v>0.51</v>
      </c>
      <c r="AD155" s="66">
        <v>0.54</v>
      </c>
      <c r="AE155" s="12">
        <v>54</v>
      </c>
      <c r="AF155" s="12">
        <v>8</v>
      </c>
      <c r="AG155" s="63">
        <v>0</v>
      </c>
      <c r="AH155" s="63">
        <v>0.32</v>
      </c>
      <c r="AI155" s="63">
        <v>0.6</v>
      </c>
      <c r="AJ155" s="63">
        <v>0.08</v>
      </c>
      <c r="AK155" s="63">
        <v>0.43</v>
      </c>
      <c r="AL155" s="63">
        <v>0.36</v>
      </c>
      <c r="AM155" s="63">
        <v>0.42</v>
      </c>
      <c r="AN155" s="35">
        <v>53</v>
      </c>
      <c r="AO155" s="35">
        <v>10</v>
      </c>
      <c r="AP155" s="40">
        <v>0.09</v>
      </c>
      <c r="AQ155" s="40">
        <v>0.23</v>
      </c>
      <c r="AR155" s="40">
        <v>0.59</v>
      </c>
      <c r="AS155" s="40">
        <v>0.09</v>
      </c>
      <c r="AT155" s="40">
        <v>0.5</v>
      </c>
      <c r="AU155" s="40">
        <v>0.37</v>
      </c>
      <c r="AV155" s="40">
        <v>0.44</v>
      </c>
      <c r="AW155" s="247">
        <v>52</v>
      </c>
      <c r="AX155" s="247" t="s">
        <v>874</v>
      </c>
      <c r="AY155" s="247">
        <v>11</v>
      </c>
      <c r="AZ155" s="247" t="s">
        <v>874</v>
      </c>
      <c r="BA155" s="264">
        <v>0.05</v>
      </c>
      <c r="BB155" s="264">
        <v>0.39</v>
      </c>
      <c r="BC155" s="264">
        <v>0.45</v>
      </c>
      <c r="BD155" s="264">
        <v>0.11</v>
      </c>
      <c r="BE155" s="264">
        <v>0.49</v>
      </c>
      <c r="BF155" s="264">
        <v>0.38</v>
      </c>
      <c r="BG155" s="264">
        <v>0.54</v>
      </c>
      <c r="BH155" s="311">
        <v>53</v>
      </c>
      <c r="BI155" s="311" t="s">
        <v>874</v>
      </c>
      <c r="BJ155" s="311">
        <v>9</v>
      </c>
      <c r="BK155" s="311" t="s">
        <v>874</v>
      </c>
      <c r="BL155" s="329">
        <v>0.02</v>
      </c>
      <c r="BM155" s="329">
        <v>0.35</v>
      </c>
      <c r="BN155" s="329">
        <v>0.6</v>
      </c>
      <c r="BO155" s="329">
        <v>0.04</v>
      </c>
      <c r="BP155" s="329">
        <v>0.51</v>
      </c>
      <c r="BQ155" s="329">
        <v>0.37</v>
      </c>
      <c r="BR155" s="329">
        <v>0.45</v>
      </c>
      <c r="BS155" s="426">
        <v>52</v>
      </c>
      <c r="BT155" s="426" t="s">
        <v>874</v>
      </c>
      <c r="BU155" s="426">
        <v>9</v>
      </c>
      <c r="BV155" s="426" t="s">
        <v>874</v>
      </c>
      <c r="BW155" s="430">
        <v>0.04</v>
      </c>
      <c r="BX155" s="430">
        <v>0.4</v>
      </c>
      <c r="BY155" s="430">
        <v>0.52</v>
      </c>
      <c r="BZ155" s="430">
        <v>0.04</v>
      </c>
      <c r="CA155" s="430">
        <v>0.4</v>
      </c>
      <c r="CB155" s="430">
        <v>0.52</v>
      </c>
      <c r="CC155" s="430">
        <v>0.53</v>
      </c>
      <c r="CD155" s="466">
        <v>55</v>
      </c>
      <c r="CE155" s="466" t="s">
        <v>874</v>
      </c>
      <c r="CF155" s="466">
        <v>8</v>
      </c>
      <c r="CG155" s="466" t="s">
        <v>874</v>
      </c>
      <c r="CH155" s="480">
        <v>0.02</v>
      </c>
      <c r="CI155" s="480">
        <v>0.24</v>
      </c>
      <c r="CJ155" s="480">
        <v>0.67</v>
      </c>
      <c r="CK155" s="480">
        <v>0.08</v>
      </c>
      <c r="CL155" s="480">
        <v>0.45</v>
      </c>
      <c r="CM155" s="480">
        <v>0.45</v>
      </c>
      <c r="CN155" s="480">
        <v>0.32</v>
      </c>
    </row>
    <row r="156" spans="1:92" ht="24.95" customHeight="1" x14ac:dyDescent="0.2">
      <c r="A156" s="814" t="s">
        <v>228</v>
      </c>
      <c r="B156" s="1" t="s">
        <v>221</v>
      </c>
      <c r="C156" s="2">
        <v>6</v>
      </c>
      <c r="D156" s="12"/>
      <c r="E156" s="12"/>
      <c r="F156" s="12"/>
      <c r="G156" s="12"/>
      <c r="H156" s="12"/>
      <c r="I156" s="12"/>
      <c r="J156" s="12"/>
      <c r="K156" s="12"/>
      <c r="L156" s="12"/>
      <c r="M156" s="25">
        <v>50</v>
      </c>
      <c r="N156" s="25">
        <v>11</v>
      </c>
      <c r="O156" s="61">
        <v>0.17</v>
      </c>
      <c r="P156" s="61">
        <v>0.33</v>
      </c>
      <c r="Q156" s="61">
        <v>0.5</v>
      </c>
      <c r="R156" s="61">
        <v>0</v>
      </c>
      <c r="S156" s="61">
        <v>0.59</v>
      </c>
      <c r="T156" s="61">
        <v>0.49</v>
      </c>
      <c r="U156" s="61">
        <v>0.56000000000000005</v>
      </c>
      <c r="V156" s="12">
        <v>50</v>
      </c>
      <c r="W156" s="12">
        <v>10</v>
      </c>
      <c r="X156" s="66">
        <v>0</v>
      </c>
      <c r="Y156" s="66">
        <v>0.5</v>
      </c>
      <c r="Z156" s="66">
        <v>0.5</v>
      </c>
      <c r="AA156" s="66">
        <v>0</v>
      </c>
      <c r="AB156" s="66">
        <v>0.49</v>
      </c>
      <c r="AC156" s="66">
        <v>0.47</v>
      </c>
      <c r="AD156" s="66">
        <v>0.59</v>
      </c>
      <c r="AE156" s="12">
        <v>51</v>
      </c>
      <c r="AF156" s="12">
        <v>10</v>
      </c>
      <c r="AG156" s="63">
        <v>0</v>
      </c>
      <c r="AH156" s="63">
        <v>0.5</v>
      </c>
      <c r="AI156" s="63">
        <v>0.5</v>
      </c>
      <c r="AJ156" s="63">
        <v>0</v>
      </c>
      <c r="AK156" s="63">
        <v>0.52</v>
      </c>
      <c r="AL156" s="63">
        <v>0.5</v>
      </c>
      <c r="AM156" s="63">
        <v>0.28999999999999998</v>
      </c>
      <c r="AN156" s="35">
        <v>36</v>
      </c>
      <c r="AO156" s="35">
        <v>7</v>
      </c>
      <c r="AP156" s="40">
        <v>0.5</v>
      </c>
      <c r="AQ156" s="40">
        <v>0.5</v>
      </c>
      <c r="AR156" s="40">
        <v>0</v>
      </c>
      <c r="AS156" s="40">
        <v>0</v>
      </c>
      <c r="AT156" s="40">
        <v>0.7</v>
      </c>
      <c r="AU156" s="40">
        <v>0.65</v>
      </c>
      <c r="AV156" s="40">
        <v>0.79</v>
      </c>
      <c r="AW156" s="652"/>
      <c r="AX156" s="652"/>
      <c r="AY156" s="652"/>
      <c r="AZ156" s="652"/>
      <c r="BA156" s="652"/>
      <c r="BB156" s="652"/>
      <c r="BC156" s="652"/>
      <c r="BD156" s="652"/>
      <c r="BE156" s="652"/>
      <c r="BF156" s="652"/>
      <c r="BG156" s="652"/>
      <c r="BH156" s="655"/>
      <c r="BI156" s="655"/>
      <c r="BJ156" s="655"/>
      <c r="BK156" s="655"/>
      <c r="BL156" s="655"/>
      <c r="BM156" s="655"/>
      <c r="BN156" s="655"/>
      <c r="BO156" s="655"/>
      <c r="BP156" s="655"/>
      <c r="BQ156" s="655"/>
      <c r="BR156" s="655"/>
      <c r="BS156" s="657"/>
      <c r="BT156" s="657"/>
      <c r="BU156" s="657"/>
      <c r="BV156" s="657"/>
      <c r="BW156" s="657"/>
      <c r="BX156" s="657"/>
      <c r="BY156" s="657"/>
      <c r="BZ156" s="657"/>
      <c r="CA156" s="657"/>
      <c r="CB156" s="657"/>
      <c r="CC156" s="657"/>
      <c r="CD156" s="656"/>
      <c r="CE156" s="656"/>
      <c r="CF156" s="656"/>
      <c r="CG156" s="656"/>
      <c r="CH156" s="656"/>
      <c r="CI156" s="656"/>
      <c r="CJ156" s="656"/>
      <c r="CK156" s="656"/>
      <c r="CL156" s="656"/>
      <c r="CM156" s="656"/>
      <c r="CN156" s="656"/>
    </row>
    <row r="157" spans="1:92" ht="24.95" customHeight="1" x14ac:dyDescent="0.2">
      <c r="A157" s="814" t="s">
        <v>211</v>
      </c>
      <c r="B157" s="1" t="s">
        <v>221</v>
      </c>
      <c r="C157" s="2">
        <v>3</v>
      </c>
      <c r="D157" s="12">
        <v>58</v>
      </c>
      <c r="E157" s="12">
        <v>8</v>
      </c>
      <c r="F157" s="63">
        <v>0</v>
      </c>
      <c r="G157" s="63">
        <v>0.19</v>
      </c>
      <c r="H157" s="63">
        <v>0.63</v>
      </c>
      <c r="I157" s="63">
        <v>0.19</v>
      </c>
      <c r="J157" s="63">
        <v>0.35</v>
      </c>
      <c r="K157" s="63">
        <v>0.49</v>
      </c>
      <c r="L157" s="63">
        <v>0.45</v>
      </c>
      <c r="M157" s="25">
        <v>53</v>
      </c>
      <c r="N157" s="25">
        <v>5</v>
      </c>
      <c r="O157" s="61">
        <v>0</v>
      </c>
      <c r="P157" s="61">
        <v>0.33</v>
      </c>
      <c r="Q157" s="61">
        <v>0.67</v>
      </c>
      <c r="R157" s="61">
        <v>0</v>
      </c>
      <c r="S157" s="61">
        <v>0.44</v>
      </c>
      <c r="T157" s="61">
        <v>0.54</v>
      </c>
      <c r="U157" s="61">
        <v>0.48</v>
      </c>
      <c r="V157" s="12">
        <v>56</v>
      </c>
      <c r="W157" s="12">
        <v>8</v>
      </c>
      <c r="X157" s="66">
        <v>0</v>
      </c>
      <c r="Y157" s="66">
        <v>0.25</v>
      </c>
      <c r="Z157" s="66">
        <v>0.69</v>
      </c>
      <c r="AA157" s="66">
        <v>0.06</v>
      </c>
      <c r="AB157" s="66">
        <v>0.41</v>
      </c>
      <c r="AC157" s="66">
        <v>0.49</v>
      </c>
      <c r="AD157" s="66">
        <v>0.49</v>
      </c>
      <c r="AE157" s="12">
        <v>55</v>
      </c>
      <c r="AF157" s="12">
        <v>9</v>
      </c>
      <c r="AG157" s="63">
        <v>0</v>
      </c>
      <c r="AH157" s="63">
        <v>0.35</v>
      </c>
      <c r="AI157" s="63">
        <v>0.45</v>
      </c>
      <c r="AJ157" s="63">
        <v>0.2</v>
      </c>
      <c r="AK157" s="63">
        <v>0.37</v>
      </c>
      <c r="AL157" s="63">
        <v>0.36</v>
      </c>
      <c r="AM157" s="63">
        <v>0.37</v>
      </c>
      <c r="AN157" s="35">
        <v>54</v>
      </c>
      <c r="AO157" s="35">
        <v>8</v>
      </c>
      <c r="AP157" s="40">
        <v>0</v>
      </c>
      <c r="AQ157" s="40">
        <v>0.38</v>
      </c>
      <c r="AR157" s="40">
        <v>0.62</v>
      </c>
      <c r="AS157" s="40">
        <v>0</v>
      </c>
      <c r="AT157" s="40">
        <v>0.47</v>
      </c>
      <c r="AU157" s="40">
        <v>0.35</v>
      </c>
      <c r="AV157" s="40">
        <v>0.43</v>
      </c>
      <c r="AW157" s="653">
        <v>54</v>
      </c>
      <c r="AX157" s="653" t="s">
        <v>874</v>
      </c>
      <c r="AY157" s="653">
        <v>9</v>
      </c>
      <c r="AZ157" s="653" t="s">
        <v>874</v>
      </c>
      <c r="BA157" s="654">
        <v>0</v>
      </c>
      <c r="BB157" s="654">
        <v>0.48</v>
      </c>
      <c r="BC157" s="654">
        <v>0.36</v>
      </c>
      <c r="BD157" s="654">
        <v>0.16</v>
      </c>
      <c r="BE157" s="654">
        <v>0.46</v>
      </c>
      <c r="BF157" s="654">
        <v>0.34</v>
      </c>
      <c r="BG157" s="654">
        <v>0.53</v>
      </c>
      <c r="BH157" s="74">
        <v>50</v>
      </c>
      <c r="BI157" s="74" t="s">
        <v>874</v>
      </c>
      <c r="BJ157" s="74">
        <v>9</v>
      </c>
      <c r="BK157" s="74" t="s">
        <v>874</v>
      </c>
      <c r="BL157" s="96">
        <v>0.04</v>
      </c>
      <c r="BM157" s="96">
        <v>0.43</v>
      </c>
      <c r="BN157" s="96">
        <v>0.46</v>
      </c>
      <c r="BO157" s="96">
        <v>7.0000000000000007E-2</v>
      </c>
      <c r="BP157" s="96">
        <v>0.52</v>
      </c>
      <c r="BQ157" s="96">
        <v>0.41</v>
      </c>
      <c r="BR157" s="96">
        <v>0.55000000000000004</v>
      </c>
      <c r="BS157" s="658">
        <v>55</v>
      </c>
      <c r="BT157" s="658" t="s">
        <v>874</v>
      </c>
      <c r="BU157" s="658">
        <v>8</v>
      </c>
      <c r="BV157" s="658" t="s">
        <v>874</v>
      </c>
      <c r="BW157" s="659">
        <v>0.04</v>
      </c>
      <c r="BX157" s="659">
        <v>0.19</v>
      </c>
      <c r="BY157" s="659">
        <v>0.69</v>
      </c>
      <c r="BZ157" s="659">
        <v>0.08</v>
      </c>
      <c r="CA157" s="659">
        <v>0.37</v>
      </c>
      <c r="CB157" s="659">
        <v>0.44</v>
      </c>
      <c r="CC157" s="659">
        <v>0.48</v>
      </c>
      <c r="CD157" s="74">
        <v>56</v>
      </c>
      <c r="CE157" s="74" t="s">
        <v>874</v>
      </c>
      <c r="CF157" s="74">
        <v>8</v>
      </c>
      <c r="CG157" s="74" t="s">
        <v>874</v>
      </c>
      <c r="CH157" s="96">
        <v>0</v>
      </c>
      <c r="CI157" s="96">
        <v>0.28000000000000003</v>
      </c>
      <c r="CJ157" s="96">
        <v>0.59</v>
      </c>
      <c r="CK157" s="96">
        <v>0.14000000000000001</v>
      </c>
      <c r="CL157" s="96">
        <v>0.44</v>
      </c>
      <c r="CM157" s="96">
        <v>0.42</v>
      </c>
      <c r="CN157" s="96">
        <v>0.28999999999999998</v>
      </c>
    </row>
    <row r="158" spans="1:92" ht="24.95" customHeight="1" x14ac:dyDescent="0.2">
      <c r="A158" s="814" t="s">
        <v>57</v>
      </c>
      <c r="B158" s="1" t="s">
        <v>221</v>
      </c>
      <c r="C158" s="2">
        <v>3</v>
      </c>
      <c r="D158" s="12">
        <v>52</v>
      </c>
      <c r="E158" s="12">
        <v>8</v>
      </c>
      <c r="F158" s="63">
        <v>0.02</v>
      </c>
      <c r="G158" s="63">
        <v>0.44</v>
      </c>
      <c r="H158" s="63">
        <v>0.52</v>
      </c>
      <c r="I158" s="63">
        <v>0.02</v>
      </c>
      <c r="J158" s="63">
        <v>0.41</v>
      </c>
      <c r="K158" s="63">
        <v>0.51</v>
      </c>
      <c r="L158" s="63">
        <v>0.57999999999999996</v>
      </c>
      <c r="M158" s="25">
        <v>55</v>
      </c>
      <c r="N158" s="25">
        <v>8</v>
      </c>
      <c r="O158" s="61">
        <v>0.04</v>
      </c>
      <c r="P158" s="61">
        <v>0.21</v>
      </c>
      <c r="Q158" s="61">
        <v>0.71</v>
      </c>
      <c r="R158" s="61">
        <v>0.04</v>
      </c>
      <c r="S158" s="61">
        <v>0.42</v>
      </c>
      <c r="T158" s="61">
        <v>0.47</v>
      </c>
      <c r="U158" s="61">
        <v>0.46</v>
      </c>
      <c r="V158" s="12">
        <v>53</v>
      </c>
      <c r="W158" s="12">
        <v>10</v>
      </c>
      <c r="X158" s="66">
        <v>0.03</v>
      </c>
      <c r="Y158" s="66">
        <v>0.38</v>
      </c>
      <c r="Z158" s="66">
        <v>0.47</v>
      </c>
      <c r="AA158" s="66">
        <v>0.12</v>
      </c>
      <c r="AB158" s="66">
        <v>0.45</v>
      </c>
      <c r="AC158" s="66">
        <v>0.53</v>
      </c>
      <c r="AD158" s="66">
        <v>0.51</v>
      </c>
      <c r="AE158" s="12">
        <v>54</v>
      </c>
      <c r="AF158" s="12">
        <v>9</v>
      </c>
      <c r="AG158" s="63">
        <v>0</v>
      </c>
      <c r="AH158" s="63">
        <v>0.39</v>
      </c>
      <c r="AI158" s="63">
        <v>0.47</v>
      </c>
      <c r="AJ158" s="63">
        <v>0.14000000000000001</v>
      </c>
      <c r="AK158" s="63">
        <v>0.42</v>
      </c>
      <c r="AL158" s="63">
        <v>0.37</v>
      </c>
      <c r="AM158" s="63">
        <v>0.41</v>
      </c>
      <c r="AN158" s="35">
        <v>54</v>
      </c>
      <c r="AO158" s="35">
        <v>8</v>
      </c>
      <c r="AP158" s="40">
        <v>0</v>
      </c>
      <c r="AQ158" s="40">
        <v>0.38</v>
      </c>
      <c r="AR158" s="40">
        <v>0.5</v>
      </c>
      <c r="AS158" s="40">
        <v>0.13</v>
      </c>
      <c r="AT158" s="40">
        <v>0.44</v>
      </c>
      <c r="AU158" s="40">
        <v>0.36</v>
      </c>
      <c r="AV158" s="40">
        <v>0.46</v>
      </c>
      <c r="AW158" s="247">
        <v>52</v>
      </c>
      <c r="AX158" s="247" t="s">
        <v>874</v>
      </c>
      <c r="AY158" s="247">
        <v>10</v>
      </c>
      <c r="AZ158" s="247" t="s">
        <v>874</v>
      </c>
      <c r="BA158" s="264">
        <v>0.04</v>
      </c>
      <c r="BB158" s="264">
        <v>0.36</v>
      </c>
      <c r="BC158" s="264">
        <v>0.5</v>
      </c>
      <c r="BD158" s="264">
        <v>0.11</v>
      </c>
      <c r="BE158" s="264">
        <v>0.45</v>
      </c>
      <c r="BF158" s="264">
        <v>0.35</v>
      </c>
      <c r="BG158" s="264">
        <v>0.56999999999999995</v>
      </c>
      <c r="BH158" s="311">
        <v>55</v>
      </c>
      <c r="BI158" s="311" t="s">
        <v>874</v>
      </c>
      <c r="BJ158" s="311">
        <v>8</v>
      </c>
      <c r="BK158" s="311" t="s">
        <v>874</v>
      </c>
      <c r="BL158" s="329">
        <v>0</v>
      </c>
      <c r="BM158" s="329">
        <v>0.32</v>
      </c>
      <c r="BN158" s="329">
        <v>0.61</v>
      </c>
      <c r="BO158" s="329">
        <v>7.0000000000000007E-2</v>
      </c>
      <c r="BP158" s="329">
        <v>0.46</v>
      </c>
      <c r="BQ158" s="329">
        <v>0.31</v>
      </c>
      <c r="BR158" s="329">
        <v>0.46</v>
      </c>
      <c r="BS158" s="426">
        <v>54</v>
      </c>
      <c r="BT158" s="426" t="s">
        <v>874</v>
      </c>
      <c r="BU158" s="426">
        <v>9</v>
      </c>
      <c r="BV158" s="426" t="s">
        <v>874</v>
      </c>
      <c r="BW158" s="430">
        <v>0.03</v>
      </c>
      <c r="BX158" s="430">
        <v>0.32</v>
      </c>
      <c r="BY158" s="430">
        <v>0.56000000000000005</v>
      </c>
      <c r="BZ158" s="430">
        <v>0.09</v>
      </c>
      <c r="CA158" s="430">
        <v>0.39</v>
      </c>
      <c r="CB158" s="430">
        <v>0.47</v>
      </c>
      <c r="CC158" s="430">
        <v>0.48</v>
      </c>
      <c r="CD158" s="466">
        <v>54</v>
      </c>
      <c r="CE158" s="466" t="s">
        <v>874</v>
      </c>
      <c r="CF158" s="466">
        <v>8</v>
      </c>
      <c r="CG158" s="466" t="s">
        <v>874</v>
      </c>
      <c r="CH158" s="480">
        <v>0.04</v>
      </c>
      <c r="CI158" s="480">
        <v>0.23</v>
      </c>
      <c r="CJ158" s="480">
        <v>0.65</v>
      </c>
      <c r="CK158" s="480">
        <v>0.08</v>
      </c>
      <c r="CL158" s="480">
        <v>0.46</v>
      </c>
      <c r="CM158" s="480">
        <v>0.49</v>
      </c>
      <c r="CN158" s="480">
        <v>0.33</v>
      </c>
    </row>
    <row r="159" spans="1:92" ht="24.95" customHeight="1" x14ac:dyDescent="0.2">
      <c r="A159" s="814" t="s">
        <v>195</v>
      </c>
      <c r="B159" s="1" t="s">
        <v>221</v>
      </c>
      <c r="C159" s="2">
        <v>5</v>
      </c>
      <c r="D159" s="12">
        <v>58</v>
      </c>
      <c r="E159" s="12">
        <v>6</v>
      </c>
      <c r="F159" s="63">
        <v>0</v>
      </c>
      <c r="G159" s="63">
        <v>0.13</v>
      </c>
      <c r="H159" s="63">
        <v>0.8</v>
      </c>
      <c r="I159" s="63">
        <v>7.0000000000000007E-2</v>
      </c>
      <c r="J159" s="63">
        <v>0.35</v>
      </c>
      <c r="K159" s="63">
        <v>0.43</v>
      </c>
      <c r="L159" s="63">
        <v>0.52</v>
      </c>
      <c r="M159" s="25">
        <v>59</v>
      </c>
      <c r="N159" s="25">
        <v>6</v>
      </c>
      <c r="O159" s="61">
        <v>0</v>
      </c>
      <c r="P159" s="61">
        <v>0.06</v>
      </c>
      <c r="Q159" s="61">
        <v>0.76</v>
      </c>
      <c r="R159" s="61">
        <v>0.18</v>
      </c>
      <c r="S159" s="61">
        <v>0.33</v>
      </c>
      <c r="T159" s="61">
        <v>0.4</v>
      </c>
      <c r="U159" s="61">
        <v>0.38</v>
      </c>
      <c r="V159" s="12">
        <v>61</v>
      </c>
      <c r="W159" s="12">
        <v>7</v>
      </c>
      <c r="X159" s="66">
        <v>0</v>
      </c>
      <c r="Y159" s="66">
        <v>0.11</v>
      </c>
      <c r="Z159" s="66">
        <v>0.68</v>
      </c>
      <c r="AA159" s="66">
        <v>0.21</v>
      </c>
      <c r="AB159" s="66">
        <v>0.3</v>
      </c>
      <c r="AC159" s="66">
        <v>0.36</v>
      </c>
      <c r="AD159" s="66">
        <v>0.37</v>
      </c>
      <c r="AE159" s="12">
        <v>61</v>
      </c>
      <c r="AF159" s="12">
        <v>6</v>
      </c>
      <c r="AG159" s="63">
        <v>0</v>
      </c>
      <c r="AH159" s="63">
        <v>0.04</v>
      </c>
      <c r="AI159" s="63">
        <v>0.75</v>
      </c>
      <c r="AJ159" s="63">
        <v>0.21</v>
      </c>
      <c r="AK159" s="63">
        <v>0.31</v>
      </c>
      <c r="AL159" s="63">
        <v>0.25</v>
      </c>
      <c r="AM159" s="63">
        <v>0.28000000000000003</v>
      </c>
      <c r="AN159" s="35">
        <v>60</v>
      </c>
      <c r="AO159" s="35">
        <v>6</v>
      </c>
      <c r="AP159" s="40">
        <v>0</v>
      </c>
      <c r="AQ159" s="40">
        <v>0.03</v>
      </c>
      <c r="AR159" s="40">
        <v>0.81</v>
      </c>
      <c r="AS159" s="40">
        <v>0.16</v>
      </c>
      <c r="AT159" s="40">
        <v>0.36</v>
      </c>
      <c r="AU159" s="40">
        <v>0.19</v>
      </c>
      <c r="AV159" s="40">
        <v>0.36</v>
      </c>
      <c r="AW159" s="247">
        <v>62</v>
      </c>
      <c r="AX159" s="247" t="s">
        <v>874</v>
      </c>
      <c r="AY159" s="247">
        <v>7</v>
      </c>
      <c r="AZ159" s="247" t="s">
        <v>874</v>
      </c>
      <c r="BA159" s="264">
        <v>0</v>
      </c>
      <c r="BB159" s="264">
        <v>0.03</v>
      </c>
      <c r="BC159" s="264">
        <v>0.59</v>
      </c>
      <c r="BD159" s="264">
        <v>0.38</v>
      </c>
      <c r="BE159" s="264">
        <v>0.32</v>
      </c>
      <c r="BF159" s="264">
        <v>0.19</v>
      </c>
      <c r="BG159" s="264">
        <v>0.39</v>
      </c>
      <c r="BH159" s="311">
        <v>62</v>
      </c>
      <c r="BI159" s="311" t="s">
        <v>874</v>
      </c>
      <c r="BJ159" s="311">
        <v>10</v>
      </c>
      <c r="BK159" s="311" t="s">
        <v>874</v>
      </c>
      <c r="BL159" s="329">
        <v>0</v>
      </c>
      <c r="BM159" s="329">
        <v>0.18</v>
      </c>
      <c r="BN159" s="329">
        <v>0.41</v>
      </c>
      <c r="BO159" s="329">
        <v>0.41</v>
      </c>
      <c r="BP159" s="329">
        <v>0.34</v>
      </c>
      <c r="BQ159" s="329">
        <v>0.19</v>
      </c>
      <c r="BR159" s="329">
        <v>0.34</v>
      </c>
      <c r="BS159" s="426">
        <v>64</v>
      </c>
      <c r="BT159" s="426" t="s">
        <v>875</v>
      </c>
      <c r="BU159" s="426">
        <v>7</v>
      </c>
      <c r="BV159" s="426" t="s">
        <v>874</v>
      </c>
      <c r="BW159" s="430">
        <v>0</v>
      </c>
      <c r="BX159" s="430">
        <v>0</v>
      </c>
      <c r="BY159" s="430">
        <v>0.65</v>
      </c>
      <c r="BZ159" s="430">
        <v>0.35</v>
      </c>
      <c r="CA159" s="430">
        <v>0.22</v>
      </c>
      <c r="CB159" s="430">
        <v>0.28000000000000003</v>
      </c>
      <c r="CC159" s="430">
        <v>0.31</v>
      </c>
      <c r="CD159" s="466">
        <v>65</v>
      </c>
      <c r="CE159" s="466" t="s">
        <v>875</v>
      </c>
      <c r="CF159" s="466">
        <v>7</v>
      </c>
      <c r="CG159" s="466" t="s">
        <v>874</v>
      </c>
      <c r="CH159" s="480">
        <v>0</v>
      </c>
      <c r="CI159" s="480">
        <v>0.03</v>
      </c>
      <c r="CJ159" s="480">
        <v>0.42</v>
      </c>
      <c r="CK159" s="480">
        <v>0.55000000000000004</v>
      </c>
      <c r="CL159" s="480">
        <v>0.28000000000000003</v>
      </c>
      <c r="CM159" s="480">
        <v>0.28000000000000003</v>
      </c>
      <c r="CN159" s="480">
        <v>0.18</v>
      </c>
    </row>
    <row r="160" spans="1:92" ht="24.95" customHeight="1" x14ac:dyDescent="0.2">
      <c r="A160" s="814" t="s">
        <v>19</v>
      </c>
      <c r="B160" s="1" t="s">
        <v>221</v>
      </c>
      <c r="C160" s="2">
        <v>5</v>
      </c>
      <c r="D160" s="12">
        <v>58</v>
      </c>
      <c r="E160" s="12">
        <v>7</v>
      </c>
      <c r="F160" s="63">
        <v>0</v>
      </c>
      <c r="G160" s="63">
        <v>0.14000000000000001</v>
      </c>
      <c r="H160" s="63">
        <v>0.74</v>
      </c>
      <c r="I160" s="63">
        <v>0.12</v>
      </c>
      <c r="J160" s="63">
        <v>0.34</v>
      </c>
      <c r="K160" s="63">
        <v>0.34</v>
      </c>
      <c r="L160" s="63">
        <v>0.46</v>
      </c>
      <c r="M160" s="25">
        <v>60</v>
      </c>
      <c r="N160" s="25">
        <v>8</v>
      </c>
      <c r="O160" s="61">
        <v>0</v>
      </c>
      <c r="P160" s="61">
        <v>0.14000000000000001</v>
      </c>
      <c r="Q160" s="61">
        <v>0.66</v>
      </c>
      <c r="R160" s="61">
        <v>0.2</v>
      </c>
      <c r="S160" s="61">
        <v>0.31</v>
      </c>
      <c r="T160" s="61">
        <v>0.39</v>
      </c>
      <c r="U160" s="61">
        <v>0.37</v>
      </c>
      <c r="V160" s="12">
        <v>59</v>
      </c>
      <c r="W160" s="12">
        <v>9</v>
      </c>
      <c r="X160" s="66">
        <v>0.02</v>
      </c>
      <c r="Y160" s="66">
        <v>0.14000000000000001</v>
      </c>
      <c r="Z160" s="66">
        <v>0.57999999999999996</v>
      </c>
      <c r="AA160" s="66">
        <v>0.27</v>
      </c>
      <c r="AB160" s="66">
        <v>0.33</v>
      </c>
      <c r="AC160" s="66">
        <v>0.39</v>
      </c>
      <c r="AD160" s="66">
        <v>0.4</v>
      </c>
      <c r="AE160" s="12">
        <v>61</v>
      </c>
      <c r="AF160" s="12">
        <v>7</v>
      </c>
      <c r="AG160" s="63">
        <v>0</v>
      </c>
      <c r="AH160" s="63">
        <v>0.04</v>
      </c>
      <c r="AI160" s="63">
        <v>0.7</v>
      </c>
      <c r="AJ160" s="63">
        <v>0.27</v>
      </c>
      <c r="AK160" s="63">
        <v>0.31</v>
      </c>
      <c r="AL160" s="63">
        <v>0.24</v>
      </c>
      <c r="AM160" s="63">
        <v>0.28999999999999998</v>
      </c>
      <c r="AN160" s="35">
        <v>59</v>
      </c>
      <c r="AO160" s="35">
        <v>7</v>
      </c>
      <c r="AP160" s="40">
        <v>0</v>
      </c>
      <c r="AQ160" s="40">
        <v>0.14000000000000001</v>
      </c>
      <c r="AR160" s="40">
        <v>0.65</v>
      </c>
      <c r="AS160" s="40">
        <v>0.22</v>
      </c>
      <c r="AT160" s="40">
        <v>0.38</v>
      </c>
      <c r="AU160" s="40">
        <v>0.27</v>
      </c>
      <c r="AV160" s="40">
        <v>0.34</v>
      </c>
      <c r="AW160" s="247">
        <v>58</v>
      </c>
      <c r="AX160" s="247" t="s">
        <v>874</v>
      </c>
      <c r="AY160" s="247">
        <v>8</v>
      </c>
      <c r="AZ160" s="247" t="s">
        <v>874</v>
      </c>
      <c r="BA160" s="264">
        <v>0</v>
      </c>
      <c r="BB160" s="264">
        <v>0.17</v>
      </c>
      <c r="BC160" s="264">
        <v>0.7</v>
      </c>
      <c r="BD160" s="264">
        <v>0.13</v>
      </c>
      <c r="BE160" s="264">
        <v>0.35</v>
      </c>
      <c r="BF160" s="264">
        <v>0.28000000000000003</v>
      </c>
      <c r="BG160" s="264">
        <v>0.5</v>
      </c>
      <c r="BH160" s="311">
        <v>59</v>
      </c>
      <c r="BI160" s="311" t="s">
        <v>874</v>
      </c>
      <c r="BJ160" s="311">
        <v>9</v>
      </c>
      <c r="BK160" s="311" t="s">
        <v>874</v>
      </c>
      <c r="BL160" s="329">
        <v>0.01</v>
      </c>
      <c r="BM160" s="329">
        <v>0.15</v>
      </c>
      <c r="BN160" s="329">
        <v>0.55000000000000004</v>
      </c>
      <c r="BO160" s="329">
        <v>0.28999999999999998</v>
      </c>
      <c r="BP160" s="329">
        <v>0.38</v>
      </c>
      <c r="BQ160" s="329">
        <v>0.26</v>
      </c>
      <c r="BR160" s="329">
        <v>0.35</v>
      </c>
      <c r="BS160" s="426">
        <v>60</v>
      </c>
      <c r="BT160" s="426" t="s">
        <v>874</v>
      </c>
      <c r="BU160" s="426">
        <v>8</v>
      </c>
      <c r="BV160" s="426" t="s">
        <v>874</v>
      </c>
      <c r="BW160" s="430">
        <v>0</v>
      </c>
      <c r="BX160" s="430">
        <v>0.13</v>
      </c>
      <c r="BY160" s="430">
        <v>0.67</v>
      </c>
      <c r="BZ160" s="430">
        <v>0.2</v>
      </c>
      <c r="CA160" s="430">
        <v>0.28999999999999998</v>
      </c>
      <c r="CB160" s="430">
        <v>0.37</v>
      </c>
      <c r="CC160" s="430">
        <v>0.39</v>
      </c>
      <c r="CD160" s="466">
        <v>61</v>
      </c>
      <c r="CE160" s="466" t="s">
        <v>874</v>
      </c>
      <c r="CF160" s="466">
        <v>8</v>
      </c>
      <c r="CG160" s="466" t="s">
        <v>874</v>
      </c>
      <c r="CH160" s="480">
        <v>0</v>
      </c>
      <c r="CI160" s="480">
        <v>0.14000000000000001</v>
      </c>
      <c r="CJ160" s="480">
        <v>0.51</v>
      </c>
      <c r="CK160" s="480">
        <v>0.35</v>
      </c>
      <c r="CL160" s="480">
        <v>0.34</v>
      </c>
      <c r="CM160" s="480">
        <v>0.36</v>
      </c>
      <c r="CN160" s="480">
        <v>0.24</v>
      </c>
    </row>
    <row r="161" spans="1:92" ht="24.95" customHeight="1" x14ac:dyDescent="0.2">
      <c r="A161" s="814" t="s">
        <v>118</v>
      </c>
      <c r="B161" s="1" t="s">
        <v>221</v>
      </c>
      <c r="C161" s="2">
        <v>3</v>
      </c>
      <c r="D161" s="12">
        <v>55</v>
      </c>
      <c r="E161" s="12">
        <v>8</v>
      </c>
      <c r="F161" s="63">
        <v>0</v>
      </c>
      <c r="G161" s="63">
        <v>0.27</v>
      </c>
      <c r="H161" s="63">
        <v>0.67</v>
      </c>
      <c r="I161" s="63">
        <v>7.0000000000000007E-2</v>
      </c>
      <c r="J161" s="63">
        <v>0.4</v>
      </c>
      <c r="K161" s="63">
        <v>0.49</v>
      </c>
      <c r="L161" s="63">
        <v>0.54</v>
      </c>
      <c r="M161" s="25">
        <v>54</v>
      </c>
      <c r="N161" s="25">
        <v>7</v>
      </c>
      <c r="O161" s="61">
        <v>0</v>
      </c>
      <c r="P161" s="61">
        <v>0.32</v>
      </c>
      <c r="Q161" s="61">
        <v>0.64</v>
      </c>
      <c r="R161" s="61">
        <v>0.04</v>
      </c>
      <c r="S161" s="61">
        <v>0.38</v>
      </c>
      <c r="T161" s="61">
        <v>0.48</v>
      </c>
      <c r="U161" s="61">
        <v>0.53</v>
      </c>
      <c r="V161" s="12">
        <v>54</v>
      </c>
      <c r="W161" s="12">
        <v>8</v>
      </c>
      <c r="X161" s="66">
        <v>0.04</v>
      </c>
      <c r="Y161" s="66">
        <v>0.18</v>
      </c>
      <c r="Z161" s="66">
        <v>0.75</v>
      </c>
      <c r="AA161" s="66">
        <v>0.04</v>
      </c>
      <c r="AB161" s="66">
        <v>0.44</v>
      </c>
      <c r="AC161" s="66">
        <v>0.46</v>
      </c>
      <c r="AD161" s="66">
        <v>0.45</v>
      </c>
      <c r="AE161" s="12">
        <v>56</v>
      </c>
      <c r="AF161" s="12">
        <v>10</v>
      </c>
      <c r="AG161" s="63">
        <v>0</v>
      </c>
      <c r="AH161" s="63">
        <v>0.38</v>
      </c>
      <c r="AI161" s="63">
        <v>0.38</v>
      </c>
      <c r="AJ161" s="63">
        <v>0.24</v>
      </c>
      <c r="AK161" s="63">
        <v>0.38</v>
      </c>
      <c r="AL161" s="63">
        <v>0.36</v>
      </c>
      <c r="AM161" s="63">
        <v>0.41</v>
      </c>
      <c r="AN161" s="35">
        <v>49</v>
      </c>
      <c r="AO161" s="35">
        <v>8</v>
      </c>
      <c r="AP161" s="40">
        <v>0.03</v>
      </c>
      <c r="AQ161" s="40">
        <v>0.41</v>
      </c>
      <c r="AR161" s="40">
        <v>0.52</v>
      </c>
      <c r="AS161" s="40">
        <v>0.03</v>
      </c>
      <c r="AT161" s="40">
        <v>0.56999999999999995</v>
      </c>
      <c r="AU161" s="40">
        <v>0.45</v>
      </c>
      <c r="AV161" s="40">
        <v>0.48</v>
      </c>
      <c r="AW161" s="247">
        <v>57</v>
      </c>
      <c r="AX161" s="247" t="s">
        <v>874</v>
      </c>
      <c r="AY161" s="247">
        <v>8</v>
      </c>
      <c r="AZ161" s="247" t="s">
        <v>874</v>
      </c>
      <c r="BA161" s="264">
        <v>0</v>
      </c>
      <c r="BB161" s="264">
        <v>0.3</v>
      </c>
      <c r="BC161" s="264">
        <v>0.56999999999999995</v>
      </c>
      <c r="BD161" s="264">
        <v>0.14000000000000001</v>
      </c>
      <c r="BE161" s="264">
        <v>0.41</v>
      </c>
      <c r="BF161" s="264">
        <v>0.31</v>
      </c>
      <c r="BG161" s="264">
        <v>0.51</v>
      </c>
      <c r="BH161" s="311">
        <v>56</v>
      </c>
      <c r="BI161" s="311" t="s">
        <v>874</v>
      </c>
      <c r="BJ161" s="311">
        <v>10</v>
      </c>
      <c r="BK161" s="311" t="s">
        <v>874</v>
      </c>
      <c r="BL161" s="329">
        <v>0</v>
      </c>
      <c r="BM161" s="329">
        <v>0.33</v>
      </c>
      <c r="BN161" s="329">
        <v>0.53</v>
      </c>
      <c r="BO161" s="329">
        <v>0.15</v>
      </c>
      <c r="BP161" s="329">
        <v>0.44</v>
      </c>
      <c r="BQ161" s="329">
        <v>0.33</v>
      </c>
      <c r="BR161" s="329">
        <v>0.42</v>
      </c>
      <c r="BS161" s="426">
        <v>55</v>
      </c>
      <c r="BT161" s="426" t="s">
        <v>874</v>
      </c>
      <c r="BU161" s="426">
        <v>9</v>
      </c>
      <c r="BV161" s="426" t="s">
        <v>874</v>
      </c>
      <c r="BW161" s="430">
        <v>0</v>
      </c>
      <c r="BX161" s="430">
        <v>0.33</v>
      </c>
      <c r="BY161" s="430">
        <v>0.53</v>
      </c>
      <c r="BZ161" s="430">
        <v>0.13</v>
      </c>
      <c r="CA161" s="430">
        <v>0.35</v>
      </c>
      <c r="CB161" s="430">
        <v>0.49</v>
      </c>
      <c r="CC161" s="430">
        <v>0.44</v>
      </c>
      <c r="CD161" s="466">
        <v>51</v>
      </c>
      <c r="CE161" s="466" t="s">
        <v>874</v>
      </c>
      <c r="CF161" s="466">
        <v>8</v>
      </c>
      <c r="CG161" s="466" t="s">
        <v>874</v>
      </c>
      <c r="CH161" s="480">
        <v>0.09</v>
      </c>
      <c r="CI161" s="480">
        <v>0.36</v>
      </c>
      <c r="CJ161" s="480">
        <v>0.55000000000000004</v>
      </c>
      <c r="CK161" s="480">
        <v>0</v>
      </c>
      <c r="CL161" s="480">
        <v>0.5</v>
      </c>
      <c r="CM161" s="480">
        <v>0.46</v>
      </c>
      <c r="CN161" s="480">
        <v>0.4</v>
      </c>
    </row>
    <row r="162" spans="1:92" ht="24.95" customHeight="1" x14ac:dyDescent="0.2">
      <c r="A162" s="814" t="s">
        <v>205</v>
      </c>
      <c r="B162" s="1" t="s">
        <v>221</v>
      </c>
      <c r="C162" s="2">
        <v>5</v>
      </c>
      <c r="D162" s="12">
        <v>53</v>
      </c>
      <c r="E162" s="12">
        <v>9</v>
      </c>
      <c r="F162" s="63">
        <v>0.03</v>
      </c>
      <c r="G162" s="63">
        <v>0.38</v>
      </c>
      <c r="H162" s="63">
        <v>0.5</v>
      </c>
      <c r="I162" s="63">
        <v>0.09</v>
      </c>
      <c r="J162" s="63">
        <v>0.44</v>
      </c>
      <c r="K162" s="63">
        <v>0.53</v>
      </c>
      <c r="L162" s="63">
        <v>0.56000000000000005</v>
      </c>
      <c r="M162" s="25">
        <v>58</v>
      </c>
      <c r="N162" s="25">
        <v>9</v>
      </c>
      <c r="O162" s="61">
        <v>0.05</v>
      </c>
      <c r="P162" s="61">
        <v>0.13</v>
      </c>
      <c r="Q162" s="61">
        <v>0.68</v>
      </c>
      <c r="R162" s="61">
        <v>0.15</v>
      </c>
      <c r="S162" s="61">
        <v>0.35</v>
      </c>
      <c r="T162" s="61">
        <v>0.43</v>
      </c>
      <c r="U162" s="61">
        <v>0.42</v>
      </c>
      <c r="V162" s="12">
        <v>56</v>
      </c>
      <c r="W162" s="12">
        <v>8</v>
      </c>
      <c r="X162" s="66">
        <v>0.02</v>
      </c>
      <c r="Y162" s="66">
        <v>0.28999999999999998</v>
      </c>
      <c r="Z162" s="66">
        <v>0.55000000000000004</v>
      </c>
      <c r="AA162" s="66">
        <v>0.14000000000000001</v>
      </c>
      <c r="AB162" s="66">
        <v>0.4</v>
      </c>
      <c r="AC162" s="66">
        <v>0.47</v>
      </c>
      <c r="AD162" s="66">
        <v>0.46</v>
      </c>
      <c r="AE162" s="12">
        <v>57</v>
      </c>
      <c r="AF162" s="12">
        <v>9</v>
      </c>
      <c r="AG162" s="63">
        <v>0.02</v>
      </c>
      <c r="AH162" s="63">
        <v>0.24</v>
      </c>
      <c r="AI162" s="63">
        <v>0.55000000000000004</v>
      </c>
      <c r="AJ162" s="63">
        <v>0.2</v>
      </c>
      <c r="AK162" s="63">
        <v>0.38</v>
      </c>
      <c r="AL162" s="63">
        <v>0.33</v>
      </c>
      <c r="AM162" s="63">
        <v>0.37</v>
      </c>
      <c r="AN162" s="35">
        <v>58</v>
      </c>
      <c r="AO162" s="35">
        <v>7</v>
      </c>
      <c r="AP162" s="40">
        <v>0</v>
      </c>
      <c r="AQ162" s="40">
        <v>0.14000000000000001</v>
      </c>
      <c r="AR162" s="40">
        <v>0.7</v>
      </c>
      <c r="AS162" s="40">
        <v>0.16</v>
      </c>
      <c r="AT162" s="40">
        <v>0.39</v>
      </c>
      <c r="AU162" s="40">
        <v>0.28000000000000003</v>
      </c>
      <c r="AV162" s="40">
        <v>0.38</v>
      </c>
      <c r="AW162" s="247">
        <v>57</v>
      </c>
      <c r="AX162" s="247" t="s">
        <v>874</v>
      </c>
      <c r="AY162" s="247">
        <v>8</v>
      </c>
      <c r="AZ162" s="247" t="s">
        <v>874</v>
      </c>
      <c r="BA162" s="264">
        <v>0</v>
      </c>
      <c r="BB162" s="264">
        <v>0.21</v>
      </c>
      <c r="BC162" s="264">
        <v>0.69</v>
      </c>
      <c r="BD162" s="264">
        <v>0.1</v>
      </c>
      <c r="BE162" s="264">
        <v>0.36</v>
      </c>
      <c r="BF162" s="264">
        <v>0.3</v>
      </c>
      <c r="BG162" s="264">
        <v>0.53</v>
      </c>
      <c r="BH162" s="311">
        <v>60</v>
      </c>
      <c r="BI162" s="311" t="s">
        <v>874</v>
      </c>
      <c r="BJ162" s="311">
        <v>7</v>
      </c>
      <c r="BK162" s="311" t="s">
        <v>874</v>
      </c>
      <c r="BL162" s="329">
        <v>0</v>
      </c>
      <c r="BM162" s="329">
        <v>0.13</v>
      </c>
      <c r="BN162" s="329">
        <v>0.66</v>
      </c>
      <c r="BO162" s="329">
        <v>0.21</v>
      </c>
      <c r="BP162" s="329">
        <v>0.43</v>
      </c>
      <c r="BQ162" s="329">
        <v>0.26</v>
      </c>
      <c r="BR162" s="329">
        <v>0.3</v>
      </c>
      <c r="BS162" s="426">
        <v>58</v>
      </c>
      <c r="BT162" s="426" t="s">
        <v>874</v>
      </c>
      <c r="BU162" s="426">
        <v>9</v>
      </c>
      <c r="BV162" s="426" t="s">
        <v>874</v>
      </c>
      <c r="BW162" s="430">
        <v>0.02</v>
      </c>
      <c r="BX162" s="430">
        <v>0.18</v>
      </c>
      <c r="BY162" s="430">
        <v>0.62</v>
      </c>
      <c r="BZ162" s="430">
        <v>0.18</v>
      </c>
      <c r="CA162" s="430">
        <v>0.31</v>
      </c>
      <c r="CB162" s="430">
        <v>0.39</v>
      </c>
      <c r="CC162" s="430">
        <v>0.42</v>
      </c>
      <c r="CD162" s="466">
        <v>58</v>
      </c>
      <c r="CE162" s="466" t="s">
        <v>874</v>
      </c>
      <c r="CF162" s="466">
        <v>7</v>
      </c>
      <c r="CG162" s="466" t="s">
        <v>874</v>
      </c>
      <c r="CH162" s="480">
        <v>0</v>
      </c>
      <c r="CI162" s="480">
        <v>0.14000000000000001</v>
      </c>
      <c r="CJ162" s="480">
        <v>0.69</v>
      </c>
      <c r="CK162" s="480">
        <v>0.17</v>
      </c>
      <c r="CL162" s="480">
        <v>0.4</v>
      </c>
      <c r="CM162" s="480">
        <v>0.38</v>
      </c>
      <c r="CN162" s="480">
        <v>0.28999999999999998</v>
      </c>
    </row>
    <row r="163" spans="1:92" ht="24.95" customHeight="1" x14ac:dyDescent="0.2">
      <c r="A163" s="816" t="s">
        <v>201</v>
      </c>
      <c r="B163" s="1" t="s">
        <v>219</v>
      </c>
      <c r="C163" s="2">
        <v>5</v>
      </c>
      <c r="D163" s="12">
        <v>56</v>
      </c>
      <c r="E163" s="12">
        <v>8</v>
      </c>
      <c r="F163" s="63">
        <v>0.01</v>
      </c>
      <c r="G163" s="63">
        <v>0.25</v>
      </c>
      <c r="H163" s="63">
        <v>0.64</v>
      </c>
      <c r="I163" s="63">
        <v>0.1</v>
      </c>
      <c r="J163" s="63">
        <v>0.41</v>
      </c>
      <c r="K163" s="63">
        <v>0.42</v>
      </c>
      <c r="L163" s="63">
        <v>0.53</v>
      </c>
      <c r="M163" s="25">
        <v>59</v>
      </c>
      <c r="N163" s="25">
        <v>7</v>
      </c>
      <c r="O163" s="61">
        <v>0</v>
      </c>
      <c r="P163" s="61">
        <v>0.16</v>
      </c>
      <c r="Q163" s="61">
        <v>0.63</v>
      </c>
      <c r="R163" s="61">
        <v>0.21</v>
      </c>
      <c r="S163" s="61">
        <v>0.34</v>
      </c>
      <c r="T163" s="61">
        <v>0.38</v>
      </c>
      <c r="U163" s="61">
        <v>0.39</v>
      </c>
      <c r="V163" s="12">
        <v>57</v>
      </c>
      <c r="W163" s="12">
        <v>8</v>
      </c>
      <c r="X163" s="66">
        <v>0.01</v>
      </c>
      <c r="Y163" s="66">
        <v>0.15</v>
      </c>
      <c r="Z163" s="66">
        <v>0.66</v>
      </c>
      <c r="AA163" s="66">
        <v>0.18</v>
      </c>
      <c r="AB163" s="66">
        <v>0.37</v>
      </c>
      <c r="AC163" s="66">
        <v>0.43</v>
      </c>
      <c r="AD163" s="66">
        <v>0.44</v>
      </c>
      <c r="AE163" s="12">
        <v>59</v>
      </c>
      <c r="AF163" s="12">
        <v>7</v>
      </c>
      <c r="AG163" s="63">
        <v>0</v>
      </c>
      <c r="AH163" s="63">
        <v>0.16</v>
      </c>
      <c r="AI163" s="63">
        <v>0.63</v>
      </c>
      <c r="AJ163" s="63">
        <v>0.21</v>
      </c>
      <c r="AK163" s="63">
        <v>0.34</v>
      </c>
      <c r="AL163" s="63">
        <v>0.26</v>
      </c>
      <c r="AM163" s="63">
        <v>0.35</v>
      </c>
      <c r="AN163" s="35">
        <v>60</v>
      </c>
      <c r="AO163" s="35">
        <v>7</v>
      </c>
      <c r="AP163" s="40">
        <v>0</v>
      </c>
      <c r="AQ163" s="40">
        <v>0.08</v>
      </c>
      <c r="AR163" s="40">
        <v>0.76</v>
      </c>
      <c r="AS163" s="40">
        <v>0.16</v>
      </c>
      <c r="AT163" s="40">
        <v>0.36</v>
      </c>
      <c r="AU163" s="40">
        <v>0.25</v>
      </c>
      <c r="AV163" s="40">
        <v>0.35</v>
      </c>
      <c r="AW163" s="247">
        <v>59</v>
      </c>
      <c r="AX163" s="247" t="s">
        <v>874</v>
      </c>
      <c r="AY163" s="247">
        <v>8</v>
      </c>
      <c r="AZ163" s="247" t="s">
        <v>874</v>
      </c>
      <c r="BA163" s="264">
        <v>0</v>
      </c>
      <c r="BB163" s="264">
        <v>0.15</v>
      </c>
      <c r="BC163" s="264">
        <v>0.67</v>
      </c>
      <c r="BD163" s="264">
        <v>0.19</v>
      </c>
      <c r="BE163" s="264">
        <v>0.33</v>
      </c>
      <c r="BF163" s="264">
        <v>0.3</v>
      </c>
      <c r="BG163" s="264">
        <v>0.47</v>
      </c>
      <c r="BH163" s="311">
        <v>60</v>
      </c>
      <c r="BI163" s="311" t="s">
        <v>874</v>
      </c>
      <c r="BJ163" s="311">
        <v>7</v>
      </c>
      <c r="BK163" s="311" t="s">
        <v>874</v>
      </c>
      <c r="BL163" s="329">
        <v>0.01</v>
      </c>
      <c r="BM163" s="329">
        <v>7.0000000000000007E-2</v>
      </c>
      <c r="BN163" s="329">
        <v>0.67</v>
      </c>
      <c r="BO163" s="329">
        <v>0.25</v>
      </c>
      <c r="BP163" s="329">
        <v>0.35</v>
      </c>
      <c r="BQ163" s="329">
        <v>0.25</v>
      </c>
      <c r="BR163" s="329">
        <v>0.32</v>
      </c>
      <c r="BS163" s="426">
        <v>59</v>
      </c>
      <c r="BT163" s="426" t="s">
        <v>874</v>
      </c>
      <c r="BU163" s="426">
        <v>8</v>
      </c>
      <c r="BV163" s="426" t="s">
        <v>874</v>
      </c>
      <c r="BW163" s="430">
        <v>0</v>
      </c>
      <c r="BX163" s="430">
        <v>0.14000000000000001</v>
      </c>
      <c r="BY163" s="430">
        <v>0.68</v>
      </c>
      <c r="BZ163" s="430">
        <v>0.18</v>
      </c>
      <c r="CA163" s="430">
        <v>0.28000000000000003</v>
      </c>
      <c r="CB163" s="430">
        <v>0.38</v>
      </c>
      <c r="CC163" s="430">
        <v>0.44</v>
      </c>
      <c r="CD163" s="466">
        <v>59</v>
      </c>
      <c r="CE163" s="466" t="s">
        <v>874</v>
      </c>
      <c r="CF163" s="466">
        <v>8</v>
      </c>
      <c r="CG163" s="466" t="s">
        <v>874</v>
      </c>
      <c r="CH163" s="480">
        <v>0.01</v>
      </c>
      <c r="CI163" s="480">
        <v>0.1</v>
      </c>
      <c r="CJ163" s="480">
        <v>0.64</v>
      </c>
      <c r="CK163" s="480">
        <v>0.26</v>
      </c>
      <c r="CL163" s="480">
        <v>0.39</v>
      </c>
      <c r="CM163" s="480">
        <v>0.37</v>
      </c>
      <c r="CN163" s="480">
        <v>0.25</v>
      </c>
    </row>
    <row r="164" spans="1:92" ht="24.95" customHeight="1" x14ac:dyDescent="0.2">
      <c r="A164" s="814" t="s">
        <v>213</v>
      </c>
      <c r="B164" s="1" t="s">
        <v>221</v>
      </c>
      <c r="C164" s="2">
        <v>5</v>
      </c>
      <c r="D164" s="12">
        <v>58</v>
      </c>
      <c r="E164" s="12">
        <v>5</v>
      </c>
      <c r="F164" s="63">
        <v>0</v>
      </c>
      <c r="G164" s="63">
        <v>0.05</v>
      </c>
      <c r="H164" s="63">
        <v>0.95</v>
      </c>
      <c r="I164" s="63">
        <v>0</v>
      </c>
      <c r="J164" s="63">
        <v>0.42</v>
      </c>
      <c r="K164" s="63">
        <v>0.38</v>
      </c>
      <c r="L164" s="63">
        <v>0.5</v>
      </c>
      <c r="M164" s="25">
        <v>61</v>
      </c>
      <c r="N164" s="25">
        <v>6</v>
      </c>
      <c r="O164" s="61">
        <v>0</v>
      </c>
      <c r="P164" s="61">
        <v>7.0000000000000007E-2</v>
      </c>
      <c r="Q164" s="61">
        <v>0.71</v>
      </c>
      <c r="R164" s="61">
        <v>0.21</v>
      </c>
      <c r="S164" s="61">
        <v>0.27</v>
      </c>
      <c r="T164" s="61">
        <v>0.39</v>
      </c>
      <c r="U164" s="61">
        <v>0.34</v>
      </c>
      <c r="V164" s="12">
        <v>61</v>
      </c>
      <c r="W164" s="12">
        <v>8</v>
      </c>
      <c r="X164" s="66">
        <v>0</v>
      </c>
      <c r="Y164" s="66">
        <v>0.14000000000000001</v>
      </c>
      <c r="Z164" s="66">
        <v>0.56999999999999995</v>
      </c>
      <c r="AA164" s="66">
        <v>0.28999999999999998</v>
      </c>
      <c r="AB164" s="66">
        <v>0.31</v>
      </c>
      <c r="AC164" s="66">
        <v>0.35</v>
      </c>
      <c r="AD164" s="66">
        <v>0.41</v>
      </c>
      <c r="AE164" s="12">
        <v>59</v>
      </c>
      <c r="AF164" s="12">
        <v>7</v>
      </c>
      <c r="AG164" s="63">
        <v>0</v>
      </c>
      <c r="AH164" s="63">
        <v>0.15</v>
      </c>
      <c r="AI164" s="63">
        <v>0.7</v>
      </c>
      <c r="AJ164" s="63">
        <v>0.15</v>
      </c>
      <c r="AK164" s="63">
        <v>0.35</v>
      </c>
      <c r="AL164" s="63">
        <v>0.32</v>
      </c>
      <c r="AM164" s="63">
        <v>0.32</v>
      </c>
      <c r="AN164" s="35">
        <v>58</v>
      </c>
      <c r="AO164" s="35">
        <v>7</v>
      </c>
      <c r="AP164" s="40">
        <v>0</v>
      </c>
      <c r="AQ164" s="40">
        <v>0.12</v>
      </c>
      <c r="AR164" s="40">
        <v>0.77</v>
      </c>
      <c r="AS164" s="40">
        <v>0.12</v>
      </c>
      <c r="AT164" s="40">
        <v>0.41</v>
      </c>
      <c r="AU164" s="40">
        <v>0.3</v>
      </c>
      <c r="AV164" s="40">
        <v>0.37</v>
      </c>
      <c r="AW164" s="247">
        <v>59</v>
      </c>
      <c r="AX164" s="247" t="s">
        <v>874</v>
      </c>
      <c r="AY164" s="247">
        <v>9</v>
      </c>
      <c r="AZ164" s="247" t="s">
        <v>874</v>
      </c>
      <c r="BA164" s="264">
        <v>0</v>
      </c>
      <c r="BB164" s="264">
        <v>0.12</v>
      </c>
      <c r="BC164" s="264">
        <v>0.6</v>
      </c>
      <c r="BD164" s="264">
        <v>0.28000000000000003</v>
      </c>
      <c r="BE164" s="264">
        <v>0.37</v>
      </c>
      <c r="BF164" s="264">
        <v>0.28000000000000003</v>
      </c>
      <c r="BG164" s="264">
        <v>0.47</v>
      </c>
      <c r="BH164" s="311">
        <v>59</v>
      </c>
      <c r="BI164" s="311" t="s">
        <v>874</v>
      </c>
      <c r="BJ164" s="311">
        <v>8</v>
      </c>
      <c r="BK164" s="311" t="s">
        <v>874</v>
      </c>
      <c r="BL164" s="329">
        <v>0</v>
      </c>
      <c r="BM164" s="329">
        <v>0.16</v>
      </c>
      <c r="BN164" s="329">
        <v>0.63</v>
      </c>
      <c r="BO164" s="329">
        <v>0.21</v>
      </c>
      <c r="BP164" s="329">
        <v>0.4</v>
      </c>
      <c r="BQ164" s="329">
        <v>0.25</v>
      </c>
      <c r="BR164" s="329">
        <v>0.35</v>
      </c>
      <c r="BS164" s="426">
        <v>60</v>
      </c>
      <c r="BT164" s="426" t="s">
        <v>874</v>
      </c>
      <c r="BU164" s="426">
        <v>7</v>
      </c>
      <c r="BV164" s="426" t="s">
        <v>874</v>
      </c>
      <c r="BW164" s="430">
        <v>0</v>
      </c>
      <c r="BX164" s="430">
        <v>0.09</v>
      </c>
      <c r="BY164" s="430">
        <v>0.64</v>
      </c>
      <c r="BZ164" s="430">
        <v>0.27</v>
      </c>
      <c r="CA164" s="430">
        <v>0.27</v>
      </c>
      <c r="CB164" s="430">
        <v>0.38</v>
      </c>
      <c r="CC164" s="430">
        <v>0.37</v>
      </c>
      <c r="CD164" s="466">
        <v>60</v>
      </c>
      <c r="CE164" s="466" t="s">
        <v>874</v>
      </c>
      <c r="CF164" s="466">
        <v>8</v>
      </c>
      <c r="CG164" s="466" t="s">
        <v>874</v>
      </c>
      <c r="CH164" s="480">
        <v>0.01</v>
      </c>
      <c r="CI164" s="480">
        <v>0.08</v>
      </c>
      <c r="CJ164" s="480">
        <v>0.63</v>
      </c>
      <c r="CK164" s="480">
        <v>0.28000000000000003</v>
      </c>
      <c r="CL164" s="480">
        <v>0.38</v>
      </c>
      <c r="CM164" s="480">
        <v>0.35</v>
      </c>
      <c r="CN164" s="480">
        <v>0.25</v>
      </c>
    </row>
    <row r="165" spans="1:92" ht="24.95" customHeight="1" x14ac:dyDescent="0.2">
      <c r="A165" s="814" t="s">
        <v>176</v>
      </c>
      <c r="B165" s="1" t="s">
        <v>221</v>
      </c>
      <c r="C165" s="2">
        <v>5</v>
      </c>
      <c r="D165" s="12">
        <v>56</v>
      </c>
      <c r="E165" s="12">
        <v>8</v>
      </c>
      <c r="F165" s="63">
        <v>0</v>
      </c>
      <c r="G165" s="63">
        <v>0.3</v>
      </c>
      <c r="H165" s="63">
        <v>0.6</v>
      </c>
      <c r="I165" s="63">
        <v>0.1</v>
      </c>
      <c r="J165" s="63">
        <v>0.41</v>
      </c>
      <c r="K165" s="63">
        <v>0.44</v>
      </c>
      <c r="L165" s="63">
        <v>0.53</v>
      </c>
      <c r="M165" s="25">
        <v>58</v>
      </c>
      <c r="N165" s="25">
        <v>7</v>
      </c>
      <c r="O165" s="61">
        <v>0</v>
      </c>
      <c r="P165" s="61">
        <v>0.17</v>
      </c>
      <c r="Q165" s="61">
        <v>0.69</v>
      </c>
      <c r="R165" s="61">
        <v>0.14000000000000001</v>
      </c>
      <c r="S165" s="61">
        <v>0.38</v>
      </c>
      <c r="T165" s="61">
        <v>0.38</v>
      </c>
      <c r="U165" s="61">
        <v>0.44</v>
      </c>
      <c r="V165" s="12">
        <v>61</v>
      </c>
      <c r="W165" s="12">
        <v>6</v>
      </c>
      <c r="X165" s="66">
        <v>0</v>
      </c>
      <c r="Y165" s="66">
        <v>0.06</v>
      </c>
      <c r="Z165" s="66">
        <v>0.78</v>
      </c>
      <c r="AA165" s="66">
        <v>0.17</v>
      </c>
      <c r="AB165" s="66">
        <v>0.32</v>
      </c>
      <c r="AC165" s="66">
        <v>0.4</v>
      </c>
      <c r="AD165" s="66">
        <v>0.38</v>
      </c>
      <c r="AE165" s="12">
        <v>58</v>
      </c>
      <c r="AF165" s="12">
        <v>8</v>
      </c>
      <c r="AG165" s="63">
        <v>0</v>
      </c>
      <c r="AH165" s="63">
        <v>0.15</v>
      </c>
      <c r="AI165" s="63">
        <v>0.65</v>
      </c>
      <c r="AJ165" s="63">
        <v>0.2</v>
      </c>
      <c r="AK165" s="63">
        <v>0.34</v>
      </c>
      <c r="AL165" s="63">
        <v>0.31</v>
      </c>
      <c r="AM165" s="63">
        <v>0.33</v>
      </c>
      <c r="AN165" s="35">
        <v>56</v>
      </c>
      <c r="AO165" s="35">
        <v>5</v>
      </c>
      <c r="AP165" s="40">
        <v>0</v>
      </c>
      <c r="AQ165" s="40">
        <v>0.05</v>
      </c>
      <c r="AR165" s="40">
        <v>0.95</v>
      </c>
      <c r="AS165" s="40">
        <v>0</v>
      </c>
      <c r="AT165" s="40">
        <v>0.44</v>
      </c>
      <c r="AU165" s="40">
        <v>0.28999999999999998</v>
      </c>
      <c r="AV165" s="40">
        <v>0.37</v>
      </c>
      <c r="AW165" s="247">
        <v>56</v>
      </c>
      <c r="AX165" s="247" t="s">
        <v>874</v>
      </c>
      <c r="AY165" s="247">
        <v>7</v>
      </c>
      <c r="AZ165" s="247" t="s">
        <v>874</v>
      </c>
      <c r="BA165" s="264">
        <v>0</v>
      </c>
      <c r="BB165" s="264">
        <v>0.28999999999999998</v>
      </c>
      <c r="BC165" s="264">
        <v>0.64</v>
      </c>
      <c r="BD165" s="264">
        <v>7.0000000000000007E-2</v>
      </c>
      <c r="BE165" s="264">
        <v>0.37</v>
      </c>
      <c r="BF165" s="264">
        <v>0.35</v>
      </c>
      <c r="BG165" s="264">
        <v>0.54</v>
      </c>
      <c r="BH165" s="311">
        <v>63</v>
      </c>
      <c r="BI165" s="311" t="s">
        <v>875</v>
      </c>
      <c r="BJ165" s="311">
        <v>7</v>
      </c>
      <c r="BK165" s="311" t="s">
        <v>874</v>
      </c>
      <c r="BL165" s="329">
        <v>0</v>
      </c>
      <c r="BM165" s="329">
        <v>0.03</v>
      </c>
      <c r="BN165" s="329">
        <v>0.52</v>
      </c>
      <c r="BO165" s="329">
        <v>0.45</v>
      </c>
      <c r="BP165" s="329">
        <v>0.28999999999999998</v>
      </c>
      <c r="BQ165" s="329">
        <v>0.24</v>
      </c>
      <c r="BR165" s="329">
        <v>0.28000000000000003</v>
      </c>
      <c r="BS165" s="426">
        <v>59</v>
      </c>
      <c r="BT165" s="426" t="s">
        <v>874</v>
      </c>
      <c r="BU165" s="426">
        <v>9</v>
      </c>
      <c r="BV165" s="426" t="s">
        <v>874</v>
      </c>
      <c r="BW165" s="430">
        <v>0</v>
      </c>
      <c r="BX165" s="430">
        <v>0.17</v>
      </c>
      <c r="BY165" s="430">
        <v>0.64</v>
      </c>
      <c r="BZ165" s="430">
        <v>0.19</v>
      </c>
      <c r="CA165" s="430">
        <v>0.34</v>
      </c>
      <c r="CB165" s="430">
        <v>0.41</v>
      </c>
      <c r="CC165" s="430">
        <v>0.38</v>
      </c>
      <c r="CD165" s="466">
        <v>60</v>
      </c>
      <c r="CE165" s="466" t="s">
        <v>874</v>
      </c>
      <c r="CF165" s="466">
        <v>7</v>
      </c>
      <c r="CG165" s="466" t="s">
        <v>874</v>
      </c>
      <c r="CH165" s="480">
        <v>0</v>
      </c>
      <c r="CI165" s="480">
        <v>0.09</v>
      </c>
      <c r="CJ165" s="480">
        <v>0.64</v>
      </c>
      <c r="CK165" s="480">
        <v>0.27</v>
      </c>
      <c r="CL165" s="480">
        <v>0.37</v>
      </c>
      <c r="CM165" s="480">
        <v>0.37</v>
      </c>
      <c r="CN165" s="480">
        <v>0.25</v>
      </c>
    </row>
    <row r="166" spans="1:92" ht="24.95" customHeight="1" x14ac:dyDescent="0.2">
      <c r="A166" s="814" t="s">
        <v>285</v>
      </c>
      <c r="B166" s="1" t="s">
        <v>221</v>
      </c>
      <c r="C166" s="2">
        <v>4</v>
      </c>
      <c r="D166" s="12">
        <v>44</v>
      </c>
      <c r="E166" s="12">
        <v>4</v>
      </c>
      <c r="F166" s="63">
        <v>0</v>
      </c>
      <c r="G166" s="63">
        <v>1</v>
      </c>
      <c r="H166" s="63">
        <v>0</v>
      </c>
      <c r="I166" s="63">
        <v>0</v>
      </c>
      <c r="J166" s="63">
        <v>0.67</v>
      </c>
      <c r="K166" s="63">
        <v>0.71</v>
      </c>
      <c r="L166" s="63">
        <v>0.69</v>
      </c>
      <c r="M166" s="25">
        <v>46</v>
      </c>
      <c r="N166" s="25">
        <v>6</v>
      </c>
      <c r="O166" s="61">
        <v>0</v>
      </c>
      <c r="P166" s="61">
        <v>0.8</v>
      </c>
      <c r="Q166" s="61">
        <v>0.2</v>
      </c>
      <c r="R166" s="61">
        <v>0</v>
      </c>
      <c r="S166" s="61">
        <v>0.53</v>
      </c>
      <c r="T166" s="61">
        <v>0.57999999999999996</v>
      </c>
      <c r="U166" s="61">
        <v>0.71</v>
      </c>
      <c r="V166" s="25">
        <v>47</v>
      </c>
      <c r="W166" s="25">
        <v>6</v>
      </c>
      <c r="X166" s="66">
        <v>0</v>
      </c>
      <c r="Y166" s="66">
        <v>0.75</v>
      </c>
      <c r="Z166" s="66">
        <v>0.25</v>
      </c>
      <c r="AA166" s="66">
        <v>0</v>
      </c>
      <c r="AB166" s="66">
        <v>0.55000000000000004</v>
      </c>
      <c r="AC166" s="66">
        <v>0.55000000000000004</v>
      </c>
      <c r="AD166" s="66">
        <v>0.69</v>
      </c>
      <c r="AE166" s="12">
        <v>47</v>
      </c>
      <c r="AF166" s="12">
        <v>6</v>
      </c>
      <c r="AG166" s="63">
        <v>0</v>
      </c>
      <c r="AH166" s="63">
        <v>0.75</v>
      </c>
      <c r="AI166" s="63">
        <v>0.25</v>
      </c>
      <c r="AJ166" s="63">
        <v>0</v>
      </c>
      <c r="AK166" s="63">
        <v>0.48</v>
      </c>
      <c r="AL166" s="63">
        <v>0.54</v>
      </c>
      <c r="AM166" s="63">
        <v>0.5</v>
      </c>
      <c r="AN166" s="35">
        <v>44</v>
      </c>
      <c r="AO166" s="35">
        <v>5</v>
      </c>
      <c r="AP166" s="40">
        <v>0</v>
      </c>
      <c r="AQ166" s="40">
        <v>0.83</v>
      </c>
      <c r="AR166" s="40">
        <v>0.17</v>
      </c>
      <c r="AS166" s="40">
        <v>0</v>
      </c>
      <c r="AT166" s="40">
        <v>0.57999999999999996</v>
      </c>
      <c r="AU166" s="40">
        <v>0.56000000000000005</v>
      </c>
      <c r="AV166" s="40">
        <v>0.57999999999999996</v>
      </c>
      <c r="AW166" s="247">
        <v>50</v>
      </c>
      <c r="AX166" s="247" t="s">
        <v>874</v>
      </c>
      <c r="AY166" s="247">
        <v>6</v>
      </c>
      <c r="AZ166" s="247" t="s">
        <v>874</v>
      </c>
      <c r="BA166" s="264">
        <v>0</v>
      </c>
      <c r="BB166" s="264">
        <v>0.73</v>
      </c>
      <c r="BC166" s="264">
        <v>0.27</v>
      </c>
      <c r="BD166" s="264">
        <v>0</v>
      </c>
      <c r="BE166" s="264">
        <v>0.54</v>
      </c>
      <c r="BF166" s="264">
        <v>0.41</v>
      </c>
      <c r="BG166" s="264">
        <v>0.61</v>
      </c>
      <c r="BH166" s="311">
        <v>51</v>
      </c>
      <c r="BI166" s="311" t="s">
        <v>874</v>
      </c>
      <c r="BJ166" s="311">
        <v>8</v>
      </c>
      <c r="BK166" s="311" t="s">
        <v>874</v>
      </c>
      <c r="BL166" s="329">
        <v>0.09</v>
      </c>
      <c r="BM166" s="329">
        <v>0.36</v>
      </c>
      <c r="BN166" s="329">
        <v>0.55000000000000004</v>
      </c>
      <c r="BO166" s="329">
        <v>0</v>
      </c>
      <c r="BP166" s="329">
        <v>0.51</v>
      </c>
      <c r="BQ166" s="329">
        <v>0.4</v>
      </c>
      <c r="BR166" s="329">
        <v>0.53</v>
      </c>
      <c r="BS166" s="426">
        <v>49</v>
      </c>
      <c r="BT166" s="426" t="s">
        <v>874</v>
      </c>
      <c r="BU166" s="426">
        <v>11</v>
      </c>
      <c r="BV166" s="426" t="s">
        <v>874</v>
      </c>
      <c r="BW166" s="430">
        <v>0</v>
      </c>
      <c r="BX166" s="430">
        <v>0.8</v>
      </c>
      <c r="BY166" s="430">
        <v>0</v>
      </c>
      <c r="BZ166" s="430">
        <v>0.2</v>
      </c>
      <c r="CA166" s="430">
        <v>0.52</v>
      </c>
      <c r="CB166" s="430">
        <v>0.51</v>
      </c>
      <c r="CC166" s="430">
        <v>0.67</v>
      </c>
      <c r="CD166" s="466">
        <v>52</v>
      </c>
      <c r="CE166" s="466" t="s">
        <v>874</v>
      </c>
      <c r="CF166" s="466">
        <v>7</v>
      </c>
      <c r="CG166" s="466" t="s">
        <v>874</v>
      </c>
      <c r="CH166" s="480">
        <v>0</v>
      </c>
      <c r="CI166" s="480">
        <v>0.38</v>
      </c>
      <c r="CJ166" s="480">
        <v>0.63</v>
      </c>
      <c r="CK166" s="480">
        <v>0</v>
      </c>
      <c r="CL166" s="480">
        <v>0.47</v>
      </c>
      <c r="CM166" s="480">
        <v>0.5</v>
      </c>
      <c r="CN166" s="480">
        <v>0.37</v>
      </c>
    </row>
    <row r="167" spans="1:92" ht="24.95" customHeight="1" x14ac:dyDescent="0.2">
      <c r="A167" s="814" t="s">
        <v>71</v>
      </c>
      <c r="B167" s="1" t="s">
        <v>221</v>
      </c>
      <c r="C167" s="2">
        <v>6</v>
      </c>
      <c r="D167" s="12">
        <v>55</v>
      </c>
      <c r="E167" s="12">
        <v>7</v>
      </c>
      <c r="F167" s="63">
        <v>0</v>
      </c>
      <c r="G167" s="63">
        <v>0.26</v>
      </c>
      <c r="H167" s="63">
        <v>0.67</v>
      </c>
      <c r="I167" s="63">
        <v>7.0000000000000007E-2</v>
      </c>
      <c r="J167" s="63">
        <v>0.36</v>
      </c>
      <c r="K167" s="63">
        <v>0.41</v>
      </c>
      <c r="L167" s="63">
        <v>0.54</v>
      </c>
      <c r="M167" s="25">
        <v>57</v>
      </c>
      <c r="N167" s="25">
        <v>7</v>
      </c>
      <c r="O167" s="61">
        <v>0</v>
      </c>
      <c r="P167" s="61">
        <v>0.22</v>
      </c>
      <c r="Q167" s="61">
        <v>0.7</v>
      </c>
      <c r="R167" s="61">
        <v>0.08</v>
      </c>
      <c r="S167" s="61">
        <v>0.4</v>
      </c>
      <c r="T167" s="61">
        <v>0.44</v>
      </c>
      <c r="U167" s="61">
        <v>0.4</v>
      </c>
      <c r="V167" s="12">
        <v>57</v>
      </c>
      <c r="W167" s="12">
        <v>9</v>
      </c>
      <c r="X167" s="66">
        <v>0</v>
      </c>
      <c r="Y167" s="66">
        <v>0.24</v>
      </c>
      <c r="Z167" s="66">
        <v>0.6</v>
      </c>
      <c r="AA167" s="66">
        <v>0.16</v>
      </c>
      <c r="AB167" s="66">
        <v>0.37</v>
      </c>
      <c r="AC167" s="66">
        <v>0.43</v>
      </c>
      <c r="AD167" s="66">
        <v>0.47</v>
      </c>
      <c r="AE167" s="12">
        <v>57</v>
      </c>
      <c r="AF167" s="12">
        <v>8</v>
      </c>
      <c r="AG167" s="63">
        <v>0.01</v>
      </c>
      <c r="AH167" s="63">
        <v>0.24</v>
      </c>
      <c r="AI167" s="63">
        <v>0.61</v>
      </c>
      <c r="AJ167" s="63">
        <v>0.14000000000000001</v>
      </c>
      <c r="AK167" s="63">
        <v>0.39</v>
      </c>
      <c r="AL167" s="63">
        <v>0.33</v>
      </c>
      <c r="AM167" s="63">
        <v>0.36</v>
      </c>
      <c r="AN167" s="35">
        <v>55</v>
      </c>
      <c r="AO167" s="35">
        <v>8</v>
      </c>
      <c r="AP167" s="40">
        <v>0.01</v>
      </c>
      <c r="AQ167" s="40">
        <v>0.27</v>
      </c>
      <c r="AR167" s="40">
        <v>0.57999999999999996</v>
      </c>
      <c r="AS167" s="40">
        <v>0.14000000000000001</v>
      </c>
      <c r="AT167" s="40">
        <v>0.46</v>
      </c>
      <c r="AU167" s="40">
        <v>0.32</v>
      </c>
      <c r="AV167" s="40">
        <v>0.39</v>
      </c>
      <c r="AW167" s="247">
        <v>56</v>
      </c>
      <c r="AX167" s="247" t="s">
        <v>874</v>
      </c>
      <c r="AY167" s="247">
        <v>8</v>
      </c>
      <c r="AZ167" s="247" t="s">
        <v>874</v>
      </c>
      <c r="BA167" s="264">
        <v>0.01</v>
      </c>
      <c r="BB167" s="264">
        <v>0.23</v>
      </c>
      <c r="BC167" s="264">
        <v>0.61</v>
      </c>
      <c r="BD167" s="264">
        <v>0.15</v>
      </c>
      <c r="BE167" s="264">
        <v>0.42</v>
      </c>
      <c r="BF167" s="264">
        <v>0.3</v>
      </c>
      <c r="BG167" s="264">
        <v>0.51</v>
      </c>
      <c r="BH167" s="311">
        <v>57</v>
      </c>
      <c r="BI167" s="311" t="s">
        <v>874</v>
      </c>
      <c r="BJ167" s="311">
        <v>7</v>
      </c>
      <c r="BK167" s="311" t="s">
        <v>874</v>
      </c>
      <c r="BL167" s="329">
        <v>0</v>
      </c>
      <c r="BM167" s="329">
        <v>0.19</v>
      </c>
      <c r="BN167" s="329">
        <v>0.74</v>
      </c>
      <c r="BO167" s="329">
        <v>7.0000000000000007E-2</v>
      </c>
      <c r="BP167" s="329">
        <v>0.45</v>
      </c>
      <c r="BQ167" s="329">
        <v>0.3</v>
      </c>
      <c r="BR167" s="329">
        <v>0.4</v>
      </c>
      <c r="BS167" s="426">
        <v>57</v>
      </c>
      <c r="BT167" s="426" t="s">
        <v>874</v>
      </c>
      <c r="BU167" s="426">
        <v>9</v>
      </c>
      <c r="BV167" s="426" t="s">
        <v>874</v>
      </c>
      <c r="BW167" s="430">
        <v>0.04</v>
      </c>
      <c r="BX167" s="430">
        <v>0.19</v>
      </c>
      <c r="BY167" s="430">
        <v>0.56999999999999995</v>
      </c>
      <c r="BZ167" s="430">
        <v>0.21</v>
      </c>
      <c r="CA167" s="430">
        <v>0.3</v>
      </c>
      <c r="CB167" s="430">
        <v>0.41</v>
      </c>
      <c r="CC167" s="430">
        <v>0.44</v>
      </c>
      <c r="CD167" s="466">
        <v>59</v>
      </c>
      <c r="CE167" s="466" t="s">
        <v>874</v>
      </c>
      <c r="CF167" s="466">
        <v>8</v>
      </c>
      <c r="CG167" s="466" t="s">
        <v>874</v>
      </c>
      <c r="CH167" s="480">
        <v>0</v>
      </c>
      <c r="CI167" s="480">
        <v>0.18</v>
      </c>
      <c r="CJ167" s="480">
        <v>0.59</v>
      </c>
      <c r="CK167" s="480">
        <v>0.23</v>
      </c>
      <c r="CL167" s="480">
        <v>0.39</v>
      </c>
      <c r="CM167" s="480">
        <v>0.36</v>
      </c>
      <c r="CN167" s="480">
        <v>0.27</v>
      </c>
    </row>
    <row r="168" spans="1:92" ht="24.95" customHeight="1" x14ac:dyDescent="0.2">
      <c r="A168" s="814" t="s">
        <v>207</v>
      </c>
      <c r="B168" s="1" t="s">
        <v>221</v>
      </c>
      <c r="C168" s="2">
        <v>4</v>
      </c>
      <c r="D168" s="12">
        <v>55</v>
      </c>
      <c r="E168" s="12">
        <v>7</v>
      </c>
      <c r="F168" s="63">
        <v>0</v>
      </c>
      <c r="G168" s="63">
        <v>0.17</v>
      </c>
      <c r="H168" s="63">
        <v>0.75</v>
      </c>
      <c r="I168" s="63">
        <v>0.08</v>
      </c>
      <c r="J168" s="63">
        <v>0.39</v>
      </c>
      <c r="K168" s="63">
        <v>0.45</v>
      </c>
      <c r="L168" s="63">
        <v>0.51</v>
      </c>
      <c r="M168" s="25">
        <v>59</v>
      </c>
      <c r="N168" s="25">
        <v>8</v>
      </c>
      <c r="O168" s="61">
        <v>0</v>
      </c>
      <c r="P168" s="61">
        <v>0.13</v>
      </c>
      <c r="Q168" s="61">
        <v>0.69</v>
      </c>
      <c r="R168" s="61">
        <v>0.19</v>
      </c>
      <c r="S168" s="61">
        <v>0.34</v>
      </c>
      <c r="T168" s="61">
        <v>0.36</v>
      </c>
      <c r="U168" s="61">
        <v>0.41</v>
      </c>
      <c r="V168" s="12">
        <v>56</v>
      </c>
      <c r="W168" s="12">
        <v>4</v>
      </c>
      <c r="X168" s="66">
        <v>0</v>
      </c>
      <c r="Y168" s="66">
        <v>7.0000000000000007E-2</v>
      </c>
      <c r="Z168" s="66">
        <v>0.93</v>
      </c>
      <c r="AA168" s="66">
        <v>0</v>
      </c>
      <c r="AB168" s="66">
        <v>0.4</v>
      </c>
      <c r="AC168" s="66">
        <v>0.42</v>
      </c>
      <c r="AD168" s="66">
        <v>0.44</v>
      </c>
      <c r="AE168" s="12">
        <v>59</v>
      </c>
      <c r="AF168" s="12">
        <v>8</v>
      </c>
      <c r="AG168" s="63">
        <v>0</v>
      </c>
      <c r="AH168" s="63">
        <v>0.11</v>
      </c>
      <c r="AI168" s="63">
        <v>0.72</v>
      </c>
      <c r="AJ168" s="63">
        <v>0.17</v>
      </c>
      <c r="AK168" s="63">
        <v>0.32</v>
      </c>
      <c r="AL168" s="63">
        <v>0.26</v>
      </c>
      <c r="AM168" s="63">
        <v>0.39</v>
      </c>
      <c r="AN168" s="35">
        <v>54</v>
      </c>
      <c r="AO168" s="35">
        <v>9</v>
      </c>
      <c r="AP168" s="40">
        <v>0</v>
      </c>
      <c r="AQ168" s="40">
        <v>0.31</v>
      </c>
      <c r="AR168" s="40">
        <v>0.56000000000000005</v>
      </c>
      <c r="AS168" s="40">
        <v>0.13</v>
      </c>
      <c r="AT168" s="40">
        <v>0.47</v>
      </c>
      <c r="AU168" s="40">
        <v>0.34</v>
      </c>
      <c r="AV168" s="40">
        <v>0.5</v>
      </c>
      <c r="AW168" s="247">
        <v>55</v>
      </c>
      <c r="AX168" s="247" t="s">
        <v>874</v>
      </c>
      <c r="AY168" s="247">
        <v>9</v>
      </c>
      <c r="AZ168" s="247" t="s">
        <v>874</v>
      </c>
      <c r="BA168" s="264">
        <v>0.06</v>
      </c>
      <c r="BB168" s="264">
        <v>0.13</v>
      </c>
      <c r="BC168" s="264">
        <v>0.69</v>
      </c>
      <c r="BD168" s="264">
        <v>0.13</v>
      </c>
      <c r="BE168" s="264">
        <v>0.38</v>
      </c>
      <c r="BF168" s="264">
        <v>0.33</v>
      </c>
      <c r="BG168" s="264">
        <v>0.53</v>
      </c>
      <c r="BH168" s="311">
        <v>58</v>
      </c>
      <c r="BI168" s="311" t="s">
        <v>874</v>
      </c>
      <c r="BJ168" s="311">
        <v>10</v>
      </c>
      <c r="BK168" s="311" t="s">
        <v>874</v>
      </c>
      <c r="BL168" s="329">
        <v>0.05</v>
      </c>
      <c r="BM168" s="329">
        <v>0.16</v>
      </c>
      <c r="BN168" s="329">
        <v>0.53</v>
      </c>
      <c r="BO168" s="329">
        <v>0.26</v>
      </c>
      <c r="BP168" s="329">
        <v>0.43</v>
      </c>
      <c r="BQ168" s="329">
        <v>0.27</v>
      </c>
      <c r="BR168" s="329">
        <v>0.33</v>
      </c>
      <c r="BS168" s="426">
        <v>58</v>
      </c>
      <c r="BT168" s="426" t="s">
        <v>874</v>
      </c>
      <c r="BU168" s="426">
        <v>10</v>
      </c>
      <c r="BV168" s="426" t="s">
        <v>874</v>
      </c>
      <c r="BW168" s="430">
        <v>0</v>
      </c>
      <c r="BX168" s="430">
        <v>0.26</v>
      </c>
      <c r="BY168" s="430">
        <v>0.52</v>
      </c>
      <c r="BZ168" s="430">
        <v>0.22</v>
      </c>
      <c r="CA168" s="430">
        <v>0.25</v>
      </c>
      <c r="CB168" s="430">
        <v>0.44</v>
      </c>
      <c r="CC168" s="430">
        <v>0.41</v>
      </c>
      <c r="CD168" s="466">
        <v>62</v>
      </c>
      <c r="CE168" s="466" t="s">
        <v>874</v>
      </c>
      <c r="CF168" s="466">
        <v>8</v>
      </c>
      <c r="CG168" s="466" t="s">
        <v>874</v>
      </c>
      <c r="CH168" s="480">
        <v>0</v>
      </c>
      <c r="CI168" s="480">
        <v>0.08</v>
      </c>
      <c r="CJ168" s="480">
        <v>0.54</v>
      </c>
      <c r="CK168" s="480">
        <v>0.38</v>
      </c>
      <c r="CL168" s="480">
        <v>0.34</v>
      </c>
      <c r="CM168" s="480">
        <v>0.32</v>
      </c>
      <c r="CN168" s="480">
        <v>0.24</v>
      </c>
    </row>
    <row r="169" spans="1:92" ht="24.95" customHeight="1" x14ac:dyDescent="0.2">
      <c r="A169" s="126" t="s">
        <v>99</v>
      </c>
      <c r="B169" s="1" t="s">
        <v>221</v>
      </c>
      <c r="C169" s="2">
        <v>5</v>
      </c>
      <c r="D169" s="12">
        <v>56</v>
      </c>
      <c r="E169" s="12">
        <v>11</v>
      </c>
      <c r="F169" s="63">
        <v>0.05</v>
      </c>
      <c r="G169" s="63">
        <v>0.21</v>
      </c>
      <c r="H169" s="63">
        <v>0.57999999999999996</v>
      </c>
      <c r="I169" s="63">
        <v>0.16</v>
      </c>
      <c r="J169" s="63">
        <v>0.43</v>
      </c>
      <c r="K169" s="63">
        <v>0.5</v>
      </c>
      <c r="L169" s="63">
        <v>0.56999999999999995</v>
      </c>
      <c r="M169" s="25">
        <v>57</v>
      </c>
      <c r="N169" s="25">
        <v>8</v>
      </c>
      <c r="O169" s="61">
        <v>0</v>
      </c>
      <c r="P169" s="61">
        <v>0.21</v>
      </c>
      <c r="Q169" s="61">
        <v>0.75</v>
      </c>
      <c r="R169" s="61">
        <v>0.04</v>
      </c>
      <c r="S169" s="61">
        <v>0.36</v>
      </c>
      <c r="T169" s="61">
        <v>0.46</v>
      </c>
      <c r="U169" s="61">
        <v>0.41</v>
      </c>
      <c r="V169" s="12">
        <v>55</v>
      </c>
      <c r="W169" s="12">
        <v>7</v>
      </c>
      <c r="X169" s="66">
        <v>0.06</v>
      </c>
      <c r="Y169" s="66">
        <v>0.18</v>
      </c>
      <c r="Z169" s="66">
        <v>0.76</v>
      </c>
      <c r="AA169" s="66">
        <v>0</v>
      </c>
      <c r="AB169" s="66">
        <v>0.43</v>
      </c>
      <c r="AC169" s="66">
        <v>0.44</v>
      </c>
      <c r="AD169" s="66">
        <v>0.5</v>
      </c>
      <c r="AE169" s="12">
        <v>57</v>
      </c>
      <c r="AF169" s="12">
        <v>10</v>
      </c>
      <c r="AG169" s="63">
        <v>0</v>
      </c>
      <c r="AH169" s="63">
        <v>0.24</v>
      </c>
      <c r="AI169" s="63">
        <v>0.56999999999999995</v>
      </c>
      <c r="AJ169" s="63">
        <v>0.19</v>
      </c>
      <c r="AK169" s="63">
        <v>0.38</v>
      </c>
      <c r="AL169" s="63">
        <v>0.3</v>
      </c>
      <c r="AM169" s="63">
        <v>0.37</v>
      </c>
      <c r="AN169" s="35">
        <v>60</v>
      </c>
      <c r="AO169" s="35">
        <v>8</v>
      </c>
      <c r="AP169" s="40">
        <v>0</v>
      </c>
      <c r="AQ169" s="40">
        <v>0.16</v>
      </c>
      <c r="AR169" s="40">
        <v>0.57999999999999996</v>
      </c>
      <c r="AS169" s="40">
        <v>0.26</v>
      </c>
      <c r="AT169" s="40">
        <v>0.32</v>
      </c>
      <c r="AU169" s="40">
        <v>0.3</v>
      </c>
      <c r="AV169" s="40">
        <v>0.3</v>
      </c>
      <c r="AW169" s="247">
        <v>56</v>
      </c>
      <c r="AX169" s="247" t="s">
        <v>874</v>
      </c>
      <c r="AY169" s="247">
        <v>7</v>
      </c>
      <c r="AZ169" s="247" t="s">
        <v>874</v>
      </c>
      <c r="BA169" s="264">
        <v>0</v>
      </c>
      <c r="BB169" s="264">
        <v>0.15</v>
      </c>
      <c r="BC169" s="264">
        <v>0.69</v>
      </c>
      <c r="BD169" s="264">
        <v>0.15</v>
      </c>
      <c r="BE169" s="264">
        <v>0.41</v>
      </c>
      <c r="BF169" s="264">
        <v>0.3</v>
      </c>
      <c r="BG169" s="264">
        <v>0.51</v>
      </c>
      <c r="BH169" s="311">
        <v>62</v>
      </c>
      <c r="BI169" s="311" t="s">
        <v>874</v>
      </c>
      <c r="BJ169" s="311">
        <v>6</v>
      </c>
      <c r="BK169" s="311" t="s">
        <v>874</v>
      </c>
      <c r="BL169" s="329">
        <v>0</v>
      </c>
      <c r="BM169" s="329">
        <v>0.04</v>
      </c>
      <c r="BN169" s="329">
        <v>0.65</v>
      </c>
      <c r="BO169" s="329">
        <v>0.3</v>
      </c>
      <c r="BP169" s="329">
        <v>0.34</v>
      </c>
      <c r="BQ169" s="329">
        <v>0.26</v>
      </c>
      <c r="BR169" s="329">
        <v>0.27</v>
      </c>
      <c r="BS169" s="426">
        <v>59</v>
      </c>
      <c r="BT169" s="426" t="s">
        <v>874</v>
      </c>
      <c r="BU169" s="426">
        <v>9</v>
      </c>
      <c r="BV169" s="426" t="s">
        <v>874</v>
      </c>
      <c r="BW169" s="430">
        <v>0</v>
      </c>
      <c r="BX169" s="430">
        <v>0.14000000000000001</v>
      </c>
      <c r="BY169" s="430">
        <v>0.71</v>
      </c>
      <c r="BZ169" s="430">
        <v>0.14000000000000001</v>
      </c>
      <c r="CA169" s="430">
        <v>0.37</v>
      </c>
      <c r="CB169" s="430">
        <v>0.38</v>
      </c>
      <c r="CC169" s="430">
        <v>0.39</v>
      </c>
      <c r="CD169" s="466">
        <v>57</v>
      </c>
      <c r="CE169" s="466" t="s">
        <v>874</v>
      </c>
      <c r="CF169" s="466">
        <v>11</v>
      </c>
      <c r="CG169" s="466" t="s">
        <v>874</v>
      </c>
      <c r="CH169" s="480">
        <v>0.04</v>
      </c>
      <c r="CI169" s="480">
        <v>0.21</v>
      </c>
      <c r="CJ169" s="480">
        <v>0.56999999999999995</v>
      </c>
      <c r="CK169" s="480">
        <v>0.18</v>
      </c>
      <c r="CL169" s="480">
        <v>0.41</v>
      </c>
      <c r="CM169" s="480">
        <v>0.42</v>
      </c>
      <c r="CN169" s="480">
        <v>0.28000000000000003</v>
      </c>
    </row>
    <row r="170" spans="1:92" ht="24.95" customHeight="1" x14ac:dyDescent="0.2">
      <c r="A170" s="126" t="s">
        <v>73</v>
      </c>
      <c r="B170" s="1" t="s">
        <v>221</v>
      </c>
      <c r="C170" s="2">
        <v>2</v>
      </c>
      <c r="D170" s="12">
        <v>52</v>
      </c>
      <c r="E170" s="12">
        <v>7</v>
      </c>
      <c r="F170" s="63">
        <v>0</v>
      </c>
      <c r="G170" s="63">
        <v>0.36</v>
      </c>
      <c r="H170" s="63">
        <v>0.64</v>
      </c>
      <c r="I170" s="63">
        <v>0</v>
      </c>
      <c r="J170" s="63">
        <v>0.45</v>
      </c>
      <c r="K170" s="63">
        <v>0.47</v>
      </c>
      <c r="L170" s="63">
        <v>0.56999999999999995</v>
      </c>
      <c r="M170" s="25">
        <v>55</v>
      </c>
      <c r="N170" s="25">
        <v>9</v>
      </c>
      <c r="O170" s="61">
        <v>0</v>
      </c>
      <c r="P170" s="61">
        <v>0.37</v>
      </c>
      <c r="Q170" s="61">
        <v>0.53</v>
      </c>
      <c r="R170" s="61">
        <v>0.09</v>
      </c>
      <c r="S170" s="61">
        <v>0.49</v>
      </c>
      <c r="T170" s="61">
        <v>0.43</v>
      </c>
      <c r="U170" s="61">
        <v>0.44</v>
      </c>
      <c r="V170" s="12">
        <v>53</v>
      </c>
      <c r="W170" s="12">
        <v>8</v>
      </c>
      <c r="X170" s="66">
        <v>0</v>
      </c>
      <c r="Y170" s="66">
        <v>0.47</v>
      </c>
      <c r="Z170" s="66">
        <v>0.39</v>
      </c>
      <c r="AA170" s="66">
        <v>0.14000000000000001</v>
      </c>
      <c r="AB170" s="66">
        <v>0.43</v>
      </c>
      <c r="AC170" s="66">
        <v>0.5</v>
      </c>
      <c r="AD170" s="66">
        <v>0.53</v>
      </c>
      <c r="AE170" s="12">
        <v>55</v>
      </c>
      <c r="AF170" s="12">
        <v>7</v>
      </c>
      <c r="AG170" s="63">
        <v>0</v>
      </c>
      <c r="AH170" s="63">
        <v>0.33</v>
      </c>
      <c r="AI170" s="63">
        <v>0.61</v>
      </c>
      <c r="AJ170" s="63">
        <v>0.06</v>
      </c>
      <c r="AK170" s="63">
        <v>0.37</v>
      </c>
      <c r="AL170" s="63">
        <v>0.39</v>
      </c>
      <c r="AM170" s="63">
        <v>0.38</v>
      </c>
      <c r="AN170" s="35">
        <v>52</v>
      </c>
      <c r="AO170" s="35">
        <v>6</v>
      </c>
      <c r="AP170" s="40">
        <v>0</v>
      </c>
      <c r="AQ170" s="40">
        <v>0.4</v>
      </c>
      <c r="AR170" s="40">
        <v>0.6</v>
      </c>
      <c r="AS170" s="40">
        <v>0</v>
      </c>
      <c r="AT170" s="40">
        <v>0.49</v>
      </c>
      <c r="AU170" s="40">
        <v>0.4</v>
      </c>
      <c r="AV170" s="40">
        <v>0.47</v>
      </c>
      <c r="AW170" s="247">
        <v>53</v>
      </c>
      <c r="AX170" s="247" t="s">
        <v>874</v>
      </c>
      <c r="AY170" s="247">
        <v>8</v>
      </c>
      <c r="AZ170" s="247" t="s">
        <v>874</v>
      </c>
      <c r="BA170" s="264">
        <v>0</v>
      </c>
      <c r="BB170" s="264">
        <v>0.37</v>
      </c>
      <c r="BC170" s="264">
        <v>0.56999999999999995</v>
      </c>
      <c r="BD170" s="264">
        <v>0.06</v>
      </c>
      <c r="BE170" s="264">
        <v>0.46</v>
      </c>
      <c r="BF170" s="264">
        <v>0.39</v>
      </c>
      <c r="BG170" s="264">
        <v>0.51</v>
      </c>
      <c r="BH170" s="311">
        <v>58</v>
      </c>
      <c r="BI170" s="311" t="s">
        <v>874</v>
      </c>
      <c r="BJ170" s="311">
        <v>8</v>
      </c>
      <c r="BK170" s="311" t="s">
        <v>874</v>
      </c>
      <c r="BL170" s="329">
        <v>0</v>
      </c>
      <c r="BM170" s="329">
        <v>0.14000000000000001</v>
      </c>
      <c r="BN170" s="329">
        <v>0.62</v>
      </c>
      <c r="BO170" s="329">
        <v>0.24</v>
      </c>
      <c r="BP170" s="329">
        <v>0.37</v>
      </c>
      <c r="BQ170" s="329">
        <v>0.25</v>
      </c>
      <c r="BR170" s="329">
        <v>0.42</v>
      </c>
      <c r="BS170" s="426">
        <v>58</v>
      </c>
      <c r="BT170" s="426" t="s">
        <v>874</v>
      </c>
      <c r="BU170" s="426">
        <v>10</v>
      </c>
      <c r="BV170" s="426" t="s">
        <v>874</v>
      </c>
      <c r="BW170" s="430">
        <v>0.05</v>
      </c>
      <c r="BX170" s="430">
        <v>0.16</v>
      </c>
      <c r="BY170" s="430">
        <v>0.61</v>
      </c>
      <c r="BZ170" s="430">
        <v>0.18</v>
      </c>
      <c r="CA170" s="430">
        <v>0.3</v>
      </c>
      <c r="CB170" s="430">
        <v>0.4</v>
      </c>
      <c r="CC170" s="430">
        <v>0.43</v>
      </c>
      <c r="CD170" s="466">
        <v>57</v>
      </c>
      <c r="CE170" s="466" t="s">
        <v>874</v>
      </c>
      <c r="CF170" s="466">
        <v>8</v>
      </c>
      <c r="CG170" s="466" t="s">
        <v>874</v>
      </c>
      <c r="CH170" s="480">
        <v>0</v>
      </c>
      <c r="CI170" s="480">
        <v>0.22</v>
      </c>
      <c r="CJ170" s="480">
        <v>0.64</v>
      </c>
      <c r="CK170" s="480">
        <v>0.13</v>
      </c>
      <c r="CL170" s="480">
        <v>0.4</v>
      </c>
      <c r="CM170" s="480">
        <v>0.41</v>
      </c>
      <c r="CN170" s="480">
        <v>0.3</v>
      </c>
    </row>
    <row r="171" spans="1:92" ht="24.95" customHeight="1" x14ac:dyDescent="0.2">
      <c r="A171" s="126" t="s">
        <v>1082</v>
      </c>
      <c r="B171" s="43" t="s">
        <v>221</v>
      </c>
      <c r="C171" s="44">
        <v>1</v>
      </c>
      <c r="D171" s="12"/>
      <c r="E171" s="12"/>
      <c r="F171" s="63"/>
      <c r="G171" s="63"/>
      <c r="H171" s="63"/>
      <c r="I171" s="63"/>
      <c r="J171" s="63"/>
      <c r="K171" s="63"/>
      <c r="L171" s="63"/>
      <c r="M171" s="25"/>
      <c r="N171" s="25"/>
      <c r="O171" s="61"/>
      <c r="P171" s="61"/>
      <c r="Q171" s="61"/>
      <c r="R171" s="61"/>
      <c r="S171" s="61"/>
      <c r="T171" s="61"/>
      <c r="U171" s="61"/>
      <c r="V171" s="25"/>
      <c r="W171" s="25"/>
      <c r="X171" s="66"/>
      <c r="Y171" s="66"/>
      <c r="Z171" s="66"/>
      <c r="AA171" s="66"/>
      <c r="AB171" s="66"/>
      <c r="AC171" s="66"/>
      <c r="AD171" s="66"/>
      <c r="AE171" s="12"/>
      <c r="AF171" s="12"/>
      <c r="AG171" s="63"/>
      <c r="AH171" s="63"/>
      <c r="AI171" s="63"/>
      <c r="AJ171" s="63"/>
      <c r="AK171" s="63"/>
      <c r="AL171" s="63"/>
      <c r="AM171" s="63"/>
      <c r="AN171" s="35"/>
      <c r="AO171" s="35"/>
      <c r="AP171" s="40"/>
      <c r="AQ171" s="40"/>
      <c r="AR171" s="40"/>
      <c r="AS171" s="40"/>
      <c r="AT171" s="40"/>
      <c r="AU171" s="40"/>
      <c r="AV171" s="40"/>
      <c r="AW171" s="247"/>
      <c r="AX171" s="247"/>
      <c r="AY171" s="247"/>
      <c r="AZ171" s="247"/>
      <c r="BA171" s="264"/>
      <c r="BB171" s="264"/>
      <c r="BC171" s="264"/>
      <c r="BD171" s="264"/>
      <c r="BE171" s="264"/>
      <c r="BF171" s="264"/>
      <c r="BG171" s="264"/>
      <c r="BH171" s="311"/>
      <c r="BI171" s="311"/>
      <c r="BJ171" s="311"/>
      <c r="BK171" s="311"/>
      <c r="BL171" s="329"/>
      <c r="BM171" s="329"/>
      <c r="BN171" s="329"/>
      <c r="BO171" s="329"/>
      <c r="BP171" s="329"/>
      <c r="BQ171" s="329"/>
      <c r="BR171" s="329"/>
      <c r="BS171" s="426"/>
      <c r="BT171" s="426"/>
      <c r="BU171" s="426"/>
      <c r="BV171" s="426"/>
      <c r="BW171" s="430"/>
      <c r="BX171" s="430"/>
      <c r="BY171" s="430"/>
      <c r="BZ171" s="430"/>
      <c r="CA171" s="430"/>
      <c r="CB171" s="430"/>
      <c r="CC171" s="430"/>
      <c r="CD171" s="466">
        <v>58</v>
      </c>
      <c r="CE171" s="466" t="s">
        <v>874</v>
      </c>
      <c r="CF171" s="466">
        <v>8</v>
      </c>
      <c r="CG171" s="466" t="s">
        <v>874</v>
      </c>
      <c r="CH171" s="480">
        <v>0</v>
      </c>
      <c r="CI171" s="480">
        <v>0.19</v>
      </c>
      <c r="CJ171" s="480">
        <v>0.67</v>
      </c>
      <c r="CK171" s="480">
        <v>0.14000000000000001</v>
      </c>
      <c r="CL171" s="480">
        <v>0.39</v>
      </c>
      <c r="CM171" s="480">
        <v>0.39</v>
      </c>
      <c r="CN171" s="480">
        <v>0.32</v>
      </c>
    </row>
    <row r="172" spans="1:92" x14ac:dyDescent="0.2">
      <c r="A172" s="240" t="s">
        <v>871</v>
      </c>
    </row>
    <row r="174" spans="1:92" x14ac:dyDescent="0.2">
      <c r="D174" s="15"/>
      <c r="E174" s="15"/>
      <c r="F174" s="15"/>
      <c r="G174" s="15"/>
      <c r="H174" s="15"/>
      <c r="I174" s="15"/>
      <c r="J174" s="15"/>
      <c r="K174" s="15"/>
      <c r="L174" s="15"/>
      <c r="M174" s="15"/>
      <c r="N174" s="15"/>
      <c r="O174" s="15"/>
      <c r="P174" s="15"/>
      <c r="Q174" s="15"/>
      <c r="R174" s="15"/>
      <c r="S174" s="15"/>
      <c r="T174" s="15"/>
      <c r="U174" s="15"/>
      <c r="V174" s="15"/>
      <c r="W174" s="15"/>
      <c r="X174" s="68"/>
      <c r="Y174" s="68"/>
      <c r="Z174" s="68"/>
      <c r="AA174" s="68"/>
      <c r="AB174" s="68"/>
      <c r="AC174" s="68"/>
      <c r="AD174" s="68"/>
      <c r="AE174" s="15"/>
      <c r="AF174" s="15"/>
      <c r="AG174" s="15"/>
      <c r="AH174" s="15"/>
      <c r="AI174" s="15"/>
      <c r="AJ174" s="15"/>
      <c r="AK174" s="15"/>
      <c r="AL174" s="15"/>
      <c r="AM174" s="15"/>
    </row>
    <row r="177" spans="2:61" ht="12.75" customHeight="1" x14ac:dyDescent="0.2">
      <c r="B177" s="967" t="s">
        <v>255</v>
      </c>
      <c r="C177" s="968"/>
      <c r="D177" s="968"/>
      <c r="E177" s="968"/>
      <c r="F177" s="968"/>
      <c r="G177" s="968"/>
      <c r="H177" s="968"/>
      <c r="I177" s="968"/>
      <c r="J177" s="968"/>
      <c r="K177" s="968"/>
      <c r="L177" s="968"/>
      <c r="M177" s="968"/>
      <c r="N177" s="968"/>
      <c r="O177" s="968"/>
      <c r="P177" s="968"/>
      <c r="Q177" s="968"/>
      <c r="R177" s="968"/>
      <c r="S177" s="968"/>
      <c r="T177" s="968"/>
      <c r="AC177" s="838" t="s">
        <v>255</v>
      </c>
      <c r="AD177" s="839"/>
      <c r="AE177" s="839"/>
      <c r="AF177" s="839"/>
      <c r="AG177" s="839"/>
      <c r="AH177" s="839"/>
      <c r="AI177" s="839"/>
      <c r="AJ177" s="839"/>
      <c r="AK177" s="839"/>
      <c r="AL177" s="839"/>
      <c r="AQ177" s="838" t="s">
        <v>317</v>
      </c>
      <c r="AR177" s="839"/>
      <c r="AS177" s="839"/>
      <c r="AT177" s="839"/>
      <c r="AU177" s="839"/>
      <c r="AV177" s="839"/>
      <c r="AW177" s="839"/>
      <c r="AX177" s="839"/>
      <c r="AY177" s="839"/>
      <c r="AZ177" s="839"/>
      <c r="BA177" s="839"/>
      <c r="BB177" s="839"/>
      <c r="BC177" s="839"/>
      <c r="BD177" s="839"/>
      <c r="BE177" s="839"/>
      <c r="BF177" s="839"/>
      <c r="BG177" s="839"/>
      <c r="BH177" s="839"/>
      <c r="BI177" s="839"/>
    </row>
    <row r="178" spans="2:61" x14ac:dyDescent="0.2">
      <c r="B178" s="975"/>
      <c r="C178" s="977">
        <v>2016</v>
      </c>
      <c r="D178" s="978"/>
      <c r="E178" s="979">
        <v>2017</v>
      </c>
      <c r="F178" s="966"/>
      <c r="G178" s="966">
        <v>2018</v>
      </c>
      <c r="H178" s="966"/>
      <c r="I178" s="966">
        <v>2019</v>
      </c>
      <c r="J178" s="966"/>
      <c r="K178" s="966">
        <v>2020</v>
      </c>
      <c r="L178" s="966"/>
      <c r="M178" s="966">
        <v>2021</v>
      </c>
      <c r="N178" s="966"/>
      <c r="O178" s="966">
        <v>2022</v>
      </c>
      <c r="P178" s="966"/>
      <c r="Q178" s="966">
        <v>2023</v>
      </c>
      <c r="R178" s="966"/>
      <c r="S178" s="966">
        <v>2024</v>
      </c>
      <c r="T178" s="966"/>
      <c r="AC178" s="28"/>
      <c r="AD178" s="28">
        <v>2016</v>
      </c>
      <c r="AE178" s="29">
        <v>2017</v>
      </c>
      <c r="AF178" s="28">
        <v>2018</v>
      </c>
      <c r="AG178" s="28">
        <v>2019</v>
      </c>
      <c r="AH178" s="28">
        <v>2020</v>
      </c>
      <c r="AI178" s="28">
        <v>2021</v>
      </c>
      <c r="AJ178" s="28">
        <v>2022</v>
      </c>
      <c r="AK178" s="28">
        <v>2023</v>
      </c>
      <c r="AL178" s="28">
        <v>2024</v>
      </c>
      <c r="AQ178" s="28"/>
      <c r="AR178" s="204">
        <v>2016</v>
      </c>
      <c r="AS178" s="483"/>
      <c r="AT178" s="204">
        <v>2017</v>
      </c>
      <c r="AU178" s="483"/>
      <c r="AV178" s="204">
        <v>2018</v>
      </c>
      <c r="AW178" s="483"/>
      <c r="AX178" s="204">
        <v>2019</v>
      </c>
      <c r="AY178" s="483"/>
      <c r="AZ178" s="204">
        <v>2020</v>
      </c>
      <c r="BA178" s="205"/>
      <c r="BB178" s="204">
        <v>2021</v>
      </c>
      <c r="BC178" s="205"/>
      <c r="BD178" s="204">
        <v>2022</v>
      </c>
      <c r="BE178" s="205"/>
      <c r="BF178" s="204">
        <v>2023</v>
      </c>
      <c r="BG178" s="205"/>
      <c r="BH178" s="204">
        <v>2024</v>
      </c>
      <c r="BI178" s="205"/>
    </row>
    <row r="179" spans="2:61" ht="15.75" customHeight="1" x14ac:dyDescent="0.2">
      <c r="B179" s="976"/>
      <c r="C179" s="77" t="s">
        <v>218</v>
      </c>
      <c r="D179" s="77" t="s">
        <v>251</v>
      </c>
      <c r="E179" s="77" t="s">
        <v>218</v>
      </c>
      <c r="F179" s="77" t="s">
        <v>251</v>
      </c>
      <c r="G179" s="77" t="s">
        <v>218</v>
      </c>
      <c r="H179" s="77" t="s">
        <v>251</v>
      </c>
      <c r="I179" s="77" t="s">
        <v>218</v>
      </c>
      <c r="J179" s="77" t="s">
        <v>251</v>
      </c>
      <c r="K179" s="77" t="s">
        <v>218</v>
      </c>
      <c r="L179" s="78" t="s">
        <v>251</v>
      </c>
      <c r="M179" s="77" t="s">
        <v>218</v>
      </c>
      <c r="N179" s="78" t="s">
        <v>251</v>
      </c>
      <c r="O179" s="492" t="s">
        <v>218</v>
      </c>
      <c r="P179" s="493" t="s">
        <v>251</v>
      </c>
      <c r="Q179" s="492" t="s">
        <v>218</v>
      </c>
      <c r="R179" s="493" t="s">
        <v>251</v>
      </c>
      <c r="S179" s="492" t="s">
        <v>218</v>
      </c>
      <c r="T179" s="493" t="s">
        <v>251</v>
      </c>
      <c r="AC179" s="27" t="s">
        <v>244</v>
      </c>
      <c r="AD179" s="81">
        <v>53.117647058823529</v>
      </c>
      <c r="AE179" s="81">
        <v>53.75</v>
      </c>
      <c r="AF179" s="81">
        <v>53.823529411764703</v>
      </c>
      <c r="AG179" s="81">
        <v>53.705882352941174</v>
      </c>
      <c r="AH179" s="81">
        <v>53.823529411764703</v>
      </c>
      <c r="AI179" s="81">
        <v>54.588235294117645</v>
      </c>
      <c r="AJ179" s="81">
        <v>54.722222222222221</v>
      </c>
      <c r="AK179" s="81">
        <v>54.529411764705884</v>
      </c>
      <c r="AL179" s="81">
        <v>55.333333333333336</v>
      </c>
      <c r="AR179" t="s">
        <v>0</v>
      </c>
      <c r="AS179" s="67" t="s">
        <v>10</v>
      </c>
      <c r="AT179" s="67" t="s">
        <v>0</v>
      </c>
      <c r="AU179" s="67" t="s">
        <v>10</v>
      </c>
      <c r="AV179" s="67" t="s">
        <v>0</v>
      </c>
      <c r="AW179" s="67" t="s">
        <v>10</v>
      </c>
      <c r="AX179" s="67" t="s">
        <v>0</v>
      </c>
      <c r="AY179" s="67" t="s">
        <v>10</v>
      </c>
      <c r="AZ179" s="67" t="s">
        <v>0</v>
      </c>
      <c r="BA179" s="67" t="s">
        <v>10</v>
      </c>
      <c r="BB179" s="67" t="s">
        <v>0</v>
      </c>
      <c r="BC179" s="67" t="s">
        <v>10</v>
      </c>
      <c r="BD179" s="67" t="s">
        <v>0</v>
      </c>
      <c r="BE179" s="67" t="s">
        <v>10</v>
      </c>
      <c r="BF179" s="67" t="s">
        <v>0</v>
      </c>
      <c r="BG179" s="67" t="s">
        <v>10</v>
      </c>
      <c r="BH179" s="67" t="s">
        <v>0</v>
      </c>
      <c r="BI179" s="67" t="s">
        <v>10</v>
      </c>
    </row>
    <row r="180" spans="2:61" x14ac:dyDescent="0.2">
      <c r="B180" s="79" t="s">
        <v>0</v>
      </c>
      <c r="C180" s="80">
        <v>54</v>
      </c>
      <c r="D180" s="80">
        <v>8</v>
      </c>
      <c r="E180" s="80">
        <v>55</v>
      </c>
      <c r="F180" s="80">
        <v>8</v>
      </c>
      <c r="G180" s="80">
        <v>54</v>
      </c>
      <c r="H180" s="80">
        <v>9</v>
      </c>
      <c r="I180" s="80">
        <v>54</v>
      </c>
      <c r="J180" s="80">
        <v>9</v>
      </c>
      <c r="K180" s="80">
        <v>54</v>
      </c>
      <c r="L180" s="80">
        <v>9</v>
      </c>
      <c r="M180" s="80">
        <v>55</v>
      </c>
      <c r="N180" s="80">
        <v>9</v>
      </c>
      <c r="O180" s="80">
        <v>55</v>
      </c>
      <c r="P180" s="80">
        <v>9</v>
      </c>
      <c r="Q180" s="80">
        <v>55</v>
      </c>
      <c r="R180" s="80">
        <v>9</v>
      </c>
      <c r="S180" s="80">
        <v>56</v>
      </c>
      <c r="T180" s="80">
        <v>9</v>
      </c>
      <c r="AC180" s="27" t="s">
        <v>245</v>
      </c>
      <c r="AD180" s="81">
        <v>54.75</v>
      </c>
      <c r="AE180" s="81">
        <v>55.578947368421055</v>
      </c>
      <c r="AF180" s="81">
        <v>54.684210526315788</v>
      </c>
      <c r="AG180" s="81">
        <v>55.3</v>
      </c>
      <c r="AH180" s="81">
        <v>54.791666666666664</v>
      </c>
      <c r="AI180" s="81">
        <v>54.545454545454547</v>
      </c>
      <c r="AJ180" s="81">
        <v>56.44</v>
      </c>
      <c r="AK180" s="81">
        <v>55.96153846153846</v>
      </c>
      <c r="AL180" s="81">
        <v>57.208333333333336</v>
      </c>
      <c r="AQ180" s="26">
        <v>1</v>
      </c>
      <c r="AR180" s="38">
        <v>0.01</v>
      </c>
      <c r="AS180" s="37">
        <v>0.02</v>
      </c>
      <c r="AT180" s="59">
        <v>0.01</v>
      </c>
      <c r="AU180" s="58">
        <v>0.02</v>
      </c>
      <c r="AV180" s="62">
        <v>0.01</v>
      </c>
      <c r="AW180" s="64">
        <v>0.03</v>
      </c>
      <c r="AX180" s="38">
        <v>0.02</v>
      </c>
      <c r="AY180" s="37">
        <v>0.04</v>
      </c>
      <c r="AZ180" s="38">
        <v>0.02</v>
      </c>
      <c r="BA180" s="37">
        <v>0.04</v>
      </c>
      <c r="BB180" s="288">
        <v>0.02</v>
      </c>
      <c r="BC180" s="287">
        <v>0.04</v>
      </c>
      <c r="BD180" s="289">
        <v>0.05</v>
      </c>
      <c r="BE180" s="290">
        <v>0.02</v>
      </c>
      <c r="BF180" s="427">
        <v>0.04</v>
      </c>
      <c r="BG180" s="428">
        <v>0.02</v>
      </c>
      <c r="BH180" s="427">
        <v>0.02</v>
      </c>
      <c r="BI180" s="428">
        <v>0.04</v>
      </c>
    </row>
    <row r="181" spans="2:61" x14ac:dyDescent="0.2">
      <c r="B181" s="81" t="s">
        <v>244</v>
      </c>
      <c r="C181" s="81">
        <f>AVERAGEIF(C36:C171,"=1",D36:D171)</f>
        <v>53.117647058823529</v>
      </c>
      <c r="D181" s="81">
        <f>AVERAGEIF(C36:C171,"=1",E36:E171)</f>
        <v>7.4117647058823533</v>
      </c>
      <c r="E181" s="81">
        <f>AVERAGEIF(C36:C171,"=1",M36:M171)</f>
        <v>53.75</v>
      </c>
      <c r="F181" s="81">
        <f>AVERAGEIF(C36:C171,"=1",N36:N171)</f>
        <v>7.6875</v>
      </c>
      <c r="G181" s="81">
        <f>AVERAGEIF(C36:C171,"=1",V36:V171)</f>
        <v>53.823529411764703</v>
      </c>
      <c r="H181" s="81">
        <f>AVERAGEIF(C36:C171,"=1",W36:W171)</f>
        <v>8.2941176470588243</v>
      </c>
      <c r="I181" s="81">
        <f>AVERAGEIF(C36:C171,"=1",AE36:AE171)</f>
        <v>53.705882352941174</v>
      </c>
      <c r="J181" s="81">
        <f>AVERAGEIF(C36:C171,"=1",AF36:AF171)</f>
        <v>8.4117647058823533</v>
      </c>
      <c r="K181" s="81">
        <f>AVERAGEIF($C$36:$C$171,"=1",$AN$36:$AN$171)</f>
        <v>53.823529411764703</v>
      </c>
      <c r="L181" s="81">
        <f>AVERAGEIF($C$36:$C$171,"=1",$AO$36:$AO$171)</f>
        <v>8.0588235294117645</v>
      </c>
      <c r="M181" s="81">
        <f>AVERAGEIF($C$36:$C$171,"=1",$AW$36:$AW$171)</f>
        <v>54.588235294117645</v>
      </c>
      <c r="N181" s="81">
        <f>AVERAGEIF($C$36:$C$171,"=1",$AY$36:$AY$171)</f>
        <v>8.4705882352941178</v>
      </c>
      <c r="O181" s="81">
        <v>54.722222222222221</v>
      </c>
      <c r="P181" s="81">
        <v>8.5555555555555554</v>
      </c>
      <c r="Q181" s="81">
        <v>54.529411764705884</v>
      </c>
      <c r="R181" s="81">
        <v>8.2941176470588243</v>
      </c>
      <c r="S181" s="81">
        <v>55.333333333333336</v>
      </c>
      <c r="T181" s="81">
        <v>8.4444444444444446</v>
      </c>
      <c r="AC181" s="27" t="s">
        <v>246</v>
      </c>
      <c r="AD181" s="81">
        <v>54.8125</v>
      </c>
      <c r="AE181" s="81">
        <v>55.411764705882355</v>
      </c>
      <c r="AF181" s="81">
        <v>55.823529411764703</v>
      </c>
      <c r="AG181" s="81">
        <v>55.352941176470587</v>
      </c>
      <c r="AH181" s="81">
        <v>54.89473684210526</v>
      </c>
      <c r="AI181" s="81">
        <v>55.6</v>
      </c>
      <c r="AJ181" s="81">
        <v>56.272727272727273</v>
      </c>
      <c r="AK181" s="81">
        <v>55.909090909090907</v>
      </c>
      <c r="AL181" s="81">
        <v>56.5</v>
      </c>
      <c r="AQ181" s="26">
        <v>2</v>
      </c>
      <c r="AR181" s="38">
        <v>0.34</v>
      </c>
      <c r="AS181" s="37">
        <v>0.37</v>
      </c>
      <c r="AT181" s="59">
        <v>0.28999999999999998</v>
      </c>
      <c r="AU181" s="58">
        <v>0.33</v>
      </c>
      <c r="AV181" s="62">
        <v>0.32</v>
      </c>
      <c r="AW181" s="64">
        <v>0.35</v>
      </c>
      <c r="AX181" s="38">
        <v>0.3</v>
      </c>
      <c r="AY181" s="37">
        <v>0.34</v>
      </c>
      <c r="AZ181" s="38">
        <v>0.31</v>
      </c>
      <c r="BA181" s="37">
        <v>0.36</v>
      </c>
      <c r="BB181" s="288">
        <v>0.32</v>
      </c>
      <c r="BC181" s="287">
        <v>0.37</v>
      </c>
      <c r="BD181" s="289">
        <v>0.34</v>
      </c>
      <c r="BE181" s="290">
        <v>0.27</v>
      </c>
      <c r="BF181" s="427">
        <v>0.35</v>
      </c>
      <c r="BG181" s="428">
        <v>0.28999999999999998</v>
      </c>
      <c r="BH181" s="427">
        <v>0.25</v>
      </c>
      <c r="BI181" s="428">
        <v>0.31</v>
      </c>
    </row>
    <row r="182" spans="2:61" x14ac:dyDescent="0.2">
      <c r="B182" s="81" t="s">
        <v>245</v>
      </c>
      <c r="C182" s="81">
        <f>AVERAGEIF(C36:C171,"=2",D36:D171)</f>
        <v>54.75</v>
      </c>
      <c r="D182" s="81">
        <f>AVERAGEIF(C36:C171,"=2",E36:E171)</f>
        <v>7.15</v>
      </c>
      <c r="E182" s="81">
        <f>AVERAGEIF(C36:C171,"=2",M36:M171)</f>
        <v>55.578947368421055</v>
      </c>
      <c r="F182" s="81">
        <f>AVERAGEIF(C36:C171,"=2",N36:N171)</f>
        <v>7.8947368421052628</v>
      </c>
      <c r="G182" s="81">
        <f>AVERAGEIF(C36:C171,"=2",V36:V171)</f>
        <v>54.684210526315788</v>
      </c>
      <c r="H182" s="81">
        <f>AVERAGEIF(C36:C171,"=2",W36:W171)</f>
        <v>8.3684210526315788</v>
      </c>
      <c r="I182" s="81">
        <f>AVERAGEIF(C36:C171,"=2",AE36:AE171)</f>
        <v>55.3</v>
      </c>
      <c r="J182" s="81">
        <f>AVERAGEIF(C36:C171,"=2",AF36:AF171)</f>
        <v>8.35</v>
      </c>
      <c r="K182" s="81">
        <f>AVERAGEIF($C$36:$C$171,"=2",$AN$36:$AN$171)</f>
        <v>54.791666666666664</v>
      </c>
      <c r="L182" s="81">
        <f>AVERAGEIF($C$36:$C$171,"=2",$AO$36:$AO$171)</f>
        <v>7.041666666666667</v>
      </c>
      <c r="M182" s="81">
        <f>AVERAGEIF($C$36:$C$171,"2",$AW$36:$AW$171)</f>
        <v>54.545454545454547</v>
      </c>
      <c r="N182" s="81">
        <f>AVERAGEIF($C$36:$C$171,"=2",$AY$36:$AY$171)</f>
        <v>8</v>
      </c>
      <c r="O182" s="81">
        <v>56.44</v>
      </c>
      <c r="P182" s="81">
        <v>7.84</v>
      </c>
      <c r="Q182" s="81">
        <v>55.96153846153846</v>
      </c>
      <c r="R182" s="81">
        <v>8.3076923076923084</v>
      </c>
      <c r="S182" s="81">
        <v>57.208333333333336</v>
      </c>
      <c r="T182" s="81">
        <v>8.2083333333333339</v>
      </c>
      <c r="AC182" s="27" t="s">
        <v>247</v>
      </c>
      <c r="AD182" s="81">
        <v>50.714285714285715</v>
      </c>
      <c r="AE182" s="81">
        <v>53.6</v>
      </c>
      <c r="AF182" s="81">
        <v>52.93333333333333</v>
      </c>
      <c r="AG182" s="81">
        <v>52.5</v>
      </c>
      <c r="AH182" s="81">
        <v>51.153846153846153</v>
      </c>
      <c r="AI182" s="81">
        <v>52.357142857142854</v>
      </c>
      <c r="AJ182" s="81">
        <v>53.285714285714285</v>
      </c>
      <c r="AK182" s="81">
        <v>51.466666666666669</v>
      </c>
      <c r="AL182" s="81">
        <v>53.384615384615387</v>
      </c>
      <c r="AQ182" s="26">
        <v>3</v>
      </c>
      <c r="AR182" s="38">
        <v>0.57999999999999996</v>
      </c>
      <c r="AS182" s="37">
        <v>0.5</v>
      </c>
      <c r="AT182" s="59">
        <v>0.6</v>
      </c>
      <c r="AU182" s="58">
        <v>0.52</v>
      </c>
      <c r="AV182" s="62">
        <v>0.56000000000000005</v>
      </c>
      <c r="AW182" s="64">
        <v>0.49</v>
      </c>
      <c r="AX182" s="38">
        <v>0.56999999999999995</v>
      </c>
      <c r="AY182" s="37">
        <v>0.49</v>
      </c>
      <c r="AZ182" s="38">
        <v>0.59</v>
      </c>
      <c r="BA182" s="37">
        <v>0.49</v>
      </c>
      <c r="BB182" s="288">
        <v>0.54</v>
      </c>
      <c r="BC182" s="287">
        <v>0.45</v>
      </c>
      <c r="BD182" s="289">
        <v>0.47</v>
      </c>
      <c r="BE182" s="290">
        <v>0.57999999999999996</v>
      </c>
      <c r="BF182" s="427">
        <v>0.48</v>
      </c>
      <c r="BG182" s="428">
        <v>0.56999999999999995</v>
      </c>
      <c r="BH182" s="427">
        <v>0.59</v>
      </c>
      <c r="BI182" s="428">
        <v>0.5</v>
      </c>
    </row>
    <row r="183" spans="2:61" x14ac:dyDescent="0.2">
      <c r="B183" s="81" t="s">
        <v>246</v>
      </c>
      <c r="C183" s="81">
        <f>AVERAGEIF(C36:C171,"=3",D36:D171)</f>
        <v>54.555555555555557</v>
      </c>
      <c r="D183" s="81">
        <f>AVERAGEIF(C36:C171,"=3",E36:E171)</f>
        <v>8.0555555555555554</v>
      </c>
      <c r="E183" s="81">
        <f>AVERAGEIF(C36:C171,"=3",M36:M171)</f>
        <v>55.368421052631582</v>
      </c>
      <c r="F183" s="81">
        <f>AVERAGEIF(C36:C171,"=3",N36:N171)</f>
        <v>7.8947368421052628</v>
      </c>
      <c r="G183" s="81">
        <f>AVERAGEIF(C36:C171,"=3",V36:V171)</f>
        <v>55.684210526315788</v>
      </c>
      <c r="H183" s="81">
        <f>AVERAGEIF(C36:C171,"=3",W36:W171)</f>
        <v>8.3157894736842106</v>
      </c>
      <c r="I183" s="81">
        <f>AVERAGEIF(C36:C171,"=3",AE36:AE171)</f>
        <v>55.210526315789473</v>
      </c>
      <c r="J183" s="81">
        <f>AVERAGEIF(C36:C171,"=3",AF36:AF171)</f>
        <v>8.4210526315789469</v>
      </c>
      <c r="K183" s="81">
        <f>AVERAGEIF($C$36:$C$171,"=3",$AN$36:$AN$171)</f>
        <v>54.9</v>
      </c>
      <c r="L183" s="81">
        <f>AVERAGEIF($C$36:$C$171,"=3",$AO$36:$AO$171)</f>
        <v>7.8</v>
      </c>
      <c r="M183" s="81">
        <f>AVERAGEIF($C$36:$C$171,"=3",$AW$36:$AW$171)</f>
        <v>55.6</v>
      </c>
      <c r="N183" s="81">
        <f>AVERAGEIF($C$36:$C$171,"=3",$AY$36:$AY$171)</f>
        <v>8.5500000000000007</v>
      </c>
      <c r="O183" s="81">
        <v>56.272727272727273</v>
      </c>
      <c r="P183" s="81">
        <v>8.4090909090909083</v>
      </c>
      <c r="Q183" s="81">
        <v>55.909090909090907</v>
      </c>
      <c r="R183" s="81">
        <v>8.1363636363636367</v>
      </c>
      <c r="S183" s="81">
        <v>56.5</v>
      </c>
      <c r="T183" s="81">
        <v>8.5</v>
      </c>
      <c r="AC183" s="27" t="s">
        <v>248</v>
      </c>
      <c r="AD183" s="81">
        <v>55.529411764705884</v>
      </c>
      <c r="AE183" s="81">
        <v>56.941176470588232</v>
      </c>
      <c r="AF183" s="81">
        <v>55.888888888888886</v>
      </c>
      <c r="AG183" s="81">
        <v>56.368421052631582</v>
      </c>
      <c r="AH183" s="81">
        <v>56.5</v>
      </c>
      <c r="AI183" s="81">
        <v>56.944444444444443</v>
      </c>
      <c r="AJ183" s="81">
        <v>57.882352941176471</v>
      </c>
      <c r="AK183" s="81">
        <v>57.823529411764703</v>
      </c>
      <c r="AL183" s="81">
        <v>57.5</v>
      </c>
      <c r="AQ183" s="26">
        <v>4</v>
      </c>
      <c r="AR183" s="38">
        <v>7.0000000000000007E-2</v>
      </c>
      <c r="AS183" s="37">
        <v>0.1</v>
      </c>
      <c r="AT183" s="59">
        <v>0.09</v>
      </c>
      <c r="AU183" s="58">
        <v>0.13</v>
      </c>
      <c r="AV183" s="62">
        <v>0.11</v>
      </c>
      <c r="AW183" s="64">
        <v>0.13</v>
      </c>
      <c r="AX183" s="38">
        <v>0.11</v>
      </c>
      <c r="AY183" s="37">
        <v>0.12</v>
      </c>
      <c r="AZ183" s="38">
        <v>0.09</v>
      </c>
      <c r="BA183" s="37">
        <v>0.1</v>
      </c>
      <c r="BB183" s="288">
        <v>0.12</v>
      </c>
      <c r="BC183" s="287">
        <v>0.13</v>
      </c>
      <c r="BD183" s="289">
        <v>0.14000000000000001</v>
      </c>
      <c r="BE183" s="290">
        <v>0.13</v>
      </c>
      <c r="BF183" s="427">
        <v>0.13</v>
      </c>
      <c r="BG183" s="428">
        <v>0.12</v>
      </c>
      <c r="BH183" s="427">
        <v>0.14000000000000001</v>
      </c>
      <c r="BI183" s="428">
        <v>0.15</v>
      </c>
    </row>
    <row r="184" spans="2:61" x14ac:dyDescent="0.2">
      <c r="B184" s="81" t="s">
        <v>247</v>
      </c>
      <c r="C184" s="81">
        <f>AVERAGEIF(C36:C171,"=4",D36:D171)</f>
        <v>50.714285714285715</v>
      </c>
      <c r="D184" s="81">
        <f>AVERAGEIF(C36:C171,"=4",E36:E171)</f>
        <v>7.5</v>
      </c>
      <c r="E184" s="81">
        <f>AVERAGEIF(C36:C171,"=4",M36:M171)</f>
        <v>53.6</v>
      </c>
      <c r="F184" s="81">
        <f>AVERAGEIF(C36:C171,"=4",N36:N171)</f>
        <v>7.2666666666666666</v>
      </c>
      <c r="G184" s="81">
        <f>AVERAGEIF(C36:C171,"=4",V36:V171)</f>
        <v>52.93333333333333</v>
      </c>
      <c r="H184" s="81">
        <f>AVERAGEIF(C36:C171,"=4",W36:W171)</f>
        <v>7.6</v>
      </c>
      <c r="I184" s="81">
        <f>AVERAGEIF(C36:C171,"=4",AE36:AE171)</f>
        <v>52.5</v>
      </c>
      <c r="J184" s="81">
        <f>AVERAGEIF(C36:C171,"=4",AF36:AF171)</f>
        <v>8.5</v>
      </c>
      <c r="K184" s="81">
        <f>AVERAGEIF($C$36:$C$171,"=4",$AN$36:$AN$171)</f>
        <v>51.153846153846153</v>
      </c>
      <c r="L184" s="81">
        <f>AVERAGEIF($C$36:$C$171,"=4",$AO$36:$AO$171)</f>
        <v>8.0769230769230766</v>
      </c>
      <c r="M184" s="81">
        <f>AVERAGEIF($C$36:$C$171,"=4",$AW$36:$AW$171)</f>
        <v>52.357142857142854</v>
      </c>
      <c r="N184" s="81">
        <f>AVERAGEIF($C$36:$C$171,"=4",$AY$36:$AY$171)</f>
        <v>8</v>
      </c>
      <c r="O184" s="81">
        <v>53.285714285714285</v>
      </c>
      <c r="P184" s="81">
        <v>8.5</v>
      </c>
      <c r="Q184" s="81">
        <v>51.466666666666669</v>
      </c>
      <c r="R184" s="81">
        <v>8.6</v>
      </c>
      <c r="S184" s="81">
        <v>53.384615384615387</v>
      </c>
      <c r="T184" s="81">
        <v>8.384615384615385</v>
      </c>
      <c r="AC184" s="27" t="s">
        <v>249</v>
      </c>
      <c r="AD184" s="81">
        <v>54.2</v>
      </c>
      <c r="AE184" s="81">
        <v>53.733333333333334</v>
      </c>
      <c r="AF184" s="81">
        <v>54.357142857142854</v>
      </c>
      <c r="AG184" s="81">
        <v>54.6</v>
      </c>
      <c r="AH184" s="81">
        <v>52.588235294117645</v>
      </c>
      <c r="AI184" s="81">
        <v>54.1875</v>
      </c>
      <c r="AJ184" s="81">
        <v>54.526315789473685</v>
      </c>
      <c r="AK184" s="81">
        <v>55.6</v>
      </c>
      <c r="AL184" s="81">
        <v>56</v>
      </c>
    </row>
    <row r="185" spans="2:61" x14ac:dyDescent="0.2">
      <c r="B185" s="81" t="s">
        <v>248</v>
      </c>
      <c r="C185" s="81">
        <f>AVERAGEIF(C36:C171,"=5",D36:D171)</f>
        <v>55.529411764705884</v>
      </c>
      <c r="D185" s="81">
        <f>AVERAGEIF(C36:C171,"=5",E36:E171)</f>
        <v>7.7058823529411766</v>
      </c>
      <c r="E185" s="81">
        <f>AVERAGEIF(C36:C171,"=5",M36:M171)</f>
        <v>56.941176470588232</v>
      </c>
      <c r="F185" s="81">
        <f>AVERAGEIF(C36:C171,"=5",N36:N171)</f>
        <v>7.5882352941176467</v>
      </c>
      <c r="G185" s="81">
        <f>AVERAGEIF(C36:C171,"=5",V36:V171)</f>
        <v>55.888888888888886</v>
      </c>
      <c r="H185" s="81">
        <f>AVERAGEIF(C36:C171,"=5",W36:W171)</f>
        <v>7.8888888888888893</v>
      </c>
      <c r="I185" s="81">
        <f>AVERAGEIF(C36:C171,"=5",AE36:AE171)</f>
        <v>56.368421052631582</v>
      </c>
      <c r="J185" s="81">
        <f>AVERAGEIF(C36:C171,"=5",AF36:AF171)</f>
        <v>7.9473684210526319</v>
      </c>
      <c r="K185" s="81">
        <f>AVERAGEIF($C$36:$C$171,"=5",$AN$36:$AN$171)</f>
        <v>56.5</v>
      </c>
      <c r="L185" s="81">
        <f>AVERAGEIF($C$36:$C$171,"=5",$AO$36:$AO$171)</f>
        <v>7.3888888888888893</v>
      </c>
      <c r="M185" s="81">
        <f>AVERAGEIF($C$36:$C$171,"=5",$AW$36:$AW$171)</f>
        <v>56.944444444444443</v>
      </c>
      <c r="N185" s="81">
        <f>AVERAGEIF($C$36:$C$171,"=5",$AY$36:$AY$171)</f>
        <v>8.4444444444444446</v>
      </c>
      <c r="O185" s="81">
        <v>57.882352941176471</v>
      </c>
      <c r="P185" s="81">
        <v>7.7058823529411766</v>
      </c>
      <c r="Q185" s="81">
        <v>57.823529411764703</v>
      </c>
      <c r="R185" s="81">
        <v>8.1764705882352935</v>
      </c>
      <c r="S185" s="81">
        <v>57.5</v>
      </c>
      <c r="T185" s="81">
        <v>7.5555555555555554</v>
      </c>
      <c r="U185" s="32"/>
      <c r="X185" s="69"/>
      <c r="Y185" s="69"/>
      <c r="Z185" s="69"/>
      <c r="AA185" s="69"/>
      <c r="AB185" s="69"/>
      <c r="AC185" s="69"/>
      <c r="AD185" s="69"/>
    </row>
    <row r="186" spans="2:61" x14ac:dyDescent="0.2">
      <c r="B186" s="81" t="s">
        <v>249</v>
      </c>
      <c r="C186" s="81">
        <f>AVERAGEIF(C36:C171,"=6",D36:D171)</f>
        <v>54.2</v>
      </c>
      <c r="D186" s="81">
        <f>AVERAGEIF(C36:C171,"=6",E36:E171)</f>
        <v>6.7333333333333334</v>
      </c>
      <c r="E186" s="81">
        <f>AVERAGEIF(C36:C171,"=6",M36:M171)</f>
        <v>53.733333333333334</v>
      </c>
      <c r="F186" s="81">
        <f>AVERAGEIF(C36:C171,"=6", N36:N171)</f>
        <v>8.3333333333333339</v>
      </c>
      <c r="G186" s="81">
        <f>AVERAGEIF(C36:C171,"=6",V36:V171)</f>
        <v>54.357142857142854</v>
      </c>
      <c r="H186" s="81">
        <f>AVERAGEIF(C36:C171,"=6",W36:W171)</f>
        <v>8.5714285714285712</v>
      </c>
      <c r="I186" s="81">
        <f>AVERAGEIF(C36:C171,"=6",AE36:AE171)</f>
        <v>54.6</v>
      </c>
      <c r="J186" s="81">
        <f>AVERAGEIF(C36:C171,"=6",AF36:AF171)</f>
        <v>8.6666666666666661</v>
      </c>
      <c r="K186" s="81">
        <f>AVERAGEIF($C$36:$C$171,"=6",$AN$36:$AN$171)</f>
        <v>52.588235294117645</v>
      </c>
      <c r="L186" s="81">
        <f>AVERAGEIF($C$36:$C$171,"=6",$AO$36:$AO$171)</f>
        <v>7.4705882352941178</v>
      </c>
      <c r="M186" s="81">
        <f>AVERAGEIF($C$36:$C$171,"=6",$AW$36:$AW$171)</f>
        <v>54.294117647058826</v>
      </c>
      <c r="N186" s="81">
        <f>AVERAGEIF($C$36:$C$171,"=6",$AY$36:$AY$171)</f>
        <v>7.7647058823529411</v>
      </c>
      <c r="O186" s="81">
        <v>54.526315789473685</v>
      </c>
      <c r="P186" s="81">
        <v>8.3157894736842106</v>
      </c>
      <c r="Q186" s="81">
        <v>55.6</v>
      </c>
      <c r="R186" s="81">
        <v>7.9</v>
      </c>
      <c r="S186" s="81">
        <v>56</v>
      </c>
      <c r="T186" s="81">
        <v>8.5555555555555554</v>
      </c>
      <c r="U186" s="32"/>
      <c r="X186" s="69"/>
      <c r="Y186" s="69"/>
      <c r="Z186" s="69"/>
      <c r="AA186" s="69"/>
      <c r="AB186" s="69"/>
      <c r="AC186" s="69"/>
      <c r="AD186" s="69"/>
    </row>
    <row r="187" spans="2:61" x14ac:dyDescent="0.2">
      <c r="D187" t="s">
        <v>256</v>
      </c>
    </row>
    <row r="189" spans="2:61" x14ac:dyDescent="0.2">
      <c r="B189" s="28"/>
      <c r="C189" s="842">
        <v>2016</v>
      </c>
      <c r="D189" s="845"/>
      <c r="E189" s="845"/>
      <c r="F189" s="845"/>
      <c r="G189" s="845">
        <v>2017</v>
      </c>
      <c r="H189" s="845"/>
      <c r="I189" s="845"/>
      <c r="J189" s="845"/>
      <c r="K189" s="845">
        <v>2018</v>
      </c>
      <c r="L189" s="845"/>
      <c r="M189" s="845"/>
      <c r="N189" s="843"/>
      <c r="O189" s="842">
        <v>2019</v>
      </c>
      <c r="P189" s="845"/>
      <c r="Q189" s="845"/>
      <c r="R189" s="845"/>
      <c r="S189" s="842">
        <v>2020</v>
      </c>
      <c r="T189" s="845"/>
      <c r="U189" s="845"/>
      <c r="V189" s="845"/>
      <c r="W189" s="842">
        <v>2021</v>
      </c>
      <c r="X189" s="845"/>
      <c r="Y189" s="845"/>
      <c r="Z189" s="845"/>
      <c r="AA189" s="842">
        <v>2022</v>
      </c>
      <c r="AB189" s="845"/>
      <c r="AC189" s="845"/>
      <c r="AD189" s="845"/>
      <c r="AE189" s="842">
        <v>2023</v>
      </c>
      <c r="AF189" s="845"/>
      <c r="AG189" s="845"/>
      <c r="AH189" s="845"/>
      <c r="AI189" s="842">
        <v>2024</v>
      </c>
      <c r="AJ189" s="845"/>
      <c r="AK189" s="845"/>
      <c r="AL189" s="845"/>
      <c r="AR189" s="89">
        <v>2016</v>
      </c>
      <c r="AS189" s="90"/>
      <c r="AT189" s="471">
        <v>2017</v>
      </c>
      <c r="AU189" s="472"/>
      <c r="AV189" s="471">
        <v>2018</v>
      </c>
      <c r="AW189" s="472"/>
      <c r="AX189" s="471">
        <v>2019</v>
      </c>
      <c r="AY189" s="472"/>
      <c r="AZ189" s="471">
        <v>2020</v>
      </c>
      <c r="BA189" s="472"/>
      <c r="BB189" s="471">
        <v>2021</v>
      </c>
      <c r="BC189" s="472"/>
      <c r="BD189" s="471">
        <v>2022</v>
      </c>
      <c r="BE189" s="472"/>
      <c r="BF189" s="471">
        <v>2023</v>
      </c>
      <c r="BG189" s="472"/>
      <c r="BH189" s="471">
        <v>2024</v>
      </c>
      <c r="BI189" s="472"/>
    </row>
    <row r="190" spans="2:61" ht="12.75" customHeight="1" x14ac:dyDescent="0.2">
      <c r="B190" s="28"/>
      <c r="C190" s="842" t="s">
        <v>252</v>
      </c>
      <c r="D190" s="843"/>
      <c r="E190" s="842" t="s">
        <v>253</v>
      </c>
      <c r="F190" s="845"/>
      <c r="G190" s="842" t="s">
        <v>252</v>
      </c>
      <c r="H190" s="843"/>
      <c r="I190" s="842" t="s">
        <v>253</v>
      </c>
      <c r="J190" s="845"/>
      <c r="K190" s="842" t="s">
        <v>252</v>
      </c>
      <c r="L190" s="843"/>
      <c r="M190" s="842" t="s">
        <v>253</v>
      </c>
      <c r="N190" s="843"/>
      <c r="O190" s="842" t="s">
        <v>252</v>
      </c>
      <c r="P190" s="843"/>
      <c r="Q190" s="842" t="s">
        <v>253</v>
      </c>
      <c r="R190" s="845"/>
      <c r="S190" s="842" t="s">
        <v>252</v>
      </c>
      <c r="T190" s="843"/>
      <c r="U190" s="842" t="s">
        <v>253</v>
      </c>
      <c r="V190" s="845"/>
      <c r="W190" s="842" t="s">
        <v>252</v>
      </c>
      <c r="X190" s="843"/>
      <c r="Y190" s="842" t="s">
        <v>253</v>
      </c>
      <c r="Z190" s="845"/>
      <c r="AA190" s="842" t="s">
        <v>252</v>
      </c>
      <c r="AB190" s="843"/>
      <c r="AC190" s="842" t="s">
        <v>253</v>
      </c>
      <c r="AD190" s="845"/>
      <c r="AE190" s="842" t="s">
        <v>252</v>
      </c>
      <c r="AF190" s="843"/>
      <c r="AG190" s="842" t="s">
        <v>253</v>
      </c>
      <c r="AH190" s="845"/>
      <c r="AI190" s="842" t="s">
        <v>252</v>
      </c>
      <c r="AJ190" s="843"/>
      <c r="AK190" s="842" t="s">
        <v>253</v>
      </c>
      <c r="AL190" s="845"/>
      <c r="AM190" s="26"/>
      <c r="AN190" s="26"/>
      <c r="AO190" s="26"/>
      <c r="AR190" s="7" t="s">
        <v>219</v>
      </c>
      <c r="AS190" s="7" t="s">
        <v>221</v>
      </c>
      <c r="AT190" s="7" t="s">
        <v>219</v>
      </c>
      <c r="AU190" s="7" t="s">
        <v>221</v>
      </c>
      <c r="AV190" s="7" t="s">
        <v>219</v>
      </c>
      <c r="AW190" s="7" t="s">
        <v>221</v>
      </c>
      <c r="AX190" s="7" t="s">
        <v>219</v>
      </c>
      <c r="AY190" s="7" t="s">
        <v>221</v>
      </c>
      <c r="AZ190" s="7" t="s">
        <v>219</v>
      </c>
      <c r="BA190" s="7" t="s">
        <v>221</v>
      </c>
      <c r="BB190" s="7" t="s">
        <v>219</v>
      </c>
      <c r="BC190" s="7" t="s">
        <v>221</v>
      </c>
      <c r="BD190" s="7" t="s">
        <v>219</v>
      </c>
      <c r="BE190" s="7" t="s">
        <v>221</v>
      </c>
      <c r="BF190" s="7" t="s">
        <v>219</v>
      </c>
      <c r="BG190" s="7" t="s">
        <v>221</v>
      </c>
      <c r="BH190" s="7" t="s">
        <v>219</v>
      </c>
      <c r="BI190" s="7" t="s">
        <v>221</v>
      </c>
    </row>
    <row r="191" spans="2:61" ht="18" customHeight="1" x14ac:dyDescent="0.2">
      <c r="B191" s="28"/>
      <c r="C191" s="7" t="s">
        <v>218</v>
      </c>
      <c r="D191" s="7" t="s">
        <v>251</v>
      </c>
      <c r="E191" s="7" t="s">
        <v>218</v>
      </c>
      <c r="F191" s="7" t="s">
        <v>251</v>
      </c>
      <c r="G191" s="7" t="s">
        <v>218</v>
      </c>
      <c r="H191" s="7" t="s">
        <v>251</v>
      </c>
      <c r="I191" s="7" t="s">
        <v>218</v>
      </c>
      <c r="J191" s="7" t="s">
        <v>251</v>
      </c>
      <c r="K191" s="7" t="s">
        <v>218</v>
      </c>
      <c r="L191" s="7" t="s">
        <v>251</v>
      </c>
      <c r="M191" s="7" t="s">
        <v>218</v>
      </c>
      <c r="N191" s="7" t="s">
        <v>251</v>
      </c>
      <c r="O191" s="7" t="s">
        <v>218</v>
      </c>
      <c r="P191" s="7" t="s">
        <v>251</v>
      </c>
      <c r="Q191" s="7" t="s">
        <v>218</v>
      </c>
      <c r="R191" s="34" t="s">
        <v>251</v>
      </c>
      <c r="S191" s="7" t="s">
        <v>218</v>
      </c>
      <c r="T191" s="7" t="s">
        <v>251</v>
      </c>
      <c r="U191" s="7" t="s">
        <v>218</v>
      </c>
      <c r="V191" s="34" t="s">
        <v>251</v>
      </c>
      <c r="W191" s="7" t="s">
        <v>218</v>
      </c>
      <c r="X191" s="7" t="s">
        <v>251</v>
      </c>
      <c r="Y191" s="7" t="s">
        <v>218</v>
      </c>
      <c r="Z191" s="34" t="s">
        <v>251</v>
      </c>
      <c r="AA191" s="7" t="s">
        <v>218</v>
      </c>
      <c r="AB191" s="7" t="s">
        <v>251</v>
      </c>
      <c r="AC191" s="7" t="s">
        <v>218</v>
      </c>
      <c r="AD191" s="34" t="s">
        <v>251</v>
      </c>
      <c r="AE191" s="7" t="s">
        <v>218</v>
      </c>
      <c r="AF191" s="7" t="s">
        <v>251</v>
      </c>
      <c r="AG191" s="7" t="s">
        <v>218</v>
      </c>
      <c r="AH191" s="34" t="s">
        <v>251</v>
      </c>
      <c r="AI191" s="7" t="s">
        <v>218</v>
      </c>
      <c r="AJ191" s="7" t="s">
        <v>251</v>
      </c>
      <c r="AK191" s="7" t="s">
        <v>218</v>
      </c>
      <c r="AL191" s="34" t="s">
        <v>251</v>
      </c>
      <c r="AM191" s="26"/>
      <c r="AN191" s="26"/>
      <c r="AO191" s="26"/>
      <c r="AQ191" s="481">
        <v>1</v>
      </c>
      <c r="AR191" s="39">
        <f>$F$12</f>
        <v>0.01</v>
      </c>
      <c r="AS191" s="39">
        <f>$F$14</f>
        <v>0.01</v>
      </c>
      <c r="AT191" s="39">
        <f>$O$12</f>
        <v>0.01</v>
      </c>
      <c r="AU191" s="39">
        <f>$O$14</f>
        <v>0.01</v>
      </c>
      <c r="AV191" s="39">
        <f>$X$12</f>
        <v>0.02</v>
      </c>
      <c r="AW191" s="39">
        <f>$X$14</f>
        <v>0.01</v>
      </c>
      <c r="AX191" s="39">
        <f>$AG$12</f>
        <v>0.02</v>
      </c>
      <c r="AY191" s="39">
        <f>$AG$14</f>
        <v>0.01</v>
      </c>
      <c r="AZ191" s="39">
        <f>$AP$12</f>
        <v>0.02</v>
      </c>
      <c r="BA191" s="39">
        <f>$AP$14</f>
        <v>0.01</v>
      </c>
      <c r="BB191" s="39">
        <f>$BA$12</f>
        <v>0.02</v>
      </c>
      <c r="BC191" s="39">
        <f>$BA$14</f>
        <v>0.01</v>
      </c>
      <c r="BD191" s="293">
        <v>0.02</v>
      </c>
      <c r="BE191" s="327">
        <v>0.01</v>
      </c>
      <c r="BF191" s="490">
        <v>0.02</v>
      </c>
      <c r="BG191" s="490">
        <v>0.01</v>
      </c>
      <c r="BH191" s="491">
        <v>0.03</v>
      </c>
      <c r="BI191" s="491">
        <v>0.01</v>
      </c>
    </row>
    <row r="192" spans="2:61" x14ac:dyDescent="0.2">
      <c r="B192" s="5" t="s">
        <v>0</v>
      </c>
      <c r="C192" s="10">
        <v>53</v>
      </c>
      <c r="D192" s="10">
        <v>8</v>
      </c>
      <c r="E192" s="10">
        <v>55</v>
      </c>
      <c r="F192" s="10">
        <v>8</v>
      </c>
      <c r="G192" s="10">
        <v>52</v>
      </c>
      <c r="H192" s="10">
        <v>8</v>
      </c>
      <c r="I192" s="10">
        <v>56</v>
      </c>
      <c r="J192" s="10">
        <v>9</v>
      </c>
      <c r="K192" s="30">
        <v>52</v>
      </c>
      <c r="L192" s="30">
        <v>9</v>
      </c>
      <c r="M192" s="30">
        <v>56</v>
      </c>
      <c r="N192" s="30">
        <v>9</v>
      </c>
      <c r="O192" s="30">
        <v>52</v>
      </c>
      <c r="P192" s="30">
        <v>9</v>
      </c>
      <c r="Q192" s="30">
        <v>56</v>
      </c>
      <c r="R192" s="30">
        <v>9</v>
      </c>
      <c r="S192" s="30">
        <v>52</v>
      </c>
      <c r="T192" s="30">
        <v>9</v>
      </c>
      <c r="U192" s="30">
        <v>56</v>
      </c>
      <c r="V192" s="30">
        <v>9</v>
      </c>
      <c r="W192" s="30">
        <v>53</v>
      </c>
      <c r="X192" s="30">
        <v>9</v>
      </c>
      <c r="Y192" s="30">
        <v>56</v>
      </c>
      <c r="Z192" s="30">
        <v>9</v>
      </c>
      <c r="AA192" s="30">
        <v>53</v>
      </c>
      <c r="AB192" s="30">
        <v>9</v>
      </c>
      <c r="AC192" s="30">
        <v>56</v>
      </c>
      <c r="AD192" s="30">
        <v>9</v>
      </c>
      <c r="AE192" s="30">
        <v>53</v>
      </c>
      <c r="AF192" s="30">
        <v>9</v>
      </c>
      <c r="AG192" s="30">
        <v>56</v>
      </c>
      <c r="AH192" s="30">
        <v>9</v>
      </c>
      <c r="AI192" s="30">
        <v>54</v>
      </c>
      <c r="AJ192" s="30">
        <v>9</v>
      </c>
      <c r="AK192" s="30">
        <v>58</v>
      </c>
      <c r="AL192" s="30">
        <v>9</v>
      </c>
      <c r="AM192" s="26"/>
      <c r="AN192" s="26"/>
      <c r="AO192" s="26"/>
      <c r="AQ192" s="481">
        <v>2</v>
      </c>
      <c r="AR192" s="39">
        <f>$G$12</f>
        <v>0.39</v>
      </c>
      <c r="AS192" s="39">
        <f>$G$14</f>
        <v>0.28999999999999998</v>
      </c>
      <c r="AT192" s="39">
        <f>$P$12</f>
        <v>0.34</v>
      </c>
      <c r="AU192" s="39">
        <f>$P$14</f>
        <v>0.23</v>
      </c>
      <c r="AV192" s="39">
        <f>$Y$12</f>
        <v>0.37</v>
      </c>
      <c r="AW192" s="39">
        <f>$Y$14</f>
        <v>0.26</v>
      </c>
      <c r="AX192" s="39">
        <f>$AH$12</f>
        <v>0.35</v>
      </c>
      <c r="AY192" s="39">
        <f>$AH$14</f>
        <v>0.25</v>
      </c>
      <c r="AZ192" s="39">
        <f>$AQ$12</f>
        <v>0.35</v>
      </c>
      <c r="BA192" s="39">
        <f>$AQ$14</f>
        <v>0.26</v>
      </c>
      <c r="BB192" s="39">
        <f>$BB$12</f>
        <v>0.37</v>
      </c>
      <c r="BC192" s="39">
        <f>$BB$14</f>
        <v>0.26</v>
      </c>
      <c r="BD192" s="293">
        <v>0.34</v>
      </c>
      <c r="BE192" s="327">
        <v>0.21</v>
      </c>
      <c r="BF192" s="490">
        <v>0.35</v>
      </c>
      <c r="BG192" s="490">
        <v>0.22</v>
      </c>
      <c r="BH192" s="491">
        <v>0.31</v>
      </c>
      <c r="BI192" s="491">
        <v>0.18</v>
      </c>
    </row>
    <row r="193" spans="2:76" x14ac:dyDescent="0.2">
      <c r="B193" s="27" t="s">
        <v>244</v>
      </c>
      <c r="C193" s="27">
        <f>AVERAGEIFS($D$36:$D$171,$C$36:$C$171,"=1", $B$36:$B$171,"OFICIAL")</f>
        <v>53</v>
      </c>
      <c r="D193" s="27">
        <f>AVERAGEIFS($E$36:$E$171,$C$36:$C$171,"=1", $B$36:$B$171,"OFICIAL")</f>
        <v>7.25</v>
      </c>
      <c r="E193" s="27">
        <f>AVERAGEIFS($D$36:$D$171,$C$36:$C$171,"=1", $B$36:$B$171,"NO OFICIAL")</f>
        <v>53.153846153846153</v>
      </c>
      <c r="F193" s="27">
        <f>AVERAGEIFS($E$36:$E$171,$C$36:$C$171,"=1", $B$36:$B$171,"NO OFICIAL")</f>
        <v>7.4615384615384617</v>
      </c>
      <c r="G193" s="27">
        <f>AVERAGEIFS($M$36:$M$171,$C$36:$C$171,"=1",$B$36:$B$171,"OFICIAL")</f>
        <v>55</v>
      </c>
      <c r="H193" s="27">
        <f>AVERAGEIFS(N36:N171,C36:C171,"=1", B36:B171,"OFICIAL")</f>
        <v>7.25</v>
      </c>
      <c r="I193" s="27">
        <f>AVERAGEIFS(M36:M171,C36:C171,"=1", B36:B171,"NO OFICIAL")</f>
        <v>53.333333333333336</v>
      </c>
      <c r="J193" s="27">
        <f>AVERAGEIFS(N36:N171,C36:C171,"=1", B36:B171,"NO OFICIAL")</f>
        <v>7.833333333333333</v>
      </c>
      <c r="K193" s="27">
        <f>AVERAGEIFS(V36:V171,C36:C171,"=1", B36:B171,"OFICIAL")</f>
        <v>53.75</v>
      </c>
      <c r="L193" s="27">
        <f>AVERAGEIFS(W36:W171,C36:C171,"=1", B36:B171,"OFICIAL")</f>
        <v>8.5</v>
      </c>
      <c r="M193" s="27">
        <f>AVERAGEIFS(V36:V171,C36:C171,"=1", B36:B171,"NO OFICIAL")</f>
        <v>53.846153846153847</v>
      </c>
      <c r="N193" s="27">
        <f>AVERAGEIFS(W36:W171,C36:C171,"=1", B36:B171,"NO OFICIAL")</f>
        <v>8.2307692307692299</v>
      </c>
      <c r="O193" s="27">
        <f>AVERAGEIFS(AE36:AE171,C36:C171,"=1", B36:B171,"OFICIAL")</f>
        <v>54.25</v>
      </c>
      <c r="P193" s="27">
        <f>AVERAGEIFS(AF36:AF171,C36:C171,"=1", B36:B171,"OFICIAL")</f>
        <v>8.75</v>
      </c>
      <c r="Q193" s="27">
        <f>AVERAGEIFS(AE36:AE171,C36:C171,"=1", B36:B171,"NO OFICIAL")</f>
        <v>53.53846153846154</v>
      </c>
      <c r="R193" s="27">
        <f>AVERAGEIFS(AF36:AF171,C36:C171,"=1", B36:B171,"NO OFICIAL")</f>
        <v>8.3076923076923084</v>
      </c>
      <c r="S193" s="27">
        <f>AVERAGEIFS($AN$36:$AN$171,$C$36:$C$171,"=1", $B$36:$B$171,"OFICIAL")</f>
        <v>54.25</v>
      </c>
      <c r="T193" s="27">
        <f>AVERAGEIFS($AO$36:$AO$171,$C$36:$C$171,"=1", $B$36:$B$171,"OFICIAL")</f>
        <v>8</v>
      </c>
      <c r="U193" s="27">
        <f>AVERAGEIFS($AN$36:$AN$171,$C$36:$C$171,"=1", $B$36:$B$171,"NO OFICIAL")</f>
        <v>53.692307692307693</v>
      </c>
      <c r="V193" s="27">
        <f>AVERAGEIFS($AO$36:$AO$171,$C$36:$C$171,"=1", $B$36:$B$171,"NO OFICIAL")</f>
        <v>8.0769230769230766</v>
      </c>
      <c r="W193" s="27">
        <f>AVERAGEIFS($AW$36:$AW$171,$C$36:$C$171,"=1", $B$36:$B$171,"OFICIAL")</f>
        <v>53.75</v>
      </c>
      <c r="X193" s="27">
        <f>AVERAGEIFS($AY$36:$AY$171,$C$36:$C$171,"=1", $B$36:$B$171,"OFICIAL")</f>
        <v>9.5</v>
      </c>
      <c r="Y193" s="27">
        <f>AVERAGEIFS($AW$36:$AW$171,$C$36:$C$171,"=1", $B$36:$B$171,"NO OFICIAL")</f>
        <v>54.846153846153847</v>
      </c>
      <c r="Z193" s="27">
        <f>AVERAGEIFS($AY$36:$AY$171,$C$36:$C$171,"=1", $B$36:$B$171,"NO OFICIAL")</f>
        <v>8.1538461538461533</v>
      </c>
      <c r="AA193" s="27">
        <f>AVERAGEIFS($BH$36:$BH$171,$C$36:$C$171,"=1", $B$36:$B$171,"OFICIAL")</f>
        <v>54</v>
      </c>
      <c r="AB193" s="27">
        <f>AVERAGEIFS($BJ$36:$BJ$171,$C$36:$C$171,"=1", $B$36:$B$171,"OFICIAL")</f>
        <v>8.6</v>
      </c>
      <c r="AC193" s="27">
        <f>AVERAGEIFS($BH$36:$BH$171,$C$36:$C$171,"=1", $B$36:$B$171,"NO OFICIAL")</f>
        <v>55</v>
      </c>
      <c r="AD193" s="27">
        <f>AVERAGEIFS($BJ$36:$BJ$171,$C$36:$C$171,"=1", $B$36:$B$171,"NO OFICIAL")</f>
        <v>8.5384615384615383</v>
      </c>
      <c r="AE193" s="27">
        <f>AVERAGEIFS($BS$36:$BS$171,$C$36:$C$171,"=1", $B$36:$B$171,"OFICIAL")</f>
        <v>52.8</v>
      </c>
      <c r="AF193" s="27">
        <f>AVERAGEIFS($BU$36:$BU$171,$C$36:$C$171,"=1", $B$36:$B$171,"OFICIAL")</f>
        <v>8.1999999999999993</v>
      </c>
      <c r="AG193" s="27">
        <f>AVERAGEIFS($BS$36:$BS$171,$C$36:$C$171,"=1", $B$36:$B$171,"NO OFICIAL")</f>
        <v>55.25</v>
      </c>
      <c r="AH193" s="27">
        <f>AVERAGEIFS($BU$36:$BU$171,$C$36:$C$171,"=1", $B$36:$B$171,"NO OFICIAL")</f>
        <v>8.3333333333333339</v>
      </c>
      <c r="AI193" s="27">
        <v>54</v>
      </c>
      <c r="AJ193" s="27">
        <v>9.4</v>
      </c>
      <c r="AK193" s="82">
        <v>55.636363636363633</v>
      </c>
      <c r="AL193" s="27">
        <v>8.1818181818181817</v>
      </c>
      <c r="AM193" s="26"/>
      <c r="AN193" s="26"/>
      <c r="AO193" s="26"/>
      <c r="AQ193" s="482">
        <v>3</v>
      </c>
      <c r="AR193" s="39">
        <f>$H$12</f>
        <v>0.54</v>
      </c>
      <c r="AS193" s="39">
        <f>$H$14</f>
        <v>0.62</v>
      </c>
      <c r="AT193" s="39">
        <f>$Q$12</f>
        <v>0.56999999999999995</v>
      </c>
      <c r="AU193" s="39">
        <f>$Q$14</f>
        <v>0.64</v>
      </c>
      <c r="AV193" s="39">
        <f>$Z$12</f>
        <v>0.53</v>
      </c>
      <c r="AW193" s="39">
        <f>$Z$14</f>
        <v>0.59</v>
      </c>
      <c r="AX193" s="39">
        <f>$AI$12</f>
        <v>0.55000000000000004</v>
      </c>
      <c r="AY193" s="39">
        <f>$AI$14</f>
        <v>0.6</v>
      </c>
      <c r="AZ193" s="39">
        <f>$AR$12</f>
        <v>0.56000000000000005</v>
      </c>
      <c r="BA193" s="39">
        <f>$AR$14</f>
        <v>0.61</v>
      </c>
      <c r="BB193" s="39">
        <f>$BC$12</f>
        <v>0.52</v>
      </c>
      <c r="BC193" s="39">
        <f>$BC$14</f>
        <v>0.56999999999999995</v>
      </c>
      <c r="BD193" s="293">
        <v>0.56000000000000005</v>
      </c>
      <c r="BE193" s="327">
        <v>0.61</v>
      </c>
      <c r="BF193" s="490">
        <v>0.55000000000000004</v>
      </c>
      <c r="BG193" s="490">
        <v>0.6</v>
      </c>
      <c r="BH193" s="491">
        <v>0.56000000000000005</v>
      </c>
      <c r="BI193" s="491">
        <v>0.63</v>
      </c>
    </row>
    <row r="194" spans="2:76" x14ac:dyDescent="0.2">
      <c r="B194" s="27" t="s">
        <v>245</v>
      </c>
      <c r="C194" s="27">
        <f>AVERAGEIFS(D36:D171,C36:C171,"=2", B36:B171,"OFICIAL")</f>
        <v>53.5</v>
      </c>
      <c r="D194" s="27">
        <f>AVERAGEIFS(E36:E171,C36:C171,"=2", B36:B171,"OFICIAL")</f>
        <v>7.5</v>
      </c>
      <c r="E194" s="27">
        <f>AVERAGEIFS(D36:D171,C36:C171,"=2", B36:B171,"NO OFICIAL")</f>
        <v>54.888888888888886</v>
      </c>
      <c r="F194" s="27">
        <f>AVERAGEIFS(E36:E171,C36:C171,"=2", B36:B171,"NO OFICIAL")</f>
        <v>7.1111111111111107</v>
      </c>
      <c r="G194" s="27">
        <f>AVERAGEIFS(M36:M171,C36:C171,"=2", B36:B171,"OFICIAL")</f>
        <v>54.5</v>
      </c>
      <c r="H194" s="27">
        <f>AVERAGEIFS(N36:N171,C36:C171,"=2", B36:B171,"OFICIAL")</f>
        <v>8</v>
      </c>
      <c r="I194" s="27">
        <f>AVERAGEIFS(M36:M171,C36:C171,"=2", B36:B171,"NO OFICIAL")</f>
        <v>55.705882352941174</v>
      </c>
      <c r="J194" s="27">
        <f>AVERAGEIFS(N36:N171,C36:C171,"=2", B36:B171,"NO OFICIAL")</f>
        <v>7.882352941176471</v>
      </c>
      <c r="K194" s="27">
        <f>AVERAGEIFS(V36:V171,C36:C171,"=2", B36:B171,"OFICIAL")</f>
        <v>53.5</v>
      </c>
      <c r="L194" s="27">
        <f>AVERAGEIFS(W36:W171,C36:C171,"=2", B36:B171,"OFICIAL")</f>
        <v>9</v>
      </c>
      <c r="M194" s="27">
        <f>AVERAGEIFS(V36:V171,C36:C171,"=2", B36:B171,"NO OFICIAL")</f>
        <v>54.823529411764703</v>
      </c>
      <c r="N194" s="27">
        <f>AVERAGEIFS(W36:W171,C36:C171,"=2", B36:B171,"NO OFICIAL")</f>
        <v>8.2941176470588243</v>
      </c>
      <c r="O194" s="27">
        <f>AVERAGEIFS(AE36:AE171,C36:C171,"=2", B36:B171,"OFICIAL")</f>
        <v>54</v>
      </c>
      <c r="P194" s="27">
        <f>AVERAGEIFS(AF36:AF171,C36:C171,"=2", B36:B171,"OFICIAL")</f>
        <v>9</v>
      </c>
      <c r="Q194" s="27">
        <f>AVERAGEIFS(AE36:AE171,C36:C171,"=2", B36:B171,"NO OFICIAL")</f>
        <v>55.444444444444443</v>
      </c>
      <c r="R194" s="27">
        <f>AVERAGEIFS(AF36:AF171,C36:C171,"=2", B36:B171,"NO OFICIAL")</f>
        <v>8.2777777777777786</v>
      </c>
      <c r="S194" s="27">
        <f>AVERAGEIFS($AN$36:$AN$171,$C$36:$C$171,"=2", $B$36:$B$171,"OFICIAL")</f>
        <v>54</v>
      </c>
      <c r="T194" s="27">
        <f>AVERAGEIFS($AO$36:$AO$171,$C$36:$C$171,"=2", $B$36:$B$171,"OFICIAL")</f>
        <v>8.5</v>
      </c>
      <c r="U194" s="27">
        <f>AVERAGEIFS($AN$36:$AN$171,$C$36:$C$171,"=2", $B$36:$B$171,"NO OFICIAL")</f>
        <v>54.863636363636367</v>
      </c>
      <c r="V194" s="27">
        <f>AVERAGEIFS($AO$36:$AO$171,$C$36:$C$171,"=2", $B$36:$B$171,"NO OFICIAL")</f>
        <v>6.9090909090909092</v>
      </c>
      <c r="W194" s="27">
        <f>AVERAGEIFS($AW$36:$AW$171,$C$36:$C$171,"=2", $B$36:$B$171,"OFICIAL")</f>
        <v>53.5</v>
      </c>
      <c r="X194" s="27">
        <f>AVERAGEIFS($AY$36:$AY$171,$C$36:$C$171,"=2", $B$36:$B$171,"OFICIAL")</f>
        <v>9</v>
      </c>
      <c r="Y194" s="27">
        <f>AVERAGEIFS($AW$36:$AW$171,$C$36:$C$171,"=2", $B$36:$B$171,"NO OFICIAL")</f>
        <v>54.65</v>
      </c>
      <c r="Z194" s="27">
        <f>AVERAGEIFS($AY$36:$AY$171,$C$36:$C$171,"=2", $B$36:$B$171,"NO OFICIAL")</f>
        <v>7.9</v>
      </c>
      <c r="AA194" s="27">
        <f>AVERAGEIFS($BH$36:$BH$171,$C$36:$C$171,"=2", $B$36:$B$171,"OFICIAL")</f>
        <v>53.75</v>
      </c>
      <c r="AB194" s="27">
        <f>AVERAGEIFS($BJ$36:$BJ$171,$C$36:$C$171,"=2", $B$36:$B$171,"OFICIAL")</f>
        <v>8.75</v>
      </c>
      <c r="AC194" s="27">
        <f>AVERAGEIFS($BH$36:$BH$171,$C$36:$C$171,"=2", $B$36:$B$171,"NO OFICIAL")</f>
        <v>56.952380952380949</v>
      </c>
      <c r="AD194" s="27">
        <f>AVERAGEIFS($BJ$36:$BJ$171,$C$36:$C$171,"=2", $B$36:$B$171,"NO OFICIAL")</f>
        <v>7.666666666666667</v>
      </c>
      <c r="AE194" s="27">
        <f>AVERAGEIFS($BS$36:$BS$171,$C$36:$C$171,"=2", $B$36:$B$171,"OFICIAL")</f>
        <v>54.25</v>
      </c>
      <c r="AF194" s="27">
        <f>AVERAGEIFS($BU$36:$BU$171,$C$36:$C$171,"=2", $B$36:$B$171,"OFICIAL")</f>
        <v>8.5</v>
      </c>
      <c r="AG194" s="27">
        <f>AVERAGEIFS($BS$36:$BS$171,$C$36:$C$171,"=2", $B$36:$B$171,"NO OFICIAL")</f>
        <v>56.272727272727273</v>
      </c>
      <c r="AH194" s="27">
        <f>AVERAGEIFS($BU$36:$BU$171,$C$36:$C$171,"=2", $B$36:$B$171,"NO OFICIAL")</f>
        <v>8.2727272727272734</v>
      </c>
      <c r="AI194" s="27">
        <v>54.75</v>
      </c>
      <c r="AJ194" s="27">
        <v>8.5</v>
      </c>
      <c r="AK194" s="82">
        <v>58.421052631578945</v>
      </c>
      <c r="AL194" s="27">
        <v>8.2105263157894743</v>
      </c>
      <c r="AQ194" s="482">
        <v>4</v>
      </c>
      <c r="AR194" s="39">
        <f>$I$12</f>
        <v>0.05</v>
      </c>
      <c r="AS194" s="39">
        <f>$I$14</f>
        <v>0.08</v>
      </c>
      <c r="AT194" s="39">
        <f>$R$12</f>
        <v>7.0000000000000007E-2</v>
      </c>
      <c r="AU194" s="39">
        <f>$R$14</f>
        <v>0.12</v>
      </c>
      <c r="AV194" s="39">
        <f>$AA$12</f>
        <v>0.08</v>
      </c>
      <c r="AW194" s="39">
        <f>$AA$14</f>
        <v>0.14000000000000001</v>
      </c>
      <c r="AX194" s="39">
        <f>$AJ$12</f>
        <v>0.08</v>
      </c>
      <c r="AY194" s="39">
        <f>$AJ$14</f>
        <v>0.14000000000000001</v>
      </c>
      <c r="AZ194" s="39">
        <f>$AS$12</f>
        <v>7.0000000000000007E-2</v>
      </c>
      <c r="BA194" s="39">
        <f>$AS$14</f>
        <v>0.11</v>
      </c>
      <c r="BB194" s="39">
        <f>$BD$12</f>
        <v>0.09</v>
      </c>
      <c r="BC194" s="39">
        <f>$BD$14</f>
        <v>0.16</v>
      </c>
      <c r="BD194" s="293">
        <v>0.09</v>
      </c>
      <c r="BE194" s="327">
        <v>0.16</v>
      </c>
      <c r="BF194" s="490">
        <v>0.08</v>
      </c>
      <c r="BG194" s="490">
        <v>0.17</v>
      </c>
      <c r="BH194" s="491">
        <v>0.1</v>
      </c>
      <c r="BI194" s="491">
        <v>0.18</v>
      </c>
    </row>
    <row r="195" spans="2:76" x14ac:dyDescent="0.2">
      <c r="B195" s="27" t="s">
        <v>246</v>
      </c>
      <c r="C195" s="27">
        <f>AVERAGEIFS(D36:D171,C36:C171,"=3", B36:B171,"OFICIAL")</f>
        <v>53</v>
      </c>
      <c r="D195" s="27">
        <f>AVERAGEIFS(E36:E171,C36:C171,"=3", B36:B171,"OFICIAL")</f>
        <v>8.6</v>
      </c>
      <c r="E195" s="27">
        <f>AVERAGEIFS(D36:D171,C36:C171,"=3", B36:B171,"NO OFICIAL")</f>
        <v>55.153846153846153</v>
      </c>
      <c r="F195" s="27">
        <f>AVERAGEIFS(E36:E171,C36:C171,"=3", B36:B171,"NO OFICIAL")</f>
        <v>7.8461538461538458</v>
      </c>
      <c r="G195" s="27">
        <f>AVERAGEIFS(M36:M171,C36:C171,"=3", B36:B171,"OFICIAL")</f>
        <v>54.4</v>
      </c>
      <c r="H195" s="27">
        <f>AVERAGEIFS(N36:N171,C36:C171,"=3", B36:B171,"OFICIAL")</f>
        <v>8.6</v>
      </c>
      <c r="I195" s="27">
        <f>AVERAGEIFS(M36:M171,C36:C171,"=3", B36:B171,"NO OFICIAL")</f>
        <v>55.714285714285715</v>
      </c>
      <c r="J195" s="27">
        <f>AVERAGEIFS(N36:N171,C36:C171,"=3", B36:B171,"NO OFICIAL")</f>
        <v>7.6428571428571432</v>
      </c>
      <c r="K195" s="27">
        <f>AVERAGEIFS(V36:V171,C36:C171,"=3", B36:B171,"OFICIAL")</f>
        <v>54.2</v>
      </c>
      <c r="L195" s="27">
        <f>AVERAGEIFS(W36:W171,C36:C171,"=3", B36:B171,"OFICIAL")</f>
        <v>8.6</v>
      </c>
      <c r="M195" s="27">
        <f>AVERAGEIFS(V36:V171,C36:C171,"=3", B36:B171,"NO OFICIAL")</f>
        <v>56.214285714285715</v>
      </c>
      <c r="N195" s="27">
        <f>AVERAGEIFS(W36:W171,C36:C171,"=3", B36:B171,"NO OFICIAL")</f>
        <v>8.2142857142857135</v>
      </c>
      <c r="O195" s="27">
        <f>AVERAGEIFS(AE36:AE171,C36:C171,"=3", B36:B171,"OFICIAL")</f>
        <v>53.6</v>
      </c>
      <c r="P195" s="27">
        <f>AVERAGEIFS(AF36:AF171,C36:C171,"=3", B36:B171,"OFICIAL")</f>
        <v>8.4</v>
      </c>
      <c r="Q195" s="27">
        <f>AVERAGEIFS(AE36:AE171,C36:C171,"=3", B36:B171,"NO OFICIAL")</f>
        <v>55.785714285714285</v>
      </c>
      <c r="R195" s="27">
        <f>AVERAGEIFS(AF36:AF171,C36:C171,"=3", B36:B171,"NO OFICIAL")</f>
        <v>8.4285714285714288</v>
      </c>
      <c r="S195" s="27">
        <f>AVERAGEIFS($AN$36:$AN$171,$C$36:$C$171,"=3", $B$36:$B$171,"OFICIAL")</f>
        <v>53.6</v>
      </c>
      <c r="T195" s="27">
        <f>AVERAGEIFS($AO$36:$AO$171,$C$36:$C$171,"=3", $B$36:$B$171,"OFICIAL")</f>
        <v>8.4</v>
      </c>
      <c r="U195" s="27">
        <f>AVERAGEIFS($AN$36:$AN$171,$C$36:$C$171,"=3", $B$36:$B$171,"NO OFICIAL")</f>
        <v>55.333333333333336</v>
      </c>
      <c r="V195" s="27">
        <f>AVERAGEIFS($AO$36:$AO$171,$C$36:$C$171,"=3", $B$36:$B$171,"NO OFICIAL")</f>
        <v>7.6</v>
      </c>
      <c r="W195" s="27">
        <f>AVERAGEIFS($AW$36:$AW$171,$C$36:$C$171,"=3", $B$36:$B$171,"OFICIAL")</f>
        <v>53.8</v>
      </c>
      <c r="X195" s="27">
        <f>AVERAGEIFS($AY$36:$AY$171,$C$36:$C$171,"=3", $B$36:$B$171,"OFICIAL")</f>
        <v>8.6</v>
      </c>
      <c r="Y195" s="27">
        <f>AVERAGEIFS($AW$36:$AW$171,$C$36:$C$171,"=3", $B$36:$B$171,"NO OFICIAL")</f>
        <v>56.2</v>
      </c>
      <c r="Z195" s="27">
        <f>AVERAGEIFS($AY$36:$AY$171,$C$36:$C$171,"=3", $B$36:$B$171,"NO OFICIAL")</f>
        <v>8.5333333333333332</v>
      </c>
      <c r="AA195" s="27">
        <f>AVERAGEIFS($BH$36:$BH$171,$C$36:$C$171,"=3", $B$36:$B$171,"OFICIAL")</f>
        <v>54.333333333333336</v>
      </c>
      <c r="AB195" s="27">
        <f>AVERAGEIFS($BJ$36:$BJ$171,$C$36:$C$171,"=3", $B$36:$B$171,"OFICIAL")</f>
        <v>8.8333333333333339</v>
      </c>
      <c r="AC195" s="27">
        <f>AVERAGEIFS($BH$36:$BH$171,$C$36:$C$171,"=3", $B$36:$B$171,"NO OFICIAL")</f>
        <v>57</v>
      </c>
      <c r="AD195" s="27">
        <f>AVERAGEIFS($BJ$36:$BJ$171,$C$36:$C$171,"=3", $B$36:$B$171,"NO OFICIAL")</f>
        <v>8.25</v>
      </c>
      <c r="AE195" s="27">
        <f>AVERAGEIFS($BS$36:$BS$171,$C$36:$C$171,"=3", $B$36:$B$171,"OFICIAL")</f>
        <v>54</v>
      </c>
      <c r="AF195" s="27">
        <f>AVERAGEIFS($BU$36:$BU$171,$C$36:$C$171,"=3", $B$36:$B$171,"OFICIAL")</f>
        <v>8.6666666666666661</v>
      </c>
      <c r="AG195" s="27">
        <f>AVERAGEIFS($BS$36:$BS$171,$C$36:$C$171,"=3", $B$36:$B$171,"NO OFICIAL")</f>
        <v>56.625</v>
      </c>
      <c r="AH195" s="27">
        <f>AVERAGEIFS($BU$36:$BU$171,$C$36:$C$171,"=3", $B$36:$B$171,"NO OFICIAL")</f>
        <v>7.9375</v>
      </c>
      <c r="AI195" s="27">
        <v>54.5</v>
      </c>
      <c r="AJ195" s="27">
        <v>9</v>
      </c>
      <c r="AK195" s="82">
        <v>57.25</v>
      </c>
      <c r="AL195" s="27">
        <v>8.3125</v>
      </c>
      <c r="AM195" s="32"/>
    </row>
    <row r="196" spans="2:76" x14ac:dyDescent="0.2">
      <c r="B196" s="27" t="s">
        <v>247</v>
      </c>
      <c r="C196" s="27">
        <f>AVERAGEIFS(D36:D171,C36:C171,"=4", B36:B171,"OFICIAL")</f>
        <v>49.666666666666664</v>
      </c>
      <c r="D196" s="27">
        <f>AVERAGEIFS(E36:E171,C36:C171,"=4", B36:B171,"OFICIAL")</f>
        <v>7.666666666666667</v>
      </c>
      <c r="E196" s="27">
        <f>AVERAGEIFS(D36:D171,C36:C171,"=4", B36:B171,"NO OFICIAL")</f>
        <v>51.5</v>
      </c>
      <c r="F196" s="27">
        <f>AVERAGEIFS(E36:E171,C36:C171,"=4", B36:B171,"NO OFICIAL")</f>
        <v>7.375</v>
      </c>
      <c r="G196" s="27">
        <f>AVERAGEIFS(M36:M171,C36:C171,"=4", B36:B171,"OFICIAL")</f>
        <v>51.333333333333336</v>
      </c>
      <c r="H196" s="27">
        <f>AVERAGEIFS(N36:N171,C36:C171,"=4", B36:B171,"OFICIAL")</f>
        <v>8.1666666666666661</v>
      </c>
      <c r="I196" s="27">
        <f>AVERAGEIFS(M36:M171,C36:C171,"=4", B36:B171,"NO OFICIAL")</f>
        <v>55.111111111111114</v>
      </c>
      <c r="J196" s="27">
        <f>AVERAGEIFS(N36:N171,C36:C171,"=4", B36:B171,"NO OFICIAL")</f>
        <v>6.666666666666667</v>
      </c>
      <c r="K196" s="27">
        <f>AVERAGEIFS(V36:V171,C36:C171,"=4", B36:B171,"OFICIAL")</f>
        <v>50.333333333333336</v>
      </c>
      <c r="L196" s="27">
        <f>AVERAGEIFS(W36:W171,C36:C171,"=4", B36:B171,"OFICIAL")</f>
        <v>8.6666666666666661</v>
      </c>
      <c r="M196" s="27">
        <f>AVERAGEIFS(V36:V171,C36:C171,"=4", B36:B171,"NO OFICIAL")</f>
        <v>54.666666666666664</v>
      </c>
      <c r="N196" s="27">
        <f>AVERAGEIFS(W36:W171,C36:C171,"=4", B36:B171,"NO OFICIAL")</f>
        <v>6.8888888888888893</v>
      </c>
      <c r="O196" s="27">
        <f>AVERAGEIFS(AE36:AE171,C36:C171,"=4", B36:B171,"OFICIAL")</f>
        <v>50</v>
      </c>
      <c r="P196" s="27">
        <f>AVERAGEIFS(AF36:AF171,C36:C171,"=4", B36:B171,"OFICIAL")</f>
        <v>8.8333333333333339</v>
      </c>
      <c r="Q196" s="27">
        <f>AVERAGEIFS(AE36:AE171,C36:C171,"=4", B36:B171,"NO OFICIAL")</f>
        <v>54.375</v>
      </c>
      <c r="R196" s="27">
        <f>AVERAGEIFS(AF36:AF171,C36:C171,"=4", B36:B171,"NO OFICIAL")</f>
        <v>8.25</v>
      </c>
      <c r="S196" s="27">
        <f>AVERAGEIFS($AN$36:$AN$171,$C$36:$C$171,"=4", $B$36:$B$171,"OFICIAL")</f>
        <v>50</v>
      </c>
      <c r="T196" s="27">
        <f>AVERAGEIFS($AO$36:$AO$171,$C$36:$C$171,"=4", $B$36:$B$171,"OFICIAL")</f>
        <v>8.5</v>
      </c>
      <c r="U196" s="27">
        <f>AVERAGEIFS($AN$36:$AN$171,$C$36:$C$171,"=4", $B$36:$B$171,"NO OFICIAL")</f>
        <v>52.142857142857146</v>
      </c>
      <c r="V196" s="27">
        <f>AVERAGEIFS($AO$36:$AO$171,$C$36:$C$171,"=4", $B$36:$B$171,"NO OFICIAL")</f>
        <v>7.7142857142857144</v>
      </c>
      <c r="W196" s="27">
        <f>AVERAGEIFS($AW$36:$AW$171,$C$36:$C$171,"=4", $B$36:$B$171,"OFICIAL")</f>
        <v>50.333333333333336</v>
      </c>
      <c r="X196" s="27">
        <f>AVERAGEIFS($AY$36:$AY$171,$C$36:$C$171,"=4", $B$36:$B$171,"OFICIAL")</f>
        <v>8.5</v>
      </c>
      <c r="Y196" s="27">
        <f>AVERAGEIFS($AW$36:$AW$171,$C$36:$C$171,"=4", $B$36:$B$171,"NO OFICIAL")</f>
        <v>53.875</v>
      </c>
      <c r="Z196" s="27">
        <f>AVERAGEIFS($AY$36:$AY$171,$C$36:$C$171,"=4", $B$36:$B$171,"NO OFICIAL")</f>
        <v>7.625</v>
      </c>
      <c r="AA196" s="27">
        <f>AVERAGEIFS($BH$36:$BH$171,$C$36:$C$171,"=4", $B$36:$B$171,"OFICIAL")</f>
        <v>51</v>
      </c>
      <c r="AB196" s="27">
        <f>AVERAGEIFS($BJ$36:$BJ$171,$C$36:$C$171,"=4", $B$36:$B$171,"OFICIAL")</f>
        <v>8.6666666666666661</v>
      </c>
      <c r="AC196" s="27">
        <f>AVERAGEIFS($BH$36:$BH$171,$C$36:$C$171,"=4", $B$36:$B$171,"NO OFICIAL")</f>
        <v>55</v>
      </c>
      <c r="AD196" s="27">
        <f>AVERAGEIFS($BJ$36:$BJ$171,$C$36:$C$171,"=4", $B$36:$B$171,"NO OFICIAL")</f>
        <v>8.375</v>
      </c>
      <c r="AE196" s="27">
        <f>AVERAGEIFS($BS$36:$BS$171,$C$36:$C$171,"=4", $B$36:$B$171,"OFICIAL")</f>
        <v>49.833333333333336</v>
      </c>
      <c r="AF196" s="27">
        <f>AVERAGEIFS($BU$36:$BU$171,$C$36:$C$171,"=4", $B$36:$B$171,"OFICIAL")</f>
        <v>8.8333333333333339</v>
      </c>
      <c r="AG196" s="27">
        <f>AVERAGEIFS($BS$36:$BS$171,$C$36:$C$171,"=4", $B$36:$B$171,"NO OFICIAL")</f>
        <v>52.555555555555557</v>
      </c>
      <c r="AH196" s="27">
        <f>AVERAGEIFS($BU$36:$BU$171,$C$36:$C$171,"=4", $B$36:$B$171,"NO OFICIAL")</f>
        <v>8.4444444444444446</v>
      </c>
      <c r="AI196" s="27">
        <v>50.666666666666664</v>
      </c>
      <c r="AJ196" s="27">
        <v>9.1666666666666661</v>
      </c>
      <c r="AK196" s="82">
        <v>55.714285714285715</v>
      </c>
      <c r="AL196" s="27">
        <v>7.7142857142857144</v>
      </c>
      <c r="AM196" s="32"/>
    </row>
    <row r="197" spans="2:76" x14ac:dyDescent="0.2">
      <c r="B197" s="27" t="s">
        <v>248</v>
      </c>
      <c r="C197" s="27">
        <f>AVERAGEIFS(D36:D171,C36:C171,"=5", B36:B171,"OFICIAL")</f>
        <v>54.333333333333336</v>
      </c>
      <c r="D197" s="27">
        <f>AVERAGEIFS(E36:E171,C36:C171,"=5", B36:B171,"OFICIAL")</f>
        <v>7.666666666666667</v>
      </c>
      <c r="E197" s="27">
        <f>AVERAGEIFS(D36:D171,C36:C171,"=5", B36:B171,"NO OFICIAL")</f>
        <v>55.785714285714285</v>
      </c>
      <c r="F197" s="27">
        <f>AVERAGEIFS(E36:E171,C36:C171,"=5", B36:B171,"NO OFICIAL")</f>
        <v>7.7142857142857144</v>
      </c>
      <c r="G197" s="27">
        <f>AVERAGEIFS(M36:M171,C36:C171,"=5", B36:B171,"OFICIAL")</f>
        <v>55.666666666666664</v>
      </c>
      <c r="H197" s="27">
        <f>AVERAGEIFS(N36:N171,C36:C171,"=5", B36:B171,"OFICIAL")</f>
        <v>8</v>
      </c>
      <c r="I197" s="27">
        <f>AVERAGEIFS(M36:M171,C36:C171,"=5", B36:B171,"NO OFICIAL")</f>
        <v>57.214285714285715</v>
      </c>
      <c r="J197" s="27">
        <f>AVERAGEIFS(N36:N171,C36:C171,"=5", B36:B171,"NO OFICIAL")</f>
        <v>7.5</v>
      </c>
      <c r="K197" s="27">
        <f>AVERAGEIFS(V36:V171,C36:C171,"=5", B36:B171,"OFICIAL")</f>
        <v>54</v>
      </c>
      <c r="L197" s="27">
        <f>AVERAGEIFS(W36:W171,C36:C171,"=5", B36:B171,"OFICIAL")</f>
        <v>8</v>
      </c>
      <c r="M197" s="27">
        <f>AVERAGEIFS(V36:V171,C36:C171,"=5", B36:B171,"NO OFICIAL")</f>
        <v>56.266666666666666</v>
      </c>
      <c r="N197" s="27">
        <f>AVERAGEIFS(W36:W171,C36:C171,"=5", B36:B171,"NO OFICIAL")</f>
        <v>7.8666666666666663</v>
      </c>
      <c r="O197" s="27">
        <f>AVERAGEIFS(AE36:AE171,C36:C171,"=5", B36:B171,"OFICIAL")</f>
        <v>55.333333333333336</v>
      </c>
      <c r="P197" s="27">
        <f>AVERAGEIFS(AF36:AF171,C36:C171,"=5", B36:B171,"OFICIAL")</f>
        <v>7.666666666666667</v>
      </c>
      <c r="Q197" s="27">
        <f>AVERAGEIFS(AE36:AE171,C36:C171,"=5", B36:B171,"NO OFICIAL")</f>
        <v>56.5625</v>
      </c>
      <c r="R197" s="27">
        <f>AVERAGEIFS(AF36:AF171,C36:C171,"=5", B36:B171,"NO OFICIAL")</f>
        <v>8</v>
      </c>
      <c r="S197" s="27">
        <f>AVERAGEIFS($AN$36:$AN$171,$C$36:$C$171,"=5", $B$36:$B$171,"OFICIAL")</f>
        <v>55.666666666666664</v>
      </c>
      <c r="T197" s="27">
        <f>AVERAGEIFS($AO$36:$AO$171,$C$36:$C$171,"=5", $B$36:$B$171,"OFICIAL")</f>
        <v>7.666666666666667</v>
      </c>
      <c r="U197" s="27">
        <f>AVERAGEIFS($AN$36:$AN$171,$C$36:$C$171,"=5", $B$36:$B$171,"NO OFICIAL")</f>
        <v>56.666666666666664</v>
      </c>
      <c r="V197" s="27">
        <f>AVERAGEIFS($AO$36:$AO$171,$C$36:$C$171,"=5", $B$36:$B$171,"NO OFICIAL")</f>
        <v>7.333333333333333</v>
      </c>
      <c r="W197" s="27">
        <f>AVERAGEIFS($AW$36:$AW$171,$C$36:$C$171,"=5", $B$36:$B$171,"OFICIAL")</f>
        <v>55.666666666666664</v>
      </c>
      <c r="X197" s="27">
        <f>AVERAGEIFS($AY$36:$AY$171,$C$36:$C$171,"=5", $B$36:$B$171,"OFICIAL")</f>
        <v>8.6666666666666661</v>
      </c>
      <c r="Y197" s="27">
        <f>AVERAGEIFS($AW$36:$AW$171,$C$36:$C$171,"=5", $B$36:$B$171,"NO OFICIAL")</f>
        <v>57.2</v>
      </c>
      <c r="Z197" s="27">
        <f>AVERAGEIFS($AY$36:$AY$171,$C$36:$C$171,"=5", $B$36:$B$171,"NO OFICIAL")</f>
        <v>8.4</v>
      </c>
      <c r="AA197" s="27">
        <f>AVERAGEIFS($BH$36:$BH$171,$C$36:$C$171,"=5", $B$36:$B$171,"OFICIAL")</f>
        <v>56.666666666666664</v>
      </c>
      <c r="AB197" s="27">
        <f>AVERAGEIFS($BJ$36:$BJ$171,$C$36:$C$171,"=5", $B$36:$B$171,"OFICIAL")</f>
        <v>8</v>
      </c>
      <c r="AC197" s="27">
        <f>AVERAGEIFS($BH$36:$BH$171,$C$36:$C$171,"=5", $B$36:$B$171,"NO OFICIAL")</f>
        <v>58.142857142857146</v>
      </c>
      <c r="AD197" s="27">
        <f>AVERAGEIFS($BJ$36:$BJ$171,$C$36:$C$171,"=5", $B$36:$B$171,"NO OFICIAL")</f>
        <v>7.6428571428571432</v>
      </c>
      <c r="AE197" s="27">
        <f>AVERAGEIFS($BS$36:$BS$171,$C$36:$C$171,"=5", $B$36:$B$171,"OFICIAL")</f>
        <v>55.333333333333336</v>
      </c>
      <c r="AF197" s="27">
        <f>AVERAGEIFS($BU$36:$BU$171,$C$36:$C$171,"=5", $B$36:$B$171,"OFICIAL")</f>
        <v>9</v>
      </c>
      <c r="AG197" s="27">
        <f>AVERAGEIFS($BS$36:$BS$171,$C$36:$C$171,"=5", $B$36:$B$171,"NO OFICIAL")</f>
        <v>58.357142857142854</v>
      </c>
      <c r="AH197" s="27">
        <f>AVERAGEIFS($BU$36:$BU$171,$C$36:$C$171,"=5", $B$36:$B$171,"NO OFICIAL")</f>
        <v>8</v>
      </c>
      <c r="AI197" s="27">
        <v>56.333333333333336</v>
      </c>
      <c r="AJ197" s="27">
        <v>9</v>
      </c>
      <c r="AK197" s="82">
        <v>58.466666666666669</v>
      </c>
      <c r="AL197" s="27">
        <v>7.4666666666666668</v>
      </c>
      <c r="AM197" s="32"/>
    </row>
    <row r="198" spans="2:76" x14ac:dyDescent="0.2">
      <c r="B198" s="27" t="s">
        <v>249</v>
      </c>
      <c r="C198" s="27">
        <f>AVERAGEIFS(D36:D171,C36:C171,"=6", B36:B171,"OFICIAL")</f>
        <v>53</v>
      </c>
      <c r="D198" s="27">
        <f>AVERAGEIFS(E36:E171,C36:C171,"=6", B36:B171,"OFICIAL")</f>
        <v>8</v>
      </c>
      <c r="E198" s="27">
        <f>AVERAGEIFS(D36:D171,C36:C171,"=6", B36:B171,"NO OFICIAL")</f>
        <v>54.636363636363633</v>
      </c>
      <c r="F198" s="27">
        <f>AVERAGEIFS(E36:E171,C36:C171,"=6", B36:B171,"NO OFICIAL")</f>
        <v>6.2727272727272725</v>
      </c>
      <c r="G198" s="27">
        <f>AVERAGEIFS(M36:M171,C36:C171,"=6", B36:B171,"OFICIAL")</f>
        <v>52.75</v>
      </c>
      <c r="H198" s="27">
        <f>AVERAGEIFS(N36:N171,C36:C171,"=6", B36:B171,"OFICIAL")</f>
        <v>8</v>
      </c>
      <c r="I198" s="27">
        <f>AVERAGEIFS(M36:M171,C36:C171,"=6", B36:B171,"NO OFICIAL")</f>
        <v>54.090909090909093</v>
      </c>
      <c r="J198" s="27">
        <f>AVERAGEIFS(N36:N171,C36:C171,"=6", B36:B171,"NO OFICIAL")</f>
        <v>8.454545454545455</v>
      </c>
      <c r="K198" s="27">
        <f>AVERAGEIFS(V36:V171,C36:C171,"=6", B36:B171,"OFICIAL")</f>
        <v>52.75</v>
      </c>
      <c r="L198" s="27">
        <f>AVERAGEIFS(W36:W171,C36:C171,"=6", B36:B171,"OFICIAL")</f>
        <v>8.5</v>
      </c>
      <c r="M198" s="27">
        <f>AVERAGEIFS(V36:V171,C36:C171,"=6", B36:B171,"NO OFICIAL")</f>
        <v>55</v>
      </c>
      <c r="N198" s="27">
        <f>AVERAGEIFS(W36:W171,C36:C171,"=6", B36:B171,"NO OFICIAL")</f>
        <v>8.6</v>
      </c>
      <c r="O198" s="27">
        <f>AVERAGEIFS(AE36:AE171,C36:C171,"=6", B36:B171,"OFICIAL")</f>
        <v>52.75</v>
      </c>
      <c r="P198" s="27">
        <f>AVERAGEIFS(AF36:AF171,C36:C171,"=6", B36:B171,"OFICIAL")</f>
        <v>8.25</v>
      </c>
      <c r="Q198" s="27">
        <f>AVERAGEIFS(AE36:AE171,C36:C171,"=6", B36:B171,"NO OFICIAL")</f>
        <v>55.272727272727273</v>
      </c>
      <c r="R198" s="27">
        <f>AVERAGEIFS(AF36:AF171,C36:C171,"=6", B36:B171,"NO OFICIAL")</f>
        <v>8.8181818181818183</v>
      </c>
      <c r="S198" s="27">
        <f>AVERAGEIFS($AN$36:$AN$171,$C$36:$C$171,"=6", $B$36:$B$171,"OFICIAL")</f>
        <v>53</v>
      </c>
      <c r="T198" s="27">
        <f>AVERAGEIFS($AO$36:$AO$171,$C$36:$C$171,"=6", $B$36:$B$171,"OFICIAL")</f>
        <v>8.5</v>
      </c>
      <c r="U198" s="27">
        <f>AVERAGEIFS($AN$36:$AN$171,$C$36:$C$171,"=6", $B$36:$B$171,"NO OFICIAL")</f>
        <v>52.46153846153846</v>
      </c>
      <c r="V198" s="27">
        <f>AVERAGEIFS($AO$36:$AO$171,$C$36:$C$171,"=6", $B$36:$B$171,"NO OFICIAL")</f>
        <v>7.1538461538461542</v>
      </c>
      <c r="W198" s="27">
        <f>AVERAGEIFS($AW$36:$AW$171,$C$36:$C$171,"=6", $B$36:$B$171,"OFICIAL")</f>
        <v>52.5</v>
      </c>
      <c r="X198" s="27">
        <f>AVERAGEIFS($AY$36:$AY$171,$C$36:$C$171,"=6", $B$36:$B$171,"OFICIAL")</f>
        <v>8.75</v>
      </c>
      <c r="Y198" s="27">
        <f>AVERAGEIFS($AW$36:$AW$171,$C$36:$C$171,"=6", $B$36:$B$171,"NO OFICIAL")</f>
        <v>54.846153846153847</v>
      </c>
      <c r="Z198" s="27">
        <f>AVERAGEIFS($AY$36:$AY$171,$C$36:$C$171,"=6", $B$36:$B$171,"NO OFICIAL")</f>
        <v>7.4615384615384617</v>
      </c>
      <c r="AA198" s="27">
        <f>AVERAGEIFS($BH$36:$BH$171,$C$36:$C$171,"=6", $B$36:$B$171,"OFICIAL")</f>
        <v>52.75</v>
      </c>
      <c r="AB198" s="27">
        <f>AVERAGEIFS($BJ$36:$BJ$171,$C$36:$C$171,"=6", $B$36:$B$171,"OFICIAL")</f>
        <v>8.5</v>
      </c>
      <c r="AC198" s="27">
        <f>AVERAGEIFS($BH$36:$BH$171,$C$36:$C$171,"=6", $B$36:$B$171,"NO OFICIAL")</f>
        <v>55</v>
      </c>
      <c r="AD198" s="27">
        <f>AVERAGEIFS($BJ$36:$BJ$171,$C$36:$C$171,"=6", $B$36:$B$171,"NO OFICIAL")</f>
        <v>8.2666666666666675</v>
      </c>
      <c r="AE198" s="27">
        <f>AVERAGEIFS($BS$36:$BS$171,$C$36:$C$171,"=6", $B$36:$B$171,"OFICIAL")</f>
        <v>52.5</v>
      </c>
      <c r="AF198" s="27">
        <f>AVERAGEIFS($BU$36:$BU$171,$C$36:$C$171,"=6", $B$36:$B$171,"OFICIAL")</f>
        <v>8.5</v>
      </c>
      <c r="AG198" s="27">
        <f>AVERAGEIFS($BS$36:$BS$171,$C$36:$C$171,"=6", $B$36:$B$171,"NO OFICIAL")</f>
        <v>56.375</v>
      </c>
      <c r="AH198" s="27">
        <f>AVERAGEIFS($BU$36:$BU$171,$C$36:$C$171,"=6", $B$36:$B$171,"NO OFICIAL")</f>
        <v>7.75</v>
      </c>
      <c r="AI198" s="27">
        <v>54</v>
      </c>
      <c r="AJ198" s="27">
        <v>8.6666666666666661</v>
      </c>
      <c r="AK198" s="82">
        <v>56.533333333333331</v>
      </c>
      <c r="AL198" s="27">
        <v>8.5333333333333332</v>
      </c>
      <c r="AM198" s="32"/>
    </row>
    <row r="199" spans="2:76" x14ac:dyDescent="0.2">
      <c r="B199" s="32"/>
      <c r="C199" s="32"/>
      <c r="D199" s="32"/>
      <c r="E199" s="32"/>
      <c r="F199" s="32"/>
      <c r="G199" s="32"/>
      <c r="H199" s="32"/>
      <c r="I199" s="32"/>
      <c r="J199" s="32"/>
      <c r="K199" s="32"/>
      <c r="L199" s="32"/>
      <c r="M199" s="32"/>
      <c r="N199" s="32"/>
      <c r="O199" s="32"/>
      <c r="P199" s="32"/>
      <c r="Q199" s="32"/>
      <c r="R199" s="32"/>
      <c r="S199" s="32"/>
      <c r="T199" s="32"/>
      <c r="U199" s="32"/>
      <c r="V199" s="32"/>
      <c r="W199" s="32"/>
      <c r="X199" s="69"/>
      <c r="Y199" s="69"/>
      <c r="Z199" s="69"/>
      <c r="AA199" s="69"/>
      <c r="AB199" s="69"/>
      <c r="AC199" s="69"/>
      <c r="AD199" s="69"/>
      <c r="AE199" s="32"/>
      <c r="AF199" s="32"/>
      <c r="AG199" s="32"/>
      <c r="AH199" s="32"/>
      <c r="AI199" s="32"/>
      <c r="AJ199" s="32"/>
      <c r="AK199" s="32"/>
      <c r="AL199" s="32"/>
      <c r="AM199" s="32"/>
      <c r="AN199" s="32"/>
      <c r="AO199" s="32"/>
      <c r="AP199" s="32"/>
      <c r="AQ199" s="32"/>
      <c r="AR199" s="32"/>
      <c r="AS199" s="32"/>
      <c r="AT199" s="32"/>
    </row>
    <row r="200" spans="2:76" ht="12.75" customHeight="1" x14ac:dyDescent="0.2">
      <c r="C200" s="839" t="s">
        <v>252</v>
      </c>
      <c r="D200" s="839"/>
      <c r="E200" s="839"/>
      <c r="F200" s="839"/>
      <c r="G200" s="839"/>
      <c r="H200" s="839"/>
      <c r="I200" s="839"/>
      <c r="J200" s="839"/>
      <c r="K200" s="839"/>
      <c r="L200" s="839"/>
      <c r="N200" s="839" t="s">
        <v>253</v>
      </c>
      <c r="O200" s="839"/>
      <c r="P200" s="839"/>
      <c r="Q200" s="839"/>
      <c r="R200" s="839"/>
      <c r="S200" s="839"/>
      <c r="T200" s="839"/>
      <c r="U200" s="839"/>
      <c r="V200" s="839"/>
      <c r="W200" s="839"/>
      <c r="AC200" s="73"/>
      <c r="AD200" s="73"/>
      <c r="AE200" s="73"/>
      <c r="AF200" s="73"/>
      <c r="AG200" s="73"/>
      <c r="AH200" s="73"/>
      <c r="AI200" s="73"/>
      <c r="AJ200" s="73"/>
      <c r="AK200" s="73"/>
      <c r="AL200" s="73"/>
      <c r="AM200" s="73"/>
      <c r="AN200" s="73"/>
      <c r="AO200" s="73"/>
    </row>
    <row r="201" spans="2:76" ht="12.75" customHeight="1" x14ac:dyDescent="0.2">
      <c r="C201" s="28"/>
      <c r="D201" s="28">
        <v>2016</v>
      </c>
      <c r="E201" s="29">
        <v>2017</v>
      </c>
      <c r="F201" s="28">
        <v>2018</v>
      </c>
      <c r="G201" s="28">
        <v>2019</v>
      </c>
      <c r="H201" s="29">
        <v>2020</v>
      </c>
      <c r="I201" s="29">
        <v>2021</v>
      </c>
      <c r="J201" s="29">
        <v>2022</v>
      </c>
      <c r="K201" s="29">
        <v>2023</v>
      </c>
      <c r="L201" s="29">
        <v>2024</v>
      </c>
      <c r="N201" s="28"/>
      <c r="O201" s="28">
        <v>2016</v>
      </c>
      <c r="P201" s="29">
        <v>2017</v>
      </c>
      <c r="Q201" s="28">
        <v>2018</v>
      </c>
      <c r="R201" s="28">
        <v>2019</v>
      </c>
      <c r="S201" s="28">
        <v>2020</v>
      </c>
      <c r="T201" s="28">
        <v>2021</v>
      </c>
      <c r="U201" s="29">
        <v>2022</v>
      </c>
      <c r="V201" s="29">
        <v>2023</v>
      </c>
      <c r="W201" s="29">
        <v>2024</v>
      </c>
      <c r="AC201" s="72"/>
      <c r="AD201" s="72"/>
      <c r="AG201" s="72"/>
      <c r="AH201" s="72"/>
      <c r="AI201" s="72"/>
      <c r="AJ201" s="72"/>
      <c r="AK201" s="72"/>
      <c r="AL201" s="72"/>
      <c r="AM201" s="72"/>
      <c r="AN201" s="838" t="s">
        <v>317</v>
      </c>
      <c r="AO201" s="839"/>
      <c r="AP201" s="839"/>
      <c r="AQ201" s="839"/>
      <c r="AR201" s="839"/>
      <c r="AS201" s="839"/>
      <c r="AT201" s="839"/>
      <c r="AU201" s="839"/>
      <c r="AV201" s="839"/>
      <c r="AW201" s="839"/>
      <c r="AX201" s="839"/>
      <c r="AY201" s="839"/>
      <c r="AZ201" s="839"/>
      <c r="BA201" s="839"/>
      <c r="BB201" s="839"/>
      <c r="BC201" s="839"/>
      <c r="BD201" s="839"/>
      <c r="BE201" s="839"/>
      <c r="BF201" s="839"/>
      <c r="BG201" s="839"/>
      <c r="BH201" s="839"/>
      <c r="BI201" s="839"/>
      <c r="BJ201" s="839"/>
      <c r="BK201" s="839"/>
      <c r="BL201" s="839"/>
      <c r="BM201" s="839"/>
      <c r="BN201" s="839"/>
      <c r="BO201" s="839"/>
      <c r="BP201" s="839"/>
      <c r="BQ201" s="839"/>
      <c r="BR201" s="839"/>
      <c r="BS201" s="839"/>
      <c r="BT201" s="839"/>
      <c r="BU201" s="839"/>
      <c r="BV201" s="839"/>
      <c r="BW201" s="839"/>
      <c r="BX201" s="839"/>
    </row>
    <row r="202" spans="2:76" x14ac:dyDescent="0.2">
      <c r="C202" s="27" t="s">
        <v>244</v>
      </c>
      <c r="D202" s="27">
        <v>53</v>
      </c>
      <c r="E202" s="27">
        <v>55</v>
      </c>
      <c r="F202" s="27">
        <v>53.75</v>
      </c>
      <c r="G202" s="27">
        <v>54.25</v>
      </c>
      <c r="H202" s="27">
        <v>54.25</v>
      </c>
      <c r="I202" s="27">
        <v>53.75</v>
      </c>
      <c r="J202" s="27">
        <v>54</v>
      </c>
      <c r="K202" s="27">
        <v>52.8</v>
      </c>
      <c r="L202" s="27">
        <v>54</v>
      </c>
      <c r="N202" s="27" t="s">
        <v>244</v>
      </c>
      <c r="O202" s="27">
        <v>53.153846153846153</v>
      </c>
      <c r="P202" s="27">
        <v>53.333333333333336</v>
      </c>
      <c r="Q202" s="27">
        <v>53.846153846153847</v>
      </c>
      <c r="R202" s="27">
        <v>53.53846153846154</v>
      </c>
      <c r="S202" s="82">
        <v>53.692307692307693</v>
      </c>
      <c r="T202" s="82">
        <v>54.846153846153847</v>
      </c>
      <c r="U202" s="82">
        <v>55</v>
      </c>
      <c r="V202" s="82">
        <v>55.25</v>
      </c>
      <c r="W202" s="82">
        <v>55.636363636363633</v>
      </c>
      <c r="AC202" s="69"/>
      <c r="AD202" s="69"/>
      <c r="AG202" s="32"/>
      <c r="AH202" s="32"/>
      <c r="AI202" s="32"/>
      <c r="AJ202" s="32"/>
      <c r="AK202" s="32"/>
      <c r="AL202" s="32"/>
      <c r="AM202" s="32"/>
      <c r="AN202" s="28"/>
      <c r="AO202" s="838">
        <v>2016</v>
      </c>
      <c r="AP202" s="839"/>
      <c r="AQ202" s="839"/>
      <c r="AR202" s="969"/>
      <c r="AS202" s="838">
        <v>2017</v>
      </c>
      <c r="AT202" s="839"/>
      <c r="AU202" s="839"/>
      <c r="AV202" s="969"/>
      <c r="AW202" s="838">
        <v>2018</v>
      </c>
      <c r="AX202" s="839"/>
      <c r="AY202" s="839"/>
      <c r="AZ202" s="839"/>
      <c r="BA202" s="839">
        <v>2019</v>
      </c>
      <c r="BB202" s="839"/>
      <c r="BC202" s="839"/>
      <c r="BD202" s="839"/>
      <c r="BE202" s="839">
        <v>2020</v>
      </c>
      <c r="BF202" s="839"/>
      <c r="BG202" s="839"/>
      <c r="BH202" s="839"/>
      <c r="BI202" s="839">
        <v>2021</v>
      </c>
      <c r="BJ202" s="839"/>
      <c r="BK202" s="839"/>
      <c r="BL202" s="839"/>
      <c r="BM202" s="839">
        <v>2022</v>
      </c>
      <c r="BN202" s="839"/>
      <c r="BO202" s="839"/>
      <c r="BP202" s="839"/>
      <c r="BQ202" s="839">
        <v>2023</v>
      </c>
      <c r="BR202" s="839"/>
      <c r="BS202" s="839"/>
      <c r="BT202" s="839"/>
      <c r="BU202" s="839">
        <v>2024</v>
      </c>
      <c r="BV202" s="839"/>
      <c r="BW202" s="839"/>
      <c r="BX202" s="839"/>
    </row>
    <row r="203" spans="2:76" x14ac:dyDescent="0.2">
      <c r="C203" s="27" t="s">
        <v>245</v>
      </c>
      <c r="D203" s="27">
        <v>53.5</v>
      </c>
      <c r="E203" s="27">
        <v>54.5</v>
      </c>
      <c r="F203" s="27">
        <v>53.5</v>
      </c>
      <c r="G203" s="27">
        <v>54</v>
      </c>
      <c r="H203" s="27">
        <v>54</v>
      </c>
      <c r="I203" s="27">
        <v>53.5</v>
      </c>
      <c r="J203" s="27">
        <v>53.75</v>
      </c>
      <c r="K203" s="27">
        <v>54.25</v>
      </c>
      <c r="L203" s="27">
        <v>54.75</v>
      </c>
      <c r="N203" s="27" t="s">
        <v>245</v>
      </c>
      <c r="O203" s="27">
        <v>54.888888888888886</v>
      </c>
      <c r="P203" s="27">
        <v>55.705882352941174</v>
      </c>
      <c r="Q203" s="27">
        <v>54.823529411764703</v>
      </c>
      <c r="R203" s="27">
        <v>55.444444444444443</v>
      </c>
      <c r="S203" s="82">
        <v>54.863636363636367</v>
      </c>
      <c r="T203" s="82">
        <v>54.65</v>
      </c>
      <c r="U203" s="82">
        <v>56.952380952380949</v>
      </c>
      <c r="V203" s="82">
        <v>56.272727272727273</v>
      </c>
      <c r="W203" s="82">
        <v>58.421052631578945</v>
      </c>
      <c r="AC203" s="69"/>
      <c r="AD203" s="69"/>
      <c r="AG203" s="32"/>
      <c r="AH203" s="32"/>
      <c r="AI203" s="32"/>
      <c r="AJ203" s="32"/>
      <c r="AK203" s="32"/>
      <c r="AL203" s="32"/>
      <c r="AM203" s="32"/>
      <c r="AO203" s="67" t="s">
        <v>10</v>
      </c>
      <c r="AP203" t="s">
        <v>0</v>
      </c>
      <c r="AQ203" t="s">
        <v>318</v>
      </c>
      <c r="AR203" t="s">
        <v>319</v>
      </c>
      <c r="AS203" s="67" t="s">
        <v>10</v>
      </c>
      <c r="AT203" s="67" t="s">
        <v>0</v>
      </c>
      <c r="AU203" t="s">
        <v>318</v>
      </c>
      <c r="AV203" t="s">
        <v>319</v>
      </c>
      <c r="AW203" s="67" t="s">
        <v>10</v>
      </c>
      <c r="AX203" s="67" t="s">
        <v>0</v>
      </c>
      <c r="AY203" t="s">
        <v>318</v>
      </c>
      <c r="AZ203" t="s">
        <v>319</v>
      </c>
      <c r="BA203" s="67" t="s">
        <v>10</v>
      </c>
      <c r="BB203" s="67" t="s">
        <v>0</v>
      </c>
      <c r="BC203" t="s">
        <v>318</v>
      </c>
      <c r="BD203" t="s">
        <v>319</v>
      </c>
      <c r="BE203" s="67" t="s">
        <v>10</v>
      </c>
      <c r="BF203" s="67" t="s">
        <v>0</v>
      </c>
      <c r="BG203" t="s">
        <v>318</v>
      </c>
      <c r="BH203" t="s">
        <v>319</v>
      </c>
      <c r="BI203" s="67" t="s">
        <v>10</v>
      </c>
      <c r="BJ203" s="67" t="s">
        <v>0</v>
      </c>
      <c r="BK203" t="s">
        <v>318</v>
      </c>
      <c r="BL203" t="s">
        <v>319</v>
      </c>
      <c r="BM203" s="67" t="s">
        <v>10</v>
      </c>
      <c r="BN203" s="67" t="s">
        <v>0</v>
      </c>
      <c r="BO203" t="s">
        <v>318</v>
      </c>
      <c r="BP203" t="s">
        <v>319</v>
      </c>
      <c r="BQ203" s="67" t="s">
        <v>10</v>
      </c>
      <c r="BR203" s="67" t="s">
        <v>0</v>
      </c>
      <c r="BS203" t="s">
        <v>318</v>
      </c>
      <c r="BT203" t="s">
        <v>319</v>
      </c>
      <c r="BU203" s="67" t="s">
        <v>10</v>
      </c>
      <c r="BV203" s="67" t="s">
        <v>0</v>
      </c>
      <c r="BW203" t="s">
        <v>318</v>
      </c>
      <c r="BX203" t="s">
        <v>319</v>
      </c>
    </row>
    <row r="204" spans="2:76" x14ac:dyDescent="0.2">
      <c r="C204" s="27" t="s">
        <v>246</v>
      </c>
      <c r="D204" s="27">
        <v>53.333333333333336</v>
      </c>
      <c r="E204" s="27">
        <v>54</v>
      </c>
      <c r="F204" s="27">
        <v>54</v>
      </c>
      <c r="G204" s="27">
        <v>53.333333333333336</v>
      </c>
      <c r="H204" s="27">
        <v>53.25</v>
      </c>
      <c r="I204" s="27">
        <v>53.8</v>
      </c>
      <c r="J204" s="27">
        <v>54.333333333333336</v>
      </c>
      <c r="K204" s="27">
        <v>54</v>
      </c>
      <c r="L204" s="27">
        <v>54.5</v>
      </c>
      <c r="N204" s="27" t="s">
        <v>246</v>
      </c>
      <c r="O204" s="27">
        <v>55.153846153846153</v>
      </c>
      <c r="P204" s="27">
        <v>55.714285714285715</v>
      </c>
      <c r="Q204" s="27">
        <v>56.214285714285715</v>
      </c>
      <c r="R204" s="27">
        <v>55.785714285714285</v>
      </c>
      <c r="S204" s="82">
        <v>55.333333333333336</v>
      </c>
      <c r="T204" s="82">
        <v>56.2</v>
      </c>
      <c r="U204" s="82">
        <v>57</v>
      </c>
      <c r="V204" s="82">
        <v>56.625</v>
      </c>
      <c r="W204" s="82">
        <v>57.25</v>
      </c>
      <c r="AC204" s="69"/>
      <c r="AD204" s="69"/>
      <c r="AG204" s="32"/>
      <c r="AH204" s="32"/>
      <c r="AI204" s="32"/>
      <c r="AJ204" s="32"/>
      <c r="AK204" s="32"/>
      <c r="AL204" s="32"/>
      <c r="AM204" s="32"/>
      <c r="AN204" s="26">
        <v>1</v>
      </c>
      <c r="AO204" s="289">
        <v>0.02</v>
      </c>
      <c r="AP204" s="290">
        <v>0.01</v>
      </c>
      <c r="AQ204" s="85">
        <v>0.01</v>
      </c>
      <c r="AR204" s="85">
        <v>0.01</v>
      </c>
      <c r="AS204" s="291">
        <v>0.02</v>
      </c>
      <c r="AT204" s="292">
        <v>0.01</v>
      </c>
      <c r="AU204" s="85">
        <v>0.01</v>
      </c>
      <c r="AV204" s="85">
        <v>0.01</v>
      </c>
      <c r="AW204" s="291">
        <v>0.03</v>
      </c>
      <c r="AX204" s="292">
        <v>0.01</v>
      </c>
      <c r="AY204" s="85">
        <v>0.02</v>
      </c>
      <c r="AZ204" s="85">
        <v>0.01</v>
      </c>
      <c r="BA204" s="289">
        <v>0.04</v>
      </c>
      <c r="BB204" s="290">
        <v>0.02</v>
      </c>
      <c r="BC204" s="85">
        <v>0.02</v>
      </c>
      <c r="BD204" s="85">
        <v>0.01</v>
      </c>
      <c r="BE204" s="289">
        <v>0.04</v>
      </c>
      <c r="BF204" s="290">
        <v>0.02</v>
      </c>
      <c r="BG204" s="85">
        <v>0.02</v>
      </c>
      <c r="BH204" s="85">
        <v>0.01</v>
      </c>
      <c r="BI204" s="289">
        <v>0.04</v>
      </c>
      <c r="BJ204" s="290">
        <v>0.02</v>
      </c>
      <c r="BK204" s="293">
        <v>0.02</v>
      </c>
      <c r="BL204" s="293">
        <v>0.01</v>
      </c>
      <c r="BM204" s="289">
        <v>0.05</v>
      </c>
      <c r="BN204" s="290">
        <v>0.02</v>
      </c>
      <c r="BO204" s="293">
        <v>0.02</v>
      </c>
      <c r="BP204" s="293">
        <v>0.01</v>
      </c>
      <c r="BQ204" s="427">
        <v>0.04</v>
      </c>
      <c r="BR204" s="428">
        <v>0.02</v>
      </c>
      <c r="BS204" s="429">
        <v>0.02</v>
      </c>
      <c r="BT204" s="429">
        <v>0.01</v>
      </c>
      <c r="BU204" s="427">
        <v>0.04</v>
      </c>
      <c r="BV204" s="428">
        <v>0.02</v>
      </c>
      <c r="BW204" s="491">
        <v>0.03</v>
      </c>
      <c r="BX204" s="491">
        <v>0.01</v>
      </c>
    </row>
    <row r="205" spans="2:76" x14ac:dyDescent="0.2">
      <c r="C205" s="27" t="s">
        <v>247</v>
      </c>
      <c r="D205" s="27">
        <v>49.666666666666664</v>
      </c>
      <c r="E205" s="27">
        <v>51.333333333333336</v>
      </c>
      <c r="F205" s="27">
        <v>50.333333333333336</v>
      </c>
      <c r="G205" s="27">
        <v>50</v>
      </c>
      <c r="H205" s="27">
        <v>50</v>
      </c>
      <c r="I205" s="27">
        <v>50.333333333333336</v>
      </c>
      <c r="J205" s="27">
        <v>51</v>
      </c>
      <c r="K205" s="27">
        <v>49.833333333333336</v>
      </c>
      <c r="L205" s="27">
        <v>50.666666666666664</v>
      </c>
      <c r="N205" s="27" t="s">
        <v>247</v>
      </c>
      <c r="O205" s="27">
        <v>51.5</v>
      </c>
      <c r="P205" s="27">
        <v>55.111111111111114</v>
      </c>
      <c r="Q205" s="27">
        <v>54.666666666666664</v>
      </c>
      <c r="R205" s="27">
        <v>54.375</v>
      </c>
      <c r="S205" s="82">
        <v>52.142857142857146</v>
      </c>
      <c r="T205" s="82">
        <v>53.875</v>
      </c>
      <c r="U205" s="82">
        <v>55</v>
      </c>
      <c r="V205" s="82">
        <v>52.555555555555557</v>
      </c>
      <c r="W205" s="82">
        <v>55.714285714285715</v>
      </c>
      <c r="AC205" s="69"/>
      <c r="AD205" s="69"/>
      <c r="AG205" s="32"/>
      <c r="AH205" s="32"/>
      <c r="AI205" s="32"/>
      <c r="AJ205" s="32"/>
      <c r="AK205" s="32"/>
      <c r="AL205" s="32"/>
      <c r="AM205" s="32"/>
      <c r="AN205" s="26">
        <v>2</v>
      </c>
      <c r="AO205" s="289">
        <v>0.37</v>
      </c>
      <c r="AP205" s="290">
        <v>0.34</v>
      </c>
      <c r="AQ205" s="85">
        <v>0.39</v>
      </c>
      <c r="AR205" s="85">
        <v>0.28999999999999998</v>
      </c>
      <c r="AS205" s="291">
        <v>0.33</v>
      </c>
      <c r="AT205" s="292">
        <v>0.28999999999999998</v>
      </c>
      <c r="AU205" s="85">
        <v>0.34</v>
      </c>
      <c r="AV205" s="85">
        <v>0.23</v>
      </c>
      <c r="AW205" s="291">
        <v>0.35</v>
      </c>
      <c r="AX205" s="292">
        <v>0.32</v>
      </c>
      <c r="AY205" s="85">
        <v>0.37</v>
      </c>
      <c r="AZ205" s="85">
        <v>0.26</v>
      </c>
      <c r="BA205" s="289">
        <v>0.34</v>
      </c>
      <c r="BB205" s="290">
        <v>0.3</v>
      </c>
      <c r="BC205" s="85">
        <v>0.35</v>
      </c>
      <c r="BD205" s="85">
        <v>0.25</v>
      </c>
      <c r="BE205" s="289">
        <v>0.36</v>
      </c>
      <c r="BF205" s="290">
        <v>0.31</v>
      </c>
      <c r="BG205" s="85">
        <v>0.35</v>
      </c>
      <c r="BH205" s="85">
        <v>0.26</v>
      </c>
      <c r="BI205" s="289">
        <v>0.37</v>
      </c>
      <c r="BJ205" s="290">
        <v>0.32</v>
      </c>
      <c r="BK205" s="293">
        <v>0.37</v>
      </c>
      <c r="BL205" s="293">
        <v>0.26</v>
      </c>
      <c r="BM205" s="289">
        <v>0.34</v>
      </c>
      <c r="BN205" s="290">
        <v>0.27</v>
      </c>
      <c r="BO205" s="293">
        <v>0.34</v>
      </c>
      <c r="BP205" s="293">
        <v>0.21</v>
      </c>
      <c r="BQ205" s="427">
        <v>0.35</v>
      </c>
      <c r="BR205" s="428">
        <v>0.28999999999999998</v>
      </c>
      <c r="BS205" s="429">
        <v>0.35</v>
      </c>
      <c r="BT205" s="429">
        <v>0.22</v>
      </c>
      <c r="BU205" s="427">
        <v>0.31</v>
      </c>
      <c r="BV205" s="428">
        <v>0.25</v>
      </c>
      <c r="BW205" s="491">
        <v>0.31</v>
      </c>
      <c r="BX205" s="491">
        <v>0.18</v>
      </c>
    </row>
    <row r="206" spans="2:76" x14ac:dyDescent="0.2">
      <c r="C206" s="27" t="s">
        <v>248</v>
      </c>
      <c r="D206" s="27">
        <v>53.5</v>
      </c>
      <c r="E206" s="27">
        <v>54</v>
      </c>
      <c r="F206" s="27">
        <v>52.5</v>
      </c>
      <c r="G206" s="27">
        <v>53.5</v>
      </c>
      <c r="H206" s="27">
        <v>53.5</v>
      </c>
      <c r="I206" s="27">
        <v>54</v>
      </c>
      <c r="J206" s="27">
        <v>55</v>
      </c>
      <c r="K206" s="27">
        <v>53.5</v>
      </c>
      <c r="L206" s="27">
        <v>56.333333333333336</v>
      </c>
      <c r="N206" s="27" t="s">
        <v>248</v>
      </c>
      <c r="O206" s="27">
        <v>55.8</v>
      </c>
      <c r="P206" s="27">
        <v>57.333333333333336</v>
      </c>
      <c r="Q206" s="27">
        <v>56.3125</v>
      </c>
      <c r="R206" s="27">
        <v>56.705882352941174</v>
      </c>
      <c r="S206" s="82">
        <v>56.875</v>
      </c>
      <c r="T206" s="82">
        <v>57.3125</v>
      </c>
      <c r="U206" s="82">
        <v>58.266666666666666</v>
      </c>
      <c r="V206" s="82">
        <v>58.4</v>
      </c>
      <c r="W206" s="82">
        <v>58.466666666666669</v>
      </c>
      <c r="AC206" s="69"/>
      <c r="AD206" s="69"/>
      <c r="AG206" s="32"/>
      <c r="AH206" s="32"/>
      <c r="AI206" s="32"/>
      <c r="AJ206" s="32"/>
      <c r="AK206" s="32"/>
      <c r="AL206" s="32"/>
      <c r="AM206" s="32"/>
      <c r="AN206" s="26">
        <v>3</v>
      </c>
      <c r="AO206" s="289">
        <v>0.5</v>
      </c>
      <c r="AP206" s="290">
        <v>0.57999999999999996</v>
      </c>
      <c r="AQ206" s="85">
        <v>0.54</v>
      </c>
      <c r="AR206" s="85">
        <v>0.62</v>
      </c>
      <c r="AS206" s="291">
        <v>0.52</v>
      </c>
      <c r="AT206" s="292">
        <v>0.6</v>
      </c>
      <c r="AU206" s="85">
        <v>0.56999999999999995</v>
      </c>
      <c r="AV206" s="85">
        <v>0.64</v>
      </c>
      <c r="AW206" s="291">
        <v>0.49</v>
      </c>
      <c r="AX206" s="292">
        <v>0.56000000000000005</v>
      </c>
      <c r="AY206" s="85">
        <v>0.53</v>
      </c>
      <c r="AZ206" s="85">
        <v>0.59</v>
      </c>
      <c r="BA206" s="289">
        <v>0.49</v>
      </c>
      <c r="BB206" s="290">
        <v>0.56999999999999995</v>
      </c>
      <c r="BC206" s="85">
        <v>0.55000000000000004</v>
      </c>
      <c r="BD206" s="85">
        <v>0.6</v>
      </c>
      <c r="BE206" s="289">
        <v>0.49</v>
      </c>
      <c r="BF206" s="290">
        <v>0.59</v>
      </c>
      <c r="BG206" s="85">
        <v>0.56000000000000005</v>
      </c>
      <c r="BH206" s="85">
        <v>0.61</v>
      </c>
      <c r="BI206" s="289">
        <v>0.45</v>
      </c>
      <c r="BJ206" s="290">
        <v>0.54</v>
      </c>
      <c r="BK206" s="293">
        <v>0.52</v>
      </c>
      <c r="BL206" s="293">
        <v>0.56999999999999995</v>
      </c>
      <c r="BM206" s="289">
        <v>0.47</v>
      </c>
      <c r="BN206" s="290">
        <v>0.57999999999999996</v>
      </c>
      <c r="BO206" s="293">
        <v>0.56000000000000005</v>
      </c>
      <c r="BP206" s="293">
        <v>0.61</v>
      </c>
      <c r="BQ206" s="427">
        <v>0.48</v>
      </c>
      <c r="BR206" s="428">
        <v>0.56999999999999995</v>
      </c>
      <c r="BS206" s="429">
        <v>0.55000000000000004</v>
      </c>
      <c r="BT206" s="429">
        <v>0.6</v>
      </c>
      <c r="BU206" s="427">
        <v>0.5</v>
      </c>
      <c r="BV206" s="428">
        <v>0.59</v>
      </c>
      <c r="BW206" s="491">
        <v>0.56000000000000005</v>
      </c>
      <c r="BX206" s="491">
        <v>0.63</v>
      </c>
    </row>
    <row r="207" spans="2:76" x14ac:dyDescent="0.2">
      <c r="C207" s="27" t="s">
        <v>249</v>
      </c>
      <c r="D207" s="27">
        <v>52.666666666666664</v>
      </c>
      <c r="E207" s="27">
        <v>52.666666666666664</v>
      </c>
      <c r="F207" s="27">
        <v>52.666666666666664</v>
      </c>
      <c r="G207" s="27">
        <v>52.666666666666664</v>
      </c>
      <c r="H207" s="27">
        <v>53</v>
      </c>
      <c r="I207" s="27">
        <v>52.333333333333336</v>
      </c>
      <c r="J207" s="27">
        <v>53</v>
      </c>
      <c r="K207" s="27">
        <v>52.333333333333336</v>
      </c>
      <c r="L207" s="27">
        <v>54</v>
      </c>
      <c r="N207" s="27" t="s">
        <v>249</v>
      </c>
      <c r="O207" s="27">
        <v>54.583333333333336</v>
      </c>
      <c r="P207" s="27">
        <v>54</v>
      </c>
      <c r="Q207" s="27">
        <v>54.81818181818182</v>
      </c>
      <c r="R207" s="27">
        <v>55.083333333333336</v>
      </c>
      <c r="S207" s="82">
        <v>52.5</v>
      </c>
      <c r="T207" s="82">
        <v>54.615384615384613</v>
      </c>
      <c r="U207" s="82">
        <v>54.8125</v>
      </c>
      <c r="V207" s="82">
        <v>56.176470588235297</v>
      </c>
      <c r="W207" s="82">
        <v>56.533333333333331</v>
      </c>
      <c r="AC207" s="69"/>
      <c r="AD207" s="69"/>
      <c r="AG207" s="32"/>
      <c r="AH207" s="32"/>
      <c r="AI207" s="32"/>
      <c r="AJ207" s="32"/>
      <c r="AK207" s="32"/>
      <c r="AL207" s="32"/>
      <c r="AM207" s="32"/>
      <c r="AN207" s="26">
        <v>4</v>
      </c>
      <c r="AO207" s="289">
        <v>0.1</v>
      </c>
      <c r="AP207" s="290">
        <v>7.0000000000000007E-2</v>
      </c>
      <c r="AQ207" s="85">
        <v>0.05</v>
      </c>
      <c r="AR207" s="85">
        <v>0.08</v>
      </c>
      <c r="AS207" s="291">
        <v>0.13</v>
      </c>
      <c r="AT207" s="292">
        <v>0.09</v>
      </c>
      <c r="AU207" s="85">
        <v>7.0000000000000007E-2</v>
      </c>
      <c r="AV207" s="85">
        <v>0.12</v>
      </c>
      <c r="AW207" s="291">
        <v>0.13</v>
      </c>
      <c r="AX207" s="292">
        <v>0.11</v>
      </c>
      <c r="AY207" s="85">
        <v>0.08</v>
      </c>
      <c r="AZ207" s="85">
        <v>0.14000000000000001</v>
      </c>
      <c r="BA207" s="289">
        <v>0.12</v>
      </c>
      <c r="BB207" s="290">
        <v>0.11</v>
      </c>
      <c r="BC207" s="85">
        <v>0.08</v>
      </c>
      <c r="BD207" s="85">
        <v>0.14000000000000001</v>
      </c>
      <c r="BE207" s="289">
        <v>0.1</v>
      </c>
      <c r="BF207" s="290">
        <v>0.09</v>
      </c>
      <c r="BG207" s="85">
        <v>7.0000000000000007E-2</v>
      </c>
      <c r="BH207" s="85">
        <v>0.11</v>
      </c>
      <c r="BI207" s="289">
        <v>0.13</v>
      </c>
      <c r="BJ207" s="290">
        <v>0.12</v>
      </c>
      <c r="BK207" s="293">
        <v>0.09</v>
      </c>
      <c r="BL207" s="293">
        <v>0.16</v>
      </c>
      <c r="BM207" s="289">
        <v>0.14000000000000001</v>
      </c>
      <c r="BN207" s="290">
        <v>0.13</v>
      </c>
      <c r="BO207" s="293">
        <v>0.09</v>
      </c>
      <c r="BP207" s="293">
        <v>0.16</v>
      </c>
      <c r="BQ207" s="427">
        <v>0.13</v>
      </c>
      <c r="BR207" s="428">
        <v>0.12</v>
      </c>
      <c r="BS207" s="429">
        <v>0.08</v>
      </c>
      <c r="BT207" s="429">
        <v>0.17</v>
      </c>
      <c r="BU207" s="427">
        <v>0.15</v>
      </c>
      <c r="BV207" s="428">
        <v>0.14000000000000001</v>
      </c>
      <c r="BW207" s="491">
        <v>0.1</v>
      </c>
      <c r="BX207" s="491">
        <v>0.18</v>
      </c>
    </row>
    <row r="208" spans="2:76" x14ac:dyDescent="0.2">
      <c r="I208" s="73"/>
      <c r="J208" s="73"/>
      <c r="K208" s="73"/>
      <c r="L208" s="73"/>
      <c r="M208" s="73"/>
      <c r="N208" s="73"/>
      <c r="O208" s="73"/>
      <c r="P208" s="73"/>
      <c r="Q208" s="73"/>
      <c r="R208" s="73"/>
      <c r="S208" s="73"/>
      <c r="T208" s="73"/>
      <c r="U208" s="73"/>
    </row>
    <row r="212" spans="42:43" x14ac:dyDescent="0.2">
      <c r="AP212" s="87"/>
      <c r="AQ212" s="88"/>
    </row>
    <row r="244" spans="5:77" x14ac:dyDescent="0.2">
      <c r="F244" s="964">
        <v>2016</v>
      </c>
      <c r="G244" s="964"/>
      <c r="H244" s="964"/>
      <c r="I244" s="964"/>
      <c r="J244" s="964">
        <v>2017</v>
      </c>
      <c r="K244" s="964"/>
      <c r="L244" s="964"/>
      <c r="M244" s="964"/>
      <c r="N244" s="964">
        <v>2018</v>
      </c>
      <c r="O244" s="964"/>
      <c r="P244" s="964"/>
      <c r="Q244" s="964"/>
      <c r="R244" s="964">
        <v>2019</v>
      </c>
      <c r="S244" s="964"/>
      <c r="T244" s="964"/>
      <c r="U244" s="964"/>
      <c r="V244" s="964">
        <v>2020</v>
      </c>
      <c r="W244" s="964"/>
      <c r="X244" s="964"/>
      <c r="Y244" s="964"/>
      <c r="Z244" s="964">
        <v>2021</v>
      </c>
      <c r="AA244" s="964"/>
      <c r="AB244" s="964"/>
      <c r="AC244" s="964"/>
      <c r="AD244" s="964">
        <v>2022</v>
      </c>
      <c r="AE244" s="964"/>
      <c r="AF244" s="964"/>
      <c r="AG244" s="964"/>
      <c r="AH244" s="964">
        <v>2023</v>
      </c>
      <c r="AI244" s="964"/>
      <c r="AJ244" s="964"/>
      <c r="AK244" s="964"/>
      <c r="AL244" s="964">
        <v>2024</v>
      </c>
      <c r="AM244" s="964"/>
      <c r="AN244" s="964"/>
      <c r="AO244" s="964"/>
    </row>
    <row r="245" spans="5:77" x14ac:dyDescent="0.2">
      <c r="F245">
        <v>1</v>
      </c>
      <c r="G245">
        <v>2</v>
      </c>
      <c r="H245">
        <v>3</v>
      </c>
      <c r="I245">
        <v>4</v>
      </c>
      <c r="J245">
        <v>1</v>
      </c>
      <c r="K245">
        <v>2</v>
      </c>
      <c r="L245">
        <v>3</v>
      </c>
      <c r="M245">
        <v>4</v>
      </c>
      <c r="N245">
        <v>1</v>
      </c>
      <c r="O245">
        <v>2</v>
      </c>
      <c r="P245">
        <v>3</v>
      </c>
      <c r="Q245">
        <v>4</v>
      </c>
      <c r="R245">
        <v>1</v>
      </c>
      <c r="S245">
        <v>2</v>
      </c>
      <c r="T245">
        <v>3</v>
      </c>
      <c r="U245">
        <v>4</v>
      </c>
      <c r="V245">
        <v>1</v>
      </c>
      <c r="W245">
        <v>2</v>
      </c>
      <c r="X245">
        <v>3</v>
      </c>
      <c r="Y245">
        <v>4</v>
      </c>
      <c r="Z245" s="499">
        <v>1</v>
      </c>
      <c r="AA245" s="499">
        <v>2</v>
      </c>
      <c r="AB245" s="499">
        <v>3</v>
      </c>
      <c r="AC245" s="499">
        <v>4</v>
      </c>
      <c r="AD245" s="499">
        <v>1</v>
      </c>
      <c r="AE245" s="499">
        <v>2</v>
      </c>
      <c r="AF245" s="499">
        <v>3</v>
      </c>
      <c r="AG245" s="499">
        <v>4</v>
      </c>
      <c r="AH245" s="499">
        <v>1</v>
      </c>
      <c r="AI245" s="499">
        <v>2</v>
      </c>
      <c r="AJ245" s="499">
        <v>3</v>
      </c>
      <c r="AK245" s="499">
        <v>4</v>
      </c>
      <c r="AL245" s="499">
        <v>1</v>
      </c>
      <c r="AM245" s="499">
        <v>2</v>
      </c>
      <c r="AN245" s="499">
        <v>3</v>
      </c>
      <c r="AO245" s="499">
        <v>4</v>
      </c>
    </row>
    <row r="246" spans="5:77" x14ac:dyDescent="0.2">
      <c r="E246" s="27" t="s">
        <v>244</v>
      </c>
      <c r="F246" s="39">
        <f>AVERAGEIF($C$36:$C$171,"=1",$F$36:$F$171)</f>
        <v>9.4117647058823539E-3</v>
      </c>
      <c r="G246" s="39">
        <f>AVERAGEIF($C$36:$C$171,"=1",$G$36:$G$171)</f>
        <v>0.39588235294117652</v>
      </c>
      <c r="H246" s="39">
        <f>AVERAGEIF($C$36:$C$171,"=1",$H$36:$H$171)</f>
        <v>0.56000000000000005</v>
      </c>
      <c r="I246" s="39">
        <f>AVERAGEIF($C$36:$C$171,"=1",$I$36:$I$171)</f>
        <v>3.7647058823529415E-2</v>
      </c>
      <c r="J246" s="39">
        <f>AVERAGEIF($C$36:$C$171,"=1",$O$36:$O$171)</f>
        <v>1.2500000000000001E-2</v>
      </c>
      <c r="K246" s="39">
        <f>AVERAGEIF($C$36:$C$171,"=1",$P$36:$P$171)</f>
        <v>0.32562500000000005</v>
      </c>
      <c r="L246" s="39">
        <f>AVERAGEIF($C$36:$C$171,"=1",$Q$36:$Q$171)</f>
        <v>0.59625000000000006</v>
      </c>
      <c r="M246" s="39">
        <f>AVERAGEIF($C$36:$C$171,"=1",$R$36:$R$171)</f>
        <v>6.6250000000000003E-2</v>
      </c>
      <c r="N246" s="39">
        <f>AVERAGEIF($C$36:$C$171,"=1",$X$36:$X$171)</f>
        <v>1.8823529411764711E-2</v>
      </c>
      <c r="O246" s="39">
        <f>AVERAGEIF($C$36:$C$171,"=1",$Y$36:$Y$171)</f>
        <v>0.33176470588235302</v>
      </c>
      <c r="P246" s="39">
        <f>AVERAGEIF($C$36:$C$171,"=1",$Z$36:$Z$171)</f>
        <v>0.54705882352941182</v>
      </c>
      <c r="Q246" s="39">
        <f>AVERAGEIF($C$36:$C$171,"=1",$AA$36:$AA$171)</f>
        <v>0.10588235294117644</v>
      </c>
      <c r="R246" s="39">
        <f>AVERAGEIF($C$36:$C$171,"=1",$AG$36:$AG$171)</f>
        <v>1.6470588235294119E-2</v>
      </c>
      <c r="S246" s="39">
        <f>AVERAGEIF($C$36:$C$171,"=1",$AH$36:$AH$171)</f>
        <v>0.35176470588235298</v>
      </c>
      <c r="T246" s="39">
        <f>AVERAGEIF($C$36:$C$171,"=1",$AI$36:$AI$171)</f>
        <v>0.54176470588235304</v>
      </c>
      <c r="U246" s="39">
        <f>AVERAGEIF($C$36:$C$171,"=1",$AJ$36:$AJ$171)</f>
        <v>0.09</v>
      </c>
      <c r="V246" s="39">
        <f>AVERAGEIF($C$36:$C$171,"=1",$AP$36:$AP$171)</f>
        <v>2.5882352941176474E-2</v>
      </c>
      <c r="W246" s="39">
        <f>AVERAGEIF($C$36:$C$171,"=1",$AQ$36:$AQ$171)</f>
        <v>0.29352941176470587</v>
      </c>
      <c r="X246" s="39">
        <f>AVERAGEIF($C$36:$C$171,"=1",$AR$36:$AR$171)</f>
        <v>0.6029411764705882</v>
      </c>
      <c r="Y246" s="39">
        <f>AVERAGEIF($C$36:$C$171,"=1",$AS$36:$AS$171)</f>
        <v>7.7647058823529416E-2</v>
      </c>
      <c r="Z246" s="39">
        <f>AVERAGEIF($C$36:$C$171,"=1",$BA$36:$BA$171)</f>
        <v>1.1764705882352941E-2</v>
      </c>
      <c r="AA246" s="39">
        <f>AVERAGEIF($C$36:$C$171,"=1",$BB$36:$BB$171)</f>
        <v>0.31294117647058828</v>
      </c>
      <c r="AB246" s="39">
        <f>AVERAGEIF($C$36:$C$171,"=1",$BC$36:$BC$171)</f>
        <v>0.56647058823529406</v>
      </c>
      <c r="AC246" s="39">
        <f>AVERAGEIF($C$36:$C$171,"=1",$BD$36:$BD$171)</f>
        <v>0.10705882352941178</v>
      </c>
      <c r="AD246" s="39">
        <v>2.0555555555555563E-2</v>
      </c>
      <c r="AE246" s="39">
        <v>0.28444444444444439</v>
      </c>
      <c r="AF246" s="39">
        <v>0.60222222222222221</v>
      </c>
      <c r="AG246" s="39">
        <v>9.3333333333333324E-2</v>
      </c>
      <c r="AH246" s="39">
        <v>1.8823529411764704E-2</v>
      </c>
      <c r="AI246" s="39">
        <v>0.28882352941176476</v>
      </c>
      <c r="AJ246" s="39">
        <v>0.59294117647058819</v>
      </c>
      <c r="AK246" s="39">
        <v>0.10058823529411766</v>
      </c>
      <c r="AL246" s="39">
        <v>2.375E-2</v>
      </c>
      <c r="AM246" s="39">
        <v>0.24374999999999997</v>
      </c>
      <c r="AN246" s="39">
        <v>0.62812499999999993</v>
      </c>
      <c r="AO246" s="39">
        <v>0.108125</v>
      </c>
    </row>
    <row r="247" spans="5:77" x14ac:dyDescent="0.2">
      <c r="E247" s="27" t="s">
        <v>245</v>
      </c>
      <c r="F247" s="39">
        <f>AVERAGEIF($C$36:$C$171,"=2",$F$36:$F$171)</f>
        <v>1.6E-2</v>
      </c>
      <c r="G247" s="39">
        <f>AVERAGEIF($C$36:$C$171,"=2",$G$36:$G$171)</f>
        <v>0.31900000000000001</v>
      </c>
      <c r="H247" s="39">
        <f>AVERAGEIF($C$36:$C$171,"=2",$H$36:$H$171)</f>
        <v>0.58300000000000007</v>
      </c>
      <c r="I247" s="39">
        <f>AVERAGEIF($C$36:$C$171,"=2",$I$36:$I$171)</f>
        <v>8.2500000000000004E-2</v>
      </c>
      <c r="J247" s="39">
        <f>AVERAGEIF($C$36:$C$171,"=2",$O$36:$O$171)</f>
        <v>1.578947368421053E-2</v>
      </c>
      <c r="K247" s="39">
        <f>AVERAGEIF($C$36:$C$171,"=2",$P$36:$P$171)</f>
        <v>0.26473684210526321</v>
      </c>
      <c r="L247" s="39">
        <f>AVERAGEIF($C$36:$C$171,"=2",$Q$36:$Q$171)</f>
        <v>0.59315789473684222</v>
      </c>
      <c r="M247" s="39">
        <f>AVERAGEIF($C$36:$C$171,"=2",$R$36:$R$171)</f>
        <v>0.12578947368421053</v>
      </c>
      <c r="N247" s="39">
        <f>AVERAGEIF($C$36:$C$171,"=2",$X$36:$X$171)</f>
        <v>1.4210526315789474E-2</v>
      </c>
      <c r="O247" s="39">
        <f>AVERAGEIF($C$36:$C$171,"=2",$Y$36:$Y$171)</f>
        <v>0.31473684210526309</v>
      </c>
      <c r="P247" s="39">
        <f>AVERAGEIF($C$36:$C$171,"=2",$Z$36:$Z$171)</f>
        <v>0.5457894736842106</v>
      </c>
      <c r="Q247" s="39">
        <f>AVERAGEIF($C$36:$C$171,"=2",$AA$36:$AA$171)</f>
        <v>0.12421052631578947</v>
      </c>
      <c r="R247" s="39">
        <f>AVERAGEIF($C$36:$C$171,"=2",$AG$36:$AG$171)</f>
        <v>1.0500000000000001E-2</v>
      </c>
      <c r="S247" s="39">
        <f>AVERAGEIF($C$36:$C$171,"=2",$AH$36:$AH$171)</f>
        <v>0.25950000000000001</v>
      </c>
      <c r="T247" s="39">
        <f>AVERAGEIF($C$36:$C$171,"=2",$AI$36:$AI$171)</f>
        <v>0.60349999999999993</v>
      </c>
      <c r="U247" s="39">
        <f>AVERAGEIF($C$36:$C$171,"=2",$AJ$36:$AJ$171)</f>
        <v>0.128</v>
      </c>
      <c r="V247" s="39">
        <f>AVERAGEIF($C$36:$C$171,"=2",$AP$36:$AP$171)</f>
        <v>7.4999999999999997E-3</v>
      </c>
      <c r="W247" s="39">
        <f>AVERAGEIF($C$36:$C$171,"=2",$AQ$36:$AQ$171)</f>
        <v>0.29416666666666663</v>
      </c>
      <c r="X247" s="39">
        <f>AVERAGEIF($C$36:$C$171,"=2",$AR$36:$AR$171)</f>
        <v>0.58833333333333326</v>
      </c>
      <c r="Y247" s="39">
        <f>AVERAGEIF($C$36:$C$171,"=2",$AS$36:$AS$171)</f>
        <v>0.11</v>
      </c>
      <c r="Z247" s="39">
        <f>AVERAGEIF($C$36:$C$171,"=2",$BA$36:$BA$171)</f>
        <v>3.0909090909090917E-2</v>
      </c>
      <c r="AA247" s="39">
        <f>AVERAGEIF($C$36:$C$171,"=2",$BB$36:$BB$171)</f>
        <v>0.33090909090909082</v>
      </c>
      <c r="AB247" s="39">
        <f>AVERAGEIF($C$36:$C$171,"=2",$BC$36:$BC$171)</f>
        <v>0.51045454545454538</v>
      </c>
      <c r="AC247" s="39">
        <f>AVERAGEIF($C$36:$C$171,"=2",$BD$36:$BD$171)</f>
        <v>0.1281818181818182</v>
      </c>
      <c r="AD247" s="39">
        <v>2.0400000000000001E-2</v>
      </c>
      <c r="AE247" s="39">
        <v>0.22400000000000003</v>
      </c>
      <c r="AF247" s="39">
        <v>0.58879999999999977</v>
      </c>
      <c r="AG247" s="39">
        <v>0.16799999999999998</v>
      </c>
      <c r="AH247" s="39">
        <v>2.5384615384615391E-2</v>
      </c>
      <c r="AI247" s="39">
        <v>0.25769230769230766</v>
      </c>
      <c r="AJ247" s="39">
        <v>0.55692307692307697</v>
      </c>
      <c r="AK247" s="39">
        <v>0.16038461538461538</v>
      </c>
      <c r="AL247" s="39">
        <v>1.2608695652173915E-2</v>
      </c>
      <c r="AM247" s="39">
        <v>0.18217391304347824</v>
      </c>
      <c r="AN247" s="39">
        <v>0.59999999999999987</v>
      </c>
      <c r="AO247" s="39">
        <v>0.2056521739130435</v>
      </c>
    </row>
    <row r="248" spans="5:77" x14ac:dyDescent="0.2">
      <c r="E248" s="27" t="s">
        <v>246</v>
      </c>
      <c r="F248" s="39">
        <f>AVERAGEIF($C$36:$C$171,"=3",$F$36:$F$171)</f>
        <v>1.9444444444444445E-2</v>
      </c>
      <c r="G248" s="39">
        <f>AVERAGEIF($C$36:$C$171,"=3",$G$36:$G$171)</f>
        <v>0.30944444444444447</v>
      </c>
      <c r="H248" s="39">
        <f>AVERAGEIF($C$36:$C$171,"=3",$H$36:$H$171)</f>
        <v>0.59777777777777785</v>
      </c>
      <c r="I248" s="39">
        <f>AVERAGEIF($C$36:$C$171,"=3",$I$36:$I$171)</f>
        <v>7.7222222222222248E-2</v>
      </c>
      <c r="J248" s="39">
        <f>AVERAGEIF($C$36:$C$171,"=3",$O$36:$O$171)</f>
        <v>1.2105263157894735E-2</v>
      </c>
      <c r="K248" s="39">
        <f>AVERAGEIF($C$36:$C$171,"=3",$P$36:$P$171)</f>
        <v>0.25368421052631573</v>
      </c>
      <c r="L248" s="39">
        <f>AVERAGEIF($C$36:$C$171,"=3",$Q$36:$Q$171)</f>
        <v>0.63473684210526304</v>
      </c>
      <c r="M248" s="39">
        <f>AVERAGEIF($C$36:$C$171,"=3",$R$36:$R$171)</f>
        <v>0.10052631578947369</v>
      </c>
      <c r="N248" s="39">
        <f>AVERAGEIF($C$36:$C$171,"=3",$X$36:$X$171)</f>
        <v>1.368421052631579E-2</v>
      </c>
      <c r="O248" s="39">
        <f>AVERAGEIF($C$36:$C$171,"=3",$Y$36:$Y$171)</f>
        <v>0.2636842105263158</v>
      </c>
      <c r="P248" s="39">
        <f>AVERAGEIF($C$36:$C$171,"=3",$Z$36:$Z$171)</f>
        <v>0.59052631578947368</v>
      </c>
      <c r="Q248" s="39">
        <f>AVERAGEIF($C$36:$C$171,"=3",$AA$36:$AA$171)</f>
        <v>0.13315789473684214</v>
      </c>
      <c r="R248" s="39">
        <f>AVERAGEIF($C$36:$C$171,"=3",$AG$36:$AG$171)</f>
        <v>8.4210526315789472E-3</v>
      </c>
      <c r="S248" s="39">
        <f>AVERAGEIF($C$36:$C$171,"=3",$AH$36:$AH$171)</f>
        <v>0.28526315789473677</v>
      </c>
      <c r="T248" s="39">
        <f>AVERAGEIF($C$36:$C$171,"=3",$AI$36:$AI$171)</f>
        <v>0.57315789473684209</v>
      </c>
      <c r="U248" s="39">
        <f>AVERAGEIF($C$36:$C$171,"=3",$AJ$36:$AJ$171)</f>
        <v>0.13315789473684211</v>
      </c>
      <c r="V248" s="39">
        <f>AVERAGEIF($C$36:$C$171,"=3",$AP$36:$AP$171)</f>
        <v>1.7499999999999998E-2</v>
      </c>
      <c r="W248" s="39">
        <f>AVERAGEIF($C$36:$C$171,"=3",$AQ$36:$AQ$171)</f>
        <v>0.26100000000000001</v>
      </c>
      <c r="X248" s="39">
        <f>AVERAGEIF($C$36:$C$171,"=3",$AR$36:$AR$171)</f>
        <v>0.64649999999999996</v>
      </c>
      <c r="Y248" s="39">
        <f>AVERAGEIF($C$36:$C$171,"=3",$AS$36:$AS$171)</f>
        <v>7.4499999999999997E-2</v>
      </c>
      <c r="Z248" s="39">
        <f>AVERAGEIF($C$36:$C$171,"=3",$BA$36:$BA$171)</f>
        <v>1.1500000000000002E-2</v>
      </c>
      <c r="AA248" s="39">
        <f>AVERAGEIF($C$36:$C$171,"=3",$BB$36:$BB$171)</f>
        <v>0.28799999999999998</v>
      </c>
      <c r="AB248" s="39">
        <f>AVERAGEIF($C$36:$C$171,"=3",$BC$36:$BC$171)</f>
        <v>0.55899999999999994</v>
      </c>
      <c r="AC248" s="39">
        <f>AVERAGEIF($C$36:$C$171,"=3",$BD$36:$BD$171)</f>
        <v>0.14399999999999999</v>
      </c>
      <c r="AD248" s="39">
        <v>1.2727272727272726E-2</v>
      </c>
      <c r="AE248" s="39">
        <v>0.23909090909090913</v>
      </c>
      <c r="AF248" s="39">
        <v>0.60272727272727267</v>
      </c>
      <c r="AG248" s="39">
        <v>0.14681818181818182</v>
      </c>
      <c r="AH248" s="39">
        <v>1.5454545454545453E-2</v>
      </c>
      <c r="AI248" s="39">
        <v>0.23181818181818184</v>
      </c>
      <c r="AJ248" s="39">
        <v>0.62</v>
      </c>
      <c r="AK248" s="39">
        <v>0.13409090909090909</v>
      </c>
      <c r="AL248" s="39">
        <v>2.0909090909090912E-2</v>
      </c>
      <c r="AM248" s="39">
        <v>0.2195454545454546</v>
      </c>
      <c r="AN248" s="39">
        <v>0.60090909090909106</v>
      </c>
      <c r="AO248" s="39">
        <v>0.16045454545454543</v>
      </c>
    </row>
    <row r="249" spans="5:77" x14ac:dyDescent="0.2">
      <c r="E249" s="27" t="s">
        <v>247</v>
      </c>
      <c r="F249" s="39">
        <f>AVERAGEIF($C$36:$C$171,"=4",$F$36:$F$171)</f>
        <v>2.6428571428571433E-2</v>
      </c>
      <c r="G249" s="39">
        <f>AVERAGEIF($C$36:$C$171,"=1",$G$36:$G$171)</f>
        <v>0.39588235294117652</v>
      </c>
      <c r="H249" s="39">
        <f>AVERAGEIF($C$36:$C$171,"=4",$H$36:$H$171)</f>
        <v>0.48285714285714282</v>
      </c>
      <c r="I249" s="39">
        <f>AVERAGEIF($C$36:$C$171,"=4",$I$36:$I$171)</f>
        <v>2.357142857142857E-2</v>
      </c>
      <c r="J249" s="39">
        <f>AVERAGEIF($C$36:$C$171,"=4",$O$36:$O$171)</f>
        <v>1.2857142857142857E-2</v>
      </c>
      <c r="K249" s="39">
        <f>AVERAGEIF($C$36:$C$171,"=4",$P$36:$P$171)</f>
        <v>0.33285714285714285</v>
      </c>
      <c r="L249" s="39">
        <f>AVERAGEIF($C$36:$C$171,"=4",$Q$36:$Q$171)</f>
        <v>0.57285714285714284</v>
      </c>
      <c r="M249" s="39">
        <f>AVERAGEIF($C$36:$C$171,"=4",$R$36:$R$171)</f>
        <v>8.1428571428571433E-2</v>
      </c>
      <c r="N249" s="39">
        <f>AVERAGEIF($C$36:$C$171,"=4",$X$36:$X$171)</f>
        <v>1.0666666666666666E-2</v>
      </c>
      <c r="O249" s="39">
        <f>AVERAGEIF($C$36:$C$171,"=4",$Y$36:$Y$171)</f>
        <v>0.36266666666666669</v>
      </c>
      <c r="P249" s="39">
        <f>AVERAGEIF($C$36:$C$171,"=4",$Z$36:$Z$171)</f>
        <v>0.57799999999999996</v>
      </c>
      <c r="Q249" s="39">
        <f>AVERAGEIF($C$36:$C$171,"=4",$AA$36:$AA$171)</f>
        <v>4.8000000000000015E-2</v>
      </c>
      <c r="R249" s="39">
        <f>AVERAGEIF($C$36:$C$171,"=4",$AG$36:$AG$171)</f>
        <v>3.3571428571428578E-2</v>
      </c>
      <c r="S249" s="39">
        <f>AVERAGEIF($C$36:$C$171,"=4",$AH$36:$AH$171)</f>
        <v>0.39357142857142863</v>
      </c>
      <c r="T249" s="39">
        <f>AVERAGEIF($C$36:$C$171,"=4",$AI$36:$AI$171)</f>
        <v>0.4921428571428571</v>
      </c>
      <c r="U249" s="39">
        <f>AVERAGEIF($C$36:$C$171,"=4",$AJ$36:$AJ$171)</f>
        <v>8.1428571428571433E-2</v>
      </c>
      <c r="V249" s="39">
        <f>AVERAGEIF($C$36:$C$171,"=4",$AP$36:$AP$171)</f>
        <v>3.1538461538461543E-2</v>
      </c>
      <c r="W249" s="39">
        <f>AVERAGEIF($C$36:$C$171,"=4",$AQ$36:$AQ$171)</f>
        <v>0.42</v>
      </c>
      <c r="X249" s="39">
        <f>AVERAGEIF($C$36:$C$171,"=4",$AR$36:$AR$171)</f>
        <v>0.49692307692307697</v>
      </c>
      <c r="Y249" s="39">
        <f>AVERAGEIF($C$36:$C$171,"=4",$AS$36:$AS$171)</f>
        <v>5.307692307692307E-2</v>
      </c>
      <c r="Z249" s="39">
        <f>AVERAGEIF($C$36:$C$171,"=4",$BA$36:$BA$171)</f>
        <v>1.9999999999999997E-2</v>
      </c>
      <c r="AA249" s="39">
        <f>AVERAGEIF($C$36:$C$171,"=4",$BB$36:$BB$171)</f>
        <v>0.3978571428571428</v>
      </c>
      <c r="AB249" s="39">
        <f>AVERAGEIF($C$36:$C$171,"=4",$BC$36:$BC$171)</f>
        <v>0.5278571428571428</v>
      </c>
      <c r="AC249" s="39">
        <f>AVERAGEIF($C$36:$C$171,"=4",$BD$36:$BD$171)</f>
        <v>5.5714285714285709E-2</v>
      </c>
      <c r="AD249" s="39">
        <v>3.3571428571428572E-2</v>
      </c>
      <c r="AE249" s="39">
        <v>0.34428571428571436</v>
      </c>
      <c r="AF249" s="39">
        <v>0.51857142857142857</v>
      </c>
      <c r="AG249" s="39">
        <v>0.10285714285714287</v>
      </c>
      <c r="AH249" s="39">
        <v>3.1333333333333338E-2</v>
      </c>
      <c r="AI249" s="39">
        <v>0.42866666666666664</v>
      </c>
      <c r="AJ249" s="39">
        <v>0.47600000000000003</v>
      </c>
      <c r="AK249" s="39">
        <v>6.3333333333333325E-2</v>
      </c>
      <c r="AL249" s="39">
        <v>2.769230769230769E-2</v>
      </c>
      <c r="AM249" s="39">
        <v>0.35</v>
      </c>
      <c r="AN249" s="39">
        <v>0.533076923076923</v>
      </c>
      <c r="AO249" s="39">
        <v>9.1538461538461541E-2</v>
      </c>
    </row>
    <row r="250" spans="5:77" x14ac:dyDescent="0.2">
      <c r="E250" s="27" t="s">
        <v>248</v>
      </c>
      <c r="F250" s="39">
        <f>AVERAGEIF($C$36:$C$171,"=5",$F$36:$F$171)</f>
        <v>1.1764705882352941E-2</v>
      </c>
      <c r="G250" s="39">
        <f>AVERAGEIF($C$36:$C$171,"=1",$G$36:$G$171)</f>
        <v>0.39588235294117652</v>
      </c>
      <c r="H250" s="39">
        <f>AVERAGEIF($C$36:$C$171,"=5",$H$36:$H$171)</f>
        <v>0.63764705882352946</v>
      </c>
      <c r="I250" s="39">
        <f>AVERAGEIF($C$36:$C$171,"=5",$I$36:$I$171)</f>
        <v>8.4705882352941186E-2</v>
      </c>
      <c r="J250" s="39">
        <f>AVERAGEIF($C$36:$C$171,"=5",$O$36:$O$171)</f>
        <v>1.0555555555555556E-2</v>
      </c>
      <c r="K250" s="39">
        <f>AVERAGEIF($C$36:$C$171,"=5",$P$36:$P$171)</f>
        <v>0.2122222222222222</v>
      </c>
      <c r="L250" s="39">
        <f>AVERAGEIF($C$36:$C$171,"=5",$Q$36:$Q$171)</f>
        <v>0.66055555555555545</v>
      </c>
      <c r="M250" s="39">
        <f>AVERAGEIF($C$36:$C$171,"=5",$R$36:$R$171)</f>
        <v>0.11444444444444445</v>
      </c>
      <c r="N250" s="39">
        <f>AVERAGEIF($C$36:$C$171,"=5",$X$36:$X$171)</f>
        <v>1.2222222222222223E-2</v>
      </c>
      <c r="O250" s="39">
        <f>AVERAGEIF($C$36:$C$171,"=5",$Y$36:$Y$171)</f>
        <v>0.26833333333333331</v>
      </c>
      <c r="P250" s="39">
        <f>AVERAGEIF($C$36:$C$171,"=5",$Z$36:$Z$171)</f>
        <v>0.59666666666666668</v>
      </c>
      <c r="Q250" s="39">
        <f>AVERAGEIF($C$36:$C$171,"=5",$AA$36:$AA$171)</f>
        <v>0.125</v>
      </c>
      <c r="R250" s="39">
        <f>AVERAGEIF($C$36:$C$171,"=5",$AG$36:$AG$171)</f>
        <v>6.842105263157895E-3</v>
      </c>
      <c r="S250" s="39">
        <f>AVERAGEIF($C$36:$C$171,"=5",$AH$36:$AH$171)</f>
        <v>0.25526315789473697</v>
      </c>
      <c r="T250" s="39">
        <f>AVERAGEIF($C$36:$C$171,"=5",$AI$36:$AI$171)</f>
        <v>0.5915789473684212</v>
      </c>
      <c r="U250" s="39">
        <f>AVERAGEIF($C$36:$C$171,"=5",$AJ$36:$AJ$171)</f>
        <v>0.14684210526315788</v>
      </c>
      <c r="V250" s="39">
        <f>AVERAGEIF($C$36:$C$171,"=5",$AP$36:$AP$171)</f>
        <v>2.2222222222222222E-3</v>
      </c>
      <c r="W250" s="39">
        <f>AVERAGEIF($C$36:$C$171,"=5",$AQ$36:$AQ$171)</f>
        <v>0.21777777777777779</v>
      </c>
      <c r="X250" s="39">
        <f>AVERAGEIF($C$36:$C$171,"=5",$AR$36:$AR$171)</f>
        <v>0.66388888888888875</v>
      </c>
      <c r="Y250" s="39">
        <f>AVERAGEIF($C$36:$C$171,"=5",$AS$36:$AS$171)</f>
        <v>0.11611111111111111</v>
      </c>
      <c r="Z250" s="39">
        <f>AVERAGEIF($C$36:$C$171,"=5",$BA$36:$BA$171)</f>
        <v>5.5555555555555558E-3</v>
      </c>
      <c r="AA250" s="39">
        <f>AVERAGEIF($C$36:$C$171,"=5",$BB$36:$BB$171)</f>
        <v>0.22166666666666662</v>
      </c>
      <c r="AB250" s="39">
        <f>AVERAGEIF($C$36:$C$171,"=5",$BC$36:$BC$171)</f>
        <v>0.59388888888888891</v>
      </c>
      <c r="AC250" s="39">
        <f>AVERAGEIF($C$36:$C$171,"=5",$BD$36:$BD$171)</f>
        <v>0.1772222222222222</v>
      </c>
      <c r="AD250" s="39">
        <v>1.2352941176470589E-2</v>
      </c>
      <c r="AE250" s="39">
        <v>0.17294117647058824</v>
      </c>
      <c r="AF250" s="39">
        <v>0.62588235294117656</v>
      </c>
      <c r="AG250" s="39">
        <v>0.19</v>
      </c>
      <c r="AH250" s="39">
        <v>6.4705882352941186E-3</v>
      </c>
      <c r="AI250" s="39">
        <v>0.18941176470588236</v>
      </c>
      <c r="AJ250" s="39">
        <v>0.62647058823529422</v>
      </c>
      <c r="AK250" s="39">
        <v>0.17882352941176474</v>
      </c>
      <c r="AL250" s="39">
        <v>8.2352941176470577E-3</v>
      </c>
      <c r="AM250" s="39">
        <v>0.16470588235294117</v>
      </c>
      <c r="AN250" s="39">
        <v>0.64058823529411779</v>
      </c>
      <c r="AO250" s="39">
        <v>0.18647058823529411</v>
      </c>
    </row>
    <row r="251" spans="5:77" x14ac:dyDescent="0.2">
      <c r="E251" s="27" t="s">
        <v>249</v>
      </c>
      <c r="F251" s="39">
        <f>AVERAGEIF($C$36:$C$171,"=6",$F$36:$F$171)</f>
        <v>7.3333333333333332E-3</v>
      </c>
      <c r="G251" s="39">
        <f>AVERAGEIF($C$36:$C$171,"=1",$G$36:$G$171)</f>
        <v>0.39588235294117652</v>
      </c>
      <c r="H251" s="39">
        <f>AVERAGEIF($C$36:$C$171,"=6",$H$36:$H$171)</f>
        <v>0.56000000000000005</v>
      </c>
      <c r="I251" s="39">
        <f>AVERAGEIF($C$36:$C$171,"=6",$I$36:$I$171)</f>
        <v>5.7999999999999989E-2</v>
      </c>
      <c r="J251" s="39">
        <f>AVERAGEIF($C$36:$C$171,"=6",$O$36:$O$171)</f>
        <v>2.8000000000000004E-2</v>
      </c>
      <c r="K251" s="39">
        <f>AVERAGEIF($C$36:$C$171,"=6",$P$36:$P$171)</f>
        <v>0.3193333333333333</v>
      </c>
      <c r="L251" s="39">
        <f>AVERAGEIF($C$36:$C$171,"=6",$Q$36:$Q$171)</f>
        <v>0.57533333333333325</v>
      </c>
      <c r="M251" s="39">
        <f>AVERAGEIF($C$36:$C$171,"=6",$R$36:$R$171)</f>
        <v>7.8E-2</v>
      </c>
      <c r="N251" s="39">
        <f>AVERAGEIF($C$36:$C$171,"=6",$X$36:$X$171)</f>
        <v>0.01</v>
      </c>
      <c r="O251" s="39">
        <f>AVERAGEIF($C$36:$C$171,"=6",$Y$36:$Y$171)</f>
        <v>0.3714285714285715</v>
      </c>
      <c r="P251" s="39">
        <f>AVERAGEIF($C$36:$C$171,"=6",$Z$36:$Z$171)</f>
        <v>0.51642857142857135</v>
      </c>
      <c r="Q251" s="39">
        <f>AVERAGEIF($C$36:$C$171,"=6",$AA$36:$AA$171)</f>
        <v>0.10571428571428572</v>
      </c>
      <c r="R251" s="39">
        <f>AVERAGEIF($C$36:$C$171,"=6",$AG$36:$AG$171)</f>
        <v>1.1333333333333334E-2</v>
      </c>
      <c r="S251" s="39">
        <f>AVERAGEIF($C$36:$C$171,"=6",$AH$36:$AH$171)</f>
        <v>0.32466666666666666</v>
      </c>
      <c r="T251" s="39">
        <f>AVERAGEIF($C$36:$C$171,"=6",$AI$36:$AI$171)</f>
        <v>0.55533333333333335</v>
      </c>
      <c r="U251" s="39">
        <f>AVERAGEIF($C$36:$C$171,"=6",$AJ$36:$AJ$171)</f>
        <v>0.10933333333333331</v>
      </c>
      <c r="V251" s="39">
        <f>AVERAGEIF($C$36:$C$171,"=6",$AP$36:$AP$171)</f>
        <v>3.9411764705882354E-2</v>
      </c>
      <c r="W251" s="39">
        <f>AVERAGEIF($C$36:$C$171,"=6",$AQ$36:$AQ$171)</f>
        <v>0.34176470588235297</v>
      </c>
      <c r="X251" s="39">
        <f>AVERAGEIF($C$36:$C$171,"=6",$AR$36:$AR$171)</f>
        <v>0.54941176470588238</v>
      </c>
      <c r="Y251" s="39">
        <f>AVERAGEIF($C$36:$C$171,"=6",$AS$36:$AS$171)</f>
        <v>6.9411764705882367E-2</v>
      </c>
      <c r="Z251" s="39">
        <f>AVERAGEIF($C$36:$C$171,"=6",$BA$36:$BA$171)</f>
        <v>1.5882352941176472E-2</v>
      </c>
      <c r="AA251" s="39">
        <f>AVERAGEIF($C$36:$C$171,"=6",$BB$36:$BB$171)</f>
        <v>0.37117647058823533</v>
      </c>
      <c r="AB251" s="39">
        <f>AVERAGEIF($C$36:$C$171,"=6",$BC$36:$BC$171)</f>
        <v>0.501764705882353</v>
      </c>
      <c r="AC251" s="39">
        <f>AVERAGEIF($C$36:$C$171,"=6",$BD$36:$BD$171)</f>
        <v>0.11352941176470588</v>
      </c>
      <c r="AD251" s="39">
        <v>2.4210526315789474E-2</v>
      </c>
      <c r="AE251" s="39">
        <v>0.31052631578947371</v>
      </c>
      <c r="AF251" s="39">
        <v>0.55736842105263151</v>
      </c>
      <c r="AG251" s="39">
        <v>0.10684210526315789</v>
      </c>
      <c r="AH251" s="39">
        <v>9.5000000000000015E-3</v>
      </c>
      <c r="AI251" s="39">
        <v>0.26700000000000002</v>
      </c>
      <c r="AJ251" s="39">
        <v>0.57150000000000012</v>
      </c>
      <c r="AK251" s="39">
        <v>0.15150000000000002</v>
      </c>
      <c r="AL251" s="39">
        <v>2.6666666666666668E-2</v>
      </c>
      <c r="AM251" s="39">
        <v>0.2316666666666666</v>
      </c>
      <c r="AN251" s="39">
        <v>0.5988888888888888</v>
      </c>
      <c r="AO251" s="39">
        <v>0.14333333333333334</v>
      </c>
    </row>
    <row r="252" spans="5:77" x14ac:dyDescent="0.2">
      <c r="V252" s="67"/>
      <c r="W252" s="67"/>
    </row>
    <row r="253" spans="5:77" x14ac:dyDescent="0.2">
      <c r="F253" s="964">
        <v>2016</v>
      </c>
      <c r="G253" s="964"/>
      <c r="H253" s="964"/>
      <c r="I253" s="964"/>
      <c r="J253" s="964"/>
      <c r="K253" s="964"/>
      <c r="L253" s="964"/>
      <c r="M253" s="964"/>
      <c r="N253" s="964">
        <v>2017</v>
      </c>
      <c r="O253" s="964"/>
      <c r="P253" s="964"/>
      <c r="Q253" s="964"/>
      <c r="R253" s="964"/>
      <c r="S253" s="964"/>
      <c r="T253" s="964"/>
      <c r="U253" s="964"/>
      <c r="V253" s="964">
        <v>2018</v>
      </c>
      <c r="W253" s="964"/>
      <c r="X253" s="964"/>
      <c r="Y253" s="964"/>
      <c r="Z253" s="964"/>
      <c r="AA253" s="964"/>
      <c r="AB253" s="964"/>
      <c r="AC253" s="964"/>
      <c r="AD253" s="964">
        <v>2019</v>
      </c>
      <c r="AE253" s="964"/>
      <c r="AF253" s="964"/>
      <c r="AG253" s="964"/>
      <c r="AH253" s="964"/>
      <c r="AI253" s="964"/>
      <c r="AJ253" s="964"/>
      <c r="AK253" s="964"/>
      <c r="AL253" s="964">
        <v>2020</v>
      </c>
      <c r="AM253" s="964"/>
      <c r="AN253" s="964"/>
      <c r="AO253" s="964"/>
      <c r="AP253" s="964"/>
      <c r="AQ253" s="964"/>
      <c r="AR253" s="964"/>
      <c r="AS253" s="964"/>
      <c r="AT253" s="964">
        <v>2021</v>
      </c>
      <c r="AU253" s="964"/>
      <c r="AV253" s="964"/>
      <c r="AW253" s="964"/>
      <c r="AX253" s="964"/>
      <c r="AY253" s="964"/>
      <c r="AZ253" s="964"/>
      <c r="BA253" s="964"/>
      <c r="BB253" s="964">
        <v>2022</v>
      </c>
      <c r="BC253" s="964"/>
      <c r="BD253" s="964"/>
      <c r="BE253" s="964"/>
      <c r="BF253" s="964"/>
      <c r="BG253" s="964"/>
      <c r="BH253" s="964"/>
      <c r="BI253" s="964"/>
      <c r="BJ253" s="964">
        <v>2023</v>
      </c>
      <c r="BK253" s="964"/>
      <c r="BL253" s="964"/>
      <c r="BM253" s="964"/>
      <c r="BN253" s="964"/>
      <c r="BO253" s="964"/>
      <c r="BP253" s="964"/>
      <c r="BQ253" s="964"/>
      <c r="BR253" s="964">
        <v>2024</v>
      </c>
      <c r="BS253" s="964"/>
      <c r="BT253" s="964"/>
      <c r="BU253" s="964"/>
      <c r="BV253" s="964"/>
      <c r="BW253" s="964"/>
      <c r="BX253" s="964"/>
      <c r="BY253" s="964"/>
    </row>
    <row r="254" spans="5:77" ht="12.75" customHeight="1" x14ac:dyDescent="0.2">
      <c r="F254" s="964" t="s">
        <v>252</v>
      </c>
      <c r="G254" s="964"/>
      <c r="H254" s="964"/>
      <c r="I254" s="964"/>
      <c r="J254" s="964" t="s">
        <v>253</v>
      </c>
      <c r="K254" s="964"/>
      <c r="L254" s="964"/>
      <c r="M254" s="964"/>
      <c r="N254" s="964" t="s">
        <v>252</v>
      </c>
      <c r="O254" s="964"/>
      <c r="P254" s="964"/>
      <c r="Q254" s="964"/>
      <c r="R254" s="964" t="s">
        <v>253</v>
      </c>
      <c r="S254" s="964"/>
      <c r="T254" s="964"/>
      <c r="U254" s="964"/>
      <c r="V254" s="964" t="s">
        <v>252</v>
      </c>
      <c r="W254" s="964"/>
      <c r="X254" s="964"/>
      <c r="Y254" s="964"/>
      <c r="Z254" s="964" t="s">
        <v>253</v>
      </c>
      <c r="AA254" s="964"/>
      <c r="AB254" s="964"/>
      <c r="AC254" s="964"/>
      <c r="AD254" s="964" t="s">
        <v>252</v>
      </c>
      <c r="AE254" s="964"/>
      <c r="AF254" s="964"/>
      <c r="AG254" s="964"/>
      <c r="AH254" s="964" t="s">
        <v>253</v>
      </c>
      <c r="AI254" s="964"/>
      <c r="AJ254" s="964"/>
      <c r="AK254" s="964"/>
      <c r="AL254" s="964" t="s">
        <v>252</v>
      </c>
      <c r="AM254" s="964"/>
      <c r="AN254" s="964"/>
      <c r="AO254" s="964"/>
      <c r="AP254" s="964" t="s">
        <v>253</v>
      </c>
      <c r="AQ254" s="964"/>
      <c r="AR254" s="964"/>
      <c r="AS254" s="964"/>
      <c r="AT254" s="964" t="s">
        <v>252</v>
      </c>
      <c r="AU254" s="964"/>
      <c r="AV254" s="964"/>
      <c r="AW254" s="964"/>
      <c r="AX254" s="964" t="s">
        <v>253</v>
      </c>
      <c r="AY254" s="964"/>
      <c r="AZ254" s="964"/>
      <c r="BA254" s="964"/>
      <c r="BB254" s="964" t="s">
        <v>252</v>
      </c>
      <c r="BC254" s="964"/>
      <c r="BD254" s="964"/>
      <c r="BE254" s="964"/>
      <c r="BF254" s="964" t="s">
        <v>253</v>
      </c>
      <c r="BG254" s="964"/>
      <c r="BH254" s="964"/>
      <c r="BI254" s="964"/>
      <c r="BJ254" s="964" t="s">
        <v>252</v>
      </c>
      <c r="BK254" s="964"/>
      <c r="BL254" s="964"/>
      <c r="BM254" s="964"/>
      <c r="BN254" s="964" t="s">
        <v>253</v>
      </c>
      <c r="BO254" s="964"/>
      <c r="BP254" s="964"/>
      <c r="BQ254" s="964"/>
      <c r="BR254" s="964" t="s">
        <v>252</v>
      </c>
      <c r="BS254" s="964"/>
      <c r="BT254" s="964"/>
      <c r="BU254" s="964"/>
      <c r="BV254" s="964" t="s">
        <v>253</v>
      </c>
      <c r="BW254" s="964"/>
      <c r="BX254" s="964"/>
      <c r="BY254" s="964"/>
    </row>
    <row r="255" spans="5:77" x14ac:dyDescent="0.2">
      <c r="F255">
        <v>1</v>
      </c>
      <c r="G255">
        <v>2</v>
      </c>
      <c r="H255">
        <v>3</v>
      </c>
      <c r="I255">
        <v>4</v>
      </c>
      <c r="J255">
        <v>1</v>
      </c>
      <c r="K255">
        <v>2</v>
      </c>
      <c r="L255">
        <v>3</v>
      </c>
      <c r="M255">
        <v>4</v>
      </c>
      <c r="N255">
        <v>1</v>
      </c>
      <c r="O255">
        <v>2</v>
      </c>
      <c r="P255">
        <v>3</v>
      </c>
      <c r="Q255">
        <v>4</v>
      </c>
      <c r="R255">
        <v>1</v>
      </c>
      <c r="S255">
        <v>2</v>
      </c>
      <c r="T255">
        <v>3</v>
      </c>
      <c r="U255">
        <v>4</v>
      </c>
      <c r="V255">
        <v>1</v>
      </c>
      <c r="W255">
        <v>2</v>
      </c>
      <c r="X255">
        <v>3</v>
      </c>
      <c r="Y255">
        <v>4</v>
      </c>
      <c r="Z255">
        <v>1</v>
      </c>
      <c r="AA255">
        <v>2</v>
      </c>
      <c r="AB255">
        <v>3</v>
      </c>
      <c r="AC255">
        <v>4</v>
      </c>
      <c r="AD255">
        <v>1</v>
      </c>
      <c r="AE255">
        <v>2</v>
      </c>
      <c r="AF255">
        <v>3</v>
      </c>
      <c r="AG255">
        <v>4</v>
      </c>
      <c r="AH255">
        <v>1</v>
      </c>
      <c r="AI255">
        <v>2</v>
      </c>
      <c r="AJ255">
        <v>3</v>
      </c>
      <c r="AK255">
        <v>4</v>
      </c>
      <c r="AL255">
        <v>1</v>
      </c>
      <c r="AM255">
        <v>2</v>
      </c>
      <c r="AN255">
        <v>3</v>
      </c>
      <c r="AO255">
        <v>4</v>
      </c>
      <c r="AP255">
        <v>1</v>
      </c>
      <c r="AQ255">
        <v>2</v>
      </c>
      <c r="AR255">
        <v>3</v>
      </c>
      <c r="AS255">
        <v>4</v>
      </c>
      <c r="AT255" s="499">
        <v>1</v>
      </c>
      <c r="AU255" s="499">
        <v>2</v>
      </c>
      <c r="AV255" s="499">
        <v>3</v>
      </c>
      <c r="AW255" s="499">
        <v>4</v>
      </c>
      <c r="AX255" s="499">
        <v>1</v>
      </c>
      <c r="AY255" s="499">
        <v>2</v>
      </c>
      <c r="AZ255" s="499">
        <v>3</v>
      </c>
      <c r="BA255" s="499">
        <v>4</v>
      </c>
      <c r="BB255" s="499">
        <v>1</v>
      </c>
      <c r="BC255" s="499">
        <v>2</v>
      </c>
      <c r="BD255" s="499">
        <v>3</v>
      </c>
      <c r="BE255" s="499">
        <v>4</v>
      </c>
      <c r="BF255" s="499">
        <v>1</v>
      </c>
      <c r="BG255" s="499">
        <v>2</v>
      </c>
      <c r="BH255" s="499">
        <v>3</v>
      </c>
      <c r="BI255" s="499">
        <v>4</v>
      </c>
      <c r="BJ255" s="499">
        <v>1</v>
      </c>
      <c r="BK255" s="499">
        <v>2</v>
      </c>
      <c r="BL255" s="499">
        <v>3</v>
      </c>
      <c r="BM255" s="499">
        <v>4</v>
      </c>
      <c r="BN255" s="499">
        <v>1</v>
      </c>
      <c r="BO255" s="499">
        <v>2</v>
      </c>
      <c r="BP255" s="499">
        <v>3</v>
      </c>
      <c r="BQ255" s="499">
        <v>4</v>
      </c>
      <c r="BR255" s="499">
        <v>1</v>
      </c>
      <c r="BS255" s="499">
        <v>2</v>
      </c>
      <c r="BT255" s="499">
        <v>3</v>
      </c>
      <c r="BU255" s="499">
        <v>4</v>
      </c>
      <c r="BV255" s="499">
        <v>1</v>
      </c>
      <c r="BW255" s="499">
        <v>2</v>
      </c>
      <c r="BX255" s="499">
        <v>3</v>
      </c>
      <c r="BY255" s="499">
        <v>4</v>
      </c>
    </row>
    <row r="256" spans="5:77" x14ac:dyDescent="0.2">
      <c r="E256" s="27" t="s">
        <v>244</v>
      </c>
      <c r="F256" s="39">
        <f>AVERAGEIFS($F$36:$F$171,$C$36:$C$171,"=1", $B$36:$B$171,"OFICIAL")</f>
        <v>7.4999999999999997E-3</v>
      </c>
      <c r="G256" s="39">
        <f>AVERAGEIFS($G$36:$G$171,$C$36:$C$171,"=1", $B$36:$B$171,"OFICIAL")</f>
        <v>0.36499999999999999</v>
      </c>
      <c r="H256" s="39">
        <f>AVERAGEIFS($H$36:$H$171,$C$36:$C$171,"=1", $B$36:$B$171,"OFICIAL")</f>
        <v>0.58749999999999991</v>
      </c>
      <c r="I256" s="39">
        <f>AVERAGEIFS($I$36:$I$171,$C$36:$C$171,"=1", $B$36:$B$171,"OFICIAL")</f>
        <v>3.7499999999999999E-2</v>
      </c>
      <c r="J256" s="39">
        <f>AVERAGEIFS($F$36:$F$171,$C$36:$C$171,"=1", $B$36:$B$171,"NO OFICIAL")</f>
        <v>0.01</v>
      </c>
      <c r="K256" s="39">
        <f>AVERAGEIFS($G$36:$G$171,$C$36:$C$171,"=1", $B$36:$B$171,"NO OFICIAL")</f>
        <v>0.4053846153846154</v>
      </c>
      <c r="L256" s="39">
        <f>AVERAGEIFS($H$36:$H$171,$C$36:$C$171,"=1", $B$36:$B$171,"NO OFICIAL")</f>
        <v>0.55153846153846153</v>
      </c>
      <c r="M256" s="39">
        <f>AVERAGEIFS($I$36:$I$171,$C$36:$C$171,"=1", $B$36:$B$171,"NO OFICIAL")</f>
        <v>3.7692307692307685E-2</v>
      </c>
      <c r="N256" s="39">
        <f>AVERAGEIFS($O$36:$O$171,$C$36:$C$171,"=1", $B$36:$B$171,"OFICIAL")</f>
        <v>0.01</v>
      </c>
      <c r="O256" s="39">
        <f>AVERAGEIFS($P$36:$P$171,$C$36:$C$171,"=1", $B$36:$B$171,"OFICIAL")</f>
        <v>0.27500000000000002</v>
      </c>
      <c r="P256" s="39">
        <f>AVERAGEIFS($Q$36:$Q$171,$C$36:$C$171,"=1", $B$36:$B$171,"OFICIAL")</f>
        <v>0.64749999999999996</v>
      </c>
      <c r="Q256" s="39">
        <f>AVERAGEIFS($R$36:$R$171,$C$36:$C$171,"=1", $B$36:$B$171,"OFICIAL")</f>
        <v>6.7500000000000004E-2</v>
      </c>
      <c r="R256" s="39">
        <f>AVERAGEIFS($O$36:$O$171,$C$36:$C$171,"=1", $B$36:$B$171,"NO OFICIAL")</f>
        <v>1.3333333333333334E-2</v>
      </c>
      <c r="S256" s="39">
        <f>AVERAGEIFS($P$36:$P$171,$C$36:$C$171,"=1", $B$36:$B$171,"NO OFICIAL")</f>
        <v>0.34250000000000003</v>
      </c>
      <c r="T256" s="39">
        <f>AVERAGEIFS($Q$36:$Q$171,$C$36:$C$171,"=1", $B$36:$B$171,"NO OFICIAL")</f>
        <v>0.57916666666666672</v>
      </c>
      <c r="U256" s="39">
        <f>AVERAGEIFS($R$36:$R$171,$C$36:$C$171,"=1", $B$36:$B$171,"NO OFICIAL")</f>
        <v>6.5833333333333341E-2</v>
      </c>
      <c r="V256" s="39">
        <f>AVERAGEIFS($X$36:$X$171,$C$36:$C$171,"=1", $B$36:$B$171,"OFICIAL")</f>
        <v>1.4999999999999999E-2</v>
      </c>
      <c r="W256" s="39">
        <f>AVERAGEIFS($Y$36:$Y$171,$C$36:$C$171,"=1", $B$36:$B$171,"OFICIAL")</f>
        <v>0.35749999999999998</v>
      </c>
      <c r="X256" s="39">
        <f>AVERAGEIFS($Z$36:$Z$171,$C$36:$C$171,"=1", $B$36:$B$171,"OFICIAL")</f>
        <v>0.53749999999999998</v>
      </c>
      <c r="Y256" s="39">
        <f>AVERAGEIFS($AA$36:$AA$171,$C$36:$C$171,"=1", $B$36:$B$171,"OFICIAL")</f>
        <v>0.09</v>
      </c>
      <c r="Z256" s="39">
        <f>AVERAGEIFS($X$36:$X$171,$C$36:$C$171,"=1", $B$36:$B$171,"NO OFICIAL")</f>
        <v>0.02</v>
      </c>
      <c r="AA256" s="39">
        <f>AVERAGEIFS($Y$36:$Y$171,$C$36:$C$171,"=1", $B$36:$B$171,"NO OFICIAL")</f>
        <v>0.32384615384615389</v>
      </c>
      <c r="AB256" s="39">
        <f>AVERAGEIFS($Z$36:$Z$171,$C$36:$C$171,"=1", $B$36:$B$171,"NO OFICIAL")</f>
        <v>0.55000000000000004</v>
      </c>
      <c r="AC256" s="39">
        <f>AVERAGEIFS($AA$36:$AA$171,$C$36:$C$171,"=1", $B$36:$B$171,"NO OFICIAL")</f>
        <v>0.11076923076923079</v>
      </c>
      <c r="AD256" s="39">
        <f>AVERAGEIFS($AG$36:$AG$171,$C$36:$C$171,"=1", $B$36:$B$171,"OFICIAL")</f>
        <v>2.75E-2</v>
      </c>
      <c r="AE256" s="39">
        <f>AVERAGEIFS($AH$36:$AH$171,$C$36:$C$171,"=1", $B$36:$B$171,"OFICIAL")</f>
        <v>0.3075</v>
      </c>
      <c r="AF256" s="39">
        <f>AVERAGEIFS($AI$36:$AI$171,$C$36:$C$171,"=1", $B$36:$B$171,"OFICIAL")</f>
        <v>0.56999999999999995</v>
      </c>
      <c r="AG256" s="39">
        <f>AVERAGEIFS($AJ$36:$AJ$171,$C$36:$C$171,"=1", $B$36:$B$171,"OFICIAL")</f>
        <v>9.5000000000000001E-2</v>
      </c>
      <c r="AH256" s="39">
        <f>AVERAGEIFS($AG$36:$AG$171,$C$36:$C$171,"=1", $B$36:$B$171,"NO OFICIAL")</f>
        <v>1.3076923076923078E-2</v>
      </c>
      <c r="AI256" s="39">
        <f>AVERAGEIFS($AH$36:$AH$171,$C$36:$C$171,"=1", $B$36:$B$171,"NO OFICIAL")</f>
        <v>0.36538461538461547</v>
      </c>
      <c r="AJ256" s="39">
        <f>AVERAGEIFS($AI$36:$AI$171,$C$36:$C$171,"=1", $B$36:$B$171,"NO OFICIAL")</f>
        <v>0.53307692307692311</v>
      </c>
      <c r="AK256" s="39">
        <f>AVERAGEIFS($AJ$36:$AJ$171,$C$36:$C$171,"=1", $B$36:$B$171,"NO OFICIAL")</f>
        <v>8.8461538461538453E-2</v>
      </c>
      <c r="AL256" s="39">
        <f>AVERAGEIFS($AP$36:$AP$171,$C$36:$C$171,"=1", $B$36:$B$171,"OFICIAL")</f>
        <v>1.7500000000000002E-2</v>
      </c>
      <c r="AM256" s="39">
        <f>AVERAGEIFS($AQ$36:$AQ$171,$C$36:$C$171,"=1", $B$36:$B$171,"OFICIAL")</f>
        <v>0.3175</v>
      </c>
      <c r="AN256" s="39">
        <f>AVERAGEIFS($AR$36:$AR$171,$C$36:$C$171,"=1", $B$36:$B$171,"OFICIAL")</f>
        <v>0.57999999999999996</v>
      </c>
      <c r="AO256" s="39">
        <f>AVERAGEIFS($AS$36:$AS$171,$C$36:$C$171,"=1", $B$36:$B$171,"OFICIAL")</f>
        <v>8.249999999999999E-2</v>
      </c>
      <c r="AP256" s="39">
        <f>AVERAGEIFS($AP$36:$AP$171,$C$36:$C$171,"=1", $B$36:$B$171,"NO OFICIAL")</f>
        <v>2.8461538461538462E-2</v>
      </c>
      <c r="AQ256" s="39">
        <f>AVERAGEIFS($AQ$36:$AQ$171,$C$36:$C$171,"=1", $B$36:$B$171,"NO OFICIAL")</f>
        <v>0.28615384615384615</v>
      </c>
      <c r="AR256" s="39">
        <f>AVERAGEIFS($AR$36:$AR$171,$C$36:$C$171,"=1", $B$36:$B$171,"NO OFICIAL")</f>
        <v>0.6100000000000001</v>
      </c>
      <c r="AS256" s="39">
        <f>AVERAGEIFS($AS$36:$AS$171,$C$36:$C$171,"=1", $B$36:$B$171,"NO OFICIAL")</f>
        <v>7.6153846153846155E-2</v>
      </c>
      <c r="AT256" s="39">
        <f>AVERAGEIFS($BA$36:$BA$171,$C$36:$C$171,"=1", $B$36:$B$171,"OFICIAL")</f>
        <v>2.5000000000000001E-2</v>
      </c>
      <c r="AU256" s="39">
        <f>AVERAGEIFS($BB$36:$BB$171,$C$36:$C$171,"=1", $B$36:$B$171,"OFICIAL")</f>
        <v>0.33749999999999997</v>
      </c>
      <c r="AV256" s="39">
        <f>AVERAGEIFS($BC$36:$BC$171,$C$36:$C$171,"=1", $B$36:$B$171,"OFICIAL")</f>
        <v>0.53</v>
      </c>
      <c r="AW256" s="39">
        <f>AVERAGEIFS($BD$36:$BD$171,$C$36:$C$171,"=1", $B$36:$B$171,"OFICIAL")</f>
        <v>0.10500000000000001</v>
      </c>
      <c r="AX256" s="39">
        <f>AVERAGEIFS($BA$36:$BA$171,$C$36:$C$171,"=1", $B$36:$B$171,"NO OFICIAL")</f>
        <v>7.6923076923076927E-3</v>
      </c>
      <c r="AY256" s="39">
        <f>AVERAGEIFS($BB$36:$BB$171,$C$36:$C$171,"=1", $B$36:$B$171,"NO OFICIAL")</f>
        <v>0.30538461538461542</v>
      </c>
      <c r="AZ256" s="39">
        <f>AVERAGEIFS($BC$36:$BC$171,$C$36:$C$171,"=1", $B$36:$B$171,"NO OFICIAL")</f>
        <v>0.57769230769230784</v>
      </c>
      <c r="BA256" s="39">
        <f>AVERAGEIFS($BD$36:$BD$171,$C$36:$C$171,"=1", $B$36:$B$171,"NO OFICIAL")</f>
        <v>0.1076923076923077</v>
      </c>
      <c r="BB256" s="39">
        <v>1.4000000000000002E-2</v>
      </c>
      <c r="BC256" s="39">
        <v>0.32200000000000001</v>
      </c>
      <c r="BD256" s="39">
        <v>0.57200000000000006</v>
      </c>
      <c r="BE256" s="39">
        <v>8.7999999999999995E-2</v>
      </c>
      <c r="BF256" s="39">
        <v>2.3076923076923082E-2</v>
      </c>
      <c r="BG256" s="39">
        <v>0.27</v>
      </c>
      <c r="BH256" s="39">
        <v>0.61384615384615393</v>
      </c>
      <c r="BI256" s="39">
        <v>9.5384615384615387E-2</v>
      </c>
      <c r="BJ256" s="39">
        <v>1.6E-2</v>
      </c>
      <c r="BK256" s="39">
        <v>0.36199999999999999</v>
      </c>
      <c r="BL256" s="39">
        <v>0.56799999999999995</v>
      </c>
      <c r="BM256" s="39">
        <v>5.7999999999999996E-2</v>
      </c>
      <c r="BN256" s="39">
        <v>0.02</v>
      </c>
      <c r="BO256" s="39">
        <v>0.2583333333333333</v>
      </c>
      <c r="BP256" s="39">
        <v>0.60333333333333339</v>
      </c>
      <c r="BQ256" s="39">
        <v>0.11833333333333335</v>
      </c>
      <c r="BR256" s="39">
        <v>3.5999999999999997E-2</v>
      </c>
      <c r="BS256" s="39">
        <v>0.29199999999999998</v>
      </c>
      <c r="BT256" s="39">
        <v>0.57399999999999995</v>
      </c>
      <c r="BU256" s="39">
        <v>9.8000000000000004E-2</v>
      </c>
      <c r="BV256" s="39">
        <v>1.8181818181818181E-2</v>
      </c>
      <c r="BW256" s="39">
        <v>0.22181818181818178</v>
      </c>
      <c r="BX256" s="39">
        <v>0.65272727272727271</v>
      </c>
      <c r="BY256" s="39">
        <v>0.11272727272727273</v>
      </c>
    </row>
    <row r="257" spans="5:77" x14ac:dyDescent="0.2">
      <c r="E257" s="27" t="s">
        <v>245</v>
      </c>
      <c r="F257" s="39">
        <f>AVERAGEIFS($F$36:$F$171,$C$36:$C$171,"=2", $B$36:$B$171,"OFICIAL")</f>
        <v>5.0000000000000001E-3</v>
      </c>
      <c r="G257" s="39">
        <f>AVERAGEIFS($G$36:$G$171,$C$36:$C$171,"=2", $B$36:$B$171,"OFICIAL")</f>
        <v>0.36</v>
      </c>
      <c r="H257" s="39">
        <f>AVERAGEIFS($H$36:$H$171,$C$36:$C$171,"=2", $B$36:$B$171,"OFICIAL")</f>
        <v>0.56499999999999995</v>
      </c>
      <c r="I257" s="39">
        <f>AVERAGEIFS($I$36:$I$171,$C$36:$C$171,"=2", $B$36:$B$171,"OFICIAL")</f>
        <v>6.5000000000000002E-2</v>
      </c>
      <c r="J257" s="39">
        <f>AVERAGEIFS($F$36:$F$171,$C$36:$C$171,"=2", $B$36:$B$171,"NO OFICIAL")</f>
        <v>1.7222222222222222E-2</v>
      </c>
      <c r="K257" s="39">
        <f>AVERAGEIFS($G$36:$G$171,$C$36:$C$171,"=2", $B$36:$B$171,"NO OFICIAL")</f>
        <v>0.31444444444444447</v>
      </c>
      <c r="L257" s="39">
        <f>AVERAGEIFS($H$36:$H$171,$C$36:$C$171,"=2", $B$36:$B$171,"NO OFICIAL")</f>
        <v>0.58500000000000008</v>
      </c>
      <c r="M257" s="39">
        <f>AVERAGEIFS($I$36:$I$171,$C$36:$C$171,"=2", $B$36:$B$171,"NO OFICIAL")</f>
        <v>8.4444444444444447E-2</v>
      </c>
      <c r="N257" s="39">
        <f>AVERAGEIFS($O$36:$O$171,$C$36:$C$171,"=2", $B$36:$B$171,"OFICIAL")</f>
        <v>1.4999999999999999E-2</v>
      </c>
      <c r="O257" s="39">
        <f>AVERAGEIFS($P$36:$P$171,$C$36:$C$171,"=2", $B$36:$B$171,"OFICIAL")</f>
        <v>0.29500000000000004</v>
      </c>
      <c r="P257" s="39">
        <f>AVERAGEIFS($Q$36:$Q$171,$C$36:$C$171,"=2", $B$36:$B$171,"OFICIAL")</f>
        <v>0.61499999999999999</v>
      </c>
      <c r="Q257" s="39">
        <f>AVERAGEIFS($R$36:$R$171,$C$36:$C$171,"=2", $B$36:$B$171,"OFICIAL")</f>
        <v>7.0000000000000007E-2</v>
      </c>
      <c r="R257" s="39">
        <f>AVERAGEIFS($O$36:$O$171,$C$36:$C$171,"=2", $B$36:$B$171,"NO OFICIAL")</f>
        <v>1.5882352941176472E-2</v>
      </c>
      <c r="S257" s="39">
        <f>AVERAGEIFS($P$36:$P$171,$C$36:$C$171,"=2", $B$36:$B$171,"NO OFICIAL")</f>
        <v>0.26117647058823534</v>
      </c>
      <c r="T257" s="39">
        <f>AVERAGEIFS($Q$36:$Q$171,$C$36:$C$171,"=2", $B$36:$B$171,"NO OFICIAL")</f>
        <v>0.59058823529411775</v>
      </c>
      <c r="U257" s="39">
        <f>AVERAGEIFS($R$36:$R$171,$C$36:$C$171,"=2", $B$36:$B$171,"NO OFICIAL")</f>
        <v>0.13235294117647059</v>
      </c>
      <c r="V257" s="39">
        <f>AVERAGEIFS($X$36:$X$171,$C$36:$C$171,"=2", $B$36:$B$171,"OFICIAL")</f>
        <v>0.01</v>
      </c>
      <c r="W257" s="39">
        <f>AVERAGEIFS($Y$36:$Y$171,$C$36:$C$171,"=2", $B$36:$B$171,"OFICIAL")</f>
        <v>0.33499999999999996</v>
      </c>
      <c r="X257" s="39">
        <f>AVERAGEIFS($Z$36:$Z$171,$C$36:$C$171,"=2", $B$36:$B$171,"OFICIAL")</f>
        <v>0.54</v>
      </c>
      <c r="Y257" s="39">
        <f>AVERAGEIFS($AA$36:$AA$171,$C$36:$C$171,"=2", $B$36:$B$171,"OFICIAL")</f>
        <v>0.11</v>
      </c>
      <c r="Z257" s="39">
        <f>AVERAGEIFS($X$36:$X$171,$C$36:$C$171,"=2", $B$36:$B$171,"NO OFICIAL")</f>
        <v>1.4705882352941176E-2</v>
      </c>
      <c r="AA257" s="39">
        <f>AVERAGEIFS($Y$36:$Y$171,$C$36:$C$171,"=2", $B$36:$B$171,"NO OFICIAL")</f>
        <v>0.3123529411764705</v>
      </c>
      <c r="AB257" s="39">
        <f>AVERAGEIFS($Z$36:$Z$171,$C$36:$C$171,"=2", $B$36:$B$171,"NO OFICIAL")</f>
        <v>0.54647058823529415</v>
      </c>
      <c r="AC257" s="39">
        <f>AVERAGEIFS($AA$36:$AA$171,$C$36:$C$171,"=2", $B$36:$B$171,"NO OFICIAL")</f>
        <v>0.12588235294117647</v>
      </c>
      <c r="AD257" s="39">
        <f>AVERAGEIFS($AG$36:$AG$171,$C$36:$C$171,"=2", $B$36:$B$171,"OFICIAL")</f>
        <v>2.5000000000000001E-2</v>
      </c>
      <c r="AE257" s="39">
        <f>AVERAGEIFS($AH$36:$AH$171,$C$36:$C$171,"=2", $B$36:$B$171,"OFICIAL")</f>
        <v>0.30499999999999999</v>
      </c>
      <c r="AF257" s="39">
        <f>AVERAGEIFS($AI$36:$AI$171,$C$36:$C$171,"=2", $B$36:$B$171,"OFICIAL")</f>
        <v>0.57999999999999996</v>
      </c>
      <c r="AG257" s="39">
        <f>AVERAGEIFS($AJ$36:$AJ$171,$C$36:$C$171,"=2", $B$36:$B$171,"OFICIAL")</f>
        <v>0.09</v>
      </c>
      <c r="AH257" s="39">
        <f>AVERAGEIFS($AG$36:$AG$171,$C$36:$C$171,"=2", $B$36:$B$171,"NO OFICIAL")</f>
        <v>8.8888888888888906E-3</v>
      </c>
      <c r="AI257" s="39">
        <f>AVERAGEIFS($AH$36:$AH$171,$C$36:$C$171,"=2", $B$36:$B$171,"NO OFICIAL")</f>
        <v>0.25444444444444447</v>
      </c>
      <c r="AJ257" s="39">
        <f>AVERAGEIFS($AI$36:$AI$171,$C$36:$C$171,"=2", $B$36:$B$171,"NO OFICIAL")</f>
        <v>0.60611111111111104</v>
      </c>
      <c r="AK257" s="39">
        <f>AVERAGEIFS($AJ$36:$AJ$171,$C$36:$C$171,"=2", $B$36:$B$171,"NO OFICIAL")</f>
        <v>0.13222222222222221</v>
      </c>
      <c r="AL257" s="39">
        <f>AVERAGEIFS($AP$36:$AP$171,$C$36:$C$171,"=2", $B$36:$B$171,"OFICIAL")</f>
        <v>5.0000000000000001E-3</v>
      </c>
      <c r="AM257" s="39">
        <f>AVERAGEIFS($AQ$36:$AQ$171,$C$36:$C$171,"=2", $B$36:$B$171,"OFICIAL")</f>
        <v>0.33</v>
      </c>
      <c r="AN257" s="39">
        <f>AVERAGEIFS($AR$36:$AR$171,$C$36:$C$171,"=2", $B$36:$B$171,"OFICIAL")</f>
        <v>0.57499999999999996</v>
      </c>
      <c r="AO257" s="39">
        <f>AVERAGEIFS($AS$36:$AS$171,$C$36:$C$171,"=2", $B$36:$B$171,"OFICIAL")</f>
        <v>8.5000000000000006E-2</v>
      </c>
      <c r="AP257" s="39">
        <f>AVERAGEIFS($AP$36:$AP$171,$C$36:$C$171,"=2", $B$36:$B$171,"NO OFICIAL")</f>
        <v>7.7272727272727267E-3</v>
      </c>
      <c r="AQ257" s="39">
        <f>AVERAGEIFS($AQ$36:$AQ$171,$C$36:$C$171,"=2", $B$36:$B$171,"NO OFICIAL")</f>
        <v>0.29090909090909084</v>
      </c>
      <c r="AR257" s="39">
        <f>AVERAGEIFS($AR$36:$AR$171,$C$36:$C$171,"=2", $B$36:$B$171,"NO OFICIAL")</f>
        <v>0.58954545454545448</v>
      </c>
      <c r="AS257" s="39">
        <f>AVERAGEIFS($AS$36:$AS$171,$C$36:$C$171,"=2", $B$36:$B$171,"NO OFICIAL")</f>
        <v>0.11227272727272729</v>
      </c>
      <c r="AT257" s="39">
        <f>AVERAGEIFS($BA$36:$BA$171,$C$36:$C$171,"=2", $B$36:$B$171,"OFICIAL")</f>
        <v>0.02</v>
      </c>
      <c r="AU257" s="39">
        <f>AVERAGEIFS($BB$36:$BB$171,$C$36:$C$171,"=2", $B$36:$B$171,"OFICIAL")</f>
        <v>0.38</v>
      </c>
      <c r="AV257" s="39">
        <f>AVERAGEIFS($BC$36:$BC$171,$C$36:$C$171,"=2", $B$36:$B$171,"OFICIAL")</f>
        <v>0.5</v>
      </c>
      <c r="AW257" s="39">
        <f>AVERAGEIFS($BD$36:$BD$171,$C$36:$C$171,"=2", $B$36:$B$171,"OFICIAL")</f>
        <v>0.1</v>
      </c>
      <c r="AX257" s="39">
        <f>AVERAGEIFS($BA$36:$BA$171,$C$36:$C$171,"=2", $B$36:$B$171,"NO OFICIAL")</f>
        <v>3.2000000000000008E-2</v>
      </c>
      <c r="AY257" s="39">
        <f>AVERAGEIFS($BB$36:$BB$171,$C$36:$C$171,"=2", $B$36:$B$171,"NO OFICIAL")</f>
        <v>0.32599999999999996</v>
      </c>
      <c r="AZ257" s="39">
        <f>AVERAGEIFS($BC$36:$BC$171,$C$36:$C$171,"=2", $B$36:$B$171,"NO OFICIAL")</f>
        <v>0.51150000000000007</v>
      </c>
      <c r="BA257" s="39">
        <f>AVERAGEIFS($BD$36:$BD$171,$C$36:$C$171,"=2", $B$36:$B$171,"NO OFICIAL")</f>
        <v>0.13100000000000003</v>
      </c>
      <c r="BB257" s="39">
        <v>1.4999999999999999E-2</v>
      </c>
      <c r="BC257" s="39">
        <v>0.32</v>
      </c>
      <c r="BD257" s="39">
        <v>0.57250000000000001</v>
      </c>
      <c r="BE257" s="39">
        <v>9.7500000000000003E-2</v>
      </c>
      <c r="BF257" s="39">
        <v>2.1428571428571429E-2</v>
      </c>
      <c r="BG257" s="39">
        <v>0.20571428571428568</v>
      </c>
      <c r="BH257" s="39">
        <v>0.59190476190476171</v>
      </c>
      <c r="BI257" s="39">
        <v>0.18142857142857141</v>
      </c>
      <c r="BJ257" s="39">
        <v>0.02</v>
      </c>
      <c r="BK257" s="39">
        <v>0.3</v>
      </c>
      <c r="BL257" s="39">
        <v>0.59750000000000003</v>
      </c>
      <c r="BM257" s="39">
        <v>0.08</v>
      </c>
      <c r="BN257" s="39">
        <v>2.6363636363636367E-2</v>
      </c>
      <c r="BO257" s="39">
        <v>0.24999999999999992</v>
      </c>
      <c r="BP257" s="39">
        <v>0.54954545454545467</v>
      </c>
      <c r="BQ257" s="39">
        <v>0.17500000000000002</v>
      </c>
      <c r="BR257" s="39">
        <v>1.2500000000000001E-2</v>
      </c>
      <c r="BS257" s="39">
        <v>0.30500000000000005</v>
      </c>
      <c r="BT257" s="39">
        <v>0.58499999999999996</v>
      </c>
      <c r="BU257" s="39">
        <v>9.7500000000000003E-2</v>
      </c>
      <c r="BV257" s="39">
        <v>1.2631578947368421E-2</v>
      </c>
      <c r="BW257" s="39">
        <v>0.15631578947368421</v>
      </c>
      <c r="BX257" s="39">
        <v>0.603157894736842</v>
      </c>
      <c r="BY257" s="39">
        <v>0.22842105263157894</v>
      </c>
    </row>
    <row r="258" spans="5:77" x14ac:dyDescent="0.2">
      <c r="E258" s="27" t="s">
        <v>246</v>
      </c>
      <c r="F258" s="39">
        <f>AVERAGEIFS($F$36:$F$171,$C$36:$C$171,"=3", $B$36:$B$171,"OFICIAL")</f>
        <v>2.4E-2</v>
      </c>
      <c r="G258" s="39">
        <f>AVERAGEIFS($G$36:$G$171,$C$36:$C$171,"=3", $B$36:$B$171,"OFICIAL")</f>
        <v>0.38400000000000001</v>
      </c>
      <c r="H258" s="39">
        <f>AVERAGEIFS($H$36:$H$171,$C$36:$C$171,"=3", $B$36:$B$171,"OFICIAL")</f>
        <v>0.53599999999999992</v>
      </c>
      <c r="I258" s="39">
        <f>AVERAGEIFS($I$36:$I$171,$C$36:$C$171,"=3", $B$36:$B$171,"OFICIAL")</f>
        <v>0.06</v>
      </c>
      <c r="J258" s="39">
        <f>AVERAGEIFS($F$36:$F$171,$C$36:$C$171,"=3", $B$36:$B$171,"NO OFICIAL")</f>
        <v>1.7692307692307691E-2</v>
      </c>
      <c r="K258" s="39">
        <f>AVERAGEIFS($G$36:$G$171,$C$36:$C$171,"=3", $B$36:$B$171,"NO OFICIAL")</f>
        <v>0.28076923076923077</v>
      </c>
      <c r="L258" s="39">
        <f>AVERAGEIFS($H$36:$H$171,$C$36:$C$171,"=3", $B$36:$B$171,"NO OFICIAL")</f>
        <v>0.62153846153846171</v>
      </c>
      <c r="M258" s="39">
        <f>AVERAGEIFS($I$36:$I$171,$C$36:$C$171,"=3", $B$36:$B$171,"NO OFICIAL")</f>
        <v>8.3846153846153876E-2</v>
      </c>
      <c r="N258" s="39">
        <f>AVERAGEIFS($O$36:$O$171,$C$36:$C$171,"=3", $B$36:$B$171,"OFICIAL")</f>
        <v>1.4000000000000002E-2</v>
      </c>
      <c r="O258" s="39">
        <f>AVERAGEIFS($P$36:$P$171,$C$36:$C$171,"=3", $B$36:$B$171,"OFICIAL")</f>
        <v>0.30199999999999999</v>
      </c>
      <c r="P258" s="39">
        <f>AVERAGEIFS($Q$36:$Q$171,$C$36:$C$171,"=3", $B$36:$B$171,"OFICIAL")</f>
        <v>0.60199999999999998</v>
      </c>
      <c r="Q258" s="39">
        <f>AVERAGEIFS($R$36:$R$171,$C$36:$C$171,"=3", $B$36:$B$171,"OFICIAL")</f>
        <v>8.2000000000000003E-2</v>
      </c>
      <c r="R258" s="39">
        <f>AVERAGEIFS($O$36:$O$171,$C$36:$C$171,"=3", $B$36:$B$171,"NO OFICIAL")</f>
        <v>1.1428571428571429E-2</v>
      </c>
      <c r="S258" s="39">
        <f>AVERAGEIFS($P$36:$P$171,$C$36:$C$171,"=3", $B$36:$B$171,"NO OFICIAL")</f>
        <v>0.2364285714285714</v>
      </c>
      <c r="T258" s="39">
        <f>AVERAGEIFS($Q$36:$Q$171,$C$36:$C$171,"=3", $B$36:$B$171,"NO OFICIAL")</f>
        <v>0.64642857142857146</v>
      </c>
      <c r="U258" s="39">
        <f>AVERAGEIFS($R$36:$R$171,$C$36:$C$171,"=3", $B$36:$B$171,"NO OFICIAL")</f>
        <v>0.10714285714285714</v>
      </c>
      <c r="V258" s="39">
        <f>AVERAGEIFS($X$36:$X$171,$C$36:$C$171,"=3", $B$36:$B$171,"OFICIAL")</f>
        <v>1.4000000000000002E-2</v>
      </c>
      <c r="W258" s="39">
        <f>AVERAGEIFS($Y$36:$Y$171,$C$36:$C$171,"=3", $B$36:$B$171,"OFICIAL")</f>
        <v>0.29000000000000004</v>
      </c>
      <c r="X258" s="39">
        <f>AVERAGEIFS($Z$36:$Z$171,$C$36:$C$171,"=3", $B$36:$B$171,"OFICIAL")</f>
        <v>0.59</v>
      </c>
      <c r="Y258" s="39">
        <f>AVERAGEIFS($AA$36:$AA$171,$C$36:$C$171,"=3", $B$36:$B$171,"OFICIAL")</f>
        <v>0.10400000000000001</v>
      </c>
      <c r="Z258" s="39">
        <f>AVERAGEIFS($X$36:$X$171,$C$36:$C$171,"=3", $B$36:$B$171,"NO OFICIAL")</f>
        <v>1.3571428571428571E-2</v>
      </c>
      <c r="AA258" s="39">
        <f>AVERAGEIFS($Y$36:$Y$171,$C$36:$C$171,"=3", $B$36:$B$171,"NO OFICIAL")</f>
        <v>0.25428571428571434</v>
      </c>
      <c r="AB258" s="39">
        <f>AVERAGEIFS($Z$36:$Z$171,$C$36:$C$171,"=3", $B$36:$B$171,"NO OFICIAL")</f>
        <v>0.59071428571428564</v>
      </c>
      <c r="AC258" s="39">
        <f>AVERAGEIFS($AA$36:$AA$171,$C$36:$C$171,"=3", $B$36:$B$171,"NO OFICIAL")</f>
        <v>0.1435714285714286</v>
      </c>
      <c r="AD258" s="39">
        <f>AVERAGEIFS($AG$36:$AG$171,$C$36:$C$171,"=3", $B$36:$B$171,"OFICIAL")</f>
        <v>0.01</v>
      </c>
      <c r="AE258" s="39">
        <f>AVERAGEIFS($AH$36:$AH$171,$C$36:$C$171,"=3", $B$36:$B$171,"OFICIAL")</f>
        <v>0.35</v>
      </c>
      <c r="AF258" s="39">
        <f>AVERAGEIFS($AI$36:$AI$171,$C$36:$C$171,"=3", $B$36:$B$171,"OFICIAL")</f>
        <v>0.55800000000000005</v>
      </c>
      <c r="AG258" s="39">
        <f>AVERAGEIFS($AJ$36:$AJ$171,$C$36:$C$171,"=3", $B$36:$B$171,"OFICIAL")</f>
        <v>7.7999999999999986E-2</v>
      </c>
      <c r="AH258" s="39">
        <f>AVERAGEIFS($AG$36:$AG$171,$C$36:$C$171,"=3", $B$36:$B$171,"NO OFICIAL")</f>
        <v>7.8571428571428577E-3</v>
      </c>
      <c r="AI258" s="39">
        <f>AVERAGEIFS($AH$36:$AH$171,$C$36:$C$171,"=3", $B$36:$B$171,"NO OFICIAL")</f>
        <v>0.26214285714285718</v>
      </c>
      <c r="AJ258" s="39">
        <f>AVERAGEIFS($AI$36:$AI$171,$C$36:$C$171,"=3", $B$36:$B$171,"NO OFICIAL")</f>
        <v>0.57857142857142863</v>
      </c>
      <c r="AK258" s="39">
        <f>AVERAGEIFS($AJ$36:$AJ$171,$C$36:$C$171,"=3", $B$36:$B$171,"NO OFICIAL")</f>
        <v>0.15285714285714283</v>
      </c>
      <c r="AL258" s="39">
        <f>AVERAGEIFS($AP$36:$AP$171,$C$36:$C$171,"=3", $B$36:$B$171,"OFICIAL")</f>
        <v>3.4000000000000002E-2</v>
      </c>
      <c r="AM258" s="39">
        <f>AVERAGEIFS($AQ$36:$AQ$171,$C$36:$C$171,"=3", $B$36:$B$171,"OFICIAL")</f>
        <v>0.30399999999999999</v>
      </c>
      <c r="AN258" s="39">
        <f>AVERAGEIFS($AR$36:$AR$171,$C$36:$C$171,"=3", $B$36:$B$171,"OFICIAL")</f>
        <v>0.59400000000000008</v>
      </c>
      <c r="AO258" s="39">
        <f>AVERAGEIFS($AS$36:$AS$171,$C$36:$C$171,"=3", $B$36:$B$171,"OFICIAL")</f>
        <v>7.1999999999999995E-2</v>
      </c>
      <c r="AP258" s="39">
        <f>AVERAGEIFS($AP$36:$AP$171,$C$36:$C$171,"=3", $B$36:$B$171,"NO OFICIAL")</f>
        <v>1.2000000000000002E-2</v>
      </c>
      <c r="AQ258" s="39">
        <f>AVERAGEIFS($AQ$36:$AQ$171,$C$36:$C$171,"=3", $B$36:$B$171,"NO OFICIAL")</f>
        <v>0.24666666666666667</v>
      </c>
      <c r="AR258" s="39">
        <f>AVERAGEIFS($AR$36:$AR$171,$C$36:$C$171,"=3", $B$36:$B$171,"NO OFICIAL")</f>
        <v>0.66399999999999992</v>
      </c>
      <c r="AS258" s="39">
        <f>AVERAGEIFS($AS$36:$AS$171,$C$36:$C$171,"=3", $B$36:$B$171,"NO OFICIAL")</f>
        <v>7.5333333333333335E-2</v>
      </c>
      <c r="AT258" s="39">
        <f>AVERAGEIFS($BA$36:$BA$171,$C$36:$C$171,"=3", $B$36:$B$171,"OFICIAL")</f>
        <v>1.6E-2</v>
      </c>
      <c r="AU258" s="39">
        <f>AVERAGEIFS($BB$36:$BB$171,$C$36:$C$171,"=3", $B$36:$B$171,"OFICIAL")</f>
        <v>0.34199999999999997</v>
      </c>
      <c r="AV258" s="39">
        <f>AVERAGEIFS($BC$36:$BC$171,$C$36:$C$171,"=3", $B$36:$B$171,"OFICIAL")</f>
        <v>0.55600000000000005</v>
      </c>
      <c r="AW258" s="39">
        <f>AVERAGEIFS($BD$36:$BD$171,$C$36:$C$171,"=3", $B$36:$B$171,"OFICIAL")</f>
        <v>8.7999999999999995E-2</v>
      </c>
      <c r="AX258" s="39">
        <f>AVERAGEIFS($BA$36:$BA$171,$C$36:$C$171,"=3", $B$36:$B$171,"NO OFICIAL")</f>
        <v>0.01</v>
      </c>
      <c r="AY258" s="39">
        <f>AVERAGEIFS($BB$36:$BB$171,$C$36:$C$171,"=3", $B$36:$B$171,"NO OFICIAL")</f>
        <v>0.26999999999999996</v>
      </c>
      <c r="AZ258" s="39">
        <f>AVERAGEIFS($BC$36:$BC$171,$C$36:$C$171,"=3", $B$36:$B$171,"NO OFICIAL")</f>
        <v>0.56000000000000005</v>
      </c>
      <c r="BA258" s="39">
        <f>AVERAGEIFS($BD$36:$BD$171,$C$36:$C$171,"=3", $B$36:$B$171,"NO OFICIAL")</f>
        <v>0.16266666666666665</v>
      </c>
      <c r="BB258" s="39">
        <v>0.01</v>
      </c>
      <c r="BC258" s="39">
        <v>0.31</v>
      </c>
      <c r="BD258" s="39">
        <v>0.58499999999999996</v>
      </c>
      <c r="BE258" s="39">
        <v>9.6666666666666679E-2</v>
      </c>
      <c r="BF258" s="39">
        <v>1.375E-2</v>
      </c>
      <c r="BG258" s="39">
        <v>0.21250000000000002</v>
      </c>
      <c r="BH258" s="39">
        <v>0.609375</v>
      </c>
      <c r="BI258" s="39">
        <v>0.16562499999999999</v>
      </c>
      <c r="BJ258" s="39">
        <v>2.3333333333333334E-2</v>
      </c>
      <c r="BK258" s="39">
        <v>0.30333333333333334</v>
      </c>
      <c r="BL258" s="39">
        <v>0.58166666666666667</v>
      </c>
      <c r="BM258" s="39">
        <v>9.1666666666666674E-2</v>
      </c>
      <c r="BN258" s="39">
        <v>1.2500000000000001E-2</v>
      </c>
      <c r="BO258" s="39">
        <v>0.20500000000000002</v>
      </c>
      <c r="BP258" s="39">
        <v>0.63437500000000002</v>
      </c>
      <c r="BQ258" s="39">
        <v>0.15000000000000002</v>
      </c>
      <c r="BR258" s="39">
        <v>2.1666666666666667E-2</v>
      </c>
      <c r="BS258" s="39">
        <v>0.28999999999999998</v>
      </c>
      <c r="BT258" s="39">
        <v>0.57833333333333337</v>
      </c>
      <c r="BU258" s="39">
        <v>0.11333333333333334</v>
      </c>
      <c r="BV258" s="39">
        <v>2.0625000000000001E-2</v>
      </c>
      <c r="BW258" s="39">
        <v>0.19312499999999999</v>
      </c>
      <c r="BX258" s="39">
        <v>0.60937500000000011</v>
      </c>
      <c r="BY258" s="39">
        <v>0.17812500000000001</v>
      </c>
    </row>
    <row r="259" spans="5:77" x14ac:dyDescent="0.2">
      <c r="E259" s="27" t="s">
        <v>247</v>
      </c>
      <c r="F259" s="39">
        <f>AVERAGEIFS($F$36:$F$171,$C$36:$C$171,"=4", $B$36:$B$171,"OFICIAL")</f>
        <v>3.1666666666666669E-2</v>
      </c>
      <c r="G259" s="39">
        <f>AVERAGEIFS($G$36:$G$171,$C$36:$C$171,"=4", $B$36:$B$171,"OFICIAL")</f>
        <v>0.53833333333333322</v>
      </c>
      <c r="H259" s="39">
        <f>AVERAGEIFS($H$36:$H$171,$C$36:$C$171,"=4", $B$36:$B$171,"OFICIAL")</f>
        <v>0.40833333333333338</v>
      </c>
      <c r="I259" s="39">
        <f>AVERAGEIFS($I$36:$I$171,$C$36:$C$171,"=4", $B$36:$B$171,"OFICIAL")</f>
        <v>1.8333333333333333E-2</v>
      </c>
      <c r="J259" s="39">
        <f>AVERAGEIFS($F$36:$F$171,$C$36:$C$171,"=4", $B$36:$B$171,"NO OFICIAL")</f>
        <v>2.2499999999999999E-2</v>
      </c>
      <c r="K259" s="39">
        <f>AVERAGEIFS($G$36:$G$171,$C$36:$C$171,"=4", $B$36:$B$171,"NO OFICIAL")</f>
        <v>0.41125</v>
      </c>
      <c r="L259" s="39">
        <f>AVERAGEIFS($H$36:$H$171,$C$36:$C$171,"=4", $B$36:$B$171,"NO OFICIAL")</f>
        <v>0.53875000000000006</v>
      </c>
      <c r="M259" s="39">
        <f>AVERAGEIFS($I$36:$I$171,$C$36:$C$171,"=4", $B$36:$B$171,"NO OFICIAL")</f>
        <v>2.7499999999999997E-2</v>
      </c>
      <c r="N259" s="39">
        <f>AVERAGEIFS($O$36:$O$171,$C$36:$C$171,"=4", $B$36:$B$171,"OFICIAL")</f>
        <v>1.6666666666666666E-2</v>
      </c>
      <c r="O259" s="39">
        <f>AVERAGEIFS($P$36:$P$171,$C$36:$C$171,"=4", $B$36:$B$171,"OFICIAL")</f>
        <v>0.47000000000000003</v>
      </c>
      <c r="P259" s="39">
        <f>AVERAGEIFS($Q$36:$Q$171,$C$36:$C$171,"=4", $B$36:$B$171,"OFICIAL")</f>
        <v>0.45666666666666661</v>
      </c>
      <c r="Q259" s="39">
        <f>AVERAGEIFS($R$36:$R$171,$C$36:$C$171,"=4", $B$36:$B$171,"OFICIAL")</f>
        <v>5.5E-2</v>
      </c>
      <c r="R259" s="39">
        <f>AVERAGEIFS($O$36:$O$171,$C$36:$C$171,"=4", $B$36:$B$171,"NO OFICIAL")</f>
        <v>0.01</v>
      </c>
      <c r="S259" s="39">
        <f>AVERAGEIFS($P$36:$P$171,$C$36:$C$171,"=4", $B$36:$B$171,"NO OFICIAL")</f>
        <v>0.22999999999999998</v>
      </c>
      <c r="T259" s="39">
        <f>AVERAGEIFS($Q$36:$Q$171,$C$36:$C$171,"=4", $B$36:$B$171,"NO OFICIAL")</f>
        <v>0.65999999999999992</v>
      </c>
      <c r="U259" s="39">
        <f>AVERAGEIFS($R$36:$R$171,$C$36:$C$171,"=4", $B$36:$B$171,"NO OFICIAL")</f>
        <v>0.10125000000000001</v>
      </c>
      <c r="V259" s="39">
        <f>AVERAGEIFS($X$36:$X$171,$C$36:$C$171,"=4", $B$36:$B$171,"OFICIAL")</f>
        <v>2.6666666666666668E-2</v>
      </c>
      <c r="W259" s="39">
        <f>AVERAGEIFS($Y$36:$Y$171,$C$36:$C$171,"=4", $B$36:$B$171,"OFICIAL")</f>
        <v>0.5083333333333333</v>
      </c>
      <c r="X259" s="39">
        <f>AVERAGEIFS($Z$36:$Z$171,$C$36:$C$171,"=4", $B$36:$B$171,"OFICIAL")</f>
        <v>0.42</v>
      </c>
      <c r="Y259" s="39">
        <f>AVERAGEIFS($AA$36:$AA$171,$C$36:$C$171,"=4", $B$36:$B$171,"OFICIAL")</f>
        <v>4.1666666666666664E-2</v>
      </c>
      <c r="Z259" s="39">
        <f>AVERAGEIFS($X$36:$X$171,$C$36:$C$171,"=4", $B$36:$B$171,"NO OFICIAL")</f>
        <v>0</v>
      </c>
      <c r="AA259" s="39">
        <f>AVERAGEIFS($Y$36:$Y$171,$C$36:$C$171,"=4", $B$36:$B$171,"NO OFICIAL")</f>
        <v>0.26555555555555554</v>
      </c>
      <c r="AB259" s="39">
        <f>AVERAGEIFS($Z$36:$Z$171,$C$36:$C$171,"=4", $B$36:$B$171,"NO OFICIAL")</f>
        <v>0.68333333333333335</v>
      </c>
      <c r="AC259" s="39">
        <f>AVERAGEIFS($AA$36:$AA$171,$C$36:$C$171,"=4", $B$36:$B$171,"NO OFICIAL")</f>
        <v>5.2222222222222218E-2</v>
      </c>
      <c r="AD259" s="39">
        <f>AVERAGEIFS($AG$36:$AG$171,$C$36:$C$171,"=4", $B$36:$B$171,"OFICIAL")</f>
        <v>4.8333333333333339E-2</v>
      </c>
      <c r="AE259" s="39">
        <f>AVERAGEIFS($AH$36:$AH$171,$C$36:$C$171,"=4", $B$36:$B$171,"OFICIAL")</f>
        <v>0.49333333333333335</v>
      </c>
      <c r="AF259" s="39">
        <f>AVERAGEIFS($AI$36:$AI$171,$C$36:$C$171,"=4", $B$36:$B$171,"OFICIAL")</f>
        <v>0.40833333333333338</v>
      </c>
      <c r="AG259" s="39">
        <f>AVERAGEIFS($AJ$36:$AJ$171,$C$36:$C$171,"=4", $B$36:$B$171,"OFICIAL")</f>
        <v>5.1666666666666666E-2</v>
      </c>
      <c r="AH259" s="39">
        <f>AVERAGEIFS($AG$36:$AG$171,$C$36:$C$171,"=4", $B$36:$B$171,"NO OFICIAL")</f>
        <v>2.2500000000000003E-2</v>
      </c>
      <c r="AI259" s="39">
        <f>AVERAGEIFS($AH$36:$AH$171,$C$36:$C$171,"=4", $B$36:$B$171,"NO OFICIAL")</f>
        <v>0.31874999999999992</v>
      </c>
      <c r="AJ259" s="39">
        <f>AVERAGEIFS($AI$36:$AI$171,$C$36:$C$171,"=4", $B$36:$B$171,"NO OFICIAL")</f>
        <v>0.55500000000000005</v>
      </c>
      <c r="AK259" s="39">
        <f>AVERAGEIFS($AJ$36:$AJ$171,$C$36:$C$171,"=4", $B$36:$B$171,"NO OFICIAL")</f>
        <v>0.10375</v>
      </c>
      <c r="AL259" s="39">
        <f>AVERAGEIFS($AP$36:$AP$171,$C$36:$C$171,"=4", $B$36:$B$171,"OFICIAL")</f>
        <v>3.8333333333333337E-2</v>
      </c>
      <c r="AM259" s="39">
        <f>AVERAGEIFS($AQ$36:$AQ$171,$C$36:$C$171,"=4", $B$36:$B$171,"OFICIAL")</f>
        <v>0.48</v>
      </c>
      <c r="AN259" s="39">
        <f>AVERAGEIFS($AR$36:$AR$171,$C$36:$C$171,"=4", $B$36:$B$171,"OFICIAL")</f>
        <v>0.44666666666666671</v>
      </c>
      <c r="AO259" s="39">
        <f>AVERAGEIFS($AS$36:$AS$171,$C$36:$C$171,"=4", $B$36:$B$171,"OFICIAL")</f>
        <v>3.8333333333333337E-2</v>
      </c>
      <c r="AP259" s="39">
        <f>AVERAGEIFS($AP$36:$AP$171,$C$36:$C$171,"=4", $B$36:$B$171,"NO OFICIAL")</f>
        <v>2.5714285714285714E-2</v>
      </c>
      <c r="AQ259" s="39">
        <f>AVERAGEIFS($AQ$36:$AQ$171,$C$36:$C$171,"=4", $B$36:$B$171,"NO OFICIAL")</f>
        <v>0.36857142857142861</v>
      </c>
      <c r="AR259" s="39">
        <f>AVERAGEIFS($AR$36:$AR$171,$C$36:$C$171,"=4", $B$36:$B$171,"NO OFICIAL")</f>
        <v>0.53999999999999992</v>
      </c>
      <c r="AS259" s="39">
        <f>AVERAGEIFS($AS$36:$AS$171,$C$36:$C$171,"=4", $B$36:$B$171,"NO OFICIAL")</f>
        <v>6.5714285714285711E-2</v>
      </c>
      <c r="AT259" s="39">
        <f>AVERAGEIFS($BA$36:$BA$171,$C$36:$C$171,"=4", $B$36:$B$171,"OFICIAL")</f>
        <v>3.666666666666666E-2</v>
      </c>
      <c r="AU259" s="39">
        <f>AVERAGEIFS($BB$36:$BB$171,$C$36:$C$171,"=4", $B$36:$B$171,"OFICIAL")</f>
        <v>0.47333333333333333</v>
      </c>
      <c r="AV259" s="39">
        <f>AVERAGEIFS($BC$36:$BC$171,$C$36:$C$171,"=4", $B$36:$B$171,"OFICIAL")</f>
        <v>0.45</v>
      </c>
      <c r="AW259" s="39">
        <f>AVERAGEIFS($BD$36:$BD$171,$C$36:$C$171,"=4", $B$36:$B$171,"OFICIAL")</f>
        <v>0.04</v>
      </c>
      <c r="AX259" s="39">
        <f>AVERAGEIFS($BA$36:$BA$171,$C$36:$C$171,"=4", $B$36:$B$171,"NO OFICIAL")</f>
        <v>7.4999999999999997E-3</v>
      </c>
      <c r="AY259" s="39">
        <f>AVERAGEIFS($BB$36:$BB$171,$C$36:$C$171,"=4", $B$36:$B$171,"NO OFICIAL")</f>
        <v>0.34124999999999994</v>
      </c>
      <c r="AZ259" s="39">
        <f>AVERAGEIFS($BC$36:$BC$171,$C$36:$C$171,"=4", $B$36:$B$171,"NO OFICIAL")</f>
        <v>0.58624999999999994</v>
      </c>
      <c r="BA259" s="39">
        <f>AVERAGEIFS($BD$36:$BD$171,$C$36:$C$171,"=4", $B$36:$B$171,"NO OFICIAL")</f>
        <v>6.7500000000000004E-2</v>
      </c>
      <c r="BB259" s="39">
        <v>3.8333333333333337E-2</v>
      </c>
      <c r="BC259" s="39">
        <v>0.43500000000000005</v>
      </c>
      <c r="BD259" s="39">
        <v>0.47333333333333333</v>
      </c>
      <c r="BE259" s="39">
        <v>4.9999999999999996E-2</v>
      </c>
      <c r="BF259" s="39">
        <v>0.03</v>
      </c>
      <c r="BG259" s="39">
        <v>0.27625</v>
      </c>
      <c r="BH259" s="39">
        <v>0.5525000000000001</v>
      </c>
      <c r="BI259" s="39">
        <v>0.14250000000000002</v>
      </c>
      <c r="BJ259" s="39">
        <v>5.000000000000001E-2</v>
      </c>
      <c r="BK259" s="39">
        <v>0.44999999999999996</v>
      </c>
      <c r="BL259" s="39">
        <v>0.45</v>
      </c>
      <c r="BM259" s="39">
        <v>4.6666666666666669E-2</v>
      </c>
      <c r="BN259" s="39">
        <v>1.8888888888888886E-2</v>
      </c>
      <c r="BO259" s="39">
        <v>0.41444444444444439</v>
      </c>
      <c r="BP259" s="39">
        <v>0.49333333333333329</v>
      </c>
      <c r="BQ259" s="39">
        <v>7.4444444444444452E-2</v>
      </c>
      <c r="BR259" s="39">
        <v>5.8333333333333327E-2</v>
      </c>
      <c r="BS259" s="39">
        <v>0.44333333333333336</v>
      </c>
      <c r="BT259" s="39">
        <v>0.45500000000000002</v>
      </c>
      <c r="BU259" s="39">
        <v>4.5000000000000005E-2</v>
      </c>
      <c r="BV259" s="39">
        <v>1.4285714285714286E-3</v>
      </c>
      <c r="BW259" s="39">
        <v>0.27</v>
      </c>
      <c r="BX259" s="39">
        <v>0.6</v>
      </c>
      <c r="BY259" s="39">
        <v>0.13142857142857142</v>
      </c>
    </row>
    <row r="260" spans="5:77" x14ac:dyDescent="0.2">
      <c r="E260" s="27" t="s">
        <v>248</v>
      </c>
      <c r="F260" s="39">
        <f>AVERAGEIFS($F$36:$F$171,$C$36:$C$171,"=5", $B$36:$B$171,"OFICIAL")</f>
        <v>0.01</v>
      </c>
      <c r="G260" s="39">
        <f>AVERAGEIFS($G$36:$G$171,$C$36:$C$171,"=5", $B$36:$B$171,"OFICIAL")</f>
        <v>0.32</v>
      </c>
      <c r="H260" s="39">
        <f>AVERAGEIFS($H$36:$H$171,$C$36:$C$171,"=5", $B$36:$B$171,"OFICIAL")</f>
        <v>0.59666666666666668</v>
      </c>
      <c r="I260" s="39">
        <f>AVERAGEIFS($I$36:$I$171,$C$36:$C$171,"=5", $B$36:$B$171,"OFICIAL")</f>
        <v>7.3333333333333334E-2</v>
      </c>
      <c r="J260" s="39">
        <f>AVERAGEIFS($F$36:$F$171,$C$36:$C$171,"=5", $B$36:$B$171,"NO OFICIAL")</f>
        <v>1.2142857142857141E-2</v>
      </c>
      <c r="K260" s="39">
        <f>AVERAGEIFS($G$36:$G$171,$C$36:$C$171,"=5", $B$36:$B$171,"NO OFICIAL")</f>
        <v>0.255</v>
      </c>
      <c r="L260" s="39">
        <f>AVERAGEIFS($H$36:$H$171,$C$36:$C$171,"=5", $B$36:$B$171,"NO OFICIAL")</f>
        <v>0.64642857142857146</v>
      </c>
      <c r="M260" s="39">
        <f>AVERAGEIFS($I$36:$I$171,$C$36:$C$171,"=5", $B$36:$B$171,"NO OFICIAL")</f>
        <v>8.7142857142857147E-2</v>
      </c>
      <c r="N260" s="39">
        <f>AVERAGEIFS($O$36:$O$171,$C$36:$C$171,"=5", $B$36:$B$171,"OFICIAL")</f>
        <v>0.01</v>
      </c>
      <c r="O260" s="39">
        <f>AVERAGEIFS($P$36:$P$171,$C$36:$C$171,"=5", $B$36:$B$171,"OFICIAL")</f>
        <v>0.27666666666666667</v>
      </c>
      <c r="P260" s="39">
        <f>AVERAGEIFS($Q$36:$Q$171,$C$36:$C$171,"=5", $B$36:$B$171,"OFICIAL")</f>
        <v>0.58666666666666656</v>
      </c>
      <c r="Q260" s="39">
        <f>AVERAGEIFS($R$36:$R$171,$C$36:$C$171,"=5", $B$36:$B$171,"OFICIAL")</f>
        <v>0.12333333333333334</v>
      </c>
      <c r="R260" s="39">
        <f>AVERAGEIFS($O$36:$O$171,$C$36:$C$171,"=5", $B$36:$B$171,"NO OFICIAL")</f>
        <v>1.0666666666666666E-2</v>
      </c>
      <c r="S260" s="39">
        <f>AVERAGEIFS($P$36:$P$171,$C$36:$C$171,"=5", $B$36:$B$171,"NO OFICIAL")</f>
        <v>0.19933333333333331</v>
      </c>
      <c r="T260" s="39">
        <f>AVERAGEIFS($Q$36:$Q$171,$C$36:$C$171,"=5", $B$36:$B$171,"NO OFICIAL")</f>
        <v>0.67533333333333323</v>
      </c>
      <c r="U260" s="39">
        <f>AVERAGEIFS($R$36:$R$171,$C$36:$C$171,"=5", $B$36:$B$171,"NO OFICIAL")</f>
        <v>0.11266666666666666</v>
      </c>
      <c r="V260" s="39">
        <f>AVERAGEIFS($X$36:$X$171,$C$36:$C$171,"=5", $B$36:$B$171,"OFICIAL")</f>
        <v>0.01</v>
      </c>
      <c r="W260" s="39">
        <f>AVERAGEIFS($Y$36:$Y$171,$C$36:$C$171,"=5", $B$36:$B$171,"OFICIAL")</f>
        <v>0.31666666666666671</v>
      </c>
      <c r="X260" s="39">
        <f>AVERAGEIFS($Z$36:$Z$171,$C$36:$C$171,"=5", $B$36:$B$171,"OFICIAL")</f>
        <v>0.57333333333333336</v>
      </c>
      <c r="Y260" s="39">
        <f>AVERAGEIFS($AA$36:$AA$171,$C$36:$C$171,"=5", $B$36:$B$171,"OFICIAL")</f>
        <v>0.10333333333333333</v>
      </c>
      <c r="Z260" s="39">
        <f>AVERAGEIFS($X$36:$X$171,$C$36:$C$171,"=5", $B$36:$B$171,"NO OFICIAL")</f>
        <v>1.2666666666666666E-2</v>
      </c>
      <c r="AA260" s="39">
        <f>AVERAGEIFS($Y$36:$Y$171,$C$36:$C$171,"=5", $B$36:$B$171,"NO OFICIAL")</f>
        <v>0.25866666666666671</v>
      </c>
      <c r="AB260" s="39">
        <f>AVERAGEIFS($Z$36:$Z$171,$C$36:$C$171,"=5", $B$36:$B$171,"NO OFICIAL")</f>
        <v>0.60133333333333328</v>
      </c>
      <c r="AC260" s="39">
        <f>AVERAGEIFS($AA$36:$AA$171,$C$36:$C$171,"=5", $B$36:$B$171,"NO OFICIAL")</f>
        <v>0.12933333333333333</v>
      </c>
      <c r="AD260" s="39">
        <f>AVERAGEIFS($AG$36:$AG$171,$C$36:$C$171,"=5", $B$36:$B$171,"OFICIAL")</f>
        <v>1.3333333333333334E-2</v>
      </c>
      <c r="AE260" s="39">
        <f>AVERAGEIFS($AH$36:$AH$171,$C$36:$C$171,"=5", $B$36:$B$171,"OFICIAL")</f>
        <v>0.25666666666666671</v>
      </c>
      <c r="AF260" s="39">
        <f>AVERAGEIFS($AI$36:$AI$171,$C$36:$C$171,"=5", $B$36:$B$171,"OFICIAL")</f>
        <v>0.61</v>
      </c>
      <c r="AG260" s="39">
        <f>AVERAGEIFS($AJ$36:$AJ$171,$C$36:$C$171,"=5", $B$36:$B$171,"OFICIAL")</f>
        <v>0.11666666666666665</v>
      </c>
      <c r="AH260" s="39">
        <f>AVERAGEIFS($AG$36:$AG$171,$C$36:$C$171,"=5", $B$36:$B$171,"NO OFICIAL")</f>
        <v>5.6250000000000007E-3</v>
      </c>
      <c r="AI260" s="39">
        <f>AVERAGEIFS($AH$36:$AH$171,$C$36:$C$171,"=5", $B$36:$B$171,"NO OFICIAL")</f>
        <v>0.25500000000000006</v>
      </c>
      <c r="AJ260" s="39">
        <f>AVERAGEIFS($AI$36:$AI$171,$C$36:$C$171,"=5", $B$36:$B$171,"NO OFICIAL")</f>
        <v>0.58812500000000001</v>
      </c>
      <c r="AK260" s="39">
        <f>AVERAGEIFS($AJ$36:$AJ$171,$C$36:$C$171,"=5", $B$36:$B$171,"NO OFICIAL")</f>
        <v>0.1525</v>
      </c>
      <c r="AL260" s="39">
        <f>AVERAGEIFS($AP$36:$AP$171,$C$36:$C$171,"=5", $B$36:$B$171,"OFICIAL")</f>
        <v>1.3333333333333334E-2</v>
      </c>
      <c r="AM260" s="39">
        <f>AVERAGEIFS($AQ$36:$AQ$171,$C$36:$C$171,"=5", $B$36:$B$171,"OFICIAL")</f>
        <v>0.24999999999999997</v>
      </c>
      <c r="AN260" s="39">
        <f>AVERAGEIFS($AR$36:$AR$171,$C$36:$C$171,"=5", $B$36:$B$171,"OFICIAL")</f>
        <v>0.63333333333333341</v>
      </c>
      <c r="AO260" s="39">
        <f>AVERAGEIFS($AS$36:$AS$171,$C$36:$C$171,"=5", $B$36:$B$171,"OFICIAL")</f>
        <v>0.10333333333333335</v>
      </c>
      <c r="AP260" s="39">
        <f>AVERAGEIFS($AP$36:$AP$171,$C$36:$C$171,"=5", $B$36:$B$171,"NO OFICIAL")</f>
        <v>0</v>
      </c>
      <c r="AQ260" s="39">
        <f>AVERAGEIFS($AQ$36:$AQ$171,$C$36:$C$171,"=5", $B$36:$B$171,"NO OFICIAL")</f>
        <v>0.21133333333333335</v>
      </c>
      <c r="AR260" s="39">
        <f>AVERAGEIFS($AR$36:$AR$171,$C$36:$C$171,"=5", $B$36:$B$171,"NO OFICIAL")</f>
        <v>0.67</v>
      </c>
      <c r="AS260" s="39">
        <f>AVERAGEIFS($AS$36:$AS$171,$C$36:$C$171,"=5", $B$36:$B$171,"NO OFICIAL")</f>
        <v>0.11866666666666667</v>
      </c>
      <c r="AT260" s="39">
        <f>AVERAGEIFS($BA$36:$BA$171,$C$36:$C$171,"=5", $B$36:$B$171,"OFICIAL")</f>
        <v>1.6666666666666666E-2</v>
      </c>
      <c r="AU260" s="39">
        <f>AVERAGEIFS($BB$36:$BB$171,$C$36:$C$171,"=5", $B$36:$B$171,"OFICIAL")</f>
        <v>0.27999999999999997</v>
      </c>
      <c r="AV260" s="39">
        <f>AVERAGEIFS($BC$36:$BC$171,$C$36:$C$171,"=5", $B$36:$B$171,"OFICIAL")</f>
        <v>0.56333333333333335</v>
      </c>
      <c r="AW260" s="39">
        <f>AVERAGEIFS($BD$36:$BD$171,$C$36:$C$171,"=5", $B$36:$B$171,"OFICIAL")</f>
        <v>0.14000000000000001</v>
      </c>
      <c r="AX260" s="39">
        <f>AVERAGEIFS($BA$36:$BA$171,$C$36:$C$171,"=5", $B$36:$B$171,"NO OFICIAL")</f>
        <v>3.3333333333333335E-3</v>
      </c>
      <c r="AY260" s="39">
        <f>AVERAGEIFS($BB$36:$BB$171,$C$36:$C$171,"=5", $B$36:$B$171,"NO OFICIAL")</f>
        <v>0.21</v>
      </c>
      <c r="AZ260" s="39">
        <f>AVERAGEIFS($BC$36:$BC$171,$C$36:$C$171,"=5", $B$36:$B$171,"NO OFICIAL")</f>
        <v>0.6</v>
      </c>
      <c r="BA260" s="39">
        <f>AVERAGEIFS($BD$36:$BD$171,$C$36:$C$171,"=5", $B$36:$B$171,"NO OFICIAL")</f>
        <v>0.18466666666666665</v>
      </c>
      <c r="BB260" s="39">
        <v>1.4999999999999999E-2</v>
      </c>
      <c r="BC260" s="39">
        <v>0.27500000000000002</v>
      </c>
      <c r="BD260" s="39">
        <v>0.61</v>
      </c>
      <c r="BE260" s="39">
        <v>0.1</v>
      </c>
      <c r="BF260" s="39">
        <v>1.2000000000000002E-2</v>
      </c>
      <c r="BG260" s="39">
        <v>0.1593333333333333</v>
      </c>
      <c r="BH260" s="39">
        <v>0.628</v>
      </c>
      <c r="BI260" s="39">
        <v>0.20199999999999999</v>
      </c>
      <c r="BJ260" s="39">
        <v>0.03</v>
      </c>
      <c r="BK260" s="39">
        <v>0.375</v>
      </c>
      <c r="BL260" s="39">
        <v>0.52</v>
      </c>
      <c r="BM260" s="39">
        <v>8.5000000000000006E-2</v>
      </c>
      <c r="BN260" s="39">
        <v>3.3333333333333335E-3</v>
      </c>
      <c r="BO260" s="39">
        <v>0.16466666666666666</v>
      </c>
      <c r="BP260" s="39">
        <v>0.64066666666666661</v>
      </c>
      <c r="BQ260" s="39">
        <v>0.19133333333333333</v>
      </c>
      <c r="BR260" s="39">
        <v>1.3333333333333334E-2</v>
      </c>
      <c r="BS260" s="39">
        <v>0.22999999999999998</v>
      </c>
      <c r="BT260" s="39">
        <v>0.58333333333333337</v>
      </c>
      <c r="BU260" s="39">
        <v>0.17666666666666667</v>
      </c>
      <c r="BV260" s="39">
        <v>6.6666666666666671E-3</v>
      </c>
      <c r="BW260" s="39">
        <v>0.18533333333333332</v>
      </c>
      <c r="BX260" s="39">
        <v>0.63133333333333341</v>
      </c>
      <c r="BY260" s="39">
        <v>0.17600000000000005</v>
      </c>
    </row>
    <row r="261" spans="5:77" x14ac:dyDescent="0.2">
      <c r="E261" s="27" t="s">
        <v>249</v>
      </c>
      <c r="F261" s="39">
        <f>AVERAGEIFS($F$36:$F$171,$C$36:$C$171,"=6", $B$36:$B$171,"OFICIAL")</f>
        <v>0.01</v>
      </c>
      <c r="G261" s="39">
        <f>AVERAGEIFS($G$36:$G$171,$C$36:$C$171,"=6", $B$36:$B$171,"OFICIAL")</f>
        <v>0.38750000000000001</v>
      </c>
      <c r="H261" s="39">
        <f>AVERAGEIFS($H$36:$H$171,$C$36:$C$171,"=6", $B$36:$B$171,"OFICIAL")</f>
        <v>0.5575</v>
      </c>
      <c r="I261" s="39">
        <f>AVERAGEIFS($I$36:$I$171,$C$36:$C$171,"=6", $B$36:$B$171,"OFICIAL")</f>
        <v>4.4999999999999998E-2</v>
      </c>
      <c r="J261" s="39">
        <f>AVERAGEIFS($F$36:$F$171,$C$36:$C$171,"=6", $B$36:$B$171,"NO OFICIAL")</f>
        <v>6.3636363636363638E-3</v>
      </c>
      <c r="K261" s="39">
        <f>AVERAGEIFS($G$36:$G$171,$C$36:$C$171,"=6", $B$36:$B$171,"NO OFICIAL")</f>
        <v>0.37090909090909091</v>
      </c>
      <c r="L261" s="39">
        <f>AVERAGEIFS($H$36:$H$171,$C$36:$C$171,"=6", $B$36:$B$171,"NO OFICIAL")</f>
        <v>0.56090909090909091</v>
      </c>
      <c r="M261" s="39">
        <f>AVERAGEIFS($I$36:$I$171,$C$36:$C$171,"=6", $B$36:$B$171,"NO OFICIAL")</f>
        <v>6.2727272727272729E-2</v>
      </c>
      <c r="N261" s="39">
        <f>AVERAGEIFS($O$36:$O$171,$C$36:$C$171,"=6", $B$36:$B$171,"OFICIAL")</f>
        <v>1.4999999999999999E-2</v>
      </c>
      <c r="O261" s="39">
        <f>AVERAGEIFS($P$36:$P$171,$C$36:$C$171,"=6", $B$36:$B$171,"OFICIAL")</f>
        <v>0.38500000000000001</v>
      </c>
      <c r="P261" s="39">
        <f>AVERAGEIFS($Q$36:$Q$171,$C$36:$C$171,"=6", $B$36:$B$171,"OFICIAL")</f>
        <v>0.54500000000000004</v>
      </c>
      <c r="Q261" s="39">
        <f>AVERAGEIFS($R$36:$R$171,$C$36:$C$171,"=6", $B$36:$B$171,"OFICIAL")</f>
        <v>5.5000000000000007E-2</v>
      </c>
      <c r="R261" s="39">
        <f>AVERAGEIFS($O$36:$O$171,$C$36:$C$171,"=6", $B$36:$B$171,"NO OFICIAL")</f>
        <v>3.2727272727272723E-2</v>
      </c>
      <c r="S261" s="39">
        <f>AVERAGEIFS($P$36:$P$171,$C$36:$C$171,"=6", $B$36:$B$171,"NO OFICIAL")</f>
        <v>0.29545454545454553</v>
      </c>
      <c r="T261" s="39">
        <f>AVERAGEIFS($Q$36:$Q$171,$C$36:$C$171,"=6", $B$36:$B$171,"NO OFICIAL")</f>
        <v>0.58636363636363642</v>
      </c>
      <c r="U261" s="39">
        <f>AVERAGEIFS($R$36:$R$171,$C$36:$C$171,"=6", $B$36:$B$171,"NO OFICIAL")</f>
        <v>8.6363636363636365E-2</v>
      </c>
      <c r="V261" s="39">
        <f>AVERAGEIFS($X$36:$X$171,$C$36:$C$171,"=6", $B$36:$B$171,"OFICIAL")</f>
        <v>2.2499999999999996E-2</v>
      </c>
      <c r="W261" s="39">
        <f>AVERAGEIFS($Y$36:$Y$171,$C$36:$C$171,"=6", $B$36:$B$171,"OFICIAL")</f>
        <v>0.39500000000000002</v>
      </c>
      <c r="X261" s="39">
        <f>AVERAGEIFS($Z$36:$Z$171,$C$36:$C$171,"=6", $B$36:$B$171,"OFICIAL")</f>
        <v>0.505</v>
      </c>
      <c r="Y261" s="39">
        <f>AVERAGEIFS($AA$36:$AA$171,$C$36:$C$171,"=6", $B$36:$B$171,"OFICIAL")</f>
        <v>0.08</v>
      </c>
      <c r="Z261" s="39">
        <f>AVERAGEIFS($X$36:$X$171,$C$36:$C$171,"=6", $B$36:$B$171,"NO OFICIAL")</f>
        <v>5.0000000000000001E-3</v>
      </c>
      <c r="AA261" s="39">
        <f>AVERAGEIFS($Y$36:$Y$171,$C$36:$C$171,"=6", $B$36:$B$171,"NO OFICIAL")</f>
        <v>0.36199999999999999</v>
      </c>
      <c r="AB261" s="39">
        <f>AVERAGEIFS($Z$36:$Z$171,$C$36:$C$171,"=6", $B$36:$B$171,"NO OFICIAL")</f>
        <v>0.52099999999999991</v>
      </c>
      <c r="AC261" s="39">
        <f>AVERAGEIFS($AA$36:$AA$171,$C$36:$C$171,"=6", $B$36:$B$171,"NO OFICIAL")</f>
        <v>0.11599999999999999</v>
      </c>
      <c r="AD261" s="39">
        <f>AVERAGEIFS($AG$36:$AG$171,$C$36:$C$171,"=6", $B$36:$B$171,"OFICIAL")</f>
        <v>0.02</v>
      </c>
      <c r="AE261" s="39">
        <f>AVERAGEIFS($AH$36:$AH$171,$C$36:$C$171,"=6", $B$36:$B$171,"OFICIAL")</f>
        <v>0.36</v>
      </c>
      <c r="AF261" s="39">
        <f>AVERAGEIFS($AI$36:$AI$171,$C$36:$C$171,"=6", $B$36:$B$171,"OFICIAL")</f>
        <v>0.56000000000000005</v>
      </c>
      <c r="AG261" s="39">
        <f>AVERAGEIFS($AJ$36:$AJ$171,$C$36:$C$171,"=6", $B$36:$B$171,"OFICIAL")</f>
        <v>6.25E-2</v>
      </c>
      <c r="AH261" s="39">
        <f>AVERAGEIFS($AG$36:$AG$171,$C$36:$C$171,"=6", $B$36:$B$171,"NO OFICIAL")</f>
        <v>8.1818181818181807E-3</v>
      </c>
      <c r="AI261" s="39">
        <f>AVERAGEIFS($AH$36:$AH$171,$C$36:$C$171,"=6", $B$36:$B$171,"NO OFICIAL")</f>
        <v>0.31181818181818177</v>
      </c>
      <c r="AJ261" s="39">
        <f>AVERAGEIFS($AI$36:$AI$171,$C$36:$C$171,"=6", $B$36:$B$171,"NO OFICIAL")</f>
        <v>0.5536363636363637</v>
      </c>
      <c r="AK261" s="39">
        <f>AVERAGEIFS($AJ$36:$AJ$171,$C$36:$C$171,"=6", $B$36:$B$171,"NO OFICIAL")</f>
        <v>0.12636363636363637</v>
      </c>
      <c r="AL261" s="39">
        <f>AVERAGEIFS($AP$36:$AP$171,$C$36:$C$171,"=6", $B$36:$B$171,"OFICIAL")</f>
        <v>2.2499999999999999E-2</v>
      </c>
      <c r="AM261" s="39">
        <f>AVERAGEIFS($AQ$36:$AQ$171,$C$36:$C$171,"=6", $B$36:$B$171,"OFICIAL")</f>
        <v>0.35500000000000004</v>
      </c>
      <c r="AN261" s="39">
        <f>AVERAGEIFS($AR$36:$AR$171,$C$36:$C$171,"=6", $B$36:$B$171,"OFICIAL")</f>
        <v>0.54999999999999993</v>
      </c>
      <c r="AO261" s="39">
        <f>AVERAGEIFS($AS$36:$AS$171,$C$36:$C$171,"=6", $B$36:$B$171,"OFICIAL")</f>
        <v>7.5000000000000011E-2</v>
      </c>
      <c r="AP261" s="39">
        <f>AVERAGEIFS($AP$36:$AP$171,$C$36:$C$171,"=6", $B$36:$B$171,"NO OFICIAL")</f>
        <v>4.4615384615384619E-2</v>
      </c>
      <c r="AQ261" s="39">
        <f>AVERAGEIFS($AQ$36:$AQ$171,$C$36:$C$171,"=6", $B$36:$B$171,"NO OFICIAL")</f>
        <v>0.33769230769230774</v>
      </c>
      <c r="AR261" s="39">
        <f>AVERAGEIFS($AR$36:$AR$171,$C$36:$C$171,"=6", $B$36:$B$171,"NO OFICIAL")</f>
        <v>0.54923076923076919</v>
      </c>
      <c r="AS261" s="39">
        <f>AVERAGEIFS($AS$36:$AS$171,$C$36:$C$171,"=6", $B$36:$B$171,"NO OFICIAL")</f>
        <v>6.7692307692307691E-2</v>
      </c>
      <c r="AT261" s="39">
        <f>AVERAGEIFS($BA$36:$BA$171,$C$36:$C$171,"=6", $B$36:$B$171,"OFICIAL")</f>
        <v>3.2500000000000001E-2</v>
      </c>
      <c r="AU261" s="39">
        <f>AVERAGEIFS($BB$36:$BB$171,$C$36:$C$171,"=6", $B$36:$B$171,"OFICIAL")</f>
        <v>0.38500000000000001</v>
      </c>
      <c r="AV261" s="39">
        <f>AVERAGEIFS($BC$36:$BC$171,$C$36:$C$171,"=6", $B$36:$B$171,"OFICIAL")</f>
        <v>0.51249999999999996</v>
      </c>
      <c r="AW261" s="39">
        <f>AVERAGEIFS($BD$36:$BD$171,$C$36:$C$171,"=6", $B$36:$B$171,"OFICIAL")</f>
        <v>7.7499999999999999E-2</v>
      </c>
      <c r="AX261" s="39">
        <f>AVERAGEIFS($BA$36:$BA$171,$C$36:$C$171,"=6", $B$36:$B$171,"NO OFICIAL")</f>
        <v>1.0769230769230771E-2</v>
      </c>
      <c r="AY261" s="39">
        <f>AVERAGEIFS($BB$36:$BB$171,$C$36:$C$171,"=6", $B$36:$B$171,"NO OFICIAL")</f>
        <v>0.36692307692307696</v>
      </c>
      <c r="AZ261" s="39">
        <f>AVERAGEIFS($BC$36:$BC$171,$C$36:$C$171,"=6", $B$36:$B$171,"NO OFICIAL")</f>
        <v>0.49846153846153857</v>
      </c>
      <c r="BA261" s="39">
        <f>AVERAGEIFS($BD$36:$BD$171,$C$36:$C$171,"=6", $B$36:$B$171,"NO OFICIAL")</f>
        <v>0.1246153846153846</v>
      </c>
      <c r="BB261" s="39">
        <v>2.3333333333333334E-2</v>
      </c>
      <c r="BC261" s="39">
        <v>0.35666666666666663</v>
      </c>
      <c r="BD261" s="39">
        <v>0.54</v>
      </c>
      <c r="BE261" s="39">
        <v>7.3333333333333334E-2</v>
      </c>
      <c r="BF261" s="39">
        <v>2.4375000000000001E-2</v>
      </c>
      <c r="BG261" s="39">
        <v>0.30187500000000006</v>
      </c>
      <c r="BH261" s="39">
        <v>0.56062500000000004</v>
      </c>
      <c r="BI261" s="39">
        <v>0.113125</v>
      </c>
      <c r="BJ261" s="39">
        <v>2.3333333333333334E-2</v>
      </c>
      <c r="BK261" s="39">
        <v>0.38999999999999996</v>
      </c>
      <c r="BL261" s="39">
        <v>0.53333333333333333</v>
      </c>
      <c r="BM261" s="39">
        <v>4.9999999999999996E-2</v>
      </c>
      <c r="BN261" s="39">
        <v>7.0588235294117641E-3</v>
      </c>
      <c r="BO261" s="39">
        <v>0.24529411764705888</v>
      </c>
      <c r="BP261" s="39">
        <v>0.57823529411764707</v>
      </c>
      <c r="BQ261" s="39">
        <v>0.16941176470588237</v>
      </c>
      <c r="BR261" s="39">
        <v>1.7499999999999998E-2</v>
      </c>
      <c r="BS261" s="39">
        <v>0.3125</v>
      </c>
      <c r="BT261" s="39">
        <v>0.57500000000000007</v>
      </c>
      <c r="BU261" s="39">
        <v>0.09</v>
      </c>
      <c r="BV261" s="39">
        <v>2.9285714285714286E-2</v>
      </c>
      <c r="BW261" s="39">
        <v>0.20857142857142855</v>
      </c>
      <c r="BX261" s="39">
        <v>0.60571428571428576</v>
      </c>
      <c r="BY261" s="39">
        <v>0.15857142857142859</v>
      </c>
    </row>
    <row r="263" spans="5:77" x14ac:dyDescent="0.2">
      <c r="F263" s="964">
        <v>2016</v>
      </c>
      <c r="G263" s="964"/>
      <c r="H263" s="964"/>
      <c r="I263" s="964">
        <v>2017</v>
      </c>
      <c r="J263" s="964">
        <v>2017</v>
      </c>
      <c r="K263" s="964"/>
      <c r="L263" s="964">
        <v>2018</v>
      </c>
      <c r="M263" s="964"/>
      <c r="N263" s="964">
        <v>2018</v>
      </c>
      <c r="O263" s="964">
        <v>2019</v>
      </c>
      <c r="P263" s="964"/>
      <c r="Q263" s="964"/>
      <c r="R263" s="964">
        <v>2020</v>
      </c>
      <c r="S263" s="964"/>
      <c r="T263" s="964"/>
      <c r="U263" s="964">
        <v>2021</v>
      </c>
      <c r="V263" s="964">
        <v>2020</v>
      </c>
      <c r="W263" s="964"/>
      <c r="X263" s="964">
        <v>2022</v>
      </c>
      <c r="Y263" s="964">
        <v>2020</v>
      </c>
      <c r="Z263" s="964"/>
      <c r="AA263" s="964">
        <v>2023</v>
      </c>
      <c r="AB263" s="964">
        <v>2020</v>
      </c>
      <c r="AC263" s="964"/>
      <c r="AD263" s="964">
        <v>2024</v>
      </c>
      <c r="AE263" s="964">
        <v>2020</v>
      </c>
      <c r="AF263" s="964"/>
    </row>
    <row r="264" spans="5:77" x14ac:dyDescent="0.2">
      <c r="F264" s="202" t="s">
        <v>907</v>
      </c>
      <c r="G264" s="202" t="s">
        <v>908</v>
      </c>
      <c r="H264" s="202" t="s">
        <v>909</v>
      </c>
      <c r="I264" s="202" t="s">
        <v>907</v>
      </c>
      <c r="J264" s="202" t="s">
        <v>908</v>
      </c>
      <c r="K264" s="202" t="s">
        <v>909</v>
      </c>
      <c r="L264" s="202" t="s">
        <v>907</v>
      </c>
      <c r="M264" s="202" t="s">
        <v>908</v>
      </c>
      <c r="N264" s="202" t="s">
        <v>909</v>
      </c>
      <c r="O264" s="202" t="s">
        <v>907</v>
      </c>
      <c r="P264" s="202" t="s">
        <v>908</v>
      </c>
      <c r="Q264" s="202" t="s">
        <v>909</v>
      </c>
      <c r="R264" s="202" t="s">
        <v>907</v>
      </c>
      <c r="S264" s="202" t="s">
        <v>908</v>
      </c>
      <c r="T264" s="202" t="s">
        <v>909</v>
      </c>
      <c r="U264" s="202" t="s">
        <v>907</v>
      </c>
      <c r="V264" s="202" t="s">
        <v>908</v>
      </c>
      <c r="W264" s="502" t="s">
        <v>909</v>
      </c>
      <c r="X264" s="202" t="s">
        <v>907</v>
      </c>
      <c r="Y264" s="202" t="s">
        <v>908</v>
      </c>
      <c r="Z264" s="502" t="s">
        <v>909</v>
      </c>
      <c r="AA264" s="202" t="s">
        <v>907</v>
      </c>
      <c r="AB264" s="202" t="s">
        <v>908</v>
      </c>
      <c r="AC264" s="502" t="s">
        <v>909</v>
      </c>
      <c r="AD264" s="202" t="s">
        <v>907</v>
      </c>
      <c r="AE264" s="202" t="s">
        <v>908</v>
      </c>
      <c r="AF264" s="202" t="s">
        <v>909</v>
      </c>
    </row>
    <row r="265" spans="5:77" x14ac:dyDescent="0.2">
      <c r="E265" s="27" t="s">
        <v>244</v>
      </c>
      <c r="F265" s="39">
        <f>AVERAGEIF($C$36:$C$171,"=1",$K$36:$K$171)</f>
        <v>0.48176470588235293</v>
      </c>
      <c r="G265" s="39">
        <f>AVERAGEIF($C$36:$C$171,"=1",$J$36:$J$171)</f>
        <v>0.43470588235294116</v>
      </c>
      <c r="H265" s="39">
        <f>AVERAGEIF($C$36:$C$171,"=1",$L$36:$L$171)</f>
        <v>0.55941176470588239</v>
      </c>
      <c r="I265" s="39">
        <f>AVERAGEIF($C$36:$C$171,"=1",$T$36:$T$171)</f>
        <v>0.48000000000000004</v>
      </c>
      <c r="J265" s="39">
        <f>AVERAGEIF($C$36:$C$171,"=1",$S$36:$S$171)</f>
        <v>0.44624999999999992</v>
      </c>
      <c r="K265" s="39">
        <f>AVERAGEIF($C$36:$C$171,"=1",$U$36:$U$171)</f>
        <v>0.46562499999999996</v>
      </c>
      <c r="L265" s="39">
        <f>AVERAGEIF($C$36:$C$171,"=1",$AB$36:$AB$171)</f>
        <v>0.44058823529411767</v>
      </c>
      <c r="M265" s="39">
        <f>AVERAGEIF($C$36:$C$171,"=1",$AC$36:$AC$171)</f>
        <v>0.47352941176470592</v>
      </c>
      <c r="N265" s="39">
        <f>AVERAGEIF($C$36:$C$171,"=1",$AD$36:$AD$171)</f>
        <v>0.49941176470588228</v>
      </c>
      <c r="O265" s="39">
        <f>AVERAGEIF($C$36:$C$171,"=1",$AK$36:$AK$171)</f>
        <v>0.4205882352941176</v>
      </c>
      <c r="P265" s="39">
        <f>AVERAGEIF($C$36:$C$171,"=1",$AL$36:$AL$171)</f>
        <v>0.36588235294117644</v>
      </c>
      <c r="Q265" s="39">
        <f>AVERAGEIF($C$36:$C$171,"=1",$AM$36:$AM$171)</f>
        <v>0.42529411764705882</v>
      </c>
      <c r="R265" s="39">
        <f>AVERAGEIF($C$36:$C$171,"=1",$AT$36:$AT$171)</f>
        <v>0.46411764705882358</v>
      </c>
      <c r="S265" s="39">
        <f>AVERAGEIF($C$36:$C$171,"=1",$AV$36:$AV$171)</f>
        <v>0.43588235294117661</v>
      </c>
      <c r="T265" s="39">
        <f>AVERAGEIF($C$36:$C$171,"=1",$AU$36:$AU$171)</f>
        <v>0.3605882352941176</v>
      </c>
      <c r="U265" s="39">
        <f>AVERAGEIF($C$36:$C$171,"=1",$BE$36:$BE$171)</f>
        <v>0.43176470588235294</v>
      </c>
      <c r="V265" s="39">
        <f>AVERAGEIF($C$36:$C$171,"=1",$BF$36:$BF$171)</f>
        <v>0.32117647058823529</v>
      </c>
      <c r="W265" s="501">
        <f>AVERAGEIF($C$36:$C$171,"=1",$BG$36:$BG$171)</f>
        <v>0.53647058823529414</v>
      </c>
      <c r="X265" s="500">
        <v>0.45944444444444443</v>
      </c>
      <c r="Y265" s="39">
        <v>0.33666666666666673</v>
      </c>
      <c r="Z265" s="501">
        <v>0.44500000000000001</v>
      </c>
      <c r="AA265" s="500">
        <v>0.35470588235294126</v>
      </c>
      <c r="AB265" s="39">
        <v>0.46470588235294108</v>
      </c>
      <c r="AC265" s="501">
        <v>0.48941176470588227</v>
      </c>
      <c r="AD265" s="500">
        <v>0.4375</v>
      </c>
      <c r="AE265" s="39">
        <v>0.44062500000000004</v>
      </c>
      <c r="AF265" s="39">
        <v>0.32937500000000003</v>
      </c>
    </row>
    <row r="266" spans="5:77" x14ac:dyDescent="0.2">
      <c r="E266" s="27" t="s">
        <v>245</v>
      </c>
      <c r="F266" s="39">
        <f>AVERAGEIF($C$36:$C$171,"=2",$K$36:$K$171)</f>
        <v>0.45600000000000013</v>
      </c>
      <c r="G266" s="39">
        <f>AVERAGEIF($C$36:$C$171,"=2",$J$36:$J$171)</f>
        <v>0.41249999999999992</v>
      </c>
      <c r="H266" s="39">
        <f>AVERAGEIF($C$36:$C$171,"=2",$L$36:$L$171)</f>
        <v>0.51300000000000001</v>
      </c>
      <c r="I266" s="39">
        <f>AVERAGEIF($C$36:$C$171,"=2",$T$36:$T$171)</f>
        <v>0.44789473684210523</v>
      </c>
      <c r="J266" s="39">
        <f>AVERAGEIF($C$36:$C$171,"=2",$S$36:$S$171)</f>
        <v>0.40842105263157902</v>
      </c>
      <c r="K266" s="39">
        <f>AVERAGEIF($C$36:$C$171,"=2",$U$36:$U$171)</f>
        <v>0.44263157894736832</v>
      </c>
      <c r="L266" s="39">
        <f>AVERAGEIF($C$36:$C$171,"=2",$AB$36:$AB$171)</f>
        <v>0.41526315789473683</v>
      </c>
      <c r="M266" s="39">
        <f>AVERAGEIF($C$36:$C$171,"=2",$AC$36:$AC$171)</f>
        <v>0.46631578947368429</v>
      </c>
      <c r="N266" s="39">
        <f>AVERAGEIF($C$36:$C$171,"=2",$AD$36:$AD$171)</f>
        <v>0.48052631578947363</v>
      </c>
      <c r="O266" s="39">
        <f>AVERAGEIF($C$36:$C$171,"=2",$AK$36:$AK$171)</f>
        <v>0.39000000000000007</v>
      </c>
      <c r="P266" s="39">
        <f>AVERAGEIF($C$36:$C$171,"=2",$AL$36:$AL$171)</f>
        <v>0.33999999999999997</v>
      </c>
      <c r="Q266" s="39">
        <f>AVERAGEIF($C$36:$C$171,"=2",$AM$36:$AM$171)</f>
        <v>0.39500000000000007</v>
      </c>
      <c r="R266" s="39">
        <f>AVERAGEIF($C$36:$C$171,"=2",$AT$36:$AT$171)</f>
        <v>0.43458333333333332</v>
      </c>
      <c r="S266" s="39">
        <f>AVERAGEIF($C$36:$C$171,"=2",$AV$36:$AV$171)</f>
        <v>0.41708333333333331</v>
      </c>
      <c r="T266" s="39">
        <f>AVERAGEIF($C$36:$C$171,"=2",$AU$36:$AU$171)</f>
        <v>0.36166666666666664</v>
      </c>
      <c r="U266" s="39">
        <f>AVERAGEIF($C$36:$C$171,"=2",$BE$36:$BE$171)</f>
        <v>0.43545454545454554</v>
      </c>
      <c r="V266" s="39">
        <f>AVERAGEIF($C$36:$C$171,"=2",$BF$36:$BF$171)</f>
        <v>0.33636363636363636</v>
      </c>
      <c r="W266" s="501">
        <f>AVERAGEIF($C$36:$C$171,"=2",$BG$36:$BG$171)</f>
        <v>0.52727272727272745</v>
      </c>
      <c r="X266" s="500">
        <v>0.43520000000000003</v>
      </c>
      <c r="Y266" s="39">
        <v>0.31199999999999994</v>
      </c>
      <c r="Z266" s="501">
        <v>0.39760000000000006</v>
      </c>
      <c r="AA266" s="500">
        <v>0.341923076923077</v>
      </c>
      <c r="AB266" s="39">
        <v>0.44423076923076926</v>
      </c>
      <c r="AC266" s="501">
        <v>0.45000000000000007</v>
      </c>
      <c r="AD266" s="500">
        <v>0.39</v>
      </c>
      <c r="AE266" s="39">
        <v>0.40086956521739142</v>
      </c>
      <c r="AF266" s="39">
        <v>0.29043478260869565</v>
      </c>
      <c r="BR266" s="85"/>
      <c r="BS266" s="85"/>
      <c r="BT266" s="85"/>
      <c r="BU266" s="85"/>
    </row>
    <row r="267" spans="5:77" x14ac:dyDescent="0.2">
      <c r="E267" s="27" t="s">
        <v>246</v>
      </c>
      <c r="F267" s="39">
        <f>AVERAGEIF($C$36:$C$171,"=3",$K$36:$K$171)</f>
        <v>0.4694444444444445</v>
      </c>
      <c r="G267" s="39">
        <f>AVERAGEIF($C$36:$C$171,"=3",$J$36:$J$171)</f>
        <v>0.40444444444444438</v>
      </c>
      <c r="H267" s="39">
        <f>AVERAGEIF($C$36:$C$171,"=3",$L$36:$L$171)</f>
        <v>0.51888888888888884</v>
      </c>
      <c r="I267" s="39">
        <f>AVERAGEIF($C$36:$C$171,"=3",$T$36:$T$171)</f>
        <v>0.45789473684210524</v>
      </c>
      <c r="J267" s="39">
        <f>AVERAGEIF($C$36:$C$171,"=3",$S$36:$S$171)</f>
        <v>0.42000000000000004</v>
      </c>
      <c r="K267" s="39">
        <f>AVERAGEIF($C$36:$C$171,"=3",$U$36:$U$171)</f>
        <v>0.44631578947368422</v>
      </c>
      <c r="L267" s="39">
        <f>AVERAGEIF($C$36:$C$171,"=3",$AB$36:$AB$171)</f>
        <v>0.40473684210526323</v>
      </c>
      <c r="M267" s="39">
        <f>AVERAGEIF($C$36:$C$171,"=3",$AC$36:$AC$171)</f>
        <v>0.45631578947368423</v>
      </c>
      <c r="N267" s="39">
        <f>AVERAGEIF($C$36:$C$171,"=3",$AD$36:$AD$171)</f>
        <v>0.47842105263157886</v>
      </c>
      <c r="O267" s="39">
        <f>AVERAGEIF($C$36:$C$171,"=3",$AK$36:$AK$171)</f>
        <v>0.40052631578947373</v>
      </c>
      <c r="P267" s="39">
        <f>AVERAGEIF($C$36:$C$171,"=3",$AL$36:$AL$171)</f>
        <v>0.34894736842105267</v>
      </c>
      <c r="Q267" s="39">
        <f>AVERAGEIF($C$36:$C$171,"=3",$AM$36:$AM$171)</f>
        <v>0.39368421052631569</v>
      </c>
      <c r="R267" s="39">
        <f>AVERAGEIF($C$36:$C$171,"=3",$AT$36:$AT$171)</f>
        <v>0.44800000000000006</v>
      </c>
      <c r="S267" s="39">
        <f>AVERAGEIF($C$36:$C$171,"=3",$AV$36:$AV$171)</f>
        <v>0.40499999999999997</v>
      </c>
      <c r="T267" s="39">
        <f>AVERAGEIF($C$36:$C$171,"=3",$AU$36:$AU$171)</f>
        <v>0.34550000000000003</v>
      </c>
      <c r="U267" s="39">
        <f>AVERAGEIF($C$36:$C$171,"=3",$BE$36:$BE$171)</f>
        <v>0.41200000000000003</v>
      </c>
      <c r="V267" s="39">
        <f>AVERAGEIF($C$36:$C$171,"=3",$BF$36:$BF$171)</f>
        <v>0.32050000000000001</v>
      </c>
      <c r="W267" s="501">
        <f>AVERAGEIF($C$36:$C$171,"=3",$BG$36:$BG$171)</f>
        <v>0.51100000000000012</v>
      </c>
      <c r="X267" s="500">
        <v>0.43545454545454548</v>
      </c>
      <c r="Y267" s="39">
        <v>0.31909090909090909</v>
      </c>
      <c r="Z267" s="501">
        <v>0.40045454545454545</v>
      </c>
      <c r="AA267" s="500">
        <v>0.34136363636363637</v>
      </c>
      <c r="AB267" s="39">
        <v>0.44136363636363635</v>
      </c>
      <c r="AC267" s="501">
        <v>0.4540909090909091</v>
      </c>
      <c r="AD267" s="500">
        <v>0.4186363636363637</v>
      </c>
      <c r="AE267" s="39">
        <v>0.4095454545454546</v>
      </c>
      <c r="AF267" s="39">
        <v>0.30909090909090908</v>
      </c>
      <c r="BR267" s="85"/>
      <c r="BS267" s="85"/>
      <c r="BT267" s="85"/>
      <c r="BU267" s="85"/>
    </row>
    <row r="268" spans="5:77" x14ac:dyDescent="0.2">
      <c r="E268" s="27" t="s">
        <v>247</v>
      </c>
      <c r="F268" s="39">
        <f>AVERAGEIF($C$36:$C$171,"=4",$K$36:$K$171)</f>
        <v>0.52357142857142858</v>
      </c>
      <c r="G268" s="39">
        <f>AVERAGEIF($C$36:$C$171,"=4",$J$36:$J$171)</f>
        <v>0.47857142857142859</v>
      </c>
      <c r="H268" s="39">
        <f>AVERAGEIF($C$36:$C$171,"=4",$L$36:$L$171)</f>
        <v>0.59214285714285708</v>
      </c>
      <c r="I268" s="39">
        <f>AVERAGEIF($C$36:$C$171,"=4",$T$36:$T$171)</f>
        <v>0.47500000000000003</v>
      </c>
      <c r="J268" s="39">
        <f>AVERAGEIF($C$36:$C$171,"=4",$S$36:$S$171)</f>
        <v>0.43571428571428567</v>
      </c>
      <c r="K268" s="39">
        <f>AVERAGEIF($C$36:$C$171,"=4",$U$36:$U$171)</f>
        <v>0.49071428571428577</v>
      </c>
      <c r="L268" s="39">
        <f>AVERAGEIF($C$36:$C$171,"=4",$AB$36:$AB$171)</f>
        <v>0.44333333333333325</v>
      </c>
      <c r="M268" s="39">
        <f>AVERAGEIF($C$36:$C$171,"=4",$AC$36:$AC$171)</f>
        <v>0.4966666666666667</v>
      </c>
      <c r="N268" s="39">
        <f>AVERAGEIF($C$36:$C$171,"=4",$AD$36:$AD$171)</f>
        <v>0.51733333333333342</v>
      </c>
      <c r="O268" s="39">
        <f>AVERAGEIF($C$36:$C$171,"=4",$AK$36:$AK$171)</f>
        <v>0.43785714285714289</v>
      </c>
      <c r="P268" s="39">
        <f>AVERAGEIF($C$36:$C$171,"=4",$AL$36:$AL$171)</f>
        <v>0.39857142857142858</v>
      </c>
      <c r="Q268" s="39">
        <f>AVERAGEIF($C$36:$C$171,"=4",$AM$36:$AM$171)</f>
        <v>0.43857142857142856</v>
      </c>
      <c r="R268" s="39">
        <f>AVERAGEIF($C$36:$C$171,"=4",$AT$36:$AT$171)</f>
        <v>0.50692307692307703</v>
      </c>
      <c r="S268" s="39">
        <f>AVERAGEIF($C$36:$C$171,"=4",$AV$36:$AV$171)</f>
        <v>0.46153846153846145</v>
      </c>
      <c r="T268" s="39">
        <f>AVERAGEIF($C$36:$C$171,"=4",$AU$36:$AU$171)</f>
        <v>0.41923076923076918</v>
      </c>
      <c r="U268" s="39">
        <f>AVERAGEIF($C$36:$C$171,"=4",$BE$36:$BE$171)</f>
        <v>0.46142857142857147</v>
      </c>
      <c r="V268" s="39">
        <f>AVERAGEIF($C$36:$C$171,"=4",$BF$36:$BF$171)</f>
        <v>0.38214285714285717</v>
      </c>
      <c r="W268" s="501">
        <f>AVERAGEIF($C$36:$C$171,"=4",$BG$36:$BG$171)</f>
        <v>0.56857142857142873</v>
      </c>
      <c r="X268" s="500">
        <v>0.47857142857142859</v>
      </c>
      <c r="Y268" s="39">
        <v>0.35500000000000004</v>
      </c>
      <c r="Z268" s="501">
        <v>0.47500000000000009</v>
      </c>
      <c r="AA268" s="500">
        <v>0.41399999999999992</v>
      </c>
      <c r="AB268" s="39">
        <v>0.51533333333333331</v>
      </c>
      <c r="AC268" s="501">
        <v>0.54599999999999993</v>
      </c>
      <c r="AD268" s="500">
        <v>0.45999999999999996</v>
      </c>
      <c r="AE268" s="39">
        <v>0.46230769230769236</v>
      </c>
      <c r="AF268" s="39">
        <v>0.37692307692307697</v>
      </c>
      <c r="BR268" s="85"/>
      <c r="BS268" s="85"/>
      <c r="BT268" s="85"/>
      <c r="BU268" s="85"/>
    </row>
    <row r="269" spans="5:77" x14ac:dyDescent="0.2">
      <c r="E269" s="27" t="s">
        <v>248</v>
      </c>
      <c r="F269" s="39">
        <f>AVERAGEIF($C$36:$C$171,"=5",$K$36:$K$171)</f>
        <v>0.43588235294117644</v>
      </c>
      <c r="G269" s="39">
        <f>AVERAGEIF($C$36:$C$171,"=5",$J$36:$J$171)</f>
        <v>0.40941176470588236</v>
      </c>
      <c r="H269" s="39">
        <f>AVERAGEIF($C$36:$C$171,"=5",$L$36:$L$171)</f>
        <v>0.53117647058823536</v>
      </c>
      <c r="I269" s="39">
        <f>AVERAGEIF($C$36:$C$171,"=5",$T$36:$T$171)</f>
        <v>0.43111111111111111</v>
      </c>
      <c r="J269" s="39">
        <f>AVERAGEIF($C$36:$C$171,"=5",$S$36:$S$171)</f>
        <v>0.37388888888888883</v>
      </c>
      <c r="K269" s="39">
        <f>AVERAGEIF($C$36:$C$171,"=5",$U$36:$U$171)</f>
        <v>0.435</v>
      </c>
      <c r="L269" s="39">
        <f>AVERAGEIF($C$36:$C$171,"=5",$AB$36:$AB$171)</f>
        <v>0.39500000000000002</v>
      </c>
      <c r="M269" s="39">
        <f>AVERAGEIF($C$36:$C$171,"=5",$AC$36:$AC$171)</f>
        <v>0.4538888888888889</v>
      </c>
      <c r="N269" s="39">
        <f>AVERAGEIF($C$36:$C$171,"=5",$AD$36:$AD$171)</f>
        <v>0.46444444444444444</v>
      </c>
      <c r="O269" s="39">
        <f>AVERAGEIF($C$36:$C$171,"=5",$AK$36:$AK$171)</f>
        <v>0.37526315789473674</v>
      </c>
      <c r="P269" s="39">
        <f>AVERAGEIF($C$36:$C$171,"=5",$AL$36:$AL$171)</f>
        <v>0.32526315789473681</v>
      </c>
      <c r="Q269" s="39">
        <f>AVERAGEIF($C$36:$C$171,"=5",$AM$36:$AM$171)</f>
        <v>0.37894736842105264</v>
      </c>
      <c r="R269" s="39">
        <f>AVERAGEIF($C$36:$C$171,"=5",$AT$36:$AT$171)</f>
        <v>0.42777777777777781</v>
      </c>
      <c r="S269" s="39">
        <f>AVERAGEIF($C$36:$C$171,"=5",$AV$36:$AV$171)</f>
        <v>0.39166666666666672</v>
      </c>
      <c r="T269" s="39">
        <f>AVERAGEIF($C$36:$C$171,"=5",$AU$36:$AU$171)</f>
        <v>0.30444444444444441</v>
      </c>
      <c r="U269" s="39">
        <f>AVERAGEIF($C$36:$C$171,"=5",$BE$36:$BE$171)</f>
        <v>0.39111111111111119</v>
      </c>
      <c r="V269" s="39">
        <f>AVERAGEIF($C$36:$C$171,"=5",$BF$36:$BF$171)</f>
        <v>0.30111111111111105</v>
      </c>
      <c r="W269" s="501">
        <f>AVERAGEIF($C$36:$C$171,"=5",$BG$36:$BG$171)</f>
        <v>0.48444444444444446</v>
      </c>
      <c r="X269" s="500">
        <v>0.41235294117647059</v>
      </c>
      <c r="Y269" s="39">
        <v>0.28176470588235292</v>
      </c>
      <c r="Z269" s="501">
        <v>0.37823529411764706</v>
      </c>
      <c r="AA269" s="500">
        <v>0.30941176470588239</v>
      </c>
      <c r="AB269" s="39">
        <v>0.4129411764705882</v>
      </c>
      <c r="AC269" s="501">
        <v>0.4205882352941176</v>
      </c>
      <c r="AD269" s="500">
        <v>0.39411764705882352</v>
      </c>
      <c r="AE269" s="39">
        <v>0.39588235294117657</v>
      </c>
      <c r="AF269" s="39">
        <v>0.27294117647058824</v>
      </c>
      <c r="BR269" s="85"/>
      <c r="BS269" s="85"/>
      <c r="BT269" s="85"/>
      <c r="BU269" s="85"/>
    </row>
    <row r="270" spans="5:77" x14ac:dyDescent="0.2">
      <c r="E270" s="27" t="s">
        <v>249</v>
      </c>
      <c r="F270" s="39">
        <f>AVERAGEIF($C$36:$C$171,"=6",$K$36:$K$171)</f>
        <v>0.47866666666666668</v>
      </c>
      <c r="G270" s="39">
        <f>AVERAGEIF($C$36:$C$171,"=6",$J$36:$J$171)</f>
        <v>0.4273333333333334</v>
      </c>
      <c r="H270" s="39">
        <f>AVERAGEIF($C$36:$C$171,"=6",$L$36:$L$171)</f>
        <v>0.53599999999999992</v>
      </c>
      <c r="I270" s="39">
        <f>AVERAGEIF($C$36:$C$171,"=6",$T$36:$T$171)</f>
        <v>0.47800000000000004</v>
      </c>
      <c r="J270" s="39">
        <f>AVERAGEIF($C$36:$C$171,"=6",$S$36:$S$171)</f>
        <v>0.44200000000000006</v>
      </c>
      <c r="K270" s="39">
        <f>AVERAGEIF($C$36:$C$171,"=6",$U$36:$U$171)</f>
        <v>0.47666666666666668</v>
      </c>
      <c r="L270" s="39">
        <f>AVERAGEIF($C$36:$C$171,"=6",$AB$36:$AB$171)</f>
        <v>0.42642857142857149</v>
      </c>
      <c r="M270" s="39">
        <f>AVERAGEIF($C$36:$C$171,"=6",$AC$36:$AC$171)</f>
        <v>0.46642857142857136</v>
      </c>
      <c r="N270" s="39">
        <f>AVERAGEIF($C$36:$C$171,"=6",$AD$36:$AD$171)</f>
        <v>0.50357142857142856</v>
      </c>
      <c r="O270" s="39">
        <f>AVERAGEIF($C$36:$C$171,"=6",$AK$36:$AK$171)</f>
        <v>0.41399999999999998</v>
      </c>
      <c r="P270" s="39">
        <f>AVERAGEIF($C$36:$C$171,"=6",$AL$36:$AL$171)</f>
        <v>0.36333333333333334</v>
      </c>
      <c r="Q270" s="39">
        <f>AVERAGEIF($C$36:$C$171,"=6",$AM$36:$AM$171)</f>
        <v>0.38933333333333336</v>
      </c>
      <c r="R270" s="39">
        <f>AVERAGEIF($C$36:$C$171,"=6",$AT$36:$AT$171)</f>
        <v>0.48529411764705882</v>
      </c>
      <c r="S270" s="39">
        <f>AVERAGEIF($C$36:$C$171,"=6",$AV$36:$AV$171)</f>
        <v>0.45294117647058824</v>
      </c>
      <c r="T270" s="39">
        <f>AVERAGEIF($C$36:$C$171,"=6",$AU$36:$AU$171)</f>
        <v>0.37882352941176473</v>
      </c>
      <c r="U270" s="39">
        <f>AVERAGEIF($C$36:$C$171,"=6",$BE$36:$BE$171)</f>
        <v>0.45058823529411773</v>
      </c>
      <c r="V270" s="39">
        <f>AVERAGEIF($C$36:$C$171,"=6",$BF$36:$BF$171)</f>
        <v>0.33588235294117647</v>
      </c>
      <c r="W270" s="501">
        <f>AVERAGEIF($C$36:$C$171,"=6",$BG$36:$BG$171)</f>
        <v>0.53117647058823536</v>
      </c>
      <c r="X270" s="500">
        <v>0.46736842105263154</v>
      </c>
      <c r="Y270" s="39">
        <v>0.3436842105263157</v>
      </c>
      <c r="Z270" s="501">
        <v>0.44210526315789478</v>
      </c>
      <c r="AA270" s="500">
        <v>0.34649999999999997</v>
      </c>
      <c r="AB270" s="39">
        <v>0.44449999999999995</v>
      </c>
      <c r="AC270" s="501">
        <v>0.46149999999999991</v>
      </c>
      <c r="AD270" s="500">
        <v>0.43833333333333335</v>
      </c>
      <c r="AE270" s="39">
        <v>0.4200000000000001</v>
      </c>
      <c r="AF270" s="39">
        <v>0.31277777777777782</v>
      </c>
    </row>
    <row r="271" spans="5:77" x14ac:dyDescent="0.2">
      <c r="X271"/>
      <c r="Y271"/>
      <c r="Z271"/>
      <c r="AA271"/>
      <c r="AB271"/>
      <c r="AC271"/>
    </row>
    <row r="272" spans="5:77" x14ac:dyDescent="0.2">
      <c r="F272" s="964">
        <v>2016</v>
      </c>
      <c r="G272" s="964"/>
      <c r="H272" s="964"/>
      <c r="I272" s="964"/>
      <c r="J272" s="964"/>
      <c r="K272" s="964"/>
      <c r="L272" s="964">
        <v>2017</v>
      </c>
      <c r="M272" s="964"/>
      <c r="N272" s="964"/>
      <c r="O272" s="964"/>
      <c r="P272" s="964"/>
      <c r="Q272" s="964"/>
      <c r="R272" s="964">
        <v>2018</v>
      </c>
      <c r="S272" s="964"/>
      <c r="T272" s="964"/>
      <c r="U272" s="964"/>
      <c r="V272" s="964"/>
      <c r="W272" s="964"/>
      <c r="X272" s="964">
        <v>2019</v>
      </c>
      <c r="Y272" s="964"/>
      <c r="Z272" s="964"/>
      <c r="AA272" s="964"/>
      <c r="AB272" s="964"/>
      <c r="AC272" s="964"/>
      <c r="AD272" s="964">
        <v>2020</v>
      </c>
      <c r="AE272" s="964"/>
      <c r="AF272" s="964"/>
      <c r="AG272" s="964"/>
      <c r="AH272" s="964"/>
      <c r="AI272" s="964"/>
      <c r="AJ272" s="964">
        <v>2021</v>
      </c>
      <c r="AK272" s="964"/>
      <c r="AL272" s="964"/>
      <c r="AM272" s="964"/>
      <c r="AN272" s="964"/>
      <c r="AO272" s="965"/>
      <c r="AP272" s="974">
        <v>2022</v>
      </c>
      <c r="AQ272" s="964"/>
      <c r="AR272" s="964"/>
      <c r="AS272" s="964"/>
      <c r="AT272" s="964"/>
      <c r="AU272" s="965"/>
      <c r="AV272" s="964">
        <v>2023</v>
      </c>
      <c r="AW272" s="964"/>
      <c r="AX272" s="964"/>
      <c r="AY272" s="964"/>
      <c r="AZ272" s="964"/>
      <c r="BA272" s="965"/>
      <c r="BB272" s="964">
        <v>2024</v>
      </c>
      <c r="BC272" s="964"/>
      <c r="BD272" s="964"/>
      <c r="BE272" s="964"/>
      <c r="BF272" s="964"/>
      <c r="BG272" s="964"/>
    </row>
    <row r="273" spans="4:59" x14ac:dyDescent="0.2">
      <c r="F273" s="964" t="s">
        <v>252</v>
      </c>
      <c r="G273" s="964"/>
      <c r="H273" s="964"/>
      <c r="I273" s="964" t="s">
        <v>253</v>
      </c>
      <c r="J273" s="964"/>
      <c r="K273" s="964"/>
      <c r="L273" s="964" t="s">
        <v>252</v>
      </c>
      <c r="M273" s="964"/>
      <c r="N273" s="964"/>
      <c r="O273" s="964" t="s">
        <v>253</v>
      </c>
      <c r="P273" s="964"/>
      <c r="Q273" s="964"/>
      <c r="R273" s="964" t="s">
        <v>252</v>
      </c>
      <c r="S273" s="964"/>
      <c r="T273" s="964"/>
      <c r="U273" s="964" t="s">
        <v>253</v>
      </c>
      <c r="V273" s="964"/>
      <c r="W273" s="964"/>
      <c r="X273" s="964" t="s">
        <v>252</v>
      </c>
      <c r="Y273" s="964"/>
      <c r="Z273" s="964"/>
      <c r="AA273" s="964" t="s">
        <v>253</v>
      </c>
      <c r="AB273" s="964"/>
      <c r="AC273" s="964"/>
      <c r="AD273" s="964" t="s">
        <v>252</v>
      </c>
      <c r="AE273" s="964"/>
      <c r="AF273" s="964"/>
      <c r="AG273" s="964" t="s">
        <v>253</v>
      </c>
      <c r="AH273" s="964"/>
      <c r="AI273" s="964"/>
      <c r="AJ273" s="964" t="s">
        <v>252</v>
      </c>
      <c r="AK273" s="964"/>
      <c r="AL273" s="964"/>
      <c r="AM273" s="964" t="s">
        <v>253</v>
      </c>
      <c r="AN273" s="964"/>
      <c r="AO273" s="965"/>
      <c r="AP273" s="964" t="s">
        <v>252</v>
      </c>
      <c r="AQ273" s="964"/>
      <c r="AR273" s="964"/>
      <c r="AS273" s="964" t="s">
        <v>253</v>
      </c>
      <c r="AT273" s="964"/>
      <c r="AU273" s="965"/>
      <c r="AV273" s="964" t="s">
        <v>252</v>
      </c>
      <c r="AW273" s="964"/>
      <c r="AX273" s="964"/>
      <c r="AY273" s="964" t="s">
        <v>253</v>
      </c>
      <c r="AZ273" s="964"/>
      <c r="BA273" s="965"/>
      <c r="BB273" s="964" t="s">
        <v>252</v>
      </c>
      <c r="BC273" s="964"/>
      <c r="BD273" s="964"/>
      <c r="BE273" s="964" t="s">
        <v>253</v>
      </c>
      <c r="BF273" s="964"/>
      <c r="BG273" s="964"/>
    </row>
    <row r="274" spans="4:59" x14ac:dyDescent="0.2">
      <c r="F274" s="202" t="s">
        <v>907</v>
      </c>
      <c r="G274" s="202" t="s">
        <v>908</v>
      </c>
      <c r="H274" s="202" t="s">
        <v>909</v>
      </c>
      <c r="I274" s="202" t="s">
        <v>907</v>
      </c>
      <c r="J274" s="202" t="s">
        <v>908</v>
      </c>
      <c r="K274" s="202" t="s">
        <v>909</v>
      </c>
      <c r="L274" s="202" t="s">
        <v>907</v>
      </c>
      <c r="M274" s="202" t="s">
        <v>908</v>
      </c>
      <c r="N274" s="202" t="s">
        <v>909</v>
      </c>
      <c r="O274" s="202" t="s">
        <v>907</v>
      </c>
      <c r="P274" s="202" t="s">
        <v>908</v>
      </c>
      <c r="Q274" s="202" t="s">
        <v>909</v>
      </c>
      <c r="R274" s="202" t="s">
        <v>907</v>
      </c>
      <c r="S274" s="202" t="s">
        <v>908</v>
      </c>
      <c r="T274" s="202" t="s">
        <v>909</v>
      </c>
      <c r="U274" s="202" t="s">
        <v>907</v>
      </c>
      <c r="V274" s="202" t="s">
        <v>908</v>
      </c>
      <c r="W274" s="202" t="s">
        <v>909</v>
      </c>
      <c r="X274" s="202" t="s">
        <v>907</v>
      </c>
      <c r="Y274" s="202" t="s">
        <v>908</v>
      </c>
      <c r="Z274" s="202" t="s">
        <v>909</v>
      </c>
      <c r="AA274" s="202" t="s">
        <v>907</v>
      </c>
      <c r="AB274" s="202" t="s">
        <v>908</v>
      </c>
      <c r="AC274" s="202" t="s">
        <v>909</v>
      </c>
      <c r="AD274" s="202" t="s">
        <v>907</v>
      </c>
      <c r="AE274" s="202" t="s">
        <v>908</v>
      </c>
      <c r="AF274" s="202" t="s">
        <v>909</v>
      </c>
      <c r="AG274" s="202" t="s">
        <v>907</v>
      </c>
      <c r="AH274" s="202" t="s">
        <v>908</v>
      </c>
      <c r="AI274" s="202" t="s">
        <v>909</v>
      </c>
      <c r="AJ274" s="202" t="s">
        <v>907</v>
      </c>
      <c r="AK274" s="202" t="s">
        <v>908</v>
      </c>
      <c r="AL274" s="202" t="s">
        <v>909</v>
      </c>
      <c r="AM274" s="202" t="s">
        <v>907</v>
      </c>
      <c r="AN274" s="202" t="s">
        <v>908</v>
      </c>
      <c r="AO274" s="502" t="s">
        <v>909</v>
      </c>
      <c r="AP274" s="202" t="s">
        <v>907</v>
      </c>
      <c r="AQ274" s="202" t="s">
        <v>908</v>
      </c>
      <c r="AR274" s="202" t="s">
        <v>909</v>
      </c>
      <c r="AS274" s="202" t="s">
        <v>907</v>
      </c>
      <c r="AT274" s="202" t="s">
        <v>908</v>
      </c>
      <c r="AU274" s="502" t="s">
        <v>909</v>
      </c>
      <c r="AV274" s="202" t="s">
        <v>907</v>
      </c>
      <c r="AW274" s="202" t="s">
        <v>908</v>
      </c>
      <c r="AX274" s="202" t="s">
        <v>909</v>
      </c>
      <c r="AY274" s="202" t="s">
        <v>907</v>
      </c>
      <c r="AZ274" s="202" t="s">
        <v>908</v>
      </c>
      <c r="BA274" s="502" t="s">
        <v>909</v>
      </c>
      <c r="BB274" s="202" t="s">
        <v>907</v>
      </c>
      <c r="BC274" s="202" t="s">
        <v>908</v>
      </c>
      <c r="BD274" s="202" t="s">
        <v>909</v>
      </c>
      <c r="BE274" s="202" t="s">
        <v>907</v>
      </c>
      <c r="BF274" s="202" t="s">
        <v>908</v>
      </c>
      <c r="BG274" s="202" t="s">
        <v>909</v>
      </c>
    </row>
    <row r="275" spans="4:59" x14ac:dyDescent="0.2">
      <c r="E275" s="27" t="s">
        <v>244</v>
      </c>
      <c r="F275" s="39">
        <f>AVERAGEIFS($K$36:$K$171,$C$36:$C$171,"=1", $B$36:$B$171,"OFICIAL")</f>
        <v>0.48749999999999999</v>
      </c>
      <c r="G275" s="39">
        <f>AVERAGEIFS($J$36:$J$171,$C$36:$C$171,"=1", $B$36:$B$171,"OFICIAL")</f>
        <v>0.43499999999999994</v>
      </c>
      <c r="H275" s="39">
        <f>AVERAGEIFS($L$36:$L$171,$C$36:$C$171,"=1", $B$36:$B$171,"OFICIAL")</f>
        <v>0.55000000000000004</v>
      </c>
      <c r="I275" s="39">
        <f>AVERAGEIFS($K$36:$K$171,$C$36:$C$171,"=1", $B$36:$B$171,"NO OFICIAL")</f>
        <v>0.47999999999999987</v>
      </c>
      <c r="J275" s="39">
        <f>AVERAGEIFS($J$36:$J$171,$C$36:$C$171,"=1", $B$36:$B$171,"NO OFICIAL")</f>
        <v>0.43461538461538463</v>
      </c>
      <c r="K275" s="39">
        <f>AVERAGEIFS($L$36:$L$171,$C$36:$C$171,"=1", $B$36:$B$171,"NO OFICIAL")</f>
        <v>0.56230769230769218</v>
      </c>
      <c r="L275" s="39">
        <f>AVERAGEIFS($T$36:$T$171,$C$36:$C$171,"=1", $B$36:$B$171,"OFICIAL")</f>
        <v>0.45500000000000002</v>
      </c>
      <c r="M275" s="39">
        <f>AVERAGEIFS($S$36:$S$171,$C$36:$C$171,"=1", $B$36:$B$171,"OFICIAL")</f>
        <v>0.42000000000000004</v>
      </c>
      <c r="N275" s="39">
        <f>AVERAGEIFS($U$36:$U$171,$C$36:$C$171,"=1", $B$36:$B$171,"OFICIAL")</f>
        <v>0.45249999999999996</v>
      </c>
      <c r="O275" s="39">
        <f>AVERAGEIFS($T$36:$T$171,$C$36:$C$171,"=1", $B$36:$B$171,"NO OFICIAL")</f>
        <v>0.48833333333333334</v>
      </c>
      <c r="P275" s="39">
        <f>AVERAGEIFS($S$36:$S$171,$C$36:$C$171,"=1", $B$36:$B$171,"NO OFICIAL")</f>
        <v>0.45500000000000007</v>
      </c>
      <c r="Q275" s="39">
        <f>AVERAGEIFS($U$36:$U$171,$C$36:$C$171,"=1", $B$36:$B$171,"NO OFICIAL")</f>
        <v>0.46999999999999992</v>
      </c>
      <c r="R275" s="39">
        <f>AVERAGEIFS($AB$36:$AB$171,$C$36:$C$171,"=1", $B$36:$B$171,"OFICIAL")</f>
        <v>0.4325</v>
      </c>
      <c r="S275" s="39">
        <f>AVERAGEIFS($AC$36:$AC$171,$C$36:$C$171,"=1", $B$36:$B$171,"OFICIAL")</f>
        <v>0.48499999999999999</v>
      </c>
      <c r="T275" s="39">
        <f>AVERAGEIFS($AD$36:$AD$171,$C$36:$C$171,"=1", $B$36:$B$171,"OFICIAL")</f>
        <v>0.505</v>
      </c>
      <c r="U275" s="39">
        <f>AVERAGEIFS($AB$36:$AB$171,$C$36:$C$171,"=1", $B$36:$B$171,"NO OFICIAL")</f>
        <v>0.44307692307692303</v>
      </c>
      <c r="V275" s="39">
        <f>AVERAGEIFS($AC$36:$AC$171,$C$36:$C$171,"=1", $B$36:$B$171,"NO OFICIAL")</f>
        <v>0.47000000000000003</v>
      </c>
      <c r="W275" s="39">
        <f>AVERAGEIFS($AD$36:$AD$171,$C$36:$C$171,"=1", $B$36:$B$171,"NO OFICIAL")</f>
        <v>0.49769230769230766</v>
      </c>
      <c r="X275" s="39">
        <f>AVERAGEIFS($AK$36:$AK$171,$C$36:$C$171,"=1", $B$36:$B$171,"OFICIAL")</f>
        <v>0.42249999999999999</v>
      </c>
      <c r="Y275" s="39">
        <f>AVERAGEIFS($AL$36:$AL$171,$C$36:$C$171,"=1", $B$36:$B$171,"OFICIAL")</f>
        <v>0.36250000000000004</v>
      </c>
      <c r="Z275" s="39">
        <f>AVERAGEIFS($AM$36:$AM$171,$C$36:$C$171,"=1", $B$36:$B$171,"OFICIAL")</f>
        <v>0.41500000000000004</v>
      </c>
      <c r="AA275" s="39">
        <f>AVERAGEIFS($AK$36:$AK$171,$C$36:$C$171,"=1", $B$36:$B$171,"NO OFICIAL")</f>
        <v>0.42</v>
      </c>
      <c r="AB275" s="39">
        <f>AVERAGEIFS($AL$36:$AL$171,$C$36:$C$171,"=1", $B$36:$B$171,"NO OFICIAL")</f>
        <v>0.36692307692307691</v>
      </c>
      <c r="AC275" s="39">
        <f t="shared" ref="AC275:AC280" si="31">AVERAGEIFS($AM$36:$AM$171,$C$36:$C$171,"=1", $B$36:$B$171,"NO OFICIAL")</f>
        <v>0.4284615384615385</v>
      </c>
      <c r="AD275" s="39">
        <f>AVERAGEIFS($AT$36:$AT$171,$C$36:$C$171,"=1", $B$36:$B$171,"OFICIAL")</f>
        <v>0.46249999999999997</v>
      </c>
      <c r="AE275" s="39">
        <f>AVERAGEIFS($AV$36:$AV$171,$C$36:$C$171,"=1", $B$36:$B$171,"OFICIAL")</f>
        <v>0.41749999999999998</v>
      </c>
      <c r="AF275" s="39">
        <f>AVERAGEIFS($AU$36:$AU$171,$C$36:$C$171,"=1", $B$36:$B$171,"OFICIAL")</f>
        <v>0.35499999999999998</v>
      </c>
      <c r="AG275" s="39">
        <f>AVERAGEIFS($AT$36:$AT$171,$C$36:$C$171,"=1", $B$36:$B$171,"NO OFICIAL")</f>
        <v>0.4646153846153846</v>
      </c>
      <c r="AH275" s="39">
        <f>AVERAGEIFS($AV$36:$AV$171,$C$36:$C$171,"=1", $B$36:$B$171,"NO OFICIAL")</f>
        <v>0.44153846153846155</v>
      </c>
      <c r="AI275" s="39">
        <f>AVERAGEIFS($AU$36:$AU$171,$C$36:$C$171,"=1", $B$36:$B$171,"NO OFICIAL")</f>
        <v>0.36230769230769233</v>
      </c>
      <c r="AJ275" s="39">
        <f>AVERAGEIFS($BE$36:$BE$171,$C$36:$C$171,"=1", $B$36:$B$171,"OFICIAL")</f>
        <v>0.44749999999999995</v>
      </c>
      <c r="AK275" s="39">
        <f>AVERAGEIFS($BF$36:$BF$171,$C$36:$C$171,"=1", $B$36:$B$171,"OFICIAL")</f>
        <v>0.34</v>
      </c>
      <c r="AL275" s="39">
        <f>AVERAGEIFS($BG$36:$BG$171,$C$36:$C$171,"=1", $B$36:$B$171,"OFICIAL")</f>
        <v>0.54749999999999999</v>
      </c>
      <c r="AM275" s="39">
        <f>AVERAGEIFS($BE$36:$BE$171,$C$36:$C$171,"=1", $B$36:$B$171,"NO OFICIAL")</f>
        <v>0.42692307692307696</v>
      </c>
      <c r="AN275" s="39">
        <f>AVERAGEIFS($BF$36:$BF$171,$C$36:$C$171,"=1", $B$36:$B$171,"NO OFICIAL")</f>
        <v>0.31538461538461537</v>
      </c>
      <c r="AO275" s="501">
        <f>AVERAGEIFS($BG$36:$BG$171,$C$36:$C$171,"=1", $B$36:$B$171,"NO OFICIAL")</f>
        <v>0.53307692307692311</v>
      </c>
      <c r="AP275" s="500">
        <v>0.47199999999999998</v>
      </c>
      <c r="AQ275" s="39">
        <v>0.35199999999999998</v>
      </c>
      <c r="AR275" s="39">
        <v>0.45599999999999996</v>
      </c>
      <c r="AS275" s="39">
        <v>0.45461538461538453</v>
      </c>
      <c r="AT275" s="39">
        <v>0.33076923076923076</v>
      </c>
      <c r="AU275" s="501">
        <v>0.4407692307692308</v>
      </c>
      <c r="AV275" s="500">
        <v>0.374</v>
      </c>
      <c r="AW275" s="39">
        <v>0.49800000000000005</v>
      </c>
      <c r="AX275" s="39">
        <v>0.51400000000000001</v>
      </c>
      <c r="AY275" s="39">
        <v>0.34666666666666668</v>
      </c>
      <c r="AZ275" s="39">
        <v>0.45083333333333336</v>
      </c>
      <c r="BA275" s="501">
        <v>0.47916666666666669</v>
      </c>
      <c r="BB275" s="500">
        <v>0.45400000000000001</v>
      </c>
      <c r="BC275" s="39">
        <v>0.45400000000000001</v>
      </c>
      <c r="BD275" s="39">
        <v>0.36199999999999999</v>
      </c>
      <c r="BE275" s="39">
        <v>0.43000000000000005</v>
      </c>
      <c r="BF275" s="39">
        <v>0.43454545454545462</v>
      </c>
      <c r="BG275" s="39">
        <v>0.31454545454545457</v>
      </c>
    </row>
    <row r="276" spans="4:59" x14ac:dyDescent="0.2">
      <c r="E276" s="27" t="s">
        <v>245</v>
      </c>
      <c r="F276" s="39">
        <f>AVERAGEIFS($K$36:$K$171,$C$36:$C$171,"=2", $B$36:$B$171,"OFICIAL")</f>
        <v>0.49</v>
      </c>
      <c r="G276" s="39">
        <f>AVERAGEIFS($J$36:$J$171,$C$36:$C$171,"=2", $B$36:$B$171,"OFICIAL")</f>
        <v>0.43</v>
      </c>
      <c r="H276" s="39">
        <f>AVERAGEIFS($L$36:$L$171,$C$36:$C$171,"=2", $B$36:$B$171,"OFICIAL")</f>
        <v>0.54499999999999993</v>
      </c>
      <c r="I276" s="39">
        <f>AVERAGEIFS($K$36:$K$171,$C$36:$C$171,"=2", $B$36:$B$171,"NO OFICIAL")</f>
        <v>0.45222222222222225</v>
      </c>
      <c r="J276" s="39">
        <f>AVERAGEIFS($J$36:$J$171,$C$36:$C$171,"=2", $B$36:$B$171,"NO OFICIAL")</f>
        <v>0.41055555555555551</v>
      </c>
      <c r="K276" s="39">
        <f>AVERAGEIFS($L$36:$L$171,$C$36:$C$171,"=2", $B$36:$B$171,"NO OFICIAL")</f>
        <v>0.50944444444444448</v>
      </c>
      <c r="L276" s="39">
        <f>AVERAGEIFS($T$36:$T$171,$C$36:$C$171,"=2", $B$36:$B$171,"OFICIAL")</f>
        <v>0.46499999999999997</v>
      </c>
      <c r="M276" s="39">
        <f>AVERAGEIFS($S$36:$S$171,$C$36:$C$171,"=2", $B$36:$B$171,"OFICIAL")</f>
        <v>0.43</v>
      </c>
      <c r="N276" s="39">
        <f>AVERAGEIFS($U$36:$U$171,$C$36:$C$171,"=2", $B$36:$B$171,"OFICIAL")</f>
        <v>0.47499999999999998</v>
      </c>
      <c r="O276" s="39">
        <f>AVERAGEIFS($T$36:$T$171,$C$36:$C$171,"=2", $B$36:$B$171,"NO OFICIAL")</f>
        <v>0.44588235294117651</v>
      </c>
      <c r="P276" s="39">
        <f>AVERAGEIFS($S$36:$S$171,$C$36:$C$171,"=2", $B$36:$B$171,"NO OFICIAL")</f>
        <v>0.40588235294117647</v>
      </c>
      <c r="Q276" s="39">
        <f>AVERAGEIFS($U$36:$U$171,$C$36:$C$171,"=2", $B$36:$B$171,"NO OFICIAL")</f>
        <v>0.43882352941176472</v>
      </c>
      <c r="R276" s="39">
        <f>AVERAGEIFS($AB$36:$AB$171,$C$36:$C$171,"=2", $B$36:$B$171,"OFICIAL")</f>
        <v>0.42499999999999999</v>
      </c>
      <c r="S276" s="39">
        <f>AVERAGEIFS($AC$36:$AC$171,$C$36:$C$171,"=2", $B$36:$B$171,"OFICIAL")</f>
        <v>0.495</v>
      </c>
      <c r="T276" s="39">
        <f>AVERAGEIFS($AD$36:$AD$171,$C$36:$C$171,"=2", $B$36:$B$171,"OFICIAL")</f>
        <v>0.505</v>
      </c>
      <c r="U276" s="39">
        <f>AVERAGEIFS($AB$36:$AB$171,$C$36:$C$171,"=2", $B$36:$B$171,"NO OFICIAL")</f>
        <v>0.41411764705882348</v>
      </c>
      <c r="V276" s="39">
        <f>AVERAGEIFS($AC$36:$AC$171,$C$36:$C$171,"=2", $B$36:$B$171,"NO OFICIAL")</f>
        <v>0.4629411764705883</v>
      </c>
      <c r="W276" s="39">
        <f>AVERAGEIFS($AD$36:$AD$171,$C$36:$C$171,"=2", $B$36:$B$171,"NO OFICIAL")</f>
        <v>0.47764705882352948</v>
      </c>
      <c r="X276" s="39">
        <f>AVERAGEIFS($AK$36:$AK$171,$C$36:$C$171,"=2", $B$36:$B$171,"OFICIAL")</f>
        <v>0.41000000000000003</v>
      </c>
      <c r="Y276" s="39">
        <f>AVERAGEIFS($AL$36:$AL$171,$C$36:$C$171,"=2", $B$36:$B$171,"OFICIAL")</f>
        <v>0.36</v>
      </c>
      <c r="Z276" s="39">
        <f>AVERAGEIFS($AM$36:$AM$171,$C$36:$C$171,"=2", $B$36:$B$171,"OFICIAL")</f>
        <v>0.42</v>
      </c>
      <c r="AA276" s="39">
        <f>AVERAGEIFS($AK$36:$AK$171,$C$36:$C$171,"=2", $B$36:$B$171,"NO OFICIAL")</f>
        <v>0.38777777777777783</v>
      </c>
      <c r="AB276" s="39">
        <f>AVERAGEIFS($AL$36:$AL$171,$C$36:$C$171,"=2", $B$36:$B$171,"NO OFICIAL")</f>
        <v>0.33777777777777779</v>
      </c>
      <c r="AC276" s="39">
        <f t="shared" si="31"/>
        <v>0.4284615384615385</v>
      </c>
      <c r="AD276" s="39">
        <f>AVERAGEIFS($AT$36:$AT$171,$C$36:$C$171,"=2", $B$36:$B$171,"OFICIAL")</f>
        <v>0.47499999999999998</v>
      </c>
      <c r="AE276" s="39">
        <f>AVERAGEIFS($AV$36:$AV$171,$C$36:$C$171,"=2", $B$36:$B$171,"OFICIAL")</f>
        <v>0.42499999999999999</v>
      </c>
      <c r="AF276" s="39">
        <f>AVERAGEIFS($AU$36:$AU$171,$C$36:$C$171,"=2", $B$36:$B$171,"OFICIAL")</f>
        <v>0.36</v>
      </c>
      <c r="AG276" s="39">
        <f>AVERAGEIFS($AT$36:$AT$171,$C$36:$C$171,"=2", $B$36:$B$171,"NO OFICIAL")</f>
        <v>0.43090909090909091</v>
      </c>
      <c r="AH276" s="39">
        <f>AVERAGEIFS($AV$36:$AV$171,$C$36:$C$171,"=2", $B$36:$B$171,"NO OFICIAL")</f>
        <v>0.41636363636363638</v>
      </c>
      <c r="AI276" s="39">
        <f>AVERAGEIFS($AU$36:$AU$171,$C$36:$C$171,"=2", $B$36:$B$171,"NO OFICIAL")</f>
        <v>0.36181818181818176</v>
      </c>
      <c r="AJ276" s="39">
        <f>AVERAGEIFS($BE$36:$BE$171,$C$36:$C$171,"=2", $B$36:$B$171,"OFICIAL")</f>
        <v>0.45500000000000002</v>
      </c>
      <c r="AK276" s="39">
        <f>AVERAGEIFS($BF$36:$BF$171,$C$36:$C$171,"=2", $B$36:$B$171,"OFICIAL")</f>
        <v>0.36</v>
      </c>
      <c r="AL276" s="39">
        <f>AVERAGEIFS($BG$36:$BG$171,$C$36:$C$171,"=2", $B$36:$B$171,"OFICIAL")</f>
        <v>0.55000000000000004</v>
      </c>
      <c r="AM276" s="39">
        <f>AVERAGEIFS($BE$36:$BE$171,$C$36:$C$171,"=2", $B$36:$B$171,"NO OFICIAL")</f>
        <v>0.4335</v>
      </c>
      <c r="AN276" s="39">
        <f>AVERAGEIFS($BF$36:$BF$171,$C$36:$C$171,"=2", $B$36:$B$171,"NO OFICIAL")</f>
        <v>0.33399999999999996</v>
      </c>
      <c r="AO276" s="501">
        <f>AVERAGEIFS($BG$36:$BG$171,$C$36:$C$171,"=2", $B$36:$B$171,"NO OFICIAL")</f>
        <v>0.52500000000000013</v>
      </c>
      <c r="AP276" s="500">
        <v>0.46749999999999997</v>
      </c>
      <c r="AQ276" s="39">
        <v>0.36</v>
      </c>
      <c r="AR276" s="39">
        <v>0.45499999999999996</v>
      </c>
      <c r="AS276" s="39">
        <v>0.42904761904761912</v>
      </c>
      <c r="AT276" s="39">
        <v>0.30285714285714282</v>
      </c>
      <c r="AU276" s="501">
        <v>0.38666666666666671</v>
      </c>
      <c r="AV276" s="500">
        <v>0.37</v>
      </c>
      <c r="AW276" s="39">
        <v>0.47249999999999998</v>
      </c>
      <c r="AX276" s="39">
        <v>0.4975</v>
      </c>
      <c r="AY276" s="39">
        <v>0.33681818181818185</v>
      </c>
      <c r="AZ276" s="39">
        <v>0.43909090909090903</v>
      </c>
      <c r="BA276" s="501">
        <v>0.4413636363636364</v>
      </c>
      <c r="BB276" s="500">
        <v>0.44999999999999996</v>
      </c>
      <c r="BC276" s="39">
        <v>0.44750000000000001</v>
      </c>
      <c r="BD276" s="39">
        <v>0.33499999999999996</v>
      </c>
      <c r="BE276" s="39">
        <v>0.37736842105263158</v>
      </c>
      <c r="BF276" s="39">
        <v>0.39105263157894743</v>
      </c>
      <c r="BG276" s="39">
        <v>0.28105263157894739</v>
      </c>
    </row>
    <row r="277" spans="4:59" x14ac:dyDescent="0.2">
      <c r="E277" s="27" t="s">
        <v>246</v>
      </c>
      <c r="F277" s="39">
        <f>AVERAGEIFS($K$36:$K$171,$C$36:$C$171,"=3", $B$36:$B$171,"OFICIAL")</f>
        <v>0.48399999999999999</v>
      </c>
      <c r="G277" s="39">
        <f>AVERAGEIFS($J$36:$J$171,$C$36:$C$171,"=3", $B$36:$B$171,"OFICIAL")</f>
        <v>0.47400000000000003</v>
      </c>
      <c r="H277" s="39">
        <f>AVERAGEIFS($L$36:$L$171,$C$36:$C$171,"=3", $B$36:$B$171,"OFICIAL")</f>
        <v>0.53800000000000003</v>
      </c>
      <c r="I277" s="39">
        <f>AVERAGEIFS($K$36:$K$171,$C$36:$C$171,"=3", $B$36:$B$171,"NO OFICIAL")</f>
        <v>0.46384615384615385</v>
      </c>
      <c r="J277" s="39">
        <f>AVERAGEIFS($J$36:$J$171,$C$36:$C$171,"=3", $B$36:$B$171,"NO OFICIAL")</f>
        <v>0.37769230769230772</v>
      </c>
      <c r="K277" s="39">
        <f>AVERAGEIFS($L$36:$L$171,$C$36:$C$171,"=3", $B$36:$B$171,"NO OFICIAL")</f>
        <v>0.51153846153846161</v>
      </c>
      <c r="L277" s="39">
        <f>AVERAGEIFS($T$36:$T$171,$C$36:$C$171,"=3", $B$36:$B$171,"OFICIAL")</f>
        <v>0.48399999999999999</v>
      </c>
      <c r="M277" s="39">
        <f>AVERAGEIFS($S$36:$S$171,$C$36:$C$171,"=3", $B$36:$B$171,"OFICIAL")</f>
        <v>0.42599999999999999</v>
      </c>
      <c r="N277" s="39">
        <f>AVERAGEIFS($U$36:$U$171,$C$36:$C$171,"=3", $B$36:$B$171,"OFICIAL")</f>
        <v>0.46600000000000003</v>
      </c>
      <c r="O277" s="39">
        <f>AVERAGEIFS($T$36:$T$171,$C$36:$C$171,"=3", $B$36:$B$171,"NO OFICIAL")</f>
        <v>0.44857142857142851</v>
      </c>
      <c r="P277" s="39">
        <f>AVERAGEIFS($S$36:$S$171,$C$36:$C$171,"=3", $B$36:$B$171,"NO OFICIAL")</f>
        <v>0.41785714285714282</v>
      </c>
      <c r="Q277" s="39">
        <f>AVERAGEIFS($U$36:$U$171,$C$36:$C$171,"=3", $B$36:$B$171,"NO OFICIAL")</f>
        <v>0.43928571428571433</v>
      </c>
      <c r="R277" s="39">
        <f>AVERAGEIFS($AB$36:$AB$171,$C$36:$C$171,"=3", $B$36:$B$171,"OFICIAL")</f>
        <v>0.42400000000000004</v>
      </c>
      <c r="S277" s="39">
        <f>AVERAGEIFS($AC$36:$AC$171,$C$36:$C$171,"=3", $B$36:$B$171,"OFICIAL")</f>
        <v>0.47599999999999998</v>
      </c>
      <c r="T277" s="39">
        <f>AVERAGEIFS($AD$36:$AD$171,$C$36:$C$171,"=3", $B$36:$B$171,"OFICIAL")</f>
        <v>0.504</v>
      </c>
      <c r="U277" s="39">
        <f>AVERAGEIFS($AB$36:$AB$171,$C$36:$C$171,"=3", $B$36:$B$171,"NO OFICIAL")</f>
        <v>0.39785714285714296</v>
      </c>
      <c r="V277" s="39">
        <f>AVERAGEIFS($AC$36:$AC$171,$C$36:$C$171,"=3", $B$36:$B$171,"NO OFICIAL")</f>
        <v>0.44928571428571429</v>
      </c>
      <c r="W277" s="39">
        <f>AVERAGEIFS($AD$36:$AD$171,$C$36:$C$171,"=3", $B$36:$B$171,"NO OFICIAL")</f>
        <v>0.46928571428571431</v>
      </c>
      <c r="X277" s="39">
        <f>AVERAGEIFS($AK$36:$AK$171,$C$36:$C$171,"=3", $B$36:$B$171,"OFICIAL")</f>
        <v>0.42000000000000004</v>
      </c>
      <c r="Y277" s="39">
        <f>AVERAGEIFS($AL$36:$AL$171,$C$36:$C$171,"=3", $B$36:$B$171,"OFICIAL")</f>
        <v>0.38600000000000001</v>
      </c>
      <c r="Z277" s="39">
        <f>AVERAGEIFS($AM$36:$AM$171,$C$36:$C$171,"=3", $B$36:$B$171,"OFICIAL")</f>
        <v>0.42599999999999999</v>
      </c>
      <c r="AA277" s="39">
        <f>AVERAGEIFS($AK$36:$AK$171,$C$36:$C$171,"=3", $B$36:$B$171,"NO OFICIAL")</f>
        <v>0.39357142857142863</v>
      </c>
      <c r="AB277" s="39">
        <f>AVERAGEIFS($AL$36:$AL$171,$C$36:$C$171,"=3", $B$36:$B$171,"NO OFICIAL")</f>
        <v>0.33571428571428574</v>
      </c>
      <c r="AC277" s="39">
        <f t="shared" si="31"/>
        <v>0.4284615384615385</v>
      </c>
      <c r="AD277" s="39">
        <f>AVERAGEIFS($AT$36:$AT$171,$C$36:$C$171,"=3", $B$36:$B$171,"OFICIAL")</f>
        <v>0.47599999999999998</v>
      </c>
      <c r="AE277" s="39">
        <f>AVERAGEIFS($AV$36:$AV$171,$C$36:$C$171,"=3", $B$36:$B$171,"OFICIAL")</f>
        <v>0.43600000000000005</v>
      </c>
      <c r="AF277" s="39">
        <f>AVERAGEIFS($AU$36:$AU$171,$C$36:$C$171,"=3", $B$36:$B$171,"OFICIAL")</f>
        <v>0.37799999999999995</v>
      </c>
      <c r="AG277" s="39">
        <f>AVERAGEIFS($AT$36:$AT$171,$C$36:$C$171,"=3", $B$36:$B$171,"NO OFICIAL")</f>
        <v>0.4386666666666667</v>
      </c>
      <c r="AH277" s="39">
        <f>AVERAGEIFS($AV$36:$AV$171,$C$36:$C$171,"=3", $B$36:$B$171,"NO OFICIAL")</f>
        <v>0.39466666666666667</v>
      </c>
      <c r="AI277" s="39">
        <f>AVERAGEIFS($AU$36:$AU$171,$C$36:$C$171,"=3", $B$36:$B$171,"NO OFICIAL")</f>
        <v>0.33466666666666672</v>
      </c>
      <c r="AJ277" s="39">
        <f>AVERAGEIFS($BE$36:$BE$171,$C$36:$C$171,"=3", $B$36:$B$171,"OFICIAL")</f>
        <v>0.44800000000000006</v>
      </c>
      <c r="AK277" s="39">
        <f>AVERAGEIFS($BF$36:$BF$171,$C$36:$C$171,"=3", $B$36:$B$171,"OFICIAL")</f>
        <v>0.34799999999999998</v>
      </c>
      <c r="AL277" s="39">
        <f>AVERAGEIFS($BG$36:$BG$171,$C$36:$C$171,"=3", $B$36:$B$171,"OFICIAL")</f>
        <v>0.54600000000000004</v>
      </c>
      <c r="AM277" s="39">
        <f>AVERAGEIFS($BE$36:$BE$171,$C$36:$C$171,"=3", $B$36:$B$171,"NO OFICIAL")</f>
        <v>0.4</v>
      </c>
      <c r="AN277" s="39">
        <f>AVERAGEIFS($BF$36:$BF$171,$C$36:$C$171,"=3", $B$36:$B$171,"NO OFICIAL")</f>
        <v>0.31133333333333335</v>
      </c>
      <c r="AO277" s="501">
        <f>AVERAGEIFS($BG$36:$BG$171,$C$36:$C$171,"=3", $B$36:$B$171,"NO OFICIAL")</f>
        <v>0.49933333333333341</v>
      </c>
      <c r="AP277" s="500">
        <v>0.47666666666666674</v>
      </c>
      <c r="AQ277" s="39">
        <v>0.34666666666666668</v>
      </c>
      <c r="AR277" s="39">
        <v>0.44</v>
      </c>
      <c r="AS277" s="39">
        <v>0.42000000000000004</v>
      </c>
      <c r="AT277" s="39">
        <v>0.30874999999999997</v>
      </c>
      <c r="AU277" s="501">
        <v>0.385625</v>
      </c>
      <c r="AV277" s="500">
        <v>0.3666666666666667</v>
      </c>
      <c r="AW277" s="39">
        <v>0.46833333333333327</v>
      </c>
      <c r="AX277" s="39">
        <v>0.4916666666666667</v>
      </c>
      <c r="AY277" s="39">
        <v>0.33187499999999998</v>
      </c>
      <c r="AZ277" s="39">
        <v>0.43124999999999997</v>
      </c>
      <c r="BA277" s="501">
        <v>0.44</v>
      </c>
      <c r="BB277" s="500">
        <v>0.45500000000000002</v>
      </c>
      <c r="BC277" s="39">
        <v>0.44</v>
      </c>
      <c r="BD277" s="39">
        <v>0.34333333333333332</v>
      </c>
      <c r="BE277" s="39">
        <v>0.40500000000000008</v>
      </c>
      <c r="BF277" s="39">
        <v>0.39812499999999995</v>
      </c>
      <c r="BG277" s="39">
        <v>0.29625000000000001</v>
      </c>
    </row>
    <row r="278" spans="4:59" x14ac:dyDescent="0.2">
      <c r="E278" s="27" t="s">
        <v>247</v>
      </c>
      <c r="F278" s="39">
        <f>AVERAGEIFS($K$36:$K$171,$C$36:$C$171,"=4", $B$36:$B$171,"OFICIAL")</f>
        <v>0.52666666666666673</v>
      </c>
      <c r="G278" s="39">
        <f>AVERAGEIFS($J$36:$J$171,$C$36:$C$171,"=4", $B$36:$B$171,"OFICIAL")</f>
        <v>0.48833333333333345</v>
      </c>
      <c r="H278" s="39">
        <f>AVERAGEIFS($L$36:$L$171,$C$36:$C$171,"=4", $B$36:$B$171,"OFICIAL")</f>
        <v>0.61833333333333329</v>
      </c>
      <c r="I278" s="39">
        <f>AVERAGEIFS($K$36:$K$171,$C$36:$C$171,"=4", $B$36:$B$171,"NO OFICIAL")</f>
        <v>0.52124999999999999</v>
      </c>
      <c r="J278" s="39">
        <f>AVERAGEIFS($J$36:$J$171,$C$36:$C$171,"=4", $B$36:$B$171,"NO OFICIAL")</f>
        <v>0.47125</v>
      </c>
      <c r="K278" s="39">
        <f>AVERAGEIFS($L$36:$L$171,$C$36:$C$171,"=4", $B$36:$B$171,"NO OFICIAL")</f>
        <v>0.57250000000000001</v>
      </c>
      <c r="L278" s="39">
        <f>AVERAGEIFS($T$36:$T$171,$C$36:$C$171,"=4", $B$36:$B$171,"OFICIAL")</f>
        <v>0.51666666666666672</v>
      </c>
      <c r="M278" s="39">
        <f>AVERAGEIFS($S$36:$S$171,$C$36:$C$171,"=4", $B$36:$B$171,"OFICIAL")</f>
        <v>0.47833333333333333</v>
      </c>
      <c r="N278" s="39">
        <f>AVERAGEIFS($U$36:$U$171,$C$36:$C$171,"=4", $B$36:$B$171,"OFICIAL")</f>
        <v>0.52166666666666661</v>
      </c>
      <c r="O278" s="39">
        <f>AVERAGEIFS($T$36:$T$171,$C$36:$C$171,"=4", $B$36:$B$171,"NO OFICIAL")</f>
        <v>0.44375000000000003</v>
      </c>
      <c r="P278" s="39">
        <f>AVERAGEIFS($S$36:$S$171,$C$36:$C$171,"=4", $B$36:$B$171,"NO OFICIAL")</f>
        <v>0.40374999999999994</v>
      </c>
      <c r="Q278" s="39">
        <f>AVERAGEIFS($U$36:$U$171,$C$36:$C$171,"=4", $B$36:$B$171,"NO OFICIAL")</f>
        <v>0.46750000000000003</v>
      </c>
      <c r="R278" s="39">
        <f>AVERAGEIFS($AB$36:$AB$171,$C$36:$C$171,"=4", $B$36:$B$171,"OFICIAL")</f>
        <v>0.505</v>
      </c>
      <c r="S278" s="39">
        <f>AVERAGEIFS($AC$36:$AC$171,$C$36:$C$171,"=4", $B$36:$B$171,"OFICIAL")</f>
        <v>0.53833333333333333</v>
      </c>
      <c r="T278" s="39">
        <f>AVERAGEIFS($AD$36:$AD$171,$C$36:$C$171,"=4", $B$36:$B$171,"OFICIAL")</f>
        <v>0.55333333333333334</v>
      </c>
      <c r="U278" s="39">
        <f>AVERAGEIFS($AB$36:$AB$171,$C$36:$C$171,"=4", $B$36:$B$171,"NO OFICIAL")</f>
        <v>0.4022222222222222</v>
      </c>
      <c r="V278" s="39">
        <f>AVERAGEIFS($AC$36:$AC$171,$C$36:$C$171,"=4", $B$36:$B$171,"NO OFICIAL")</f>
        <v>0.46888888888888886</v>
      </c>
      <c r="W278" s="39">
        <f>AVERAGEIFS($AD$36:$AD$171,$C$36:$C$171,"=4", $B$36:$B$171,"NO OFICIAL")</f>
        <v>0.4933333333333334</v>
      </c>
      <c r="X278" s="39">
        <f>AVERAGEIFS($AK$36:$AK$171,$C$36:$C$171,"=4", $B$36:$B$171,"OFICIAL")</f>
        <v>0.48833333333333345</v>
      </c>
      <c r="Y278" s="39">
        <f>AVERAGEIFS($AL$36:$AL$171,$C$36:$C$171,"=4", $B$36:$B$171,"OFICIAL")</f>
        <v>0.435</v>
      </c>
      <c r="Z278" s="39">
        <f>AVERAGEIFS($AM$36:$AM$171,$C$36:$C$171,"=4", $B$36:$B$171,"OFICIAL")</f>
        <v>0.47499999999999992</v>
      </c>
      <c r="AA278" s="39">
        <f>AVERAGEIFS($AK$36:$AK$171,$C$36:$C$171,"=4", $B$36:$B$171,"NO OFICIAL")</f>
        <v>0.39999999999999997</v>
      </c>
      <c r="AB278" s="39">
        <f>AVERAGEIFS($AL$36:$AL$171,$C$36:$C$171,"=4", $B$36:$B$171,"NO OFICIAL")</f>
        <v>0.37124999999999997</v>
      </c>
      <c r="AC278" s="39">
        <f t="shared" si="31"/>
        <v>0.4284615384615385</v>
      </c>
      <c r="AD278" s="39">
        <f>AVERAGEIFS($AT$36:$AT$171,$C$36:$C$171,"=4", $B$36:$B$171,"OFICIAL")</f>
        <v>0.52833333333333343</v>
      </c>
      <c r="AE278" s="39">
        <f>AVERAGEIFS($AV$36:$AV$171,$C$36:$C$171,"=4", $B$36:$B$171,"OFICIAL")</f>
        <v>0.48833333333333334</v>
      </c>
      <c r="AF278" s="39">
        <f>AVERAGEIFS($AU$36:$AU$171,$C$36:$C$171,"=4", $B$36:$B$171,"OFICIAL")</f>
        <v>0.4316666666666667</v>
      </c>
      <c r="AG278" s="39">
        <f>AVERAGEIFS($AT$36:$AT$171,$C$36:$C$171,"=4", $B$36:$B$171,"NO OFICIAL")</f>
        <v>0.48857142857142855</v>
      </c>
      <c r="AH278" s="39">
        <f>AVERAGEIFS($AV$36:$AV$171,$C$36:$C$171,"=4", $B$36:$B$171,"NO OFICIAL")</f>
        <v>0.43857142857142856</v>
      </c>
      <c r="AI278" s="39">
        <f>AVERAGEIFS($AU$36:$AU$171,$C$36:$C$171,"=4", $B$36:$B$171,"NO OFICIAL")</f>
        <v>0.40857142857142853</v>
      </c>
      <c r="AJ278" s="39">
        <f>AVERAGEIFS($BE$36:$BE$171,$C$36:$C$171,"=4", $B$36:$B$171,"OFICIAL")</f>
        <v>0.4916666666666667</v>
      </c>
      <c r="AK278" s="39">
        <f>AVERAGEIFS($BF$36:$BF$171,$C$36:$C$171,"=4", $B$36:$B$171,"OFICIAL")</f>
        <v>0.42</v>
      </c>
      <c r="AL278" s="39">
        <f>AVERAGEIFS($BG$36:$BG$171,$C$36:$C$171,"=4", $B$36:$B$171,"OFICIAL")</f>
        <v>0.59499999999999997</v>
      </c>
      <c r="AM278" s="39">
        <f>AVERAGEIFS($BE$36:$BE$171,$C$36:$C$171,"=4", $B$36:$B$171,"NO OFICIAL")</f>
        <v>0.43875000000000003</v>
      </c>
      <c r="AN278" s="39">
        <f>AVERAGEIFS($BF$36:$BF$171,$C$36:$C$171,"=4", $B$36:$B$171,"NO OFICIAL")</f>
        <v>0.35375000000000001</v>
      </c>
      <c r="AO278" s="501">
        <f>AVERAGEIFS($BG$36:$BG$171,$C$36:$C$171,"=4", $B$36:$B$171,"NO OFICIAL")</f>
        <v>0.54874999999999996</v>
      </c>
      <c r="AP278" s="500">
        <v>0.52166666666666672</v>
      </c>
      <c r="AQ278" s="39">
        <v>0.40333333333333338</v>
      </c>
      <c r="AR278" s="39">
        <v>0.52</v>
      </c>
      <c r="AS278" s="39">
        <v>0.44624999999999998</v>
      </c>
      <c r="AT278" s="39">
        <v>0.31874999999999998</v>
      </c>
      <c r="AU278" s="501">
        <v>0.44125000000000003</v>
      </c>
      <c r="AV278" s="500">
        <v>0.43166666666666664</v>
      </c>
      <c r="AW278" s="39">
        <v>0.54500000000000004</v>
      </c>
      <c r="AX278" s="39">
        <v>0.57666666666666666</v>
      </c>
      <c r="AY278" s="39">
        <v>0.4022222222222222</v>
      </c>
      <c r="AZ278" s="39">
        <v>0.49555555555555564</v>
      </c>
      <c r="BA278" s="501">
        <v>0.52555555555555555</v>
      </c>
      <c r="BB278" s="500">
        <v>0.50333333333333341</v>
      </c>
      <c r="BC278" s="39">
        <v>0.505</v>
      </c>
      <c r="BD278" s="39">
        <v>0.435</v>
      </c>
      <c r="BE278" s="39">
        <v>0.42285714285714288</v>
      </c>
      <c r="BF278" s="39">
        <v>0.42571428571428566</v>
      </c>
      <c r="BG278" s="39">
        <v>0.32714285714285712</v>
      </c>
    </row>
    <row r="279" spans="4:59" x14ac:dyDescent="0.2">
      <c r="E279" s="27" t="s">
        <v>248</v>
      </c>
      <c r="F279" s="39">
        <f>AVERAGEIFS($K$36:$K$171,$C$36:$C$171,"=5", $B$36:$B$171,"OFICIAL")</f>
        <v>0.44999999999999996</v>
      </c>
      <c r="G279" s="39">
        <f>AVERAGEIFS($J$36:$J$171,$C$36:$C$171,"=5", $B$36:$B$171,"OFICIAL")</f>
        <v>0.42333333333333334</v>
      </c>
      <c r="H279" s="39">
        <f>AVERAGEIFS($L$36:$L$171,$C$36:$C$171,"=5", $B$36:$B$171,"OFICIAL")</f>
        <v>0.53333333333333333</v>
      </c>
      <c r="I279" s="39">
        <f>AVERAGEIFS($K$36:$K$171,$C$36:$C$171,"=5", $B$36:$B$171,"NO OFICIAL")</f>
        <v>0.43285714285714288</v>
      </c>
      <c r="J279" s="39">
        <f>AVERAGEIFS($J$36:$J$171,$C$36:$C$171,"=5", $B$36:$B$171,"NO OFICIAL")</f>
        <v>0.40642857142857147</v>
      </c>
      <c r="K279" s="39">
        <f>AVERAGEIFS($L$36:$L$171,$C$36:$C$171,"=5", $B$36:$B$171,"NO OFICIAL")</f>
        <v>0.53071428571428581</v>
      </c>
      <c r="L279" s="39">
        <f>AVERAGEIFS($T$36:$T$171,$C$36:$C$171,"=5", $B$36:$B$171,"OFICIAL")</f>
        <v>0.4366666666666667</v>
      </c>
      <c r="M279" s="39">
        <f>AVERAGEIFS($S$36:$S$171,$C$36:$C$171,"=5", $B$36:$B$171,"OFICIAL")</f>
        <v>0.40333333333333332</v>
      </c>
      <c r="N279" s="39">
        <f>AVERAGEIFS($U$36:$U$171,$C$36:$C$171,"=5", $B$36:$B$171,"OFICIAL")</f>
        <v>0.45333333333333331</v>
      </c>
      <c r="O279" s="39">
        <f>AVERAGEIFS($T$36:$T$171,$C$36:$C$171,"=5", $B$36:$B$171,"NO OFICIAL")</f>
        <v>0.43</v>
      </c>
      <c r="P279" s="39">
        <f>AVERAGEIFS($S$36:$S$171,$C$36:$C$171,"=5", $B$36:$B$171,"NO OFICIAL")</f>
        <v>0.36799999999999999</v>
      </c>
      <c r="Q279" s="39">
        <f>AVERAGEIFS($U$36:$U$171,$C$36:$C$171,"=5", $B$36:$B$171,"NO OFICIAL")</f>
        <v>0.4313333333333334</v>
      </c>
      <c r="R279" s="39">
        <f>AVERAGEIFS($AB$36:$AB$171,$C$36:$C$171,"=5", $B$36:$B$171,"OFICIAL")</f>
        <v>0.42666666666666658</v>
      </c>
      <c r="S279" s="39">
        <f>AVERAGEIFS($AC$36:$AC$171,$C$36:$C$171,"=5", $B$36:$B$171,"OFICIAL")</f>
        <v>0.47333333333333333</v>
      </c>
      <c r="T279" s="39">
        <f>AVERAGEIFS($AD$36:$AD$171,$C$36:$C$171,"=5", $B$36:$B$171,"OFICIAL")</f>
        <v>0.49666666666666665</v>
      </c>
      <c r="U279" s="39">
        <f>AVERAGEIFS($AB$36:$AB$171,$C$36:$C$171,"=5", $B$36:$B$171,"NO OFICIAL")</f>
        <v>0.38866666666666666</v>
      </c>
      <c r="V279" s="39">
        <f>AVERAGEIFS($AC$36:$AC$171,$C$36:$C$171,"=5", $B$36:$B$171,"NO OFICIAL")</f>
        <v>0.45</v>
      </c>
      <c r="W279" s="39">
        <f>AVERAGEIFS($AD$36:$AD$171,$C$36:$C$171,"=5", $B$36:$B$171,"NO OFICIAL")</f>
        <v>0.45800000000000002</v>
      </c>
      <c r="X279" s="39">
        <f>AVERAGEIFS($AK$36:$AK$171,$C$36:$C$171,"=5", $B$36:$B$171,"OFICIAL")</f>
        <v>0.39666666666666667</v>
      </c>
      <c r="Y279" s="39">
        <f>AVERAGEIFS($AL$36:$AL$171,$C$36:$C$171,"=5", $B$36:$B$171,"OFICIAL")</f>
        <v>0.33</v>
      </c>
      <c r="Z279" s="39">
        <f>AVERAGEIFS($AM$36:$AM$171,$C$36:$C$171,"=5", $B$36:$B$171,"OFICIAL")</f>
        <v>0.40333333333333332</v>
      </c>
      <c r="AA279" s="39">
        <f>AVERAGEIFS($AK$36:$AK$171,$C$36:$C$171,"=5", $B$36:$B$171,"NO OFICIAL")</f>
        <v>0.37124999999999997</v>
      </c>
      <c r="AB279" s="39">
        <f>AVERAGEIFS($AL$36:$AL$171,$C$36:$C$171,"=5", $B$36:$B$171,"NO OFICIAL")</f>
        <v>0.32437500000000002</v>
      </c>
      <c r="AC279" s="39">
        <f t="shared" si="31"/>
        <v>0.4284615384615385</v>
      </c>
      <c r="AD279" s="39">
        <f>AVERAGEIFS($AT$36:$AT$171,$C$36:$C$171,"=5", $B$36:$B$171,"OFICIAL")</f>
        <v>0.43333333333333329</v>
      </c>
      <c r="AE279" s="39">
        <f>AVERAGEIFS($AV$36:$AV$171,$C$36:$C$171,"=5", $B$36:$B$171,"OFICIAL")</f>
        <v>0.41333333333333333</v>
      </c>
      <c r="AF279" s="39">
        <f>AVERAGEIFS($AU$36:$AU$171,$C$36:$C$171,"=5", $B$36:$B$171,"OFICIAL")</f>
        <v>0.32666666666666666</v>
      </c>
      <c r="AG279" s="39">
        <f>AVERAGEIFS($AT$36:$AT$171,$C$36:$C$171,"=5", $B$36:$B$171,"NO OFICIAL")</f>
        <v>0.42666666666666669</v>
      </c>
      <c r="AH279" s="39">
        <f>AVERAGEIFS($AV$36:$AV$171,$C$36:$C$171,"=5", $B$36:$B$171,"NO OFICIAL")</f>
        <v>0.38733333333333336</v>
      </c>
      <c r="AI279" s="39">
        <f>AVERAGEIFS($AU$36:$AU$171,$C$36:$C$171,"=5", $B$36:$B$171,"NO OFICIAL")</f>
        <v>0.29999999999999993</v>
      </c>
      <c r="AJ279" s="39">
        <f>AVERAGEIFS($BE$36:$BE$171,$C$36:$C$171,"=5", $B$36:$B$171,"OFICIAL")</f>
        <v>0.40333333333333332</v>
      </c>
      <c r="AK279" s="39">
        <f>AVERAGEIFS($BF$36:$BF$171,$C$36:$C$171,"=5", $B$36:$B$171,"OFICIAL")</f>
        <v>0.32666666666666666</v>
      </c>
      <c r="AL279" s="39">
        <f>AVERAGEIFS($BG$36:$BG$171,$C$36:$C$171,"=5", $B$36:$B$171,"OFICIAL")</f>
        <v>0.52</v>
      </c>
      <c r="AM279" s="39">
        <f>AVERAGEIFS($BE$36:$BE$171,$C$36:$C$171,"=5", $B$36:$B$171,"NO OFICIAL")</f>
        <v>0.38866666666666666</v>
      </c>
      <c r="AN279" s="39">
        <f>AVERAGEIFS($BF$36:$BF$171,$C$36:$C$171,"=5", $B$36:$B$171,"NO OFICIAL")</f>
        <v>0.29599999999999999</v>
      </c>
      <c r="AO279" s="501">
        <f>AVERAGEIFS($BG$36:$BG$171,$C$36:$C$171,"=5", $B$36:$B$171,"NO OFICIAL")</f>
        <v>0.47733333333333333</v>
      </c>
      <c r="AP279" s="500">
        <v>0.46</v>
      </c>
      <c r="AQ279" s="39">
        <v>0.34499999999999997</v>
      </c>
      <c r="AR279" s="39">
        <v>0.44</v>
      </c>
      <c r="AS279" s="39">
        <v>0.40599999999999992</v>
      </c>
      <c r="AT279" s="39">
        <v>0.27333333333333332</v>
      </c>
      <c r="AU279" s="501">
        <v>0.36999999999999994</v>
      </c>
      <c r="AV279" s="500">
        <v>0.38</v>
      </c>
      <c r="AW279" s="39">
        <v>0.48499999999999999</v>
      </c>
      <c r="AX279" s="39">
        <v>0.5</v>
      </c>
      <c r="AY279" s="39">
        <v>0.30000000000000004</v>
      </c>
      <c r="AZ279" s="39">
        <v>0.40333333333333332</v>
      </c>
      <c r="BA279" s="501">
        <v>0.41</v>
      </c>
      <c r="BB279" s="500">
        <v>0.41333333333333333</v>
      </c>
      <c r="BC279" s="39">
        <v>0.41333333333333333</v>
      </c>
      <c r="BD279" s="39">
        <v>0.30666666666666664</v>
      </c>
      <c r="BE279" s="39">
        <v>0.40266666666666673</v>
      </c>
      <c r="BF279" s="39">
        <v>0.40866666666666668</v>
      </c>
      <c r="BG279" s="39">
        <v>0.27200000000000008</v>
      </c>
    </row>
    <row r="280" spans="4:59" x14ac:dyDescent="0.2">
      <c r="E280" s="27" t="s">
        <v>249</v>
      </c>
      <c r="F280" s="39">
        <f>AVERAGEIFS($K$36:$K$171,$C$36:$C$171,"=6", $B$36:$B$171,"OFICIAL")</f>
        <v>0.49</v>
      </c>
      <c r="G280" s="39">
        <f>AVERAGEIFS($J$36:$J$171,$C$36:$C$171,"=6", $B$36:$B$171,"OFICIAL")</f>
        <v>0.45999999999999996</v>
      </c>
      <c r="H280" s="39">
        <f>AVERAGEIFS($L$36:$L$171,$C$36:$C$171,"=6", $B$36:$B$171,"OFICIAL")</f>
        <v>0.54999999999999993</v>
      </c>
      <c r="I280" s="39">
        <f>AVERAGEIFS($K$36:$K$171,$C$36:$C$171,"=6", $B$36:$B$171,"NO OFICIAL")</f>
        <v>0.47454545454545455</v>
      </c>
      <c r="J280" s="39">
        <f>AVERAGEIFS($J$36:$J$171,$C$36:$C$171,"=6", $B$36:$B$171,"NO OFICIAL")</f>
        <v>0.41545454545454547</v>
      </c>
      <c r="K280" s="39">
        <f>AVERAGEIFS($L$36:$L$171,$C$36:$C$171,"=6", $B$36:$B$171,"NO OFICIAL")</f>
        <v>0.53090909090909089</v>
      </c>
      <c r="L280" s="39">
        <f>AVERAGEIFS($T$36:$T$171,$C$36:$C$171,"=6", $B$36:$B$171,"OFICIAL")</f>
        <v>0.495</v>
      </c>
      <c r="M280" s="39">
        <f>AVERAGEIFS($S$36:$S$171,$C$36:$C$171,"=6", $B$36:$B$171,"OFICIAL")</f>
        <v>0.44749999999999995</v>
      </c>
      <c r="N280" s="39">
        <f>AVERAGEIFS($U$36:$U$171,$C$36:$C$171,"=6", $B$36:$B$171,"OFICIAL")</f>
        <v>0.495</v>
      </c>
      <c r="O280" s="39">
        <f>AVERAGEIFS($T$36:$T$171,$C$36:$C$171,"=6", $B$36:$B$171,"NO OFICIAL")</f>
        <v>0.47181818181818186</v>
      </c>
      <c r="P280" s="39">
        <f>AVERAGEIFS($S$36:$S$171,$C$36:$C$171,"=6", $B$36:$B$171,"NO OFICIAL")</f>
        <v>0.44</v>
      </c>
      <c r="Q280" s="39">
        <f>AVERAGEIFS($U$36:$U$171,$C$36:$C$171,"=6", $B$36:$B$171,"NO OFICIAL")</f>
        <v>0.47</v>
      </c>
      <c r="R280" s="39">
        <f>AVERAGEIFS($AB$36:$AB$171,$C$36:$C$171,"=6", $B$36:$B$171,"OFICIAL")</f>
        <v>0.45499999999999996</v>
      </c>
      <c r="S280" s="39">
        <f>AVERAGEIFS($AC$36:$AC$171,$C$36:$C$171,"=6", $B$36:$B$171,"OFICIAL")</f>
        <v>0.5</v>
      </c>
      <c r="T280" s="39">
        <f>AVERAGEIFS($AD$36:$AD$171,$C$36:$C$171,"=6", $B$36:$B$171,"OFICIAL")</f>
        <v>0.51500000000000001</v>
      </c>
      <c r="U280" s="39">
        <f>AVERAGEIFS($AB$36:$AB$171,$C$36:$C$171,"=6", $B$36:$B$171,"NO OFICIAL")</f>
        <v>0.41500000000000004</v>
      </c>
      <c r="V280" s="39">
        <f>AVERAGEIFS($AC$36:$AC$171,$C$36:$C$171,"=6", $B$36:$B$171,"NO OFICIAL")</f>
        <v>0.45299999999999996</v>
      </c>
      <c r="W280" s="39">
        <f>AVERAGEIFS($AD$36:$AD$171,$C$36:$C$171,"=6", $B$36:$B$171,"NO OFICIAL")</f>
        <v>0.499</v>
      </c>
      <c r="X280" s="39">
        <f>AVERAGEIFS($AK$36:$AK$171,$C$36:$C$171,"=6", $B$36:$B$171,"OFICIAL")</f>
        <v>0.44</v>
      </c>
      <c r="Y280" s="39">
        <f>AVERAGEIFS($AL$36:$AL$171,$C$36:$C$171,"=6", $B$36:$B$171,"OFICIAL")</f>
        <v>0.38500000000000001</v>
      </c>
      <c r="Z280" s="39">
        <f>AVERAGEIFS($AM$36:$AM$171,$C$36:$C$171,"=6", $B$36:$B$171,"OFICIAL")</f>
        <v>0.44</v>
      </c>
      <c r="AA280" s="39">
        <f>AVERAGEIFS($AK$36:$AK$171,$C$36:$C$171,"=6", $B$36:$B$171,"NO OFICIAL")</f>
        <v>0.40454545454545454</v>
      </c>
      <c r="AB280" s="39">
        <f>AVERAGEIFS($AL$36:$AL$171,$C$36:$C$171,"=6", $B$36:$B$171,"NO OFICIAL")</f>
        <v>0.35545454545454547</v>
      </c>
      <c r="AC280" s="39">
        <f t="shared" si="31"/>
        <v>0.4284615384615385</v>
      </c>
      <c r="AD280" s="39">
        <f>AVERAGEIFS($AT$36:$AT$171,$C$36:$C$171,"=6", $B$36:$B$171,"OFICIAL")</f>
        <v>0.46749999999999997</v>
      </c>
      <c r="AE280" s="39">
        <f>AVERAGEIFS($AV$36:$AV$171,$C$36:$C$171,"=6", $B$36:$B$171,"OFICIAL")</f>
        <v>0.45</v>
      </c>
      <c r="AF280" s="39">
        <f>AVERAGEIFS($AU$36:$AU$171,$C$36:$C$171,"=6", $B$36:$B$171,"OFICIAL")</f>
        <v>0.38250000000000006</v>
      </c>
      <c r="AG280" s="39">
        <f>AVERAGEIFS($AT$36:$AT$171,$C$36:$C$171,"=6", $B$36:$B$171,"NO OFICIAL")</f>
        <v>0.49076923076923085</v>
      </c>
      <c r="AH280" s="39">
        <f>AVERAGEIFS($AV$36:$AV$171,$C$36:$C$171,"=6", $B$36:$B$171,"NO OFICIAL")</f>
        <v>0.4538461538461539</v>
      </c>
      <c r="AI280" s="39">
        <f>AVERAGEIFS($AU$36:$AU$171,$C$36:$C$171,"=6", $B$36:$B$171,"NO OFICIAL")</f>
        <v>0.37769230769230772</v>
      </c>
      <c r="AJ280" s="39">
        <f>AVERAGEIFS($BE$36:$BE$171,$C$36:$C$171,"=6", $B$36:$B$171,"OFICIAL")</f>
        <v>0.47499999999999998</v>
      </c>
      <c r="AK280" s="39">
        <f>AVERAGEIFS($BF$36:$BF$171,$C$36:$C$171,"=6", $B$36:$B$171,"OFICIAL")</f>
        <v>0.36749999999999994</v>
      </c>
      <c r="AL280" s="39">
        <f>AVERAGEIFS($BG$36:$BG$171,$C$36:$C$171,"=6", $B$36:$B$171,"OFICIAL")</f>
        <v>0.5625</v>
      </c>
      <c r="AM280" s="39">
        <f>AVERAGEIFS($BE$36:$BE$171,$C$36:$C$171,"=6", $B$36:$B$171,"NO OFICIAL")</f>
        <v>0.44307692307692303</v>
      </c>
      <c r="AN280" s="39">
        <f>AVERAGEIFS($BF$36:$BF$171,$C$36:$C$171,"=6", $B$36:$B$171,"NO OFICIAL")</f>
        <v>0.32615384615384618</v>
      </c>
      <c r="AO280" s="501">
        <f>AVERAGEIFS($BG$36:$BG$171,$C$36:$C$171,"=6", $B$36:$B$171,"NO OFICIAL")</f>
        <v>0.52153846153846151</v>
      </c>
      <c r="AP280" s="500">
        <v>0.49333333333333335</v>
      </c>
      <c r="AQ280" s="39">
        <v>0.3666666666666667</v>
      </c>
      <c r="AR280" s="39">
        <v>0.46666666666666662</v>
      </c>
      <c r="AS280" s="39">
        <v>0.46250000000000002</v>
      </c>
      <c r="AT280" s="39">
        <v>0.33937499999999998</v>
      </c>
      <c r="AU280" s="501">
        <v>0.4375</v>
      </c>
      <c r="AV280" s="500">
        <v>0.38666666666666671</v>
      </c>
      <c r="AW280" s="39">
        <v>0.51</v>
      </c>
      <c r="AX280" s="39">
        <v>0.52333333333333332</v>
      </c>
      <c r="AY280" s="39">
        <v>0.3394117647058823</v>
      </c>
      <c r="AZ280" s="39">
        <v>0.43294117647058827</v>
      </c>
      <c r="BA280" s="501">
        <v>0.45058823529411773</v>
      </c>
      <c r="BB280" s="500">
        <v>0.46249999999999997</v>
      </c>
      <c r="BC280" s="39">
        <v>0.45249999999999996</v>
      </c>
      <c r="BD280" s="39">
        <v>0.36500000000000005</v>
      </c>
      <c r="BE280" s="39">
        <v>0.43142857142857144</v>
      </c>
      <c r="BF280" s="39">
        <v>0.4107142857142857</v>
      </c>
      <c r="BG280" s="39">
        <v>0.29785714285714288</v>
      </c>
    </row>
    <row r="283" spans="4:59" x14ac:dyDescent="0.2">
      <c r="D283" s="503"/>
      <c r="E283" s="504"/>
      <c r="F283" s="504"/>
      <c r="G283" s="504"/>
      <c r="H283" s="504"/>
      <c r="I283" s="504"/>
      <c r="J283" s="504"/>
      <c r="K283" s="504"/>
      <c r="L283" s="504"/>
      <c r="M283" s="504"/>
      <c r="N283" s="504"/>
      <c r="O283" s="505"/>
    </row>
    <row r="284" spans="4:59" x14ac:dyDescent="0.2">
      <c r="D284" s="506"/>
      <c r="O284" s="507"/>
    </row>
    <row r="285" spans="4:59" x14ac:dyDescent="0.2">
      <c r="D285" s="506"/>
      <c r="F285">
        <v>2016</v>
      </c>
      <c r="G285">
        <v>2017</v>
      </c>
      <c r="H285">
        <v>2018</v>
      </c>
      <c r="I285">
        <v>2019</v>
      </c>
      <c r="J285">
        <v>2020</v>
      </c>
      <c r="K285">
        <v>2021</v>
      </c>
      <c r="L285">
        <v>2022</v>
      </c>
      <c r="M285">
        <v>2023</v>
      </c>
      <c r="N285">
        <v>2024</v>
      </c>
      <c r="O285" s="507"/>
    </row>
    <row r="286" spans="4:59" x14ac:dyDescent="0.2">
      <c r="D286" s="506"/>
      <c r="F286" t="s">
        <v>907</v>
      </c>
      <c r="G286" s="202" t="s">
        <v>907</v>
      </c>
      <c r="H286" s="202" t="s">
        <v>907</v>
      </c>
      <c r="I286" s="202" t="s">
        <v>907</v>
      </c>
      <c r="J286" s="202" t="s">
        <v>907</v>
      </c>
      <c r="K286" s="202" t="s">
        <v>907</v>
      </c>
      <c r="L286" s="202" t="s">
        <v>907</v>
      </c>
      <c r="M286" s="202" t="s">
        <v>907</v>
      </c>
      <c r="N286" s="202" t="s">
        <v>907</v>
      </c>
      <c r="O286" s="507"/>
    </row>
    <row r="287" spans="4:59" x14ac:dyDescent="0.2">
      <c r="D287" s="506"/>
      <c r="E287" s="508" t="s">
        <v>244</v>
      </c>
      <c r="F287" s="479">
        <v>0.48176470588235293</v>
      </c>
      <c r="G287" s="479">
        <v>0.48000000000000004</v>
      </c>
      <c r="H287" s="479">
        <v>0.44058823529411767</v>
      </c>
      <c r="I287" s="479">
        <v>0.4205882352941176</v>
      </c>
      <c r="J287" s="479">
        <v>0.46411764705882358</v>
      </c>
      <c r="K287" s="479">
        <v>0.43176470588235294</v>
      </c>
      <c r="L287" s="479">
        <v>0.45944444444444443</v>
      </c>
      <c r="M287" s="479">
        <v>0.35470588235294126</v>
      </c>
      <c r="N287" s="479">
        <v>0.4375</v>
      </c>
      <c r="O287" s="507"/>
      <c r="BC287" s="85">
        <f t="shared" ref="BC287:BE288" si="32">CL28</f>
        <v>0.41333333333333333</v>
      </c>
      <c r="BD287" s="85">
        <f t="shared" si="32"/>
        <v>0.41333333333333333</v>
      </c>
      <c r="BE287" s="85">
        <f t="shared" si="32"/>
        <v>0.30666666666666664</v>
      </c>
    </row>
    <row r="288" spans="4:59" x14ac:dyDescent="0.2">
      <c r="D288" s="506"/>
      <c r="E288" s="508" t="s">
        <v>245</v>
      </c>
      <c r="F288" s="479">
        <v>0.45600000000000013</v>
      </c>
      <c r="G288" s="479">
        <v>0.44789473684210523</v>
      </c>
      <c r="H288" s="479">
        <v>0.41526315789473683</v>
      </c>
      <c r="I288" s="479">
        <v>0.39000000000000007</v>
      </c>
      <c r="J288" s="479">
        <v>0.43458333333333332</v>
      </c>
      <c r="K288" s="479">
        <v>0.43545454545454554</v>
      </c>
      <c r="L288" s="479">
        <v>0.43520000000000003</v>
      </c>
      <c r="M288" s="479">
        <v>0.341923076923077</v>
      </c>
      <c r="N288" s="479">
        <v>0.39</v>
      </c>
      <c r="O288" s="507"/>
      <c r="BC288" s="85">
        <f t="shared" si="32"/>
        <v>0.46249999999999997</v>
      </c>
      <c r="BD288" s="85">
        <f t="shared" si="32"/>
        <v>0.45249999999999996</v>
      </c>
      <c r="BE288" s="85">
        <f t="shared" si="32"/>
        <v>0.36500000000000005</v>
      </c>
    </row>
    <row r="289" spans="4:57" x14ac:dyDescent="0.2">
      <c r="D289" s="506"/>
      <c r="E289" s="508" t="s">
        <v>246</v>
      </c>
      <c r="F289" s="479">
        <v>0.4694444444444445</v>
      </c>
      <c r="G289" s="479">
        <v>0.45789473684210524</v>
      </c>
      <c r="H289" s="479">
        <v>0.40473684210526323</v>
      </c>
      <c r="I289" s="479">
        <v>0.40052631578947373</v>
      </c>
      <c r="J289" s="479">
        <v>0.44800000000000006</v>
      </c>
      <c r="K289" s="479">
        <v>0.41200000000000003</v>
      </c>
      <c r="L289" s="479">
        <v>0.43545454545454548</v>
      </c>
      <c r="M289" s="479">
        <v>0.34136363636363637</v>
      </c>
      <c r="N289" s="479">
        <v>0.4186363636363637</v>
      </c>
      <c r="O289" s="507"/>
      <c r="BC289" s="85">
        <f t="shared" ref="BC289:BE290" si="33">CL34</f>
        <v>0.40266666666666673</v>
      </c>
      <c r="BD289" s="85">
        <f t="shared" si="33"/>
        <v>0.40866666666666668</v>
      </c>
      <c r="BE289" s="85">
        <f t="shared" si="33"/>
        <v>0.27200000000000008</v>
      </c>
    </row>
    <row r="290" spans="4:57" x14ac:dyDescent="0.2">
      <c r="D290" s="506"/>
      <c r="E290" s="508" t="s">
        <v>247</v>
      </c>
      <c r="F290" s="479">
        <v>0.52357142857142858</v>
      </c>
      <c r="G290" s="479">
        <v>0.47500000000000003</v>
      </c>
      <c r="H290" s="479">
        <v>0.44333333333333325</v>
      </c>
      <c r="I290" s="479">
        <v>0.43785714285714289</v>
      </c>
      <c r="J290" s="479">
        <v>0.50692307692307703</v>
      </c>
      <c r="K290" s="479">
        <v>0.46142857142857147</v>
      </c>
      <c r="L290" s="479">
        <v>0.47857142857142859</v>
      </c>
      <c r="M290" s="479">
        <v>0.41399999999999992</v>
      </c>
      <c r="N290" s="479">
        <v>0.45999999999999996</v>
      </c>
      <c r="O290" s="507"/>
      <c r="BC290" s="85">
        <f t="shared" si="33"/>
        <v>0.43142857142857144</v>
      </c>
      <c r="BD290" s="85">
        <f t="shared" si="33"/>
        <v>0.4107142857142857</v>
      </c>
      <c r="BE290" s="85">
        <f t="shared" si="33"/>
        <v>0.29785714285714288</v>
      </c>
    </row>
    <row r="291" spans="4:57" x14ac:dyDescent="0.2">
      <c r="D291" s="506"/>
      <c r="E291" s="508" t="s">
        <v>248</v>
      </c>
      <c r="F291" s="479">
        <v>0.43588235294117644</v>
      </c>
      <c r="G291" s="479">
        <v>0.43111111111111111</v>
      </c>
      <c r="H291" s="479">
        <v>0.39500000000000002</v>
      </c>
      <c r="I291" s="479">
        <v>0.37526315789473674</v>
      </c>
      <c r="J291" s="479">
        <v>0.42777777777777781</v>
      </c>
      <c r="K291" s="479">
        <v>0.39111111111111119</v>
      </c>
      <c r="L291" s="479">
        <v>0.41235294117647059</v>
      </c>
      <c r="M291" s="479">
        <v>0.30941176470588239</v>
      </c>
      <c r="N291" s="479">
        <v>0.41333333333333333</v>
      </c>
      <c r="O291" s="507"/>
    </row>
    <row r="292" spans="4:57" x14ac:dyDescent="0.2">
      <c r="D292" s="506"/>
      <c r="E292" s="508" t="s">
        <v>249</v>
      </c>
      <c r="F292" s="479">
        <v>0.47866666666666668</v>
      </c>
      <c r="G292" s="479">
        <v>0.47800000000000004</v>
      </c>
      <c r="H292" s="479">
        <v>0.42642857142857149</v>
      </c>
      <c r="I292" s="479">
        <v>0.41399999999999998</v>
      </c>
      <c r="J292" s="479">
        <v>0.48529411764705882</v>
      </c>
      <c r="K292" s="479">
        <v>0.45437499999999992</v>
      </c>
      <c r="L292" s="479">
        <v>0.46736842105263154</v>
      </c>
      <c r="M292" s="479">
        <v>0.34649999999999997</v>
      </c>
      <c r="N292" s="479">
        <v>0.46249999999999997</v>
      </c>
      <c r="O292" s="507"/>
    </row>
    <row r="293" spans="4:57" x14ac:dyDescent="0.2">
      <c r="D293" s="506"/>
      <c r="O293" s="507"/>
    </row>
    <row r="294" spans="4:57" x14ac:dyDescent="0.2">
      <c r="D294" s="506"/>
      <c r="F294">
        <v>2016</v>
      </c>
      <c r="G294">
        <v>2017</v>
      </c>
      <c r="H294">
        <v>2018</v>
      </c>
      <c r="I294">
        <v>2019</v>
      </c>
      <c r="J294">
        <v>2020</v>
      </c>
      <c r="K294">
        <v>2021</v>
      </c>
      <c r="L294">
        <v>2022</v>
      </c>
      <c r="M294">
        <v>2023</v>
      </c>
      <c r="N294">
        <v>2024</v>
      </c>
      <c r="O294" s="507"/>
    </row>
    <row r="295" spans="4:57" x14ac:dyDescent="0.2">
      <c r="D295" s="506"/>
      <c r="F295" s="202" t="s">
        <v>908</v>
      </c>
      <c r="G295" s="202" t="s">
        <v>908</v>
      </c>
      <c r="H295" s="202" t="s">
        <v>908</v>
      </c>
      <c r="I295" s="202" t="s">
        <v>908</v>
      </c>
      <c r="J295" s="202" t="s">
        <v>908</v>
      </c>
      <c r="K295" s="202" t="s">
        <v>908</v>
      </c>
      <c r="L295" s="202" t="s">
        <v>908</v>
      </c>
      <c r="M295" s="202" t="s">
        <v>908</v>
      </c>
      <c r="N295" s="202" t="s">
        <v>908</v>
      </c>
      <c r="O295" s="507"/>
    </row>
    <row r="296" spans="4:57" x14ac:dyDescent="0.2">
      <c r="D296" s="506"/>
      <c r="E296" s="508" t="s">
        <v>244</v>
      </c>
      <c r="F296" s="479">
        <v>0.43470588235294116</v>
      </c>
      <c r="G296" s="479">
        <v>0.44624999999999992</v>
      </c>
      <c r="H296" s="479">
        <v>0.47352941176470592</v>
      </c>
      <c r="I296" s="479">
        <v>0.36588235294117644</v>
      </c>
      <c r="J296" s="479">
        <v>0.43588235294117661</v>
      </c>
      <c r="K296" s="479">
        <v>0.32117647058823529</v>
      </c>
      <c r="L296" s="479">
        <v>0.33666666666666673</v>
      </c>
      <c r="M296" s="479">
        <v>0.46470588235294108</v>
      </c>
      <c r="N296" s="479">
        <v>0.44062500000000004</v>
      </c>
      <c r="O296" s="507"/>
    </row>
    <row r="297" spans="4:57" x14ac:dyDescent="0.2">
      <c r="D297" s="506"/>
      <c r="E297" s="508" t="s">
        <v>245</v>
      </c>
      <c r="F297" s="479">
        <v>0.41249999999999992</v>
      </c>
      <c r="G297" s="479">
        <v>0.40842105263157902</v>
      </c>
      <c r="H297" s="479">
        <v>0.46631578947368429</v>
      </c>
      <c r="I297" s="479">
        <v>0.33999999999999997</v>
      </c>
      <c r="J297" s="479">
        <v>0.41708333333333331</v>
      </c>
      <c r="K297" s="479">
        <v>0.33636363636363636</v>
      </c>
      <c r="L297" s="479">
        <v>0.31199999999999994</v>
      </c>
      <c r="M297" s="479">
        <v>0.44423076923076926</v>
      </c>
      <c r="N297" s="479">
        <v>0.40086956521739142</v>
      </c>
      <c r="O297" s="507"/>
    </row>
    <row r="298" spans="4:57" x14ac:dyDescent="0.2">
      <c r="D298" s="506"/>
      <c r="E298" s="508" t="s">
        <v>246</v>
      </c>
      <c r="F298" s="479">
        <v>0.40444444444444438</v>
      </c>
      <c r="G298" s="479">
        <v>0.42000000000000004</v>
      </c>
      <c r="H298" s="479">
        <v>0.45631578947368423</v>
      </c>
      <c r="I298" s="479">
        <v>0.34894736842105267</v>
      </c>
      <c r="J298" s="479">
        <v>0.40499999999999997</v>
      </c>
      <c r="K298" s="479">
        <v>0.32050000000000001</v>
      </c>
      <c r="L298" s="479">
        <v>0.31909090909090909</v>
      </c>
      <c r="M298" s="479">
        <v>0.44136363636363635</v>
      </c>
      <c r="N298" s="479">
        <v>0.4095454545454546</v>
      </c>
      <c r="O298" s="507"/>
    </row>
    <row r="299" spans="4:57" x14ac:dyDescent="0.2">
      <c r="D299" s="506"/>
      <c r="E299" s="508" t="s">
        <v>247</v>
      </c>
      <c r="F299" s="479">
        <v>0.47857142857142859</v>
      </c>
      <c r="G299" s="479">
        <v>0.43571428571428567</v>
      </c>
      <c r="H299" s="479">
        <v>0.4966666666666667</v>
      </c>
      <c r="I299" s="479">
        <v>0.39857142857142858</v>
      </c>
      <c r="J299" s="479">
        <v>0.46153846153846145</v>
      </c>
      <c r="K299" s="479">
        <v>0.38214285714285717</v>
      </c>
      <c r="L299" s="479">
        <v>0.35500000000000004</v>
      </c>
      <c r="M299" s="479">
        <v>0.51533333333333331</v>
      </c>
      <c r="N299" s="479">
        <v>0.46230769230769236</v>
      </c>
      <c r="O299" s="507"/>
    </row>
    <row r="300" spans="4:57" x14ac:dyDescent="0.2">
      <c r="D300" s="506"/>
      <c r="E300" s="508" t="s">
        <v>248</v>
      </c>
      <c r="F300" s="479">
        <v>0.40941176470588236</v>
      </c>
      <c r="G300" s="479">
        <v>0.37388888888888883</v>
      </c>
      <c r="H300" s="479">
        <v>0.4538888888888889</v>
      </c>
      <c r="I300" s="479">
        <v>0.32526315789473681</v>
      </c>
      <c r="J300" s="479">
        <v>0.39166666666666672</v>
      </c>
      <c r="K300" s="479">
        <v>0.30111111111111105</v>
      </c>
      <c r="L300" s="479">
        <v>0.28176470588235292</v>
      </c>
      <c r="M300" s="479">
        <v>0.4129411764705882</v>
      </c>
      <c r="N300" s="479">
        <v>0.41333333333333333</v>
      </c>
      <c r="O300" s="507"/>
    </row>
    <row r="301" spans="4:57" x14ac:dyDescent="0.2">
      <c r="D301" s="506"/>
      <c r="E301" s="508" t="s">
        <v>249</v>
      </c>
      <c r="F301" s="479">
        <v>0.4273333333333334</v>
      </c>
      <c r="G301" s="479">
        <v>0.44200000000000006</v>
      </c>
      <c r="H301" s="479">
        <v>0.46642857142857136</v>
      </c>
      <c r="I301" s="479">
        <v>0.36333333333333334</v>
      </c>
      <c r="J301" s="479">
        <v>0.45294117647058824</v>
      </c>
      <c r="K301" s="479">
        <v>0.33437499999999998</v>
      </c>
      <c r="L301" s="479">
        <v>0.3436842105263157</v>
      </c>
      <c r="M301" s="479">
        <v>0.44449999999999995</v>
      </c>
      <c r="N301" s="479">
        <v>0.45249999999999996</v>
      </c>
      <c r="O301" s="507"/>
    </row>
    <row r="302" spans="4:57" x14ac:dyDescent="0.2">
      <c r="D302" s="506"/>
      <c r="O302" s="507"/>
    </row>
    <row r="303" spans="4:57" x14ac:dyDescent="0.2">
      <c r="D303" s="506"/>
      <c r="F303">
        <v>2016</v>
      </c>
      <c r="G303">
        <v>2017</v>
      </c>
      <c r="H303">
        <v>2018</v>
      </c>
      <c r="I303">
        <v>2019</v>
      </c>
      <c r="J303">
        <v>2020</v>
      </c>
      <c r="K303">
        <v>2021</v>
      </c>
      <c r="L303">
        <v>2022</v>
      </c>
      <c r="M303">
        <v>2023</v>
      </c>
      <c r="N303">
        <v>2024</v>
      </c>
      <c r="O303" s="507"/>
    </row>
    <row r="304" spans="4:57" x14ac:dyDescent="0.2">
      <c r="D304" s="506"/>
      <c r="F304" s="202" t="s">
        <v>909</v>
      </c>
      <c r="G304" s="202" t="s">
        <v>909</v>
      </c>
      <c r="H304" s="202" t="s">
        <v>909</v>
      </c>
      <c r="I304" s="202" t="s">
        <v>909</v>
      </c>
      <c r="J304" s="202" t="s">
        <v>909</v>
      </c>
      <c r="K304" s="202" t="s">
        <v>909</v>
      </c>
      <c r="L304" s="202" t="s">
        <v>909</v>
      </c>
      <c r="M304" s="202" t="s">
        <v>909</v>
      </c>
      <c r="N304" s="202" t="s">
        <v>909</v>
      </c>
      <c r="O304" s="507"/>
    </row>
    <row r="305" spans="4:15" x14ac:dyDescent="0.2">
      <c r="D305" s="506"/>
      <c r="E305" s="508" t="s">
        <v>244</v>
      </c>
      <c r="F305" s="479">
        <v>0.55941176470588239</v>
      </c>
      <c r="G305" s="479">
        <v>0.46562499999999996</v>
      </c>
      <c r="H305" s="479">
        <v>0.49941176470588228</v>
      </c>
      <c r="I305" s="479">
        <v>0.42529411764705882</v>
      </c>
      <c r="J305" s="479">
        <v>0.3605882352941176</v>
      </c>
      <c r="K305" s="479">
        <v>0.53647058823529414</v>
      </c>
      <c r="L305" s="479">
        <v>0.44500000000000001</v>
      </c>
      <c r="M305" s="479">
        <v>0.48941176470588227</v>
      </c>
      <c r="N305" s="479">
        <v>0.32937500000000003</v>
      </c>
      <c r="O305" s="507"/>
    </row>
    <row r="306" spans="4:15" x14ac:dyDescent="0.2">
      <c r="D306" s="506"/>
      <c r="E306" s="508" t="s">
        <v>245</v>
      </c>
      <c r="F306" s="479">
        <v>0.51300000000000001</v>
      </c>
      <c r="G306" s="479">
        <v>0.44263157894736832</v>
      </c>
      <c r="H306" s="479">
        <v>0.48052631578947363</v>
      </c>
      <c r="I306" s="479">
        <v>0.39500000000000007</v>
      </c>
      <c r="J306" s="479">
        <v>0.36166666666666664</v>
      </c>
      <c r="K306" s="479">
        <v>0.52727272727272745</v>
      </c>
      <c r="L306" s="479">
        <v>0.39760000000000006</v>
      </c>
      <c r="M306" s="479">
        <v>0.45000000000000007</v>
      </c>
      <c r="N306" s="479">
        <v>0.29043478260869565</v>
      </c>
      <c r="O306" s="507"/>
    </row>
    <row r="307" spans="4:15" x14ac:dyDescent="0.2">
      <c r="D307" s="506"/>
      <c r="E307" s="508" t="s">
        <v>246</v>
      </c>
      <c r="F307" s="479">
        <v>0.51888888888888884</v>
      </c>
      <c r="G307" s="479">
        <v>0.44631578947368422</v>
      </c>
      <c r="H307" s="479">
        <v>0.47842105263157886</v>
      </c>
      <c r="I307" s="479">
        <v>0.39368421052631569</v>
      </c>
      <c r="J307" s="479">
        <v>0.34550000000000003</v>
      </c>
      <c r="K307" s="479">
        <v>0.51100000000000012</v>
      </c>
      <c r="L307" s="479">
        <v>0.40045454545454545</v>
      </c>
      <c r="M307" s="479">
        <v>0.4540909090909091</v>
      </c>
      <c r="N307" s="479">
        <v>0.30909090909090908</v>
      </c>
      <c r="O307" s="507"/>
    </row>
    <row r="308" spans="4:15" x14ac:dyDescent="0.2">
      <c r="D308" s="506"/>
      <c r="E308" s="508" t="s">
        <v>247</v>
      </c>
      <c r="F308" s="479">
        <v>0.59214285714285708</v>
      </c>
      <c r="G308" s="479">
        <v>0.49071428571428577</v>
      </c>
      <c r="H308" s="479">
        <v>0.51733333333333342</v>
      </c>
      <c r="I308" s="479">
        <v>0.43857142857142856</v>
      </c>
      <c r="J308" s="479">
        <v>0.41923076923076918</v>
      </c>
      <c r="K308" s="479">
        <v>0.56857142857142873</v>
      </c>
      <c r="L308" s="479">
        <v>0.47500000000000009</v>
      </c>
      <c r="M308" s="479">
        <v>0.54599999999999993</v>
      </c>
      <c r="N308" s="479">
        <v>0.37692307692307697</v>
      </c>
      <c r="O308" s="507"/>
    </row>
    <row r="309" spans="4:15" x14ac:dyDescent="0.2">
      <c r="D309" s="506"/>
      <c r="E309" s="508" t="s">
        <v>248</v>
      </c>
      <c r="F309" s="479">
        <v>0.53117647058823536</v>
      </c>
      <c r="G309" s="479">
        <v>0.435</v>
      </c>
      <c r="H309" s="479">
        <v>0.46444444444444444</v>
      </c>
      <c r="I309" s="479">
        <v>0.37894736842105264</v>
      </c>
      <c r="J309" s="479">
        <v>0.30444444444444441</v>
      </c>
      <c r="K309" s="479">
        <v>0.48444444444444446</v>
      </c>
      <c r="L309" s="479">
        <v>0.37823529411764706</v>
      </c>
      <c r="M309" s="479">
        <v>0.4205882352941176</v>
      </c>
      <c r="N309" s="479">
        <v>0.30666666666666664</v>
      </c>
      <c r="O309" s="507"/>
    </row>
    <row r="310" spans="4:15" x14ac:dyDescent="0.2">
      <c r="D310" s="506"/>
      <c r="E310" s="508" t="s">
        <v>249</v>
      </c>
      <c r="F310" s="479">
        <v>0.53599999999999992</v>
      </c>
      <c r="G310" s="479">
        <v>0.47666666666666668</v>
      </c>
      <c r="H310" s="479">
        <v>0.50357142857142856</v>
      </c>
      <c r="I310" s="479">
        <v>0.38933333333333336</v>
      </c>
      <c r="J310" s="479">
        <v>0.37882352941176473</v>
      </c>
      <c r="K310" s="479">
        <v>0.53437500000000004</v>
      </c>
      <c r="L310" s="479">
        <v>0.44210526315789478</v>
      </c>
      <c r="M310" s="479">
        <v>0.46149999999999991</v>
      </c>
      <c r="N310" s="479">
        <v>0.36500000000000005</v>
      </c>
      <c r="O310" s="507"/>
    </row>
    <row r="311" spans="4:15" x14ac:dyDescent="0.2">
      <c r="D311" s="509"/>
      <c r="E311" s="510"/>
      <c r="F311" s="510"/>
      <c r="G311" s="510"/>
      <c r="H311" s="510"/>
      <c r="I311" s="510"/>
      <c r="J311" s="510"/>
      <c r="K311" s="510"/>
      <c r="L311" s="510"/>
      <c r="M311" s="510"/>
      <c r="N311" s="510"/>
      <c r="O311" s="511"/>
    </row>
    <row r="313" spans="4:15" x14ac:dyDescent="0.2">
      <c r="D313" s="503"/>
      <c r="E313" s="504"/>
      <c r="F313" s="504"/>
      <c r="G313" s="504"/>
      <c r="H313" s="504"/>
      <c r="I313" s="504"/>
      <c r="J313" s="504"/>
      <c r="K313" s="504"/>
      <c r="L313" s="504"/>
      <c r="M313" s="504"/>
      <c r="N313" s="504"/>
      <c r="O313" s="505"/>
    </row>
    <row r="314" spans="4:15" ht="12.75" customHeight="1" x14ac:dyDescent="0.2">
      <c r="D314" s="506"/>
      <c r="E314" s="839" t="s">
        <v>252</v>
      </c>
      <c r="F314" s="839"/>
      <c r="G314" s="839"/>
      <c r="H314" s="839"/>
      <c r="I314" s="839"/>
      <c r="J314" s="839"/>
      <c r="K314" s="839"/>
      <c r="L314" s="839"/>
      <c r="M314" s="839"/>
      <c r="N314" s="839"/>
      <c r="O314" s="507"/>
    </row>
    <row r="315" spans="4:15" x14ac:dyDescent="0.2">
      <c r="D315" s="506"/>
      <c r="F315">
        <v>2016</v>
      </c>
      <c r="G315">
        <v>2017</v>
      </c>
      <c r="H315">
        <v>2018</v>
      </c>
      <c r="I315">
        <v>2019</v>
      </c>
      <c r="J315">
        <v>2020</v>
      </c>
      <c r="K315">
        <v>2021</v>
      </c>
      <c r="L315">
        <v>2022</v>
      </c>
      <c r="M315">
        <v>2023</v>
      </c>
      <c r="N315">
        <v>2024</v>
      </c>
      <c r="O315" s="507"/>
    </row>
    <row r="316" spans="4:15" x14ac:dyDescent="0.2">
      <c r="D316" s="506"/>
      <c r="F316" s="202" t="s">
        <v>907</v>
      </c>
      <c r="G316" s="202" t="s">
        <v>907</v>
      </c>
      <c r="H316" s="202" t="s">
        <v>907</v>
      </c>
      <c r="I316" s="202" t="s">
        <v>907</v>
      </c>
      <c r="J316" s="202" t="s">
        <v>907</v>
      </c>
      <c r="K316" s="202" t="s">
        <v>907</v>
      </c>
      <c r="L316" s="202" t="s">
        <v>907</v>
      </c>
      <c r="M316" s="202" t="s">
        <v>907</v>
      </c>
      <c r="N316" s="202" t="s">
        <v>907</v>
      </c>
      <c r="O316" s="507"/>
    </row>
    <row r="317" spans="4:15" x14ac:dyDescent="0.2">
      <c r="D317" s="506"/>
      <c r="E317" s="508" t="s">
        <v>244</v>
      </c>
      <c r="F317" s="479">
        <v>0.48749999999999999</v>
      </c>
      <c r="G317" s="479">
        <v>0.45500000000000002</v>
      </c>
      <c r="H317" s="479">
        <v>0.4325</v>
      </c>
      <c r="I317" s="479">
        <v>0.42249999999999999</v>
      </c>
      <c r="J317" s="479">
        <v>0.46249999999999997</v>
      </c>
      <c r="K317" s="479">
        <v>0.44749999999999995</v>
      </c>
      <c r="L317" s="479">
        <v>0.47199999999999998</v>
      </c>
      <c r="M317" s="479">
        <v>0.374</v>
      </c>
      <c r="N317" s="479">
        <v>0.45400000000000001</v>
      </c>
      <c r="O317" s="507"/>
    </row>
    <row r="318" spans="4:15" x14ac:dyDescent="0.2">
      <c r="D318" s="506"/>
      <c r="E318" s="508" t="s">
        <v>245</v>
      </c>
      <c r="F318" s="479">
        <v>0.49</v>
      </c>
      <c r="G318" s="479">
        <v>0.46499999999999997</v>
      </c>
      <c r="H318" s="479">
        <v>0.42499999999999999</v>
      </c>
      <c r="I318" s="479">
        <v>0.41000000000000003</v>
      </c>
      <c r="J318" s="479">
        <v>0.47499999999999998</v>
      </c>
      <c r="K318" s="479">
        <v>0.45500000000000002</v>
      </c>
      <c r="L318" s="479">
        <v>0.46749999999999997</v>
      </c>
      <c r="M318" s="479">
        <v>0.37</v>
      </c>
      <c r="N318" s="479">
        <v>0.44999999999999996</v>
      </c>
      <c r="O318" s="507"/>
    </row>
    <row r="319" spans="4:15" x14ac:dyDescent="0.2">
      <c r="D319" s="506"/>
      <c r="E319" s="508" t="s">
        <v>246</v>
      </c>
      <c r="F319" s="479">
        <v>0.48399999999999999</v>
      </c>
      <c r="G319" s="479">
        <v>0.48399999999999999</v>
      </c>
      <c r="H319" s="479">
        <v>0.42400000000000004</v>
      </c>
      <c r="I319" s="479">
        <v>0.42000000000000004</v>
      </c>
      <c r="J319" s="479">
        <v>0.47599999999999998</v>
      </c>
      <c r="K319" s="479">
        <v>0.44800000000000006</v>
      </c>
      <c r="L319" s="479">
        <v>0.47666666666666674</v>
      </c>
      <c r="M319" s="479">
        <v>0.3666666666666667</v>
      </c>
      <c r="N319" s="479">
        <v>0.45500000000000002</v>
      </c>
      <c r="O319" s="507"/>
    </row>
    <row r="320" spans="4:15" x14ac:dyDescent="0.2">
      <c r="D320" s="506"/>
      <c r="E320" s="508" t="s">
        <v>247</v>
      </c>
      <c r="F320" s="479">
        <v>0.52666666666666673</v>
      </c>
      <c r="G320" s="479">
        <v>0.51666666666666672</v>
      </c>
      <c r="H320" s="479">
        <v>0.505</v>
      </c>
      <c r="I320" s="479">
        <v>0.48833333333333345</v>
      </c>
      <c r="J320" s="479">
        <v>0.52833333333333343</v>
      </c>
      <c r="K320" s="479">
        <v>0.4916666666666667</v>
      </c>
      <c r="L320" s="479">
        <v>0.52166666666666672</v>
      </c>
      <c r="M320" s="479">
        <v>0.43166666666666664</v>
      </c>
      <c r="N320" s="479">
        <v>0.50333333333333341</v>
      </c>
      <c r="O320" s="507"/>
    </row>
    <row r="321" spans="4:15" x14ac:dyDescent="0.2">
      <c r="D321" s="506"/>
      <c r="E321" s="508" t="s">
        <v>248</v>
      </c>
      <c r="F321" s="479">
        <v>0.46499999999999997</v>
      </c>
      <c r="G321" s="479">
        <v>0.46499999999999997</v>
      </c>
      <c r="H321" s="479">
        <v>0.45499999999999996</v>
      </c>
      <c r="I321" s="479">
        <v>0.42499999999999999</v>
      </c>
      <c r="J321" s="479">
        <v>0.47</v>
      </c>
      <c r="K321" s="479">
        <v>0.44</v>
      </c>
      <c r="L321" s="479">
        <v>0.46</v>
      </c>
      <c r="M321" s="479">
        <v>0.38</v>
      </c>
      <c r="N321" s="479">
        <v>0.41333333333333333</v>
      </c>
      <c r="O321" s="507"/>
    </row>
    <row r="322" spans="4:15" x14ac:dyDescent="0.2">
      <c r="D322" s="506"/>
      <c r="E322" s="508" t="s">
        <v>249</v>
      </c>
      <c r="F322" s="479">
        <v>0.5033333333333333</v>
      </c>
      <c r="G322" s="479">
        <v>0.49666666666666665</v>
      </c>
      <c r="H322" s="479">
        <v>0.45999999999999996</v>
      </c>
      <c r="I322" s="479">
        <v>0.44</v>
      </c>
      <c r="J322" s="479">
        <v>0.46666666666666662</v>
      </c>
      <c r="K322" s="479">
        <v>0.47666666666666663</v>
      </c>
      <c r="L322" s="479">
        <v>0.49333333333333335</v>
      </c>
      <c r="M322" s="479">
        <v>0.38666666666666671</v>
      </c>
      <c r="N322" s="479">
        <v>0.46249999999999997</v>
      </c>
      <c r="O322" s="507"/>
    </row>
    <row r="323" spans="4:15" x14ac:dyDescent="0.2">
      <c r="D323" s="506"/>
      <c r="O323" s="507"/>
    </row>
    <row r="324" spans="4:15" x14ac:dyDescent="0.2">
      <c r="D324" s="506"/>
      <c r="E324" s="839" t="s">
        <v>252</v>
      </c>
      <c r="F324" s="839"/>
      <c r="G324" s="839"/>
      <c r="H324" s="839"/>
      <c r="I324" s="839"/>
      <c r="J324" s="839"/>
      <c r="K324" s="839"/>
      <c r="L324" s="839"/>
      <c r="M324" s="839"/>
      <c r="N324" s="839"/>
      <c r="O324" s="507"/>
    </row>
    <row r="325" spans="4:15" x14ac:dyDescent="0.2">
      <c r="D325" s="506"/>
      <c r="F325">
        <v>2016</v>
      </c>
      <c r="G325">
        <v>2017</v>
      </c>
      <c r="H325">
        <v>2018</v>
      </c>
      <c r="I325">
        <v>2019</v>
      </c>
      <c r="J325">
        <v>2020</v>
      </c>
      <c r="K325">
        <v>2021</v>
      </c>
      <c r="L325">
        <v>2022</v>
      </c>
      <c r="M325">
        <v>2023</v>
      </c>
      <c r="N325">
        <v>2024</v>
      </c>
      <c r="O325" s="507"/>
    </row>
    <row r="326" spans="4:15" x14ac:dyDescent="0.2">
      <c r="D326" s="506"/>
      <c r="F326" s="202" t="s">
        <v>908</v>
      </c>
      <c r="G326" s="202" t="s">
        <v>908</v>
      </c>
      <c r="H326" s="202" t="s">
        <v>908</v>
      </c>
      <c r="I326" s="202" t="s">
        <v>908</v>
      </c>
      <c r="J326" t="s">
        <v>908</v>
      </c>
      <c r="K326" s="202" t="s">
        <v>908</v>
      </c>
      <c r="L326" s="202" t="s">
        <v>908</v>
      </c>
      <c r="M326" s="202" t="s">
        <v>908</v>
      </c>
      <c r="N326" s="202" t="s">
        <v>908</v>
      </c>
      <c r="O326" s="507"/>
    </row>
    <row r="327" spans="4:15" x14ac:dyDescent="0.2">
      <c r="D327" s="506"/>
      <c r="E327" s="508" t="s">
        <v>244</v>
      </c>
      <c r="F327" s="479">
        <v>0.43499999999999994</v>
      </c>
      <c r="G327" s="479">
        <v>0.42000000000000004</v>
      </c>
      <c r="H327" s="479">
        <v>0.48499999999999999</v>
      </c>
      <c r="I327" s="479">
        <v>0.36250000000000004</v>
      </c>
      <c r="J327" s="479">
        <v>0.41749999999999998</v>
      </c>
      <c r="K327" s="479">
        <v>0.34</v>
      </c>
      <c r="L327" s="479">
        <v>0.35199999999999998</v>
      </c>
      <c r="M327" s="479">
        <v>0.49800000000000005</v>
      </c>
      <c r="N327" s="479">
        <v>0.45400000000000001</v>
      </c>
      <c r="O327" s="507"/>
    </row>
    <row r="328" spans="4:15" x14ac:dyDescent="0.2">
      <c r="D328" s="506"/>
      <c r="E328" s="508" t="s">
        <v>245</v>
      </c>
      <c r="F328" s="479">
        <v>0.43</v>
      </c>
      <c r="G328" s="479">
        <v>0.43</v>
      </c>
      <c r="H328" s="479">
        <v>0.495</v>
      </c>
      <c r="I328" s="479">
        <v>0.36</v>
      </c>
      <c r="J328" s="479">
        <v>0.42499999999999999</v>
      </c>
      <c r="K328" s="479">
        <v>0.36</v>
      </c>
      <c r="L328" s="479">
        <v>0.36</v>
      </c>
      <c r="M328" s="479">
        <v>0.47249999999999998</v>
      </c>
      <c r="N328" s="479">
        <v>0.44750000000000001</v>
      </c>
      <c r="O328" s="507"/>
    </row>
    <row r="329" spans="4:15" x14ac:dyDescent="0.2">
      <c r="D329" s="506"/>
      <c r="E329" s="508" t="s">
        <v>246</v>
      </c>
      <c r="F329" s="479">
        <v>0.47400000000000003</v>
      </c>
      <c r="G329" s="479">
        <v>0.42599999999999999</v>
      </c>
      <c r="H329" s="479">
        <v>0.47599999999999998</v>
      </c>
      <c r="I329" s="479">
        <v>0.38600000000000001</v>
      </c>
      <c r="J329" s="479">
        <v>0.43600000000000005</v>
      </c>
      <c r="K329" s="479">
        <v>0.34799999999999998</v>
      </c>
      <c r="L329" s="479">
        <v>0.34666666666666668</v>
      </c>
      <c r="M329" s="479">
        <v>0.46833333333333327</v>
      </c>
      <c r="N329" s="479">
        <v>0.44</v>
      </c>
      <c r="O329" s="507"/>
    </row>
    <row r="330" spans="4:15" x14ac:dyDescent="0.2">
      <c r="D330" s="506"/>
      <c r="E330" s="508" t="s">
        <v>247</v>
      </c>
      <c r="F330" s="479">
        <v>0.48833333333333345</v>
      </c>
      <c r="G330" s="479">
        <v>0.47833333333333333</v>
      </c>
      <c r="H330" s="479">
        <v>0.53833333333333333</v>
      </c>
      <c r="I330" s="479">
        <v>0.435</v>
      </c>
      <c r="J330" s="479">
        <v>0.48833333333333334</v>
      </c>
      <c r="K330" s="479">
        <v>0.42</v>
      </c>
      <c r="L330" s="479">
        <v>0.40333333333333338</v>
      </c>
      <c r="M330" s="479">
        <v>0.54500000000000004</v>
      </c>
      <c r="N330" s="479">
        <v>0.505</v>
      </c>
      <c r="O330" s="507"/>
    </row>
    <row r="331" spans="4:15" x14ac:dyDescent="0.2">
      <c r="D331" s="506"/>
      <c r="E331" s="508" t="s">
        <v>248</v>
      </c>
      <c r="F331" s="479">
        <v>0.43</v>
      </c>
      <c r="G331" s="479">
        <v>0.435</v>
      </c>
      <c r="H331" s="479">
        <v>0.495</v>
      </c>
      <c r="I331" s="479">
        <v>0.36499999999999999</v>
      </c>
      <c r="J331" s="479">
        <v>0.44500000000000001</v>
      </c>
      <c r="K331" s="479">
        <v>0.33999999999999997</v>
      </c>
      <c r="L331" s="479">
        <v>0.34499999999999997</v>
      </c>
      <c r="M331" s="479">
        <v>0.48499999999999999</v>
      </c>
      <c r="N331" s="479">
        <v>0.41333333333333333</v>
      </c>
      <c r="O331" s="507"/>
    </row>
    <row r="332" spans="4:15" x14ac:dyDescent="0.2">
      <c r="D332" s="506"/>
      <c r="E332" s="508" t="s">
        <v>249</v>
      </c>
      <c r="F332" s="479">
        <v>0.46666666666666662</v>
      </c>
      <c r="G332" s="479">
        <v>0.4466666666666666</v>
      </c>
      <c r="H332" s="479">
        <v>0.49666666666666665</v>
      </c>
      <c r="I332" s="479">
        <v>0.3833333333333333</v>
      </c>
      <c r="J332" s="479">
        <v>0.45</v>
      </c>
      <c r="K332" s="479">
        <v>0.36999999999999994</v>
      </c>
      <c r="L332" s="479">
        <v>0.3666666666666667</v>
      </c>
      <c r="M332" s="479">
        <v>0.51</v>
      </c>
      <c r="N332" s="479">
        <v>0.45249999999999996</v>
      </c>
      <c r="O332" s="507"/>
    </row>
    <row r="333" spans="4:15" x14ac:dyDescent="0.2">
      <c r="D333" s="506"/>
      <c r="O333" s="507"/>
    </row>
    <row r="334" spans="4:15" x14ac:dyDescent="0.2">
      <c r="D334" s="506"/>
      <c r="E334" s="839" t="s">
        <v>252</v>
      </c>
      <c r="F334" s="839"/>
      <c r="G334" s="839"/>
      <c r="H334" s="839"/>
      <c r="I334" s="839"/>
      <c r="J334" s="839"/>
      <c r="K334" s="839"/>
      <c r="L334" s="839"/>
      <c r="M334" s="839"/>
      <c r="N334" s="839"/>
      <c r="O334" s="507"/>
    </row>
    <row r="335" spans="4:15" x14ac:dyDescent="0.2">
      <c r="D335" s="506"/>
      <c r="F335">
        <v>2016</v>
      </c>
      <c r="G335">
        <v>2017</v>
      </c>
      <c r="H335">
        <v>2018</v>
      </c>
      <c r="I335">
        <v>2019</v>
      </c>
      <c r="J335">
        <v>2020</v>
      </c>
      <c r="K335">
        <v>2021</v>
      </c>
      <c r="L335">
        <v>2022</v>
      </c>
      <c r="M335">
        <v>2023</v>
      </c>
      <c r="N335">
        <v>2024</v>
      </c>
      <c r="O335" s="507"/>
    </row>
    <row r="336" spans="4:15" x14ac:dyDescent="0.2">
      <c r="D336" s="506"/>
      <c r="F336" s="202" t="s">
        <v>909</v>
      </c>
      <c r="G336" s="202" t="s">
        <v>909</v>
      </c>
      <c r="H336" s="202" t="s">
        <v>909</v>
      </c>
      <c r="I336" s="202" t="s">
        <v>909</v>
      </c>
      <c r="J336" t="s">
        <v>909</v>
      </c>
      <c r="K336" s="202" t="s">
        <v>909</v>
      </c>
      <c r="L336" s="202" t="s">
        <v>909</v>
      </c>
      <c r="M336" s="202" t="s">
        <v>909</v>
      </c>
      <c r="N336" s="202" t="s">
        <v>909</v>
      </c>
      <c r="O336" s="507"/>
    </row>
    <row r="337" spans="4:15" x14ac:dyDescent="0.2">
      <c r="D337" s="506"/>
      <c r="E337" s="508" t="s">
        <v>244</v>
      </c>
      <c r="F337" s="479">
        <v>0.55000000000000004</v>
      </c>
      <c r="G337" s="479">
        <v>0.45249999999999996</v>
      </c>
      <c r="H337" s="479">
        <v>0.505</v>
      </c>
      <c r="I337" s="479">
        <v>0.41500000000000004</v>
      </c>
      <c r="J337" s="479">
        <v>0.35499999999999998</v>
      </c>
      <c r="K337" s="479">
        <v>0.54749999999999999</v>
      </c>
      <c r="L337" s="479">
        <v>0.45599999999999996</v>
      </c>
      <c r="M337" s="479">
        <v>0.51400000000000001</v>
      </c>
      <c r="N337" s="479">
        <v>0.36199999999999999</v>
      </c>
      <c r="O337" s="507"/>
    </row>
    <row r="338" spans="4:15" x14ac:dyDescent="0.2">
      <c r="D338" s="506"/>
      <c r="E338" s="508" t="s">
        <v>245</v>
      </c>
      <c r="F338" s="479">
        <v>0.54499999999999993</v>
      </c>
      <c r="G338" s="479">
        <v>0.47499999999999998</v>
      </c>
      <c r="H338" s="479">
        <v>0.505</v>
      </c>
      <c r="I338" s="479">
        <v>0.42</v>
      </c>
      <c r="J338" s="479">
        <v>0.36</v>
      </c>
      <c r="K338" s="479">
        <v>0.55000000000000004</v>
      </c>
      <c r="L338" s="479">
        <v>0.45499999999999996</v>
      </c>
      <c r="M338" s="479">
        <v>0.4975</v>
      </c>
      <c r="N338" s="479">
        <v>0.33499999999999996</v>
      </c>
      <c r="O338" s="507"/>
    </row>
    <row r="339" spans="4:15" x14ac:dyDescent="0.2">
      <c r="D339" s="506"/>
      <c r="E339" s="508" t="s">
        <v>246</v>
      </c>
      <c r="F339" s="479">
        <v>0.53800000000000003</v>
      </c>
      <c r="G339" s="479">
        <v>0.46600000000000003</v>
      </c>
      <c r="H339" s="479">
        <v>0.504</v>
      </c>
      <c r="I339" s="479">
        <v>0.42599999999999999</v>
      </c>
      <c r="J339" s="479">
        <v>0.37799999999999995</v>
      </c>
      <c r="K339" s="479">
        <v>0.54600000000000004</v>
      </c>
      <c r="L339" s="479">
        <v>0.44</v>
      </c>
      <c r="M339" s="479">
        <v>0.4916666666666667</v>
      </c>
      <c r="N339" s="479">
        <v>0.34333333333333332</v>
      </c>
      <c r="O339" s="507"/>
    </row>
    <row r="340" spans="4:15" x14ac:dyDescent="0.2">
      <c r="D340" s="506"/>
      <c r="E340" s="508" t="s">
        <v>247</v>
      </c>
      <c r="F340" s="479">
        <v>0.61833333333333329</v>
      </c>
      <c r="G340" s="479">
        <v>0.52166666666666661</v>
      </c>
      <c r="H340" s="479">
        <v>0.55333333333333334</v>
      </c>
      <c r="I340" s="479">
        <v>0.47499999999999992</v>
      </c>
      <c r="J340" s="479">
        <v>0.4316666666666667</v>
      </c>
      <c r="K340" s="479">
        <v>0.59499999999999997</v>
      </c>
      <c r="L340" s="479">
        <v>0.52</v>
      </c>
      <c r="M340" s="479">
        <v>0.57666666666666666</v>
      </c>
      <c r="N340" s="479">
        <v>0.435</v>
      </c>
      <c r="O340" s="507"/>
    </row>
    <row r="341" spans="4:15" x14ac:dyDescent="0.2">
      <c r="D341" s="506"/>
      <c r="E341" s="508" t="s">
        <v>248</v>
      </c>
      <c r="F341" s="479">
        <v>0.53500000000000003</v>
      </c>
      <c r="G341" s="479">
        <v>0.48499999999999999</v>
      </c>
      <c r="H341" s="479">
        <v>0.52500000000000002</v>
      </c>
      <c r="I341" s="479">
        <v>0.43</v>
      </c>
      <c r="J341" s="479">
        <v>0.36499999999999999</v>
      </c>
      <c r="K341" s="479">
        <v>0.54500000000000004</v>
      </c>
      <c r="L341" s="479">
        <v>0.44</v>
      </c>
      <c r="M341" s="479">
        <v>0.5</v>
      </c>
      <c r="N341" s="479">
        <v>0.30666666666666664</v>
      </c>
      <c r="O341" s="507"/>
    </row>
    <row r="342" spans="4:15" x14ac:dyDescent="0.2">
      <c r="D342" s="506"/>
      <c r="E342" s="508" t="s">
        <v>249</v>
      </c>
      <c r="F342" s="479">
        <v>0.54666666666666652</v>
      </c>
      <c r="G342" s="479">
        <v>0.49666666666666665</v>
      </c>
      <c r="H342" s="479">
        <v>0.51333333333333331</v>
      </c>
      <c r="I342" s="479">
        <v>0.43</v>
      </c>
      <c r="J342" s="479">
        <v>0.38000000000000006</v>
      </c>
      <c r="K342" s="479">
        <v>0.56666666666666676</v>
      </c>
      <c r="L342" s="479">
        <v>0.46666666666666662</v>
      </c>
      <c r="M342" s="479">
        <v>0.52333333333333332</v>
      </c>
      <c r="N342" s="479">
        <v>0.36500000000000005</v>
      </c>
      <c r="O342" s="507"/>
    </row>
    <row r="343" spans="4:15" x14ac:dyDescent="0.2">
      <c r="D343" s="509"/>
      <c r="E343" s="510"/>
      <c r="F343" s="510"/>
      <c r="G343" s="510"/>
      <c r="H343" s="510"/>
      <c r="I343" s="510"/>
      <c r="J343" s="510"/>
      <c r="K343" s="510"/>
      <c r="L343" s="510"/>
      <c r="M343" s="510"/>
      <c r="N343" s="510"/>
      <c r="O343" s="511"/>
    </row>
    <row r="345" spans="4:15" x14ac:dyDescent="0.2">
      <c r="D345" s="503"/>
      <c r="E345" s="504"/>
      <c r="F345" s="504"/>
      <c r="G345" s="504"/>
      <c r="H345" s="504"/>
      <c r="I345" s="504"/>
      <c r="J345" s="504"/>
      <c r="K345" s="504"/>
      <c r="L345" s="504"/>
      <c r="M345" s="504"/>
      <c r="N345" s="504"/>
      <c r="O345" s="505"/>
    </row>
    <row r="346" spans="4:15" x14ac:dyDescent="0.2">
      <c r="D346" s="506"/>
      <c r="E346" s="839" t="s">
        <v>253</v>
      </c>
      <c r="F346" s="839"/>
      <c r="G346" s="839"/>
      <c r="H346" s="839"/>
      <c r="I346" s="839"/>
      <c r="J346" s="839"/>
      <c r="K346" s="839"/>
      <c r="L346" s="839"/>
      <c r="M346" s="839"/>
      <c r="N346" s="839"/>
      <c r="O346" s="507"/>
    </row>
    <row r="347" spans="4:15" x14ac:dyDescent="0.2">
      <c r="D347" s="506"/>
      <c r="F347">
        <v>2016</v>
      </c>
      <c r="G347">
        <v>2017</v>
      </c>
      <c r="H347">
        <v>2018</v>
      </c>
      <c r="I347">
        <v>2019</v>
      </c>
      <c r="J347">
        <v>2020</v>
      </c>
      <c r="K347">
        <v>2021</v>
      </c>
      <c r="L347">
        <v>2022</v>
      </c>
      <c r="M347">
        <v>2023</v>
      </c>
      <c r="N347">
        <v>2024</v>
      </c>
      <c r="O347" s="507"/>
    </row>
    <row r="348" spans="4:15" x14ac:dyDescent="0.2">
      <c r="D348" s="506"/>
      <c r="F348" s="202" t="s">
        <v>907</v>
      </c>
      <c r="G348" s="202" t="s">
        <v>907</v>
      </c>
      <c r="H348" s="202" t="s">
        <v>907</v>
      </c>
      <c r="I348" s="202" t="s">
        <v>907</v>
      </c>
      <c r="J348" s="202" t="s">
        <v>907</v>
      </c>
      <c r="K348" s="202" t="s">
        <v>907</v>
      </c>
      <c r="L348" s="202" t="s">
        <v>907</v>
      </c>
      <c r="M348" s="202" t="s">
        <v>907</v>
      </c>
      <c r="N348" s="202" t="s">
        <v>907</v>
      </c>
      <c r="O348" s="507"/>
    </row>
    <row r="349" spans="4:15" x14ac:dyDescent="0.2">
      <c r="D349" s="506"/>
      <c r="E349" s="508" t="s">
        <v>244</v>
      </c>
      <c r="F349" s="479">
        <v>0.47999999999999987</v>
      </c>
      <c r="G349" s="479">
        <v>0.48833333333333334</v>
      </c>
      <c r="H349" s="479">
        <v>0.44307692307692303</v>
      </c>
      <c r="I349" s="479">
        <v>0.42</v>
      </c>
      <c r="J349" s="479">
        <v>0.4646153846153846</v>
      </c>
      <c r="K349" s="479">
        <v>0.42692307692307696</v>
      </c>
      <c r="L349" s="479">
        <v>0.45461538461538453</v>
      </c>
      <c r="M349" s="479">
        <v>0.34666666666666668</v>
      </c>
      <c r="N349" s="479">
        <v>0.43000000000000005</v>
      </c>
      <c r="O349" s="507"/>
    </row>
    <row r="350" spans="4:15" x14ac:dyDescent="0.2">
      <c r="D350" s="506"/>
      <c r="E350" s="508" t="s">
        <v>245</v>
      </c>
      <c r="F350" s="479">
        <v>0.45222222222222225</v>
      </c>
      <c r="G350" s="479">
        <v>0.44588235294117651</v>
      </c>
      <c r="H350" s="479">
        <v>0.41411764705882348</v>
      </c>
      <c r="I350" s="479">
        <v>0.38777777777777783</v>
      </c>
      <c r="J350" s="479">
        <v>0.43090909090909091</v>
      </c>
      <c r="K350" s="479">
        <v>0.4335</v>
      </c>
      <c r="L350" s="479">
        <v>0.42904761904761912</v>
      </c>
      <c r="M350" s="479">
        <v>0.33681818181818185</v>
      </c>
      <c r="N350" s="479">
        <v>0.37736842105263158</v>
      </c>
      <c r="O350" s="507"/>
    </row>
    <row r="351" spans="4:15" x14ac:dyDescent="0.2">
      <c r="D351" s="506"/>
      <c r="E351" s="508" t="s">
        <v>246</v>
      </c>
      <c r="F351" s="479">
        <v>0.46384615384615385</v>
      </c>
      <c r="G351" s="479">
        <v>0.44857142857142851</v>
      </c>
      <c r="H351" s="479">
        <v>0.39785714285714296</v>
      </c>
      <c r="I351" s="479">
        <v>0.39357142857142863</v>
      </c>
      <c r="J351" s="479">
        <v>0.4386666666666667</v>
      </c>
      <c r="K351" s="479">
        <v>0.4</v>
      </c>
      <c r="L351" s="479">
        <v>0.42000000000000004</v>
      </c>
      <c r="M351" s="479">
        <v>0.33187499999999998</v>
      </c>
      <c r="N351" s="479">
        <v>0.40500000000000008</v>
      </c>
      <c r="O351" s="507"/>
    </row>
    <row r="352" spans="4:15" x14ac:dyDescent="0.2">
      <c r="D352" s="506"/>
      <c r="E352" s="508" t="s">
        <v>247</v>
      </c>
      <c r="F352" s="479">
        <v>0.52124999999999999</v>
      </c>
      <c r="G352" s="479">
        <v>0.44375000000000003</v>
      </c>
      <c r="H352" s="479">
        <v>0.4022222222222222</v>
      </c>
      <c r="I352" s="479">
        <v>0.39999999999999997</v>
      </c>
      <c r="J352" s="479">
        <v>0.48857142857142855</v>
      </c>
      <c r="K352" s="479">
        <v>0.43875000000000003</v>
      </c>
      <c r="L352" s="479">
        <v>0.44624999999999998</v>
      </c>
      <c r="M352" s="479">
        <v>0.4022222222222222</v>
      </c>
      <c r="N352" s="479">
        <v>0.42285714285714288</v>
      </c>
      <c r="O352" s="507"/>
    </row>
    <row r="353" spans="4:15" x14ac:dyDescent="0.2">
      <c r="D353" s="506"/>
      <c r="E353" s="508" t="s">
        <v>248</v>
      </c>
      <c r="F353" s="479">
        <v>0.43200000000000005</v>
      </c>
      <c r="G353" s="479">
        <v>0.426875</v>
      </c>
      <c r="H353" s="479">
        <v>0.38750000000000001</v>
      </c>
      <c r="I353" s="479">
        <v>0.36941176470588233</v>
      </c>
      <c r="J353" s="479">
        <v>0.42250000000000004</v>
      </c>
      <c r="K353" s="479">
        <v>0.38500000000000001</v>
      </c>
      <c r="L353" s="479">
        <v>0.40599999999999992</v>
      </c>
      <c r="M353" s="479">
        <v>0.30000000000000004</v>
      </c>
      <c r="N353" s="479">
        <v>0.40266666666666673</v>
      </c>
      <c r="O353" s="507"/>
    </row>
    <row r="354" spans="4:15" x14ac:dyDescent="0.2">
      <c r="D354" s="506"/>
      <c r="E354" s="508" t="s">
        <v>249</v>
      </c>
      <c r="F354" s="479">
        <v>0.47250000000000009</v>
      </c>
      <c r="G354" s="479">
        <v>0.47333333333333338</v>
      </c>
      <c r="H354" s="479">
        <v>0.41727272727272724</v>
      </c>
      <c r="I354" s="479">
        <v>0.40749999999999997</v>
      </c>
      <c r="J354" s="479">
        <v>0.48928571428571427</v>
      </c>
      <c r="K354" s="479">
        <v>0.44923076923076916</v>
      </c>
      <c r="L354" s="479">
        <v>0.46250000000000002</v>
      </c>
      <c r="M354" s="479">
        <v>0.3394117647058823</v>
      </c>
      <c r="N354" s="479">
        <v>0.43142857142857144</v>
      </c>
      <c r="O354" s="507"/>
    </row>
    <row r="355" spans="4:15" x14ac:dyDescent="0.2">
      <c r="D355" s="506"/>
      <c r="O355" s="507"/>
    </row>
    <row r="356" spans="4:15" x14ac:dyDescent="0.2">
      <c r="D356" s="506"/>
      <c r="E356" s="839" t="s">
        <v>253</v>
      </c>
      <c r="F356" s="839"/>
      <c r="G356" s="839"/>
      <c r="H356" s="839"/>
      <c r="I356" s="839"/>
      <c r="J356" s="839"/>
      <c r="K356" s="839"/>
      <c r="L356" s="839"/>
      <c r="M356" s="839"/>
      <c r="N356" s="839"/>
      <c r="O356" s="507"/>
    </row>
    <row r="357" spans="4:15" x14ac:dyDescent="0.2">
      <c r="D357" s="506"/>
      <c r="F357">
        <v>2016</v>
      </c>
      <c r="G357">
        <v>2017</v>
      </c>
      <c r="H357">
        <v>2018</v>
      </c>
      <c r="I357">
        <v>2019</v>
      </c>
      <c r="J357">
        <v>2020</v>
      </c>
      <c r="K357">
        <v>2021</v>
      </c>
      <c r="L357">
        <v>2022</v>
      </c>
      <c r="M357">
        <v>2023</v>
      </c>
      <c r="N357">
        <v>2024</v>
      </c>
      <c r="O357" s="507"/>
    </row>
    <row r="358" spans="4:15" x14ac:dyDescent="0.2">
      <c r="D358" s="506"/>
      <c r="F358" s="202" t="s">
        <v>908</v>
      </c>
      <c r="G358" s="202" t="s">
        <v>908</v>
      </c>
      <c r="H358" s="202" t="s">
        <v>908</v>
      </c>
      <c r="I358" s="202" t="s">
        <v>908</v>
      </c>
      <c r="J358" s="202" t="s">
        <v>908</v>
      </c>
      <c r="K358" s="202" t="s">
        <v>908</v>
      </c>
      <c r="L358" s="202" t="s">
        <v>908</v>
      </c>
      <c r="M358" s="202" t="s">
        <v>908</v>
      </c>
      <c r="N358" s="202" t="s">
        <v>908</v>
      </c>
      <c r="O358" s="507"/>
    </row>
    <row r="359" spans="4:15" x14ac:dyDescent="0.2">
      <c r="D359" s="506"/>
      <c r="E359" s="508" t="s">
        <v>244</v>
      </c>
      <c r="F359" s="479">
        <v>0.43461538461538463</v>
      </c>
      <c r="G359" s="479">
        <v>0.45500000000000007</v>
      </c>
      <c r="H359" s="479">
        <v>0.47000000000000003</v>
      </c>
      <c r="I359" s="479">
        <v>0.36692307692307691</v>
      </c>
      <c r="J359" s="479">
        <v>0.44153846153846155</v>
      </c>
      <c r="K359" s="479">
        <v>0.31538461538461537</v>
      </c>
      <c r="L359" s="479">
        <v>0.33076923076923076</v>
      </c>
      <c r="M359" s="479">
        <v>0.45083333333333336</v>
      </c>
      <c r="N359" s="479">
        <v>0.43454545454545462</v>
      </c>
      <c r="O359" s="507"/>
    </row>
    <row r="360" spans="4:15" x14ac:dyDescent="0.2">
      <c r="D360" s="506"/>
      <c r="E360" s="508" t="s">
        <v>245</v>
      </c>
      <c r="F360" s="479">
        <v>0.41055555555555551</v>
      </c>
      <c r="G360" s="479">
        <v>0.40588235294117647</v>
      </c>
      <c r="H360" s="479">
        <v>0.4629411764705883</v>
      </c>
      <c r="I360" s="479">
        <v>0.33777777777777779</v>
      </c>
      <c r="J360" s="479">
        <v>0.41636363636363638</v>
      </c>
      <c r="K360" s="479">
        <v>0.33399999999999996</v>
      </c>
      <c r="L360" s="479">
        <v>0.30285714285714282</v>
      </c>
      <c r="M360" s="479">
        <v>0.43909090909090903</v>
      </c>
      <c r="N360" s="479">
        <v>0.39105263157894743</v>
      </c>
      <c r="O360" s="507"/>
    </row>
    <row r="361" spans="4:15" x14ac:dyDescent="0.2">
      <c r="D361" s="506"/>
      <c r="E361" s="508" t="s">
        <v>246</v>
      </c>
      <c r="F361" s="479">
        <v>0.37769230769230772</v>
      </c>
      <c r="G361" s="479">
        <v>0.41785714285714282</v>
      </c>
      <c r="H361" s="479">
        <v>0.44928571428571429</v>
      </c>
      <c r="I361" s="479">
        <v>0.33571428571428574</v>
      </c>
      <c r="J361" s="479">
        <v>0.39466666666666667</v>
      </c>
      <c r="K361" s="479">
        <v>0.31133333333333335</v>
      </c>
      <c r="L361" s="479">
        <v>0.30874999999999997</v>
      </c>
      <c r="M361" s="479">
        <v>0.43124999999999997</v>
      </c>
      <c r="N361" s="479">
        <v>0.39812499999999995</v>
      </c>
      <c r="O361" s="507"/>
    </row>
    <row r="362" spans="4:15" x14ac:dyDescent="0.2">
      <c r="D362" s="506"/>
      <c r="E362" s="508" t="s">
        <v>247</v>
      </c>
      <c r="F362" s="479">
        <v>0.47125</v>
      </c>
      <c r="G362" s="479">
        <v>0.40374999999999994</v>
      </c>
      <c r="H362" s="479">
        <v>0.46888888888888886</v>
      </c>
      <c r="I362" s="479">
        <v>0.37124999999999997</v>
      </c>
      <c r="J362" s="479">
        <v>0.43857142857142856</v>
      </c>
      <c r="K362" s="479">
        <v>0.35375000000000001</v>
      </c>
      <c r="L362" s="479">
        <v>0.31874999999999998</v>
      </c>
      <c r="M362" s="479">
        <v>0.49555555555555564</v>
      </c>
      <c r="N362" s="479">
        <v>0.42571428571428566</v>
      </c>
      <c r="O362" s="507"/>
    </row>
    <row r="363" spans="4:15" x14ac:dyDescent="0.2">
      <c r="D363" s="506"/>
      <c r="E363" s="508" t="s">
        <v>248</v>
      </c>
      <c r="F363" s="479">
        <v>0.40666666666666668</v>
      </c>
      <c r="G363" s="479">
        <v>0.36624999999999996</v>
      </c>
      <c r="H363" s="479">
        <v>0.44874999999999998</v>
      </c>
      <c r="I363" s="479">
        <v>0.32058823529411767</v>
      </c>
      <c r="J363" s="479">
        <v>0.38500000000000001</v>
      </c>
      <c r="K363" s="479">
        <v>0.29624999999999996</v>
      </c>
      <c r="L363" s="479">
        <v>0.27333333333333332</v>
      </c>
      <c r="M363" s="479">
        <v>0.40333333333333332</v>
      </c>
      <c r="N363" s="479">
        <v>0.40866666666666668</v>
      </c>
      <c r="O363" s="507"/>
    </row>
    <row r="364" spans="4:15" x14ac:dyDescent="0.2">
      <c r="D364" s="506"/>
      <c r="E364" s="508" t="s">
        <v>249</v>
      </c>
      <c r="F364" s="479">
        <v>0.41749999999999998</v>
      </c>
      <c r="G364" s="479">
        <v>0.44083333333333335</v>
      </c>
      <c r="H364" s="479">
        <v>0.45818181818181808</v>
      </c>
      <c r="I364" s="479">
        <v>0.35833333333333334</v>
      </c>
      <c r="J364" s="479">
        <v>0.45357142857142863</v>
      </c>
      <c r="K364" s="479">
        <v>0.32615384615384618</v>
      </c>
      <c r="L364" s="479">
        <v>0.33937499999999998</v>
      </c>
      <c r="M364" s="479">
        <v>0.43294117647058827</v>
      </c>
      <c r="N364" s="479">
        <v>0.4107142857142857</v>
      </c>
      <c r="O364" s="507"/>
    </row>
    <row r="365" spans="4:15" x14ac:dyDescent="0.2">
      <c r="D365" s="506"/>
      <c r="O365" s="507"/>
    </row>
    <row r="366" spans="4:15" x14ac:dyDescent="0.2">
      <c r="D366" s="506"/>
      <c r="E366" s="839" t="s">
        <v>253</v>
      </c>
      <c r="F366" s="839"/>
      <c r="G366" s="839"/>
      <c r="H366" s="839"/>
      <c r="I366" s="839"/>
      <c r="J366" s="839"/>
      <c r="K366" s="839"/>
      <c r="L366" s="839"/>
      <c r="M366" s="839"/>
      <c r="N366" s="839"/>
      <c r="O366" s="507"/>
    </row>
    <row r="367" spans="4:15" x14ac:dyDescent="0.2">
      <c r="D367" s="506"/>
      <c r="F367">
        <v>2016</v>
      </c>
      <c r="G367">
        <v>2017</v>
      </c>
      <c r="H367">
        <v>2018</v>
      </c>
      <c r="I367">
        <v>2019</v>
      </c>
      <c r="J367">
        <v>2020</v>
      </c>
      <c r="K367">
        <v>2021</v>
      </c>
      <c r="L367">
        <v>2022</v>
      </c>
      <c r="M367">
        <v>2023</v>
      </c>
      <c r="N367">
        <v>2024</v>
      </c>
      <c r="O367" s="507"/>
    </row>
    <row r="368" spans="4:15" x14ac:dyDescent="0.2">
      <c r="D368" s="506"/>
      <c r="F368" s="202" t="s">
        <v>909</v>
      </c>
      <c r="G368" s="202" t="s">
        <v>909</v>
      </c>
      <c r="H368" s="202" t="s">
        <v>909</v>
      </c>
      <c r="I368" s="202" t="s">
        <v>909</v>
      </c>
      <c r="J368" s="202" t="s">
        <v>909</v>
      </c>
      <c r="K368" s="202" t="s">
        <v>909</v>
      </c>
      <c r="L368" s="202" t="s">
        <v>909</v>
      </c>
      <c r="M368" s="202" t="s">
        <v>909</v>
      </c>
      <c r="N368" s="202" t="s">
        <v>909</v>
      </c>
      <c r="O368" s="507"/>
    </row>
    <row r="369" spans="4:20" x14ac:dyDescent="0.2">
      <c r="D369" s="506"/>
      <c r="E369" s="508" t="s">
        <v>244</v>
      </c>
      <c r="F369" s="479">
        <v>0.56230769230769218</v>
      </c>
      <c r="G369" s="479">
        <v>0.46999999999999992</v>
      </c>
      <c r="H369" s="479">
        <v>0.49769230769230766</v>
      </c>
      <c r="I369" s="479">
        <v>0.4284615384615385</v>
      </c>
      <c r="J369" s="479">
        <v>0.36230769230769233</v>
      </c>
      <c r="K369" s="479">
        <v>0.53307692307692311</v>
      </c>
      <c r="L369" s="479">
        <v>0.4407692307692308</v>
      </c>
      <c r="M369" s="479">
        <v>0.47916666666666669</v>
      </c>
      <c r="N369" s="479">
        <v>0.31454545454545457</v>
      </c>
      <c r="O369" s="507"/>
    </row>
    <row r="370" spans="4:20" x14ac:dyDescent="0.2">
      <c r="D370" s="506"/>
      <c r="E370" s="508" t="s">
        <v>245</v>
      </c>
      <c r="F370" s="479">
        <v>0.50944444444444448</v>
      </c>
      <c r="G370" s="479">
        <v>0.43882352941176472</v>
      </c>
      <c r="H370" s="479">
        <v>0.47764705882352948</v>
      </c>
      <c r="I370" s="479">
        <v>0.4284615384615385</v>
      </c>
      <c r="J370" s="479">
        <v>0.36181818181818176</v>
      </c>
      <c r="K370" s="479">
        <v>0.52500000000000013</v>
      </c>
      <c r="L370" s="479">
        <v>0.38666666666666671</v>
      </c>
      <c r="M370" s="479">
        <v>0.4413636363636364</v>
      </c>
      <c r="N370" s="479">
        <v>0.28105263157894739</v>
      </c>
      <c r="O370" s="507"/>
    </row>
    <row r="371" spans="4:20" x14ac:dyDescent="0.2">
      <c r="D371" s="506"/>
      <c r="E371" s="508" t="s">
        <v>246</v>
      </c>
      <c r="F371" s="479">
        <v>0.51153846153846161</v>
      </c>
      <c r="G371" s="479">
        <v>0.43928571428571433</v>
      </c>
      <c r="H371" s="479">
        <v>0.46928571428571431</v>
      </c>
      <c r="I371" s="479">
        <v>0.4284615384615385</v>
      </c>
      <c r="J371" s="479">
        <v>0.33466666666666672</v>
      </c>
      <c r="K371" s="479">
        <v>0.49933333333333341</v>
      </c>
      <c r="L371" s="479">
        <v>0.385625</v>
      </c>
      <c r="M371" s="479">
        <v>0.44</v>
      </c>
      <c r="N371" s="479">
        <v>0.29625000000000001</v>
      </c>
      <c r="O371" s="507"/>
    </row>
    <row r="372" spans="4:20" x14ac:dyDescent="0.2">
      <c r="D372" s="506"/>
      <c r="E372" s="508" t="s">
        <v>247</v>
      </c>
      <c r="F372" s="479">
        <v>0.57250000000000001</v>
      </c>
      <c r="G372" s="479">
        <v>0.46750000000000003</v>
      </c>
      <c r="H372" s="479">
        <v>0.4933333333333334</v>
      </c>
      <c r="I372" s="479">
        <v>0.4284615384615385</v>
      </c>
      <c r="J372" s="479">
        <v>0.40857142857142853</v>
      </c>
      <c r="K372" s="479">
        <v>0.54874999999999996</v>
      </c>
      <c r="L372" s="479">
        <v>0.44125000000000003</v>
      </c>
      <c r="M372" s="479">
        <v>0.52555555555555555</v>
      </c>
      <c r="N372" s="479">
        <v>0.32714285714285712</v>
      </c>
      <c r="O372" s="507"/>
    </row>
    <row r="373" spans="4:20" x14ac:dyDescent="0.2">
      <c r="D373" s="506"/>
      <c r="E373" s="508" t="s">
        <v>248</v>
      </c>
      <c r="F373" s="479">
        <v>0.53066666666666673</v>
      </c>
      <c r="G373" s="479">
        <v>0.42875000000000002</v>
      </c>
      <c r="H373" s="479">
        <v>0.45687500000000003</v>
      </c>
      <c r="I373" s="479">
        <v>0.4284615384615385</v>
      </c>
      <c r="J373" s="479">
        <v>0.29687499999999994</v>
      </c>
      <c r="K373" s="479">
        <v>0.47687499999999999</v>
      </c>
      <c r="L373" s="479">
        <v>0.36999999999999994</v>
      </c>
      <c r="M373" s="479">
        <v>0.41</v>
      </c>
      <c r="N373" s="479">
        <v>0.27200000000000008</v>
      </c>
      <c r="O373" s="507"/>
    </row>
    <row r="374" spans="4:20" x14ac:dyDescent="0.2">
      <c r="D374" s="506"/>
      <c r="E374" s="508" t="s">
        <v>249</v>
      </c>
      <c r="F374" s="479">
        <v>0.53333333333333333</v>
      </c>
      <c r="G374" s="479">
        <v>0.47166666666666668</v>
      </c>
      <c r="H374" s="479">
        <v>0.50090909090909086</v>
      </c>
      <c r="I374" s="479">
        <v>0.4284615384615385</v>
      </c>
      <c r="J374" s="479">
        <v>0.37857142857142861</v>
      </c>
      <c r="K374" s="479">
        <v>0.52692307692307683</v>
      </c>
      <c r="L374" s="479">
        <v>0.4375</v>
      </c>
      <c r="M374" s="479">
        <v>0.45058823529411773</v>
      </c>
      <c r="N374" s="479">
        <v>0.29785714285714288</v>
      </c>
      <c r="O374" s="507"/>
    </row>
    <row r="375" spans="4:20" x14ac:dyDescent="0.2">
      <c r="D375" s="506"/>
      <c r="O375" s="507"/>
    </row>
    <row r="376" spans="4:20" x14ac:dyDescent="0.2">
      <c r="D376" s="509"/>
      <c r="E376" s="510"/>
      <c r="F376" s="510"/>
      <c r="G376" s="510"/>
      <c r="H376" s="510"/>
      <c r="I376" s="510"/>
      <c r="J376" s="510"/>
      <c r="K376" s="510"/>
      <c r="L376" s="510"/>
      <c r="M376" s="510"/>
      <c r="N376" s="510"/>
      <c r="O376" s="511"/>
    </row>
    <row r="382" spans="4:20" x14ac:dyDescent="0.2">
      <c r="K382" s="85"/>
      <c r="L382" s="85"/>
      <c r="M382" s="85"/>
      <c r="O382" s="85">
        <f t="shared" ref="O382:O385" si="34">BC287</f>
        <v>0.41333333333333333</v>
      </c>
      <c r="P382" s="85">
        <f t="shared" ref="P382:P385" si="35">BD287</f>
        <v>0.41333333333333333</v>
      </c>
      <c r="Q382" s="85">
        <f t="shared" ref="Q382:Q385" si="36">BE287</f>
        <v>0.30666666666666664</v>
      </c>
      <c r="R382" s="85"/>
      <c r="S382" s="85"/>
      <c r="T382" s="85"/>
    </row>
    <row r="383" spans="4:20" x14ac:dyDescent="0.2">
      <c r="K383" s="85"/>
      <c r="L383" s="85"/>
      <c r="M383" s="85"/>
      <c r="O383" s="85">
        <f t="shared" si="34"/>
        <v>0.46249999999999997</v>
      </c>
      <c r="P383" s="85">
        <f t="shared" si="35"/>
        <v>0.45249999999999996</v>
      </c>
      <c r="Q383" s="85">
        <f t="shared" si="36"/>
        <v>0.36500000000000005</v>
      </c>
      <c r="R383" s="85"/>
      <c r="S383" s="85"/>
      <c r="T383" s="85"/>
    </row>
    <row r="384" spans="4:20" x14ac:dyDescent="0.2">
      <c r="K384" s="85"/>
      <c r="L384" s="85"/>
      <c r="M384" s="85"/>
      <c r="O384" s="85">
        <f t="shared" si="34"/>
        <v>0.40266666666666673</v>
      </c>
      <c r="P384" s="85">
        <f t="shared" si="35"/>
        <v>0.40866666666666668</v>
      </c>
      <c r="Q384" s="85">
        <f t="shared" si="36"/>
        <v>0.27200000000000008</v>
      </c>
      <c r="R384" s="85"/>
      <c r="S384" s="85"/>
      <c r="T384" s="85"/>
    </row>
    <row r="385" spans="11:20" x14ac:dyDescent="0.2">
      <c r="K385" s="85"/>
      <c r="L385" s="85"/>
      <c r="M385" s="85"/>
      <c r="O385" s="85">
        <f t="shared" si="34"/>
        <v>0.43142857142857144</v>
      </c>
      <c r="P385" s="85">
        <f t="shared" si="35"/>
        <v>0.4107142857142857</v>
      </c>
      <c r="Q385" s="85">
        <f t="shared" si="36"/>
        <v>0.29785714285714288</v>
      </c>
      <c r="R385" s="85"/>
      <c r="S385" s="85"/>
      <c r="T385" s="85"/>
    </row>
    <row r="386" spans="11:20" x14ac:dyDescent="0.2">
      <c r="O386" s="85"/>
      <c r="P386" s="85"/>
      <c r="Q386" s="85"/>
      <c r="R386" s="85"/>
      <c r="S386" s="85"/>
      <c r="T386" s="85"/>
    </row>
    <row r="387" spans="11:20" x14ac:dyDescent="0.2">
      <c r="O387" s="85"/>
      <c r="P387" s="85"/>
      <c r="Q387" s="85"/>
      <c r="R387" s="85"/>
      <c r="S387" s="85"/>
      <c r="T387" s="85"/>
    </row>
    <row r="388" spans="11:20" x14ac:dyDescent="0.2">
      <c r="O388" s="85"/>
      <c r="P388" s="85"/>
      <c r="Q388" s="85"/>
      <c r="R388" s="85"/>
      <c r="S388" s="85"/>
      <c r="T388" s="85"/>
    </row>
    <row r="389" spans="11:20" x14ac:dyDescent="0.2">
      <c r="O389" s="85"/>
      <c r="P389" s="85"/>
      <c r="Q389" s="85"/>
      <c r="R389" s="85"/>
      <c r="S389" s="85"/>
      <c r="T389" s="85"/>
    </row>
    <row r="390" spans="11:20" x14ac:dyDescent="0.2">
      <c r="O390" s="85"/>
      <c r="P390" s="85"/>
      <c r="Q390" s="85"/>
      <c r="R390" s="85"/>
      <c r="S390" s="85"/>
      <c r="T390" s="85"/>
    </row>
  </sheetData>
  <sheetProtection algorithmName="SHA-512" hashValue="brtK0+G7q3k4TzAyK+vsOLRnfCWX/cOMn6xiSq7iilGrUZrb94pjoZDFOTmrLveyIzZDMrLshbgVuJJauzO3AQ==" saltValue="xAHX3TG0Lv5yYYk3sO0x3g==" spinCount="100000" sheet="1" objects="1" scenarios="1"/>
  <autoFilter ref="A9:CN172" xr:uid="{235BCB34-5A79-418A-A30C-F0C5D03C804F}"/>
  <sortState ref="A36:AV171">
    <sortCondition ref="A36:A171"/>
  </sortState>
  <mergeCells count="189">
    <mergeCell ref="E314:N314"/>
    <mergeCell ref="E324:N324"/>
    <mergeCell ref="E334:N334"/>
    <mergeCell ref="E346:N346"/>
    <mergeCell ref="E356:N356"/>
    <mergeCell ref="E366:N366"/>
    <mergeCell ref="BS7:CC7"/>
    <mergeCell ref="BS8:BS9"/>
    <mergeCell ref="BT8:BT9"/>
    <mergeCell ref="BU8:BU9"/>
    <mergeCell ref="BV8:BV9"/>
    <mergeCell ref="BW8:BZ8"/>
    <mergeCell ref="CA8:CC8"/>
    <mergeCell ref="BH7:BR7"/>
    <mergeCell ref="BH8:BH9"/>
    <mergeCell ref="BI8:BI9"/>
    <mergeCell ref="BJ8:BJ9"/>
    <mergeCell ref="BK8:BK9"/>
    <mergeCell ref="BL8:BO8"/>
    <mergeCell ref="BP8:BR8"/>
    <mergeCell ref="AA190:AB190"/>
    <mergeCell ref="E190:F190"/>
    <mergeCell ref="G190:H190"/>
    <mergeCell ref="I190:J190"/>
    <mergeCell ref="V8:V9"/>
    <mergeCell ref="W8:W9"/>
    <mergeCell ref="X8:AA8"/>
    <mergeCell ref="BA8:BD8"/>
    <mergeCell ref="BE8:BG8"/>
    <mergeCell ref="AZ8:AZ9"/>
    <mergeCell ref="AX8:AX9"/>
    <mergeCell ref="AE7:AM7"/>
    <mergeCell ref="AE8:AE9"/>
    <mergeCell ref="AF8:AF9"/>
    <mergeCell ref="K190:L190"/>
    <mergeCell ref="C189:F189"/>
    <mergeCell ref="G189:J189"/>
    <mergeCell ref="A1:N1"/>
    <mergeCell ref="A3:N3"/>
    <mergeCell ref="D7:L7"/>
    <mergeCell ref="M7:U7"/>
    <mergeCell ref="V7:AD7"/>
    <mergeCell ref="A4:N4"/>
    <mergeCell ref="B178:B179"/>
    <mergeCell ref="C178:D178"/>
    <mergeCell ref="F8:I8"/>
    <mergeCell ref="E178:F178"/>
    <mergeCell ref="G178:H178"/>
    <mergeCell ref="N8:N9"/>
    <mergeCell ref="M8:M9"/>
    <mergeCell ref="E8:E9"/>
    <mergeCell ref="A7:A9"/>
    <mergeCell ref="D8:D9"/>
    <mergeCell ref="C7:C9"/>
    <mergeCell ref="B7:B9"/>
    <mergeCell ref="J8:L8"/>
    <mergeCell ref="O8:R8"/>
    <mergeCell ref="S8:U8"/>
    <mergeCell ref="AD273:AF273"/>
    <mergeCell ref="AG273:AI273"/>
    <mergeCell ref="AJ272:AO272"/>
    <mergeCell ref="AJ273:AL273"/>
    <mergeCell ref="AM273:AO273"/>
    <mergeCell ref="F254:I254"/>
    <mergeCell ref="F253:M253"/>
    <mergeCell ref="J254:M254"/>
    <mergeCell ref="N253:U253"/>
    <mergeCell ref="N254:Q254"/>
    <mergeCell ref="R254:U254"/>
    <mergeCell ref="V253:AC253"/>
    <mergeCell ref="X272:AC272"/>
    <mergeCell ref="F273:H273"/>
    <mergeCell ref="I273:K273"/>
    <mergeCell ref="L273:N273"/>
    <mergeCell ref="O273:Q273"/>
    <mergeCell ref="R273:T273"/>
    <mergeCell ref="U273:W273"/>
    <mergeCell ref="X273:Z273"/>
    <mergeCell ref="AA273:AC273"/>
    <mergeCell ref="F263:H263"/>
    <mergeCell ref="AD272:AI272"/>
    <mergeCell ref="AL254:AO254"/>
    <mergeCell ref="AD263:AF263"/>
    <mergeCell ref="AP272:AU272"/>
    <mergeCell ref="AL253:AS253"/>
    <mergeCell ref="V244:Y244"/>
    <mergeCell ref="R244:U244"/>
    <mergeCell ref="N244:Q244"/>
    <mergeCell ref="AP254:AS254"/>
    <mergeCell ref="AT253:BA253"/>
    <mergeCell ref="AT254:AW254"/>
    <mergeCell ref="AX254:BA254"/>
    <mergeCell ref="V254:Y254"/>
    <mergeCell ref="Z254:AC254"/>
    <mergeCell ref="AD253:AK253"/>
    <mergeCell ref="AD254:AG254"/>
    <mergeCell ref="AH254:AK254"/>
    <mergeCell ref="K189:N189"/>
    <mergeCell ref="M190:N190"/>
    <mergeCell ref="O190:P190"/>
    <mergeCell ref="F272:K272"/>
    <mergeCell ref="L272:Q272"/>
    <mergeCell ref="R272:W272"/>
    <mergeCell ref="L263:N263"/>
    <mergeCell ref="O263:Q263"/>
    <mergeCell ref="R263:T263"/>
    <mergeCell ref="F244:I244"/>
    <mergeCell ref="I263:K263"/>
    <mergeCell ref="Q190:R190"/>
    <mergeCell ref="O189:R189"/>
    <mergeCell ref="W189:Z189"/>
    <mergeCell ref="W190:X190"/>
    <mergeCell ref="Y190:Z190"/>
    <mergeCell ref="S189:V189"/>
    <mergeCell ref="S190:T190"/>
    <mergeCell ref="U190:V190"/>
    <mergeCell ref="Z244:AC244"/>
    <mergeCell ref="J244:M244"/>
    <mergeCell ref="U263:W263"/>
    <mergeCell ref="X263:Z263"/>
    <mergeCell ref="AA263:AC263"/>
    <mergeCell ref="CD7:CN7"/>
    <mergeCell ref="CD8:CD9"/>
    <mergeCell ref="CE8:CE9"/>
    <mergeCell ref="CF8:CF9"/>
    <mergeCell ref="CG8:CG9"/>
    <mergeCell ref="CH8:CK8"/>
    <mergeCell ref="CL8:CN8"/>
    <mergeCell ref="C200:L200"/>
    <mergeCell ref="BQ202:BT202"/>
    <mergeCell ref="BM202:BP202"/>
    <mergeCell ref="AW202:AZ202"/>
    <mergeCell ref="BA202:BD202"/>
    <mergeCell ref="C190:D190"/>
    <mergeCell ref="AN7:AV7"/>
    <mergeCell ref="AN8:AN9"/>
    <mergeCell ref="AO8:AO9"/>
    <mergeCell ref="AG8:AJ8"/>
    <mergeCell ref="AK8:AM8"/>
    <mergeCell ref="AB8:AD8"/>
    <mergeCell ref="AP8:AS8"/>
    <mergeCell ref="AT8:AV8"/>
    <mergeCell ref="AW7:BG7"/>
    <mergeCell ref="AW8:AW9"/>
    <mergeCell ref="AY8:AY9"/>
    <mergeCell ref="BU202:BX202"/>
    <mergeCell ref="AI189:AL189"/>
    <mergeCell ref="AI190:AJ190"/>
    <mergeCell ref="AK190:AL190"/>
    <mergeCell ref="N200:W200"/>
    <mergeCell ref="AQ177:BI177"/>
    <mergeCell ref="AC177:AL177"/>
    <mergeCell ref="O178:P178"/>
    <mergeCell ref="Q178:R178"/>
    <mergeCell ref="S178:T178"/>
    <mergeCell ref="B177:T177"/>
    <mergeCell ref="AN201:BX201"/>
    <mergeCell ref="AC190:AD190"/>
    <mergeCell ref="AE189:AH189"/>
    <mergeCell ref="AE190:AF190"/>
    <mergeCell ref="AG190:AH190"/>
    <mergeCell ref="AS202:AV202"/>
    <mergeCell ref="AO202:AR202"/>
    <mergeCell ref="BE202:BH202"/>
    <mergeCell ref="BI202:BL202"/>
    <mergeCell ref="I178:J178"/>
    <mergeCell ref="K178:L178"/>
    <mergeCell ref="M178:N178"/>
    <mergeCell ref="AA189:AD189"/>
    <mergeCell ref="AP273:AR273"/>
    <mergeCell ref="AS273:AU273"/>
    <mergeCell ref="AV272:BA272"/>
    <mergeCell ref="AV273:AX273"/>
    <mergeCell ref="AY273:BA273"/>
    <mergeCell ref="BB272:BG272"/>
    <mergeCell ref="BB273:BD273"/>
    <mergeCell ref="BE273:BG273"/>
    <mergeCell ref="BB253:BI253"/>
    <mergeCell ref="BB254:BE254"/>
    <mergeCell ref="BF254:BI254"/>
    <mergeCell ref="BJ253:BQ253"/>
    <mergeCell ref="BJ254:BM254"/>
    <mergeCell ref="BN254:BQ254"/>
    <mergeCell ref="BR253:BY253"/>
    <mergeCell ref="BR254:BU254"/>
    <mergeCell ref="BV254:BY254"/>
    <mergeCell ref="AD244:AG244"/>
    <mergeCell ref="AH244:AK244"/>
    <mergeCell ref="AL244:AO244"/>
  </mergeCells>
  <conditionalFormatting sqref="A130">
    <cfRule type="duplicateValues" dxfId="51" priority="1"/>
    <cfRule type="duplicateValues" dxfId="50" priority="2"/>
  </conditionalFormatting>
  <conditionalFormatting sqref="A163">
    <cfRule type="duplicateValues" dxfId="49" priority="3"/>
    <cfRule type="duplicateValues" dxfId="48" priority="4"/>
  </conditionalFormatting>
  <pageMargins left="0.75" right="0.75" top="1" bottom="1" header="0.5" footer="0.5"/>
  <pageSetup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autoPageBreaks="0"/>
  </sheetPr>
  <dimension ref="A1:EV295"/>
  <sheetViews>
    <sheetView topLeftCell="A19" zoomScale="70" zoomScaleNormal="70" zoomScaleSheetLayoutView="50" workbookViewId="0">
      <pane xSplit="1" topLeftCell="B1" activePane="topRight" state="frozen"/>
      <selection activeCell="K23" sqref="K23"/>
      <selection pane="topRight" activeCell="E57" sqref="E57"/>
    </sheetView>
  </sheetViews>
  <sheetFormatPr baseColWidth="10" defaultColWidth="9.140625" defaultRowHeight="12.75" x14ac:dyDescent="0.2"/>
  <cols>
    <col min="1" max="1" width="86.7109375" bestFit="1" customWidth="1"/>
    <col min="2" max="2" width="14.42578125" bestFit="1" customWidth="1"/>
    <col min="3" max="3" width="18" customWidth="1"/>
    <col min="4" max="4" width="14" customWidth="1"/>
    <col min="5" max="12" width="16.5703125" customWidth="1"/>
    <col min="13" max="13" width="17" customWidth="1"/>
    <col min="14" max="21" width="16.85546875" customWidth="1"/>
    <col min="22" max="28" width="14.5703125" customWidth="1"/>
    <col min="29" max="29" width="15.7109375" customWidth="1"/>
    <col min="30" max="30" width="14.5703125" customWidth="1"/>
    <col min="31" max="31" width="12.28515625" customWidth="1"/>
    <col min="32" max="39" width="15.42578125" customWidth="1"/>
    <col min="40" max="40" width="13" customWidth="1"/>
    <col min="41" max="41" width="14" customWidth="1"/>
    <col min="42" max="42" width="13" customWidth="1"/>
    <col min="43" max="43" width="10.85546875" customWidth="1"/>
    <col min="44" max="44" width="11.7109375" customWidth="1"/>
    <col min="45" max="45" width="12.28515625" customWidth="1"/>
    <col min="46" max="46" width="18" customWidth="1"/>
    <col min="47" max="47" width="16.7109375" customWidth="1"/>
    <col min="48" max="48" width="18.85546875" customWidth="1"/>
    <col min="49" max="50" width="10.28515625" customWidth="1"/>
    <col min="51" max="52" width="14.140625" customWidth="1"/>
    <col min="56" max="56" width="9.140625" customWidth="1"/>
    <col min="57" max="57" width="16.28515625" customWidth="1"/>
    <col min="58" max="58" width="15.28515625" customWidth="1"/>
    <col min="59" max="59" width="23.140625" customWidth="1"/>
    <col min="71" max="71" width="16.28515625" customWidth="1"/>
    <col min="72" max="75" width="16.85546875" customWidth="1"/>
    <col min="76" max="76" width="17.140625" customWidth="1"/>
    <col min="81" max="87" width="9.7109375" customWidth="1"/>
    <col min="88" max="88" width="14.28515625" customWidth="1"/>
    <col min="89" max="91" width="17.7109375" customWidth="1"/>
    <col min="92" max="98" width="9.7109375" customWidth="1"/>
    <col min="103" max="103" width="9.140625" customWidth="1"/>
  </cols>
  <sheetData>
    <row r="1" spans="1:98" x14ac:dyDescent="0.2">
      <c r="A1" s="846"/>
      <c r="B1" s="846"/>
      <c r="C1" s="846"/>
      <c r="D1" s="846"/>
      <c r="E1" s="846"/>
      <c r="F1" s="846"/>
      <c r="G1" s="846"/>
      <c r="H1" s="846"/>
      <c r="I1" s="846"/>
      <c r="J1" s="846"/>
      <c r="K1" s="846"/>
      <c r="L1" s="846"/>
      <c r="M1" s="846"/>
      <c r="N1" s="846"/>
    </row>
    <row r="3" spans="1:98" x14ac:dyDescent="0.2">
      <c r="A3" s="846"/>
      <c r="B3" s="846"/>
      <c r="C3" s="846"/>
      <c r="D3" s="846"/>
      <c r="E3" s="846"/>
      <c r="F3" s="846"/>
      <c r="G3" s="846"/>
      <c r="H3" s="846"/>
      <c r="I3" s="846"/>
      <c r="J3" s="846"/>
      <c r="K3" s="846"/>
      <c r="L3" s="846"/>
      <c r="M3" s="846"/>
      <c r="N3" s="846"/>
    </row>
    <row r="4" spans="1:98" x14ac:dyDescent="0.2">
      <c r="A4" s="846"/>
      <c r="B4" s="846"/>
      <c r="C4" s="846"/>
      <c r="D4" s="846"/>
      <c r="E4" s="846"/>
      <c r="F4" s="846"/>
      <c r="G4" s="846"/>
      <c r="H4" s="846"/>
      <c r="I4" s="846"/>
      <c r="J4" s="846"/>
      <c r="K4" s="846"/>
      <c r="L4" s="846"/>
      <c r="M4" s="846"/>
      <c r="N4" s="846"/>
    </row>
    <row r="6" spans="1:98" x14ac:dyDescent="0.2">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54</v>
      </c>
      <c r="BC6">
        <v>55</v>
      </c>
      <c r="BD6">
        <v>56</v>
      </c>
      <c r="BE6">
        <v>57</v>
      </c>
      <c r="BF6">
        <v>58</v>
      </c>
      <c r="BG6">
        <v>59</v>
      </c>
      <c r="BH6">
        <v>60</v>
      </c>
      <c r="BI6">
        <v>61</v>
      </c>
      <c r="BJ6">
        <v>62</v>
      </c>
      <c r="BK6">
        <v>63</v>
      </c>
      <c r="BL6">
        <v>64</v>
      </c>
      <c r="BM6">
        <v>65</v>
      </c>
      <c r="BN6">
        <v>66</v>
      </c>
      <c r="BO6">
        <v>67</v>
      </c>
      <c r="BP6">
        <v>68</v>
      </c>
      <c r="BQ6">
        <v>69</v>
      </c>
      <c r="BR6">
        <v>70</v>
      </c>
      <c r="BS6">
        <v>71</v>
      </c>
      <c r="BT6">
        <v>72</v>
      </c>
      <c r="BU6">
        <v>73</v>
      </c>
      <c r="BV6">
        <v>74</v>
      </c>
      <c r="BW6">
        <v>75</v>
      </c>
      <c r="BX6">
        <v>76</v>
      </c>
      <c r="BY6">
        <v>77</v>
      </c>
      <c r="BZ6">
        <v>78</v>
      </c>
      <c r="CA6">
        <v>79</v>
      </c>
      <c r="CB6">
        <v>80</v>
      </c>
      <c r="CC6">
        <v>81</v>
      </c>
      <c r="CD6">
        <v>82</v>
      </c>
      <c r="CE6">
        <v>83</v>
      </c>
      <c r="CF6">
        <v>84</v>
      </c>
      <c r="CG6">
        <v>85</v>
      </c>
      <c r="CH6">
        <v>86</v>
      </c>
      <c r="CI6">
        <v>87</v>
      </c>
      <c r="CJ6">
        <v>88</v>
      </c>
      <c r="CK6">
        <v>89</v>
      </c>
      <c r="CL6">
        <v>90</v>
      </c>
      <c r="CM6">
        <v>91</v>
      </c>
      <c r="CN6">
        <v>92</v>
      </c>
      <c r="CO6">
        <v>93</v>
      </c>
      <c r="CP6">
        <v>94</v>
      </c>
      <c r="CQ6">
        <v>95</v>
      </c>
      <c r="CR6">
        <v>96</v>
      </c>
      <c r="CS6">
        <v>97</v>
      </c>
      <c r="CT6">
        <v>98</v>
      </c>
    </row>
    <row r="7" spans="1:98" x14ac:dyDescent="0.2">
      <c r="A7" s="839" t="s">
        <v>5</v>
      </c>
      <c r="B7" s="839" t="s">
        <v>242</v>
      </c>
      <c r="C7" s="839" t="s">
        <v>243</v>
      </c>
      <c r="D7" s="990">
        <v>2016</v>
      </c>
      <c r="E7" s="991"/>
      <c r="F7" s="991"/>
      <c r="G7" s="991"/>
      <c r="H7" s="991"/>
      <c r="I7" s="991"/>
      <c r="J7" s="991"/>
      <c r="K7" s="991"/>
      <c r="L7" s="992"/>
      <c r="M7" s="990">
        <v>2017</v>
      </c>
      <c r="N7" s="991"/>
      <c r="O7" s="991"/>
      <c r="P7" s="991"/>
      <c r="Q7" s="991"/>
      <c r="R7" s="991"/>
      <c r="S7" s="991"/>
      <c r="T7" s="991"/>
      <c r="U7" s="992"/>
      <c r="V7" s="990">
        <v>2018</v>
      </c>
      <c r="W7" s="991"/>
      <c r="X7" s="991"/>
      <c r="Y7" s="991"/>
      <c r="Z7" s="991"/>
      <c r="AA7" s="991"/>
      <c r="AB7" s="991"/>
      <c r="AC7" s="991"/>
      <c r="AD7" s="992"/>
      <c r="AE7" s="990">
        <v>2019</v>
      </c>
      <c r="AF7" s="991"/>
      <c r="AG7" s="991"/>
      <c r="AH7" s="991"/>
      <c r="AI7" s="991"/>
      <c r="AJ7" s="991"/>
      <c r="AK7" s="991"/>
      <c r="AL7" s="991"/>
      <c r="AM7" s="992"/>
      <c r="AN7" s="990">
        <v>2020</v>
      </c>
      <c r="AO7" s="991"/>
      <c r="AP7" s="991"/>
      <c r="AQ7" s="991"/>
      <c r="AR7" s="991"/>
      <c r="AS7" s="991"/>
      <c r="AT7" s="991"/>
      <c r="AU7" s="991"/>
      <c r="AV7" s="992"/>
      <c r="AW7" s="990">
        <v>2021</v>
      </c>
      <c r="AX7" s="998"/>
      <c r="AY7" s="991"/>
      <c r="AZ7" s="998"/>
      <c r="BA7" s="991"/>
      <c r="BB7" s="991"/>
      <c r="BC7" s="991"/>
      <c r="BD7" s="991"/>
      <c r="BE7" s="991"/>
      <c r="BF7" s="991"/>
      <c r="BG7" s="992"/>
      <c r="BH7" s="990">
        <v>2022</v>
      </c>
      <c r="BI7" s="998"/>
      <c r="BJ7" s="991"/>
      <c r="BK7" s="998"/>
      <c r="BL7" s="996"/>
      <c r="BM7" s="996"/>
      <c r="BN7" s="996"/>
      <c r="BO7" s="991"/>
      <c r="BP7" s="991"/>
      <c r="BQ7" s="991"/>
      <c r="BR7" s="991"/>
      <c r="BS7" s="991"/>
      <c r="BT7" s="991"/>
      <c r="BU7" s="996"/>
      <c r="BV7" s="996"/>
      <c r="BW7" s="996"/>
      <c r="BX7" s="992"/>
      <c r="BY7" s="995">
        <v>2023</v>
      </c>
      <c r="BZ7" s="996"/>
      <c r="CA7" s="996"/>
      <c r="CB7" s="996"/>
      <c r="CC7" s="996"/>
      <c r="CD7" s="996"/>
      <c r="CE7" s="996"/>
      <c r="CF7" s="996"/>
      <c r="CG7" s="996"/>
      <c r="CH7" s="996"/>
      <c r="CI7" s="997"/>
      <c r="CJ7" s="995">
        <v>2024</v>
      </c>
      <c r="CK7" s="996"/>
      <c r="CL7" s="996"/>
      <c r="CM7" s="996"/>
      <c r="CN7" s="996"/>
      <c r="CO7" s="996"/>
      <c r="CP7" s="996"/>
      <c r="CQ7" s="996"/>
      <c r="CR7" s="996"/>
      <c r="CS7" s="996"/>
      <c r="CT7" s="996"/>
    </row>
    <row r="8" spans="1:98" ht="24.75" customHeight="1" x14ac:dyDescent="0.2">
      <c r="A8" s="839"/>
      <c r="B8" s="839"/>
      <c r="C8" s="839"/>
      <c r="D8" s="981" t="s">
        <v>218</v>
      </c>
      <c r="E8" s="980" t="s">
        <v>217</v>
      </c>
      <c r="F8" s="973" t="s">
        <v>278</v>
      </c>
      <c r="G8" s="983"/>
      <c r="H8" s="983"/>
      <c r="I8" s="983"/>
      <c r="J8" s="973" t="s">
        <v>279</v>
      </c>
      <c r="K8" s="983"/>
      <c r="L8" s="983"/>
      <c r="M8" s="981" t="s">
        <v>218</v>
      </c>
      <c r="N8" s="980" t="s">
        <v>217</v>
      </c>
      <c r="O8" s="982" t="s">
        <v>278</v>
      </c>
      <c r="P8" s="846"/>
      <c r="Q8" s="846"/>
      <c r="R8" s="846"/>
      <c r="S8" s="982" t="s">
        <v>279</v>
      </c>
      <c r="T8" s="846"/>
      <c r="U8" s="846"/>
      <c r="V8" s="981" t="s">
        <v>218</v>
      </c>
      <c r="W8" s="980" t="s">
        <v>217</v>
      </c>
      <c r="X8" s="973" t="s">
        <v>278</v>
      </c>
      <c r="Y8" s="983"/>
      <c r="Z8" s="983"/>
      <c r="AA8" s="983"/>
      <c r="AB8" s="973" t="s">
        <v>279</v>
      </c>
      <c r="AC8" s="983"/>
      <c r="AD8" s="983"/>
      <c r="AE8" s="981" t="s">
        <v>218</v>
      </c>
      <c r="AF8" s="980" t="s">
        <v>217</v>
      </c>
      <c r="AG8" s="973" t="s">
        <v>278</v>
      </c>
      <c r="AH8" s="846"/>
      <c r="AI8" s="846"/>
      <c r="AJ8" s="846"/>
      <c r="AK8" s="973" t="s">
        <v>279</v>
      </c>
      <c r="AL8" s="846"/>
      <c r="AM8" s="846"/>
      <c r="AN8" s="981" t="s">
        <v>218</v>
      </c>
      <c r="AO8" s="980" t="s">
        <v>217</v>
      </c>
      <c r="AP8" s="51" t="s">
        <v>278</v>
      </c>
      <c r="AQ8" s="52"/>
      <c r="AR8" s="52"/>
      <c r="AS8" s="53"/>
      <c r="AT8" s="51" t="s">
        <v>279</v>
      </c>
      <c r="AU8" s="52"/>
      <c r="AV8" s="53"/>
      <c r="AW8" s="981" t="s">
        <v>218</v>
      </c>
      <c r="AX8" s="980" t="s">
        <v>882</v>
      </c>
      <c r="AY8" s="980" t="s">
        <v>217</v>
      </c>
      <c r="AZ8" s="980" t="s">
        <v>883</v>
      </c>
      <c r="BA8" s="51" t="s">
        <v>278</v>
      </c>
      <c r="BB8" s="52"/>
      <c r="BC8" s="52"/>
      <c r="BD8" s="53"/>
      <c r="BE8" s="51" t="s">
        <v>279</v>
      </c>
      <c r="BF8" s="52"/>
      <c r="BG8" s="53"/>
      <c r="BH8" s="981" t="s">
        <v>218</v>
      </c>
      <c r="BI8" s="980" t="s">
        <v>882</v>
      </c>
      <c r="BJ8" s="980" t="s">
        <v>217</v>
      </c>
      <c r="BK8" s="980" t="s">
        <v>883</v>
      </c>
      <c r="BL8" s="29"/>
      <c r="BM8" s="29"/>
      <c r="BN8" s="29"/>
      <c r="BO8" s="51" t="s">
        <v>278</v>
      </c>
      <c r="BP8" s="52"/>
      <c r="BQ8" s="52"/>
      <c r="BR8" s="53"/>
      <c r="BS8" s="51" t="s">
        <v>279</v>
      </c>
      <c r="BT8" s="52"/>
      <c r="BU8" s="532"/>
      <c r="BV8" s="532"/>
      <c r="BW8" s="532"/>
      <c r="BX8" s="53"/>
      <c r="BY8" s="981" t="s">
        <v>218</v>
      </c>
      <c r="BZ8" s="980" t="s">
        <v>882</v>
      </c>
      <c r="CA8" s="980" t="s">
        <v>217</v>
      </c>
      <c r="CB8" s="980" t="s">
        <v>883</v>
      </c>
      <c r="CC8" s="545" t="s">
        <v>278</v>
      </c>
      <c r="CD8" s="546"/>
      <c r="CE8" s="546"/>
      <c r="CF8" s="546"/>
      <c r="CG8" s="546"/>
      <c r="CH8" s="52"/>
      <c r="CI8" s="53"/>
      <c r="CJ8" s="498" t="s">
        <v>218</v>
      </c>
      <c r="CK8" s="497" t="s">
        <v>882</v>
      </c>
      <c r="CL8" s="497" t="s">
        <v>217</v>
      </c>
      <c r="CM8" s="497" t="s">
        <v>883</v>
      </c>
      <c r="CN8" s="51" t="s">
        <v>278</v>
      </c>
      <c r="CO8" s="52"/>
      <c r="CP8" s="52"/>
      <c r="CQ8" s="53"/>
      <c r="CR8" s="546"/>
      <c r="CS8" s="52"/>
      <c r="CT8" s="53"/>
    </row>
    <row r="9" spans="1:98" ht="116.25" customHeight="1" x14ac:dyDescent="0.2">
      <c r="A9" s="855"/>
      <c r="B9" s="855"/>
      <c r="C9" s="855"/>
      <c r="D9" s="971"/>
      <c r="E9" s="972"/>
      <c r="F9" s="7" t="s">
        <v>190</v>
      </c>
      <c r="G9" s="7" t="s">
        <v>79</v>
      </c>
      <c r="H9" s="7" t="s">
        <v>156</v>
      </c>
      <c r="I9" s="7" t="s">
        <v>95</v>
      </c>
      <c r="J9" s="7" t="s">
        <v>331</v>
      </c>
      <c r="K9" s="7" t="s">
        <v>332</v>
      </c>
      <c r="L9" s="7" t="s">
        <v>339</v>
      </c>
      <c r="M9" s="971"/>
      <c r="N9" s="972"/>
      <c r="O9" s="16" t="s">
        <v>190</v>
      </c>
      <c r="P9" s="16" t="s">
        <v>79</v>
      </c>
      <c r="Q9" s="16" t="s">
        <v>156</v>
      </c>
      <c r="R9" s="16" t="s">
        <v>95</v>
      </c>
      <c r="S9" s="16" t="s">
        <v>333</v>
      </c>
      <c r="T9" s="16" t="s">
        <v>337</v>
      </c>
      <c r="U9" s="16" t="s">
        <v>340</v>
      </c>
      <c r="V9" s="971"/>
      <c r="W9" s="972"/>
      <c r="X9" s="7" t="s">
        <v>190</v>
      </c>
      <c r="Y9" s="7" t="s">
        <v>79</v>
      </c>
      <c r="Z9" s="7" t="s">
        <v>156</v>
      </c>
      <c r="AA9" s="7" t="s">
        <v>95</v>
      </c>
      <c r="AB9" s="7" t="s">
        <v>338</v>
      </c>
      <c r="AC9" s="7" t="s">
        <v>335</v>
      </c>
      <c r="AD9" s="7" t="s">
        <v>334</v>
      </c>
      <c r="AE9" s="971"/>
      <c r="AF9" s="972"/>
      <c r="AG9" s="7" t="s">
        <v>190</v>
      </c>
      <c r="AH9" s="7" t="s">
        <v>79</v>
      </c>
      <c r="AI9" s="7" t="s">
        <v>156</v>
      </c>
      <c r="AJ9" s="7" t="s">
        <v>95</v>
      </c>
      <c r="AK9" s="7" t="s">
        <v>338</v>
      </c>
      <c r="AL9" s="7" t="s">
        <v>332</v>
      </c>
      <c r="AM9" s="7" t="s">
        <v>336</v>
      </c>
      <c r="AN9" s="971"/>
      <c r="AO9" s="972"/>
      <c r="AP9" s="54" t="s">
        <v>190</v>
      </c>
      <c r="AQ9" s="54" t="s">
        <v>79</v>
      </c>
      <c r="AR9" s="54" t="s">
        <v>156</v>
      </c>
      <c r="AS9" s="54" t="s">
        <v>95</v>
      </c>
      <c r="AT9" s="97" t="s">
        <v>331</v>
      </c>
      <c r="AU9" s="16" t="s">
        <v>337</v>
      </c>
      <c r="AV9" s="97" t="s">
        <v>334</v>
      </c>
      <c r="AW9" s="971"/>
      <c r="AX9" s="972"/>
      <c r="AY9" s="972"/>
      <c r="AZ9" s="972"/>
      <c r="BA9" s="54" t="s">
        <v>190</v>
      </c>
      <c r="BB9" s="54" t="s">
        <v>79</v>
      </c>
      <c r="BC9" s="54" t="s">
        <v>156</v>
      </c>
      <c r="BD9" s="54" t="s">
        <v>95</v>
      </c>
      <c r="BE9" s="97" t="s">
        <v>331</v>
      </c>
      <c r="BF9" s="16" t="s">
        <v>337</v>
      </c>
      <c r="BG9" s="97" t="s">
        <v>334</v>
      </c>
      <c r="BH9" s="971"/>
      <c r="BI9" s="972"/>
      <c r="BJ9" s="972"/>
      <c r="BK9" s="972"/>
      <c r="BL9" s="533"/>
      <c r="BM9" s="533"/>
      <c r="BN9" s="533"/>
      <c r="BO9" s="54" t="s">
        <v>190</v>
      </c>
      <c r="BP9" s="54" t="s">
        <v>79</v>
      </c>
      <c r="BQ9" s="54" t="s">
        <v>156</v>
      </c>
      <c r="BR9" s="54" t="s">
        <v>95</v>
      </c>
      <c r="BS9" s="7" t="s">
        <v>338</v>
      </c>
      <c r="BT9" s="7" t="s">
        <v>332</v>
      </c>
      <c r="BU9" s="476"/>
      <c r="BV9" s="476"/>
      <c r="BW9" s="476"/>
      <c r="BX9" s="7" t="s">
        <v>336</v>
      </c>
      <c r="BY9" s="971"/>
      <c r="BZ9" s="972"/>
      <c r="CA9" s="972"/>
      <c r="CB9" s="972"/>
      <c r="CC9" s="54" t="s">
        <v>190</v>
      </c>
      <c r="CD9" s="54" t="s">
        <v>79</v>
      </c>
      <c r="CE9" s="54" t="s">
        <v>156</v>
      </c>
      <c r="CF9" s="54" t="s">
        <v>95</v>
      </c>
      <c r="CG9" s="7" t="s">
        <v>332</v>
      </c>
      <c r="CH9" s="7" t="s">
        <v>336</v>
      </c>
      <c r="CI9" s="7" t="s">
        <v>338</v>
      </c>
      <c r="CJ9" s="496"/>
      <c r="CK9" s="495"/>
      <c r="CL9" s="495"/>
      <c r="CM9" s="495"/>
      <c r="CN9" s="54">
        <v>1</v>
      </c>
      <c r="CO9" s="54">
        <v>2</v>
      </c>
      <c r="CP9" s="54">
        <v>3</v>
      </c>
      <c r="CQ9" s="54">
        <v>4</v>
      </c>
      <c r="CR9" s="7" t="s">
        <v>333</v>
      </c>
      <c r="CS9" s="7" t="s">
        <v>337</v>
      </c>
      <c r="CT9" s="7" t="s">
        <v>336</v>
      </c>
    </row>
    <row r="10" spans="1:98" ht="24.95" customHeight="1" x14ac:dyDescent="0.2">
      <c r="A10" s="3" t="s">
        <v>10</v>
      </c>
      <c r="B10" s="3"/>
      <c r="C10" s="3"/>
      <c r="D10" s="17">
        <v>52</v>
      </c>
      <c r="E10" s="17">
        <v>11</v>
      </c>
      <c r="F10" s="64">
        <v>0.08</v>
      </c>
      <c r="G10" s="64">
        <v>0.37</v>
      </c>
      <c r="H10" s="64">
        <v>0.5</v>
      </c>
      <c r="I10" s="64">
        <v>0.05</v>
      </c>
      <c r="J10" s="64">
        <v>0.54</v>
      </c>
      <c r="K10" s="64">
        <v>0.46</v>
      </c>
      <c r="L10" s="64">
        <v>0.53</v>
      </c>
      <c r="M10" s="17">
        <v>52</v>
      </c>
      <c r="N10" s="18">
        <v>12</v>
      </c>
      <c r="O10" s="55">
        <v>0.09</v>
      </c>
      <c r="P10" s="55">
        <v>0.38</v>
      </c>
      <c r="Q10" s="55">
        <v>0.48</v>
      </c>
      <c r="R10" s="55">
        <v>0.05</v>
      </c>
      <c r="S10" s="55">
        <v>0.48</v>
      </c>
      <c r="T10" s="55">
        <v>0.54</v>
      </c>
      <c r="U10" s="55">
        <v>0.37</v>
      </c>
      <c r="V10" s="17">
        <v>52</v>
      </c>
      <c r="W10" s="17">
        <v>12</v>
      </c>
      <c r="X10" s="64">
        <v>0.08</v>
      </c>
      <c r="Y10" s="64">
        <v>0.38</v>
      </c>
      <c r="Z10" s="64">
        <v>0.49</v>
      </c>
      <c r="AA10" s="64">
        <v>0.05</v>
      </c>
      <c r="AB10" s="64">
        <v>0.48</v>
      </c>
      <c r="AC10" s="64">
        <v>0.38</v>
      </c>
      <c r="AD10" s="64">
        <v>0.51</v>
      </c>
      <c r="AE10" s="17">
        <v>52</v>
      </c>
      <c r="AF10" s="17">
        <v>12</v>
      </c>
      <c r="AG10" s="64">
        <v>0.08</v>
      </c>
      <c r="AH10" s="64">
        <v>0.36</v>
      </c>
      <c r="AI10" s="64">
        <v>0.51</v>
      </c>
      <c r="AJ10" s="64">
        <v>0.06</v>
      </c>
      <c r="AK10" s="64">
        <v>0.52</v>
      </c>
      <c r="AL10" s="64">
        <v>0.47</v>
      </c>
      <c r="AM10" s="64">
        <v>0.3</v>
      </c>
      <c r="AN10" s="18">
        <v>52</v>
      </c>
      <c r="AO10" s="18">
        <v>11</v>
      </c>
      <c r="AP10" s="58">
        <v>7.0000000000000007E-2</v>
      </c>
      <c r="AQ10" s="58">
        <v>0.37</v>
      </c>
      <c r="AR10" s="58">
        <v>0.5</v>
      </c>
      <c r="AS10" s="58">
        <v>0.05</v>
      </c>
      <c r="AT10" s="58">
        <v>0.3</v>
      </c>
      <c r="AU10" s="58">
        <v>0.5</v>
      </c>
      <c r="AV10" s="58">
        <v>0.51</v>
      </c>
      <c r="AW10" s="246">
        <v>51</v>
      </c>
      <c r="AX10" s="246" t="s">
        <v>874</v>
      </c>
      <c r="AY10" s="246">
        <v>11</v>
      </c>
      <c r="AZ10" s="246" t="s">
        <v>874</v>
      </c>
      <c r="BA10" s="261">
        <v>0.1</v>
      </c>
      <c r="BB10" s="261">
        <v>0.4</v>
      </c>
      <c r="BC10" s="261">
        <v>0.46</v>
      </c>
      <c r="BD10" s="261">
        <v>0.04</v>
      </c>
      <c r="BE10" s="261">
        <v>0.31</v>
      </c>
      <c r="BF10" s="261">
        <v>0.52</v>
      </c>
      <c r="BG10" s="261">
        <v>0.49</v>
      </c>
      <c r="BH10" s="315">
        <v>52</v>
      </c>
      <c r="BI10" s="315" t="s">
        <v>874</v>
      </c>
      <c r="BJ10" s="315">
        <v>12</v>
      </c>
      <c r="BK10" s="315" t="s">
        <v>875</v>
      </c>
      <c r="BL10" s="463"/>
      <c r="BM10" s="463"/>
      <c r="BN10" s="463"/>
      <c r="BO10" s="289">
        <v>0.1</v>
      </c>
      <c r="BP10" s="289">
        <v>0.35</v>
      </c>
      <c r="BQ10" s="289">
        <v>0.49</v>
      </c>
      <c r="BR10" s="289">
        <v>0.05</v>
      </c>
      <c r="BS10" s="289">
        <v>0.52</v>
      </c>
      <c r="BT10" s="289">
        <v>0.59</v>
      </c>
      <c r="BU10" s="477"/>
      <c r="BV10" s="477"/>
      <c r="BW10" s="477"/>
      <c r="BX10" s="289">
        <v>0.39</v>
      </c>
      <c r="BY10" s="423">
        <v>52</v>
      </c>
      <c r="BZ10" s="423" t="s">
        <v>874</v>
      </c>
      <c r="CA10" s="423">
        <v>12</v>
      </c>
      <c r="CB10" s="423" t="s">
        <v>875</v>
      </c>
      <c r="CC10" s="427">
        <v>0.09</v>
      </c>
      <c r="CD10" s="427">
        <v>0.35</v>
      </c>
      <c r="CE10" s="427">
        <v>0.49</v>
      </c>
      <c r="CF10" s="427">
        <v>7.0000000000000007E-2</v>
      </c>
      <c r="CG10" s="427">
        <v>0.6</v>
      </c>
      <c r="CH10" s="427">
        <v>0.39</v>
      </c>
      <c r="CI10" s="427">
        <v>0.56999999999999995</v>
      </c>
      <c r="CJ10" s="423">
        <v>53</v>
      </c>
      <c r="CK10" s="423" t="s">
        <v>874</v>
      </c>
      <c r="CL10" s="423">
        <v>13</v>
      </c>
      <c r="CM10" s="423" t="s">
        <v>875</v>
      </c>
      <c r="CN10" s="427">
        <v>0.09</v>
      </c>
      <c r="CO10" s="427">
        <v>0.33</v>
      </c>
      <c r="CP10" s="427">
        <v>0.5</v>
      </c>
      <c r="CQ10" s="427">
        <v>0.08</v>
      </c>
      <c r="CR10" s="427">
        <v>0.55000000000000004</v>
      </c>
      <c r="CS10" s="427">
        <v>0.51</v>
      </c>
      <c r="CT10" s="427">
        <v>0.41</v>
      </c>
    </row>
    <row r="11" spans="1:98" ht="24.95" customHeight="1" x14ac:dyDescent="0.2">
      <c r="A11" s="4" t="s">
        <v>0</v>
      </c>
      <c r="B11" s="4"/>
      <c r="C11" s="4"/>
      <c r="D11" s="19">
        <v>52</v>
      </c>
      <c r="E11" s="19">
        <v>9</v>
      </c>
      <c r="F11" s="62">
        <v>0.04</v>
      </c>
      <c r="G11" s="62">
        <v>0.39</v>
      </c>
      <c r="H11" s="62">
        <v>0.55000000000000004</v>
      </c>
      <c r="I11" s="62">
        <v>0.02</v>
      </c>
      <c r="J11" s="62">
        <v>0.53</v>
      </c>
      <c r="K11" s="62">
        <v>0.46</v>
      </c>
      <c r="L11" s="62">
        <v>0.53</v>
      </c>
      <c r="M11" s="19">
        <v>52</v>
      </c>
      <c r="N11" s="20">
        <v>10</v>
      </c>
      <c r="O11" s="56">
        <v>0.05</v>
      </c>
      <c r="P11" s="56">
        <v>0.38</v>
      </c>
      <c r="Q11" s="56">
        <v>0.54</v>
      </c>
      <c r="R11" s="56">
        <v>0.03</v>
      </c>
      <c r="S11" s="56">
        <v>0.47</v>
      </c>
      <c r="T11" s="56">
        <v>0.55000000000000004</v>
      </c>
      <c r="U11" s="56">
        <v>0.35</v>
      </c>
      <c r="V11" s="19">
        <v>52</v>
      </c>
      <c r="W11" s="19">
        <v>9</v>
      </c>
      <c r="X11" s="62">
        <v>0.04</v>
      </c>
      <c r="Y11" s="62">
        <v>0.38</v>
      </c>
      <c r="Z11" s="62">
        <v>0.55000000000000004</v>
      </c>
      <c r="AA11" s="62">
        <v>0.02</v>
      </c>
      <c r="AB11" s="62">
        <v>0.49</v>
      </c>
      <c r="AC11" s="62">
        <v>0.37</v>
      </c>
      <c r="AD11" s="62">
        <v>0.51</v>
      </c>
      <c r="AE11" s="19">
        <v>53</v>
      </c>
      <c r="AF11" s="19">
        <v>10</v>
      </c>
      <c r="AG11" s="62">
        <v>0.04</v>
      </c>
      <c r="AH11" s="62">
        <v>0.36</v>
      </c>
      <c r="AI11" s="62">
        <v>0.56999999999999995</v>
      </c>
      <c r="AJ11" s="62">
        <v>0.03</v>
      </c>
      <c r="AK11" s="62">
        <v>0.52</v>
      </c>
      <c r="AL11" s="62">
        <v>0.46</v>
      </c>
      <c r="AM11" s="62">
        <v>0.28999999999999998</v>
      </c>
      <c r="AN11" s="20">
        <v>53</v>
      </c>
      <c r="AO11" s="20">
        <v>10</v>
      </c>
      <c r="AP11" s="59">
        <v>0.04</v>
      </c>
      <c r="AQ11" s="59">
        <v>0.34</v>
      </c>
      <c r="AR11" s="59">
        <v>0.59</v>
      </c>
      <c r="AS11" s="59">
        <v>0.03</v>
      </c>
      <c r="AT11" s="59">
        <v>0.27</v>
      </c>
      <c r="AU11" s="59">
        <v>0.49</v>
      </c>
      <c r="AV11" s="59">
        <v>0.5</v>
      </c>
      <c r="AW11" s="244">
        <v>52</v>
      </c>
      <c r="AX11" s="244" t="s">
        <v>11</v>
      </c>
      <c r="AY11" s="244">
        <v>10</v>
      </c>
      <c r="AZ11" s="244" t="s">
        <v>11</v>
      </c>
      <c r="BA11" s="262">
        <v>0.05</v>
      </c>
      <c r="BB11" s="262">
        <v>0.39</v>
      </c>
      <c r="BC11" s="262">
        <v>0.54</v>
      </c>
      <c r="BD11" s="262">
        <v>0.03</v>
      </c>
      <c r="BE11" s="262">
        <v>0.28999999999999998</v>
      </c>
      <c r="BF11" s="262">
        <v>0.51</v>
      </c>
      <c r="BG11" s="262">
        <v>0.47</v>
      </c>
      <c r="BH11" s="316">
        <v>53</v>
      </c>
      <c r="BI11" s="316" t="s">
        <v>11</v>
      </c>
      <c r="BJ11" s="316">
        <v>10</v>
      </c>
      <c r="BK11" s="316" t="s">
        <v>11</v>
      </c>
      <c r="BL11" s="464"/>
      <c r="BM11" s="464"/>
      <c r="BN11" s="464"/>
      <c r="BO11" s="292">
        <v>0.05</v>
      </c>
      <c r="BP11" s="292">
        <v>0.33</v>
      </c>
      <c r="BQ11" s="292">
        <v>0.57999999999999996</v>
      </c>
      <c r="BR11" s="292">
        <v>0.03</v>
      </c>
      <c r="BS11" s="290">
        <v>0.51</v>
      </c>
      <c r="BT11" s="290">
        <v>0.57999999999999996</v>
      </c>
      <c r="BU11" s="478"/>
      <c r="BV11" s="478"/>
      <c r="BW11" s="478"/>
      <c r="BX11" s="290">
        <v>0.38</v>
      </c>
      <c r="BY11" s="424">
        <v>53</v>
      </c>
      <c r="BZ11" s="424" t="s">
        <v>11</v>
      </c>
      <c r="CA11" s="424">
        <v>10</v>
      </c>
      <c r="CB11" s="424" t="s">
        <v>11</v>
      </c>
      <c r="CC11" s="428">
        <v>0.05</v>
      </c>
      <c r="CD11" s="428">
        <v>0.34</v>
      </c>
      <c r="CE11" s="428">
        <v>0.56000000000000005</v>
      </c>
      <c r="CF11" s="428">
        <v>0.04</v>
      </c>
      <c r="CG11" s="428">
        <v>0.61</v>
      </c>
      <c r="CH11" s="428">
        <v>0.37</v>
      </c>
      <c r="CI11" s="428">
        <v>0.56999999999999995</v>
      </c>
      <c r="CJ11" s="424">
        <v>54</v>
      </c>
      <c r="CK11" s="424" t="s">
        <v>11</v>
      </c>
      <c r="CL11" s="424">
        <v>11</v>
      </c>
      <c r="CM11" s="424" t="s">
        <v>11</v>
      </c>
      <c r="CN11" s="428">
        <v>0.05</v>
      </c>
      <c r="CO11" s="428">
        <v>0.31</v>
      </c>
      <c r="CP11" s="428">
        <v>0.57999999999999996</v>
      </c>
      <c r="CQ11" s="428">
        <v>0.06</v>
      </c>
      <c r="CR11" s="428">
        <v>0.54</v>
      </c>
      <c r="CS11" s="428">
        <v>0.49</v>
      </c>
      <c r="CT11" s="428">
        <v>0.39</v>
      </c>
    </row>
    <row r="12" spans="1:98" ht="24.95" customHeight="1" x14ac:dyDescent="0.2">
      <c r="A12" s="6" t="s">
        <v>12</v>
      </c>
      <c r="B12" s="6"/>
      <c r="C12" s="6"/>
      <c r="D12" s="21">
        <v>51</v>
      </c>
      <c r="E12" s="21">
        <v>9</v>
      </c>
      <c r="F12" s="65">
        <v>0.05</v>
      </c>
      <c r="G12" s="65">
        <v>0.44</v>
      </c>
      <c r="H12" s="65">
        <v>0.5</v>
      </c>
      <c r="I12" s="65">
        <v>0.02</v>
      </c>
      <c r="J12" s="39">
        <f>AVERAGEIFS(J$36:J$171,$B$36:$B$171,"=oficial")</f>
        <v>0.55079999999999996</v>
      </c>
      <c r="K12" s="39">
        <f>AVERAGEIFS(K$36:K$171,$B$36:$B$171,"=oficial")</f>
        <v>0.48479999999999995</v>
      </c>
      <c r="L12" s="39">
        <f>AVERAGEIFS(L$36:L$171,$B$36:$B$171,"=oficial")</f>
        <v>0.5616000000000001</v>
      </c>
      <c r="M12" s="21">
        <v>51</v>
      </c>
      <c r="N12" s="22">
        <v>10</v>
      </c>
      <c r="O12" s="57">
        <v>0.06</v>
      </c>
      <c r="P12" s="57">
        <v>0.42</v>
      </c>
      <c r="Q12" s="57">
        <v>0.5</v>
      </c>
      <c r="R12" s="57">
        <v>0.02</v>
      </c>
      <c r="S12" s="39">
        <f>AVERAGEIFS(S$36:S$171,$B$36:$B$171,"=oficial")</f>
        <v>0.49559999999999993</v>
      </c>
      <c r="T12" s="39">
        <f>AVERAGEIFS(T$36:T$171,$B$36:$B$171,"=oficial")</f>
        <v>0.57480000000000009</v>
      </c>
      <c r="U12" s="39">
        <f>AVERAGEIFS(U$36:U$171,$B$36:$B$171,"=oficial")</f>
        <v>0.38280000000000003</v>
      </c>
      <c r="V12" s="21">
        <v>51</v>
      </c>
      <c r="W12" s="21">
        <v>9</v>
      </c>
      <c r="X12" s="65">
        <v>0.06</v>
      </c>
      <c r="Y12" s="65">
        <v>0.43</v>
      </c>
      <c r="Z12" s="65">
        <v>0.5</v>
      </c>
      <c r="AA12" s="65">
        <v>0.01</v>
      </c>
      <c r="AB12" s="39">
        <f>AVERAGEIFS(AB$36:AB$171,$B$36:$B$171,"=oficial")</f>
        <v>0.51559999999999984</v>
      </c>
      <c r="AC12" s="39">
        <f>AVERAGEIFS(AC$36:AC$171,$B$36:$B$171,"=oficial")</f>
        <v>0.39480000000000004</v>
      </c>
      <c r="AD12" s="39">
        <f>AVERAGEIFS(AD$36:AD$171,$B$36:$B$171,"=oficial")</f>
        <v>0.5404000000000001</v>
      </c>
      <c r="AE12" s="21">
        <v>51</v>
      </c>
      <c r="AF12" s="21">
        <v>10</v>
      </c>
      <c r="AG12" s="65">
        <v>0.05</v>
      </c>
      <c r="AH12" s="65">
        <v>0.41</v>
      </c>
      <c r="AI12" s="65">
        <v>0.52</v>
      </c>
      <c r="AJ12" s="65">
        <v>0.02</v>
      </c>
      <c r="AK12" s="39">
        <f>AVERAGEIFS(AK$36:AK$171,$B$36:$B$171,"=oficial")</f>
        <v>0.55199999999999994</v>
      </c>
      <c r="AL12" s="39">
        <f>AVERAGEIFS(AL$36:AL$171,$B$36:$B$171,"=oficial")</f>
        <v>0.48680000000000012</v>
      </c>
      <c r="AM12" s="39">
        <f>AVERAGEIFS(AM$36:AM$171,$B$36:$B$171,"=oficial")</f>
        <v>0.31519999999999992</v>
      </c>
      <c r="AN12" s="50">
        <v>52</v>
      </c>
      <c r="AO12" s="50">
        <v>9</v>
      </c>
      <c r="AP12" s="60">
        <v>0.04</v>
      </c>
      <c r="AQ12" s="60">
        <v>0.39</v>
      </c>
      <c r="AR12" s="60">
        <v>0.54</v>
      </c>
      <c r="AS12" s="60">
        <v>0.02</v>
      </c>
      <c r="AT12" s="39">
        <f>AVERAGEIFS(AT$36:AT$171,$B$36:$B$171,"=oficial")</f>
        <v>0.29720000000000008</v>
      </c>
      <c r="AU12" s="39">
        <f>AVERAGEIFS(AU$36:AU$171,$B$36:$B$171,"=oficial")</f>
        <v>0.51800000000000002</v>
      </c>
      <c r="AV12" s="39">
        <f>AVERAGEIFS(AV$36:AV$171,$B$36:$B$171,"=oficial")</f>
        <v>0.52200000000000002</v>
      </c>
      <c r="AW12" s="245">
        <v>50</v>
      </c>
      <c r="AX12" s="245" t="s">
        <v>874</v>
      </c>
      <c r="AY12" s="245">
        <v>9</v>
      </c>
      <c r="AZ12" s="245" t="s">
        <v>874</v>
      </c>
      <c r="BA12" s="263">
        <v>0.06</v>
      </c>
      <c r="BB12" s="263">
        <v>0.45</v>
      </c>
      <c r="BC12" s="263">
        <v>0.48</v>
      </c>
      <c r="BD12" s="263">
        <v>0.01</v>
      </c>
      <c r="BE12" s="39">
        <f>AVERAGEIFS(BE$36:BE$171,$B$36:$B$171,"=oficial")</f>
        <v>0.31279999999999997</v>
      </c>
      <c r="BF12" s="39">
        <f>AVERAGEIFS(BF$36:BF$171,$B$36:$B$171,"=oficial")</f>
        <v>0.53839999999999999</v>
      </c>
      <c r="BG12" s="39">
        <f>AVERAGEIFS(BG$36:BG$171,$B$36:$B$171,"=oficial")</f>
        <v>0.50040000000000007</v>
      </c>
      <c r="BH12" s="317">
        <v>51</v>
      </c>
      <c r="BI12" s="317" t="s">
        <v>874</v>
      </c>
      <c r="BJ12" s="317">
        <v>10</v>
      </c>
      <c r="BK12" s="317" t="s">
        <v>874</v>
      </c>
      <c r="BL12" s="465"/>
      <c r="BM12" s="465"/>
      <c r="BN12" s="465"/>
      <c r="BO12" s="327">
        <v>7.0000000000000007E-2</v>
      </c>
      <c r="BP12" s="327">
        <v>0.39</v>
      </c>
      <c r="BQ12" s="327">
        <v>0.52</v>
      </c>
      <c r="BR12" s="327">
        <v>0.02</v>
      </c>
      <c r="BS12" s="39">
        <f>AVERAGEIFS(BS$36:BS$171,$B$36:$B$171,"=oficial")</f>
        <v>0.54517241379310344</v>
      </c>
      <c r="BT12" s="39">
        <f>AVERAGEIFS(BT$36:BT$171,$B$36:$B$171,"=oficial")</f>
        <v>0.61655172413793113</v>
      </c>
      <c r="BU12" s="479"/>
      <c r="BV12" s="479"/>
      <c r="BW12" s="479"/>
      <c r="BX12" s="39">
        <f>AVERAGEIFS(BX$36:BX$171,$B$36:$B$171,"=oficial")</f>
        <v>0.40827586206896549</v>
      </c>
      <c r="BY12" s="425">
        <v>51</v>
      </c>
      <c r="BZ12" s="425" t="s">
        <v>874</v>
      </c>
      <c r="CA12" s="425">
        <v>10</v>
      </c>
      <c r="CB12" s="425" t="s">
        <v>874</v>
      </c>
      <c r="CC12" s="429">
        <v>7.0000000000000007E-2</v>
      </c>
      <c r="CD12" s="429">
        <v>0.4</v>
      </c>
      <c r="CE12" s="429">
        <v>0.51</v>
      </c>
      <c r="CF12" s="429">
        <v>0.03</v>
      </c>
      <c r="CG12" s="425" t="s">
        <v>283</v>
      </c>
      <c r="CH12" s="425" t="s">
        <v>283</v>
      </c>
      <c r="CI12" s="425" t="s">
        <v>283</v>
      </c>
      <c r="CJ12" s="425">
        <v>52</v>
      </c>
      <c r="CK12" s="425" t="s">
        <v>874</v>
      </c>
      <c r="CL12" s="425">
        <v>11</v>
      </c>
      <c r="CM12" s="425" t="s">
        <v>874</v>
      </c>
      <c r="CN12" s="429">
        <v>0.06</v>
      </c>
      <c r="CO12" s="429">
        <v>0.36</v>
      </c>
      <c r="CP12" s="429">
        <v>0.54</v>
      </c>
      <c r="CQ12" s="429">
        <v>0.04</v>
      </c>
      <c r="CR12" s="425" t="s">
        <v>283</v>
      </c>
      <c r="CS12" s="425" t="s">
        <v>283</v>
      </c>
      <c r="CT12" s="425" t="s">
        <v>283</v>
      </c>
    </row>
    <row r="13" spans="1:98" ht="24.95" customHeight="1" x14ac:dyDescent="0.2">
      <c r="A13" s="6" t="s">
        <v>13</v>
      </c>
      <c r="B13" s="6"/>
      <c r="C13" s="6"/>
      <c r="D13" s="21">
        <v>52</v>
      </c>
      <c r="E13" s="21">
        <v>9</v>
      </c>
      <c r="F13" s="65">
        <v>0.05</v>
      </c>
      <c r="G13" s="65">
        <v>0.37</v>
      </c>
      <c r="H13" s="65">
        <v>0.56000000000000005</v>
      </c>
      <c r="I13" s="65">
        <v>0.02</v>
      </c>
      <c r="J13" s="39">
        <f>J99</f>
        <v>0</v>
      </c>
      <c r="K13" s="39">
        <f>K99</f>
        <v>0</v>
      </c>
      <c r="L13" s="39">
        <f>L99</f>
        <v>0</v>
      </c>
      <c r="M13" s="21">
        <v>50</v>
      </c>
      <c r="N13" s="22">
        <v>9</v>
      </c>
      <c r="O13" s="57">
        <v>7.0000000000000007E-2</v>
      </c>
      <c r="P13" s="57">
        <v>0.48</v>
      </c>
      <c r="Q13" s="57">
        <v>0.45</v>
      </c>
      <c r="R13" s="57">
        <v>0</v>
      </c>
      <c r="S13" s="39">
        <f>S99</f>
        <v>0.5</v>
      </c>
      <c r="T13" s="39">
        <f>T99</f>
        <v>0.39</v>
      </c>
      <c r="U13" s="39">
        <f>U99</f>
        <v>0</v>
      </c>
      <c r="V13" s="21">
        <v>53</v>
      </c>
      <c r="W13" s="21">
        <v>9</v>
      </c>
      <c r="X13" s="65">
        <v>0</v>
      </c>
      <c r="Y13" s="65">
        <v>0.47</v>
      </c>
      <c r="Z13" s="65">
        <v>0.47</v>
      </c>
      <c r="AA13" s="65">
        <v>0.06</v>
      </c>
      <c r="AB13" s="39">
        <f>AB99</f>
        <v>0</v>
      </c>
      <c r="AC13" s="39">
        <f>AC99</f>
        <v>0</v>
      </c>
      <c r="AD13" s="39">
        <f>AD99</f>
        <v>0</v>
      </c>
      <c r="AE13" s="21">
        <v>54</v>
      </c>
      <c r="AF13" s="21">
        <v>9</v>
      </c>
      <c r="AG13" s="65">
        <v>0.02</v>
      </c>
      <c r="AH13" s="65">
        <v>0.27</v>
      </c>
      <c r="AI13" s="65">
        <v>0.69</v>
      </c>
      <c r="AJ13" s="65">
        <v>0.02</v>
      </c>
      <c r="AK13" s="39">
        <f>AK99</f>
        <v>0</v>
      </c>
      <c r="AL13" s="39">
        <f>AL99</f>
        <v>0</v>
      </c>
      <c r="AM13" s="39">
        <f>AM99</f>
        <v>0</v>
      </c>
      <c r="AN13" s="50">
        <v>53</v>
      </c>
      <c r="AO13" s="50">
        <v>12</v>
      </c>
      <c r="AP13" s="60">
        <v>0.05</v>
      </c>
      <c r="AQ13" s="60">
        <v>0.39</v>
      </c>
      <c r="AR13" s="60">
        <v>0.45</v>
      </c>
      <c r="AS13" s="60">
        <v>0.11</v>
      </c>
      <c r="AT13" s="39">
        <f>AT99</f>
        <v>0</v>
      </c>
      <c r="AU13" s="39">
        <f>AU99</f>
        <v>0</v>
      </c>
      <c r="AV13" s="39">
        <f>AV99</f>
        <v>0</v>
      </c>
      <c r="AW13" s="245">
        <v>52</v>
      </c>
      <c r="AX13" s="245" t="s">
        <v>874</v>
      </c>
      <c r="AY13" s="245">
        <v>10</v>
      </c>
      <c r="AZ13" s="245" t="s">
        <v>874</v>
      </c>
      <c r="BA13" s="263">
        <v>0.02</v>
      </c>
      <c r="BB13" s="263">
        <v>0.39</v>
      </c>
      <c r="BC13" s="263">
        <v>0.59</v>
      </c>
      <c r="BD13" s="263">
        <v>0</v>
      </c>
      <c r="BE13" s="39">
        <f>BE99</f>
        <v>0</v>
      </c>
      <c r="BF13" s="39">
        <f>BF99</f>
        <v>0</v>
      </c>
      <c r="BG13" s="39">
        <f>BG99</f>
        <v>0</v>
      </c>
      <c r="BH13" s="317">
        <v>51</v>
      </c>
      <c r="BI13" s="317" t="s">
        <v>874</v>
      </c>
      <c r="BJ13" s="317">
        <v>11</v>
      </c>
      <c r="BK13" s="317" t="s">
        <v>874</v>
      </c>
      <c r="BL13" s="465"/>
      <c r="BM13" s="465"/>
      <c r="BN13" s="465"/>
      <c r="BO13" s="327">
        <v>0.05</v>
      </c>
      <c r="BP13" s="327">
        <v>0.45</v>
      </c>
      <c r="BQ13" s="327">
        <v>0.48</v>
      </c>
      <c r="BR13" s="327">
        <v>0.03</v>
      </c>
      <c r="BS13" s="39">
        <f>BS99</f>
        <v>0</v>
      </c>
      <c r="BT13" s="39">
        <f>BT99</f>
        <v>0</v>
      </c>
      <c r="BU13" s="479"/>
      <c r="BV13" s="479"/>
      <c r="BW13" s="479"/>
      <c r="BX13" s="39">
        <f>BX99</f>
        <v>0</v>
      </c>
      <c r="BY13" s="425">
        <v>50</v>
      </c>
      <c r="BZ13" s="425" t="s">
        <v>874</v>
      </c>
      <c r="CA13" s="425">
        <v>11</v>
      </c>
      <c r="CB13" s="425" t="s">
        <v>874</v>
      </c>
      <c r="CC13" s="429">
        <v>0.08</v>
      </c>
      <c r="CD13" s="429">
        <v>0.4</v>
      </c>
      <c r="CE13" s="429">
        <v>0.52</v>
      </c>
      <c r="CF13" s="429">
        <v>0</v>
      </c>
      <c r="CG13" s="425" t="s">
        <v>283</v>
      </c>
      <c r="CH13" s="425" t="s">
        <v>283</v>
      </c>
      <c r="CI13" s="425" t="s">
        <v>283</v>
      </c>
      <c r="CJ13" s="425">
        <v>51</v>
      </c>
      <c r="CK13" s="425" t="s">
        <v>874</v>
      </c>
      <c r="CL13" s="425">
        <v>10</v>
      </c>
      <c r="CM13" s="425" t="s">
        <v>874</v>
      </c>
      <c r="CN13" s="429">
        <v>0.04</v>
      </c>
      <c r="CO13" s="429">
        <v>0.47</v>
      </c>
      <c r="CP13" s="429">
        <v>0.47</v>
      </c>
      <c r="CQ13" s="429">
        <v>0.02</v>
      </c>
      <c r="CR13" s="425" t="s">
        <v>283</v>
      </c>
      <c r="CS13" s="425" t="s">
        <v>283</v>
      </c>
      <c r="CT13" s="425" t="s">
        <v>283</v>
      </c>
    </row>
    <row r="14" spans="1:98" ht="24.95" customHeight="1" x14ac:dyDescent="0.2">
      <c r="A14" s="6" t="s">
        <v>14</v>
      </c>
      <c r="B14" s="6"/>
      <c r="C14" s="6"/>
      <c r="D14" s="21">
        <v>54</v>
      </c>
      <c r="E14" s="21">
        <v>9</v>
      </c>
      <c r="F14" s="65">
        <v>0.04</v>
      </c>
      <c r="G14" s="65">
        <v>0.34</v>
      </c>
      <c r="H14" s="65">
        <v>0.6</v>
      </c>
      <c r="I14" s="65">
        <v>0.02</v>
      </c>
      <c r="J14" s="39">
        <f>AVERAGEIFS(J$36:J$171,$B$36:$B$171,"=no oficial")</f>
        <v>0.51844155844155859</v>
      </c>
      <c r="K14" s="39">
        <f>AVERAGEIFS(K$36:K$171,$B$36:$B$171,"=no oficial")</f>
        <v>0.44597402597402586</v>
      </c>
      <c r="L14" s="39">
        <f>AVERAGEIFS(L$36:L$171,$B$36:$B$171,"=no oficial")</f>
        <v>0.52259740259740251</v>
      </c>
      <c r="M14" s="21">
        <v>53</v>
      </c>
      <c r="N14" s="22">
        <v>10</v>
      </c>
      <c r="O14" s="57">
        <v>0.04</v>
      </c>
      <c r="P14" s="57">
        <v>0.33</v>
      </c>
      <c r="Q14" s="57">
        <v>0.59</v>
      </c>
      <c r="R14" s="57">
        <v>0.03</v>
      </c>
      <c r="S14" s="39">
        <f>AVERAGEIFS(S$36:S$171,$B$36:$B$171,"=no oficial")</f>
        <v>0.46922077922077937</v>
      </c>
      <c r="T14" s="39">
        <f>AVERAGEIFS(T$36:T$171,$B$36:$B$171,"=no oficial")</f>
        <v>0.53961038961038965</v>
      </c>
      <c r="U14" s="39">
        <f>AVERAGEIFS(U$36:U$171,$B$36:$B$171,"=no oficial")</f>
        <v>0.34545454545454557</v>
      </c>
      <c r="V14" s="21">
        <v>54</v>
      </c>
      <c r="W14" s="21">
        <v>9</v>
      </c>
      <c r="X14" s="65">
        <v>0.02</v>
      </c>
      <c r="Y14" s="65">
        <v>0.32</v>
      </c>
      <c r="Z14" s="65">
        <v>0.62</v>
      </c>
      <c r="AA14" s="65">
        <v>0.03</v>
      </c>
      <c r="AB14" s="39">
        <f>AVERAGEIFS(AB$36:AB$171,$B$36:$B$171,"=no oficial")</f>
        <v>0.46628205128205136</v>
      </c>
      <c r="AC14" s="39">
        <f>AVERAGEIFS(AC$36:AC$171,$B$36:$B$171,"=no oficial")</f>
        <v>0.36217948717948706</v>
      </c>
      <c r="AD14" s="39">
        <f>AVERAGEIFS(AD$36:AD$171,$B$36:$B$171,"=no oficial")</f>
        <v>0.50102564102564096</v>
      </c>
      <c r="AE14" s="21">
        <v>55</v>
      </c>
      <c r="AF14" s="21">
        <v>10</v>
      </c>
      <c r="AG14" s="65">
        <v>0.03</v>
      </c>
      <c r="AH14" s="65">
        <v>0.28999999999999998</v>
      </c>
      <c r="AI14" s="65">
        <v>0.64</v>
      </c>
      <c r="AJ14" s="65">
        <v>0.04</v>
      </c>
      <c r="AK14" s="39">
        <f>AVERAGEIFS(AK$36:AK$171,$B$36:$B$171,"=no oficial")</f>
        <v>0.50912499999999994</v>
      </c>
      <c r="AL14" s="39">
        <f>AVERAGEIFS(AL$36:AL$171,$B$36:$B$171,"=no oficial")</f>
        <v>0.44699999999999995</v>
      </c>
      <c r="AM14" s="39">
        <f>AVERAGEIFS(AM$36:AM$171,$B$36:$B$171,"=no oficial")</f>
        <v>0.27237500000000003</v>
      </c>
      <c r="AN14" s="50">
        <v>55</v>
      </c>
      <c r="AO14" s="50">
        <v>10</v>
      </c>
      <c r="AP14" s="60">
        <v>0.03</v>
      </c>
      <c r="AQ14" s="60">
        <v>0.3</v>
      </c>
      <c r="AR14" s="60">
        <v>0.64</v>
      </c>
      <c r="AS14" s="60">
        <v>0.04</v>
      </c>
      <c r="AT14" s="39">
        <f>AVERAGEIFS(AT$36:AT$171,$B$36:$B$171,"=no oficial")</f>
        <v>0.2628235294117649</v>
      </c>
      <c r="AU14" s="39">
        <f>AVERAGEIFS(AU$36:AU$171,$B$36:$B$171,"=no oficial")</f>
        <v>0.48835294117647049</v>
      </c>
      <c r="AV14" s="39">
        <f>AVERAGEIFS(AV$36:AV$171,$B$36:$B$171,"=no oficial")</f>
        <v>0.49188235294117644</v>
      </c>
      <c r="AW14" s="245">
        <v>54</v>
      </c>
      <c r="AX14" s="245" t="s">
        <v>874</v>
      </c>
      <c r="AY14" s="245">
        <v>10</v>
      </c>
      <c r="AZ14" s="245" t="s">
        <v>874</v>
      </c>
      <c r="BA14" s="263">
        <v>0.04</v>
      </c>
      <c r="BB14" s="263">
        <v>0.32</v>
      </c>
      <c r="BC14" s="263">
        <v>0.6</v>
      </c>
      <c r="BD14" s="263">
        <v>0.04</v>
      </c>
      <c r="BE14" s="39">
        <f>AVERAGEIFS(BE$36:BE$171,$B$36:$B$171,"=no oficial")</f>
        <v>0.27190476190476193</v>
      </c>
      <c r="BF14" s="39">
        <f>AVERAGEIFS(BF$36:BF$171,$B$36:$B$171,"=no oficial")</f>
        <v>0.49321428571428561</v>
      </c>
      <c r="BG14" s="39">
        <f>AVERAGEIFS(BG$36:BG$171,$B$36:$B$171,"=no oficial")</f>
        <v>0.45535714285714279</v>
      </c>
      <c r="BH14" s="317">
        <v>55</v>
      </c>
      <c r="BI14" s="317" t="s">
        <v>874</v>
      </c>
      <c r="BJ14" s="317">
        <v>10</v>
      </c>
      <c r="BK14" s="317" t="s">
        <v>874</v>
      </c>
      <c r="BL14" s="465"/>
      <c r="BM14" s="465"/>
      <c r="BN14" s="465"/>
      <c r="BO14" s="327">
        <v>0.04</v>
      </c>
      <c r="BP14" s="327">
        <v>0.27</v>
      </c>
      <c r="BQ14" s="327">
        <v>0.64</v>
      </c>
      <c r="BR14" s="327">
        <v>0.05</v>
      </c>
      <c r="BS14" s="39">
        <f>AVERAGEIFS(BS$36:BS$171,$B$36:$B$171,"=no oficial")</f>
        <v>0.48436781609195395</v>
      </c>
      <c r="BT14" s="39">
        <f>AVERAGEIFS(BT$36:BT$171,$B$36:$B$171,"=no oficial")</f>
        <v>0.55885057471264377</v>
      </c>
      <c r="BU14" s="479"/>
      <c r="BV14" s="479"/>
      <c r="BW14" s="479"/>
      <c r="BX14" s="39">
        <f>AVERAGEIFS(BX$36:BX$171,$B$36:$B$171,"=no oficial")</f>
        <v>0.35597701149425293</v>
      </c>
      <c r="BY14" s="425">
        <v>55</v>
      </c>
      <c r="BZ14" s="425" t="s">
        <v>874</v>
      </c>
      <c r="CA14" s="425">
        <v>10</v>
      </c>
      <c r="CB14" s="425" t="s">
        <v>874</v>
      </c>
      <c r="CC14" s="429">
        <v>0.04</v>
      </c>
      <c r="CD14" s="429">
        <v>0.27</v>
      </c>
      <c r="CE14" s="429">
        <v>0.63</v>
      </c>
      <c r="CF14" s="429">
        <v>0.06</v>
      </c>
      <c r="CG14" s="425" t="s">
        <v>283</v>
      </c>
      <c r="CH14" s="425" t="s">
        <v>283</v>
      </c>
      <c r="CI14" s="425" t="s">
        <v>283</v>
      </c>
      <c r="CJ14" s="425">
        <v>56</v>
      </c>
      <c r="CK14" s="425" t="s">
        <v>874</v>
      </c>
      <c r="CL14" s="425">
        <v>10</v>
      </c>
      <c r="CM14" s="425" t="s">
        <v>874</v>
      </c>
      <c r="CN14" s="429">
        <v>0.03</v>
      </c>
      <c r="CO14" s="429">
        <v>0.26</v>
      </c>
      <c r="CP14" s="429">
        <v>0.63</v>
      </c>
      <c r="CQ14" s="429">
        <v>0.08</v>
      </c>
      <c r="CR14" s="425" t="s">
        <v>283</v>
      </c>
      <c r="CS14" s="425" t="s">
        <v>283</v>
      </c>
      <c r="CT14" s="425" t="s">
        <v>283</v>
      </c>
    </row>
    <row r="15" spans="1:98" ht="24.95" customHeight="1" x14ac:dyDescent="0.2">
      <c r="A15" s="6" t="s">
        <v>15</v>
      </c>
      <c r="B15" s="6"/>
      <c r="C15" s="6"/>
      <c r="D15" s="21">
        <v>50</v>
      </c>
      <c r="E15" s="21">
        <v>9</v>
      </c>
      <c r="F15" s="65">
        <v>0.06</v>
      </c>
      <c r="G15" s="65">
        <v>0.47</v>
      </c>
      <c r="H15" s="65">
        <v>0.46</v>
      </c>
      <c r="I15" s="65">
        <v>0.01</v>
      </c>
      <c r="J15" s="11" t="s">
        <v>283</v>
      </c>
      <c r="K15" s="11" t="s">
        <v>283</v>
      </c>
      <c r="L15" s="11" t="s">
        <v>283</v>
      </c>
      <c r="M15" s="21">
        <v>50</v>
      </c>
      <c r="N15" s="22">
        <v>10</v>
      </c>
      <c r="O15" s="57">
        <v>7.0000000000000007E-2</v>
      </c>
      <c r="P15" s="57">
        <v>0.45</v>
      </c>
      <c r="Q15" s="57">
        <v>0.47</v>
      </c>
      <c r="R15" s="57">
        <v>0.01</v>
      </c>
      <c r="S15" s="11" t="s">
        <v>283</v>
      </c>
      <c r="T15" s="11" t="s">
        <v>283</v>
      </c>
      <c r="U15" s="11" t="s">
        <v>283</v>
      </c>
      <c r="V15" s="21">
        <v>51</v>
      </c>
      <c r="W15" s="21">
        <v>9</v>
      </c>
      <c r="X15" s="65">
        <v>0.06</v>
      </c>
      <c r="Y15" s="65">
        <v>0.43</v>
      </c>
      <c r="Z15" s="65">
        <v>0.5</v>
      </c>
      <c r="AA15" s="65">
        <v>0.01</v>
      </c>
      <c r="AB15" s="11" t="s">
        <v>283</v>
      </c>
      <c r="AC15" s="11" t="s">
        <v>283</v>
      </c>
      <c r="AD15" s="11" t="s">
        <v>283</v>
      </c>
      <c r="AE15" s="21">
        <v>51</v>
      </c>
      <c r="AF15" s="21">
        <v>10</v>
      </c>
      <c r="AG15" s="65">
        <v>0.06</v>
      </c>
      <c r="AH15" s="65">
        <v>0.41</v>
      </c>
      <c r="AI15" s="65">
        <v>0.51</v>
      </c>
      <c r="AJ15" s="65">
        <v>0.02</v>
      </c>
      <c r="AK15" s="11" t="s">
        <v>283</v>
      </c>
      <c r="AL15" s="11" t="s">
        <v>283</v>
      </c>
      <c r="AM15" s="11" t="s">
        <v>283</v>
      </c>
      <c r="AN15" s="50">
        <v>51</v>
      </c>
      <c r="AO15" s="50">
        <v>9</v>
      </c>
      <c r="AP15" s="60">
        <v>0.05</v>
      </c>
      <c r="AQ15" s="60">
        <v>0.41</v>
      </c>
      <c r="AR15" s="60">
        <v>0.52</v>
      </c>
      <c r="AS15" s="60">
        <v>0.02</v>
      </c>
      <c r="AT15" s="11" t="s">
        <v>283</v>
      </c>
      <c r="AU15" s="11" t="s">
        <v>283</v>
      </c>
      <c r="AV15" s="11" t="s">
        <v>283</v>
      </c>
      <c r="AW15" s="245">
        <v>49</v>
      </c>
      <c r="AX15" s="245" t="s">
        <v>874</v>
      </c>
      <c r="AY15" s="245">
        <v>9</v>
      </c>
      <c r="AZ15" s="245" t="s">
        <v>874</v>
      </c>
      <c r="BA15" s="263">
        <v>0.08</v>
      </c>
      <c r="BB15" s="263">
        <v>0.46</v>
      </c>
      <c r="BC15" s="263">
        <v>0.45</v>
      </c>
      <c r="BD15" s="263">
        <v>0.01</v>
      </c>
      <c r="BE15" s="245" t="s">
        <v>283</v>
      </c>
      <c r="BF15" s="245" t="s">
        <v>283</v>
      </c>
      <c r="BG15" s="245" t="s">
        <v>283</v>
      </c>
      <c r="BH15" s="317">
        <v>50</v>
      </c>
      <c r="BI15" s="317" t="s">
        <v>874</v>
      </c>
      <c r="BJ15" s="317">
        <v>10</v>
      </c>
      <c r="BK15" s="317" t="s">
        <v>874</v>
      </c>
      <c r="BL15" s="465"/>
      <c r="BM15" s="465"/>
      <c r="BN15" s="465"/>
      <c r="BO15" s="327">
        <v>0.08</v>
      </c>
      <c r="BP15" s="327">
        <v>0.41</v>
      </c>
      <c r="BQ15" s="327">
        <v>0.49</v>
      </c>
      <c r="BR15" s="327">
        <v>0.01</v>
      </c>
      <c r="BS15" s="317" t="s">
        <v>283</v>
      </c>
      <c r="BT15" s="317" t="s">
        <v>283</v>
      </c>
      <c r="BU15" s="465"/>
      <c r="BV15" s="465"/>
      <c r="BW15" s="465"/>
      <c r="BX15" s="317" t="s">
        <v>283</v>
      </c>
      <c r="BY15" s="425">
        <v>51</v>
      </c>
      <c r="BZ15" s="425" t="s">
        <v>874</v>
      </c>
      <c r="CA15" s="425">
        <v>10</v>
      </c>
      <c r="CB15" s="425" t="s">
        <v>874</v>
      </c>
      <c r="CC15" s="429">
        <v>7.0000000000000007E-2</v>
      </c>
      <c r="CD15" s="429">
        <v>0.41</v>
      </c>
      <c r="CE15" s="429">
        <v>0.5</v>
      </c>
      <c r="CF15" s="429">
        <v>0.02</v>
      </c>
      <c r="CG15" s="425" t="s">
        <v>283</v>
      </c>
      <c r="CH15" s="425" t="s">
        <v>283</v>
      </c>
      <c r="CI15" s="425" t="s">
        <v>283</v>
      </c>
      <c r="CJ15" s="425">
        <v>51</v>
      </c>
      <c r="CK15" s="425" t="s">
        <v>874</v>
      </c>
      <c r="CL15" s="425">
        <v>11</v>
      </c>
      <c r="CM15" s="425" t="s">
        <v>874</v>
      </c>
      <c r="CN15" s="429">
        <v>0.09</v>
      </c>
      <c r="CO15" s="429">
        <v>0.4</v>
      </c>
      <c r="CP15" s="429">
        <v>0.49</v>
      </c>
      <c r="CQ15" s="429">
        <v>0.03</v>
      </c>
      <c r="CR15" s="425" t="s">
        <v>283</v>
      </c>
      <c r="CS15" s="425" t="s">
        <v>283</v>
      </c>
      <c r="CT15" s="425" t="s">
        <v>283</v>
      </c>
    </row>
    <row r="16" spans="1:98" ht="24.95" customHeight="1" x14ac:dyDescent="0.2">
      <c r="A16" s="6" t="s">
        <v>16</v>
      </c>
      <c r="B16" s="6"/>
      <c r="C16" s="6"/>
      <c r="D16" s="21">
        <v>53</v>
      </c>
      <c r="E16" s="21">
        <v>9</v>
      </c>
      <c r="F16" s="65">
        <v>0.03</v>
      </c>
      <c r="G16" s="65">
        <v>0.35</v>
      </c>
      <c r="H16" s="65">
        <v>0.59</v>
      </c>
      <c r="I16" s="65">
        <v>0.02</v>
      </c>
      <c r="J16" s="11" t="s">
        <v>283</v>
      </c>
      <c r="K16" s="11" t="s">
        <v>283</v>
      </c>
      <c r="L16" s="11" t="s">
        <v>283</v>
      </c>
      <c r="M16" s="21">
        <v>53</v>
      </c>
      <c r="N16" s="22">
        <v>10</v>
      </c>
      <c r="O16" s="57">
        <v>0.04</v>
      </c>
      <c r="P16" s="57">
        <v>0.33</v>
      </c>
      <c r="Q16" s="57">
        <v>0.59</v>
      </c>
      <c r="R16" s="57">
        <v>0.03</v>
      </c>
      <c r="S16" s="11" t="s">
        <v>283</v>
      </c>
      <c r="T16" s="11" t="s">
        <v>283</v>
      </c>
      <c r="U16" s="11" t="s">
        <v>283</v>
      </c>
      <c r="V16" s="21">
        <v>53</v>
      </c>
      <c r="W16" s="21">
        <v>9</v>
      </c>
      <c r="X16" s="65">
        <v>0.03</v>
      </c>
      <c r="Y16" s="65">
        <v>0.36</v>
      </c>
      <c r="Z16" s="65">
        <v>0.57999999999999996</v>
      </c>
      <c r="AA16" s="65">
        <v>0.03</v>
      </c>
      <c r="AB16" s="11" t="s">
        <v>283</v>
      </c>
      <c r="AC16" s="11" t="s">
        <v>283</v>
      </c>
      <c r="AD16" s="11" t="s">
        <v>283</v>
      </c>
      <c r="AE16" s="21">
        <v>54</v>
      </c>
      <c r="AF16" s="21">
        <v>10</v>
      </c>
      <c r="AG16" s="65">
        <v>0.03</v>
      </c>
      <c r="AH16" s="65">
        <v>0.32</v>
      </c>
      <c r="AI16" s="65">
        <v>0.61</v>
      </c>
      <c r="AJ16" s="65">
        <v>0.04</v>
      </c>
      <c r="AK16" s="11" t="s">
        <v>283</v>
      </c>
      <c r="AL16" s="11" t="s">
        <v>283</v>
      </c>
      <c r="AM16" s="11" t="s">
        <v>283</v>
      </c>
      <c r="AN16" s="50">
        <v>54</v>
      </c>
      <c r="AO16" s="50">
        <v>10</v>
      </c>
      <c r="AP16" s="60">
        <v>0.03</v>
      </c>
      <c r="AQ16" s="60">
        <v>0.32</v>
      </c>
      <c r="AR16" s="60">
        <v>0.62</v>
      </c>
      <c r="AS16" s="60">
        <v>0.03</v>
      </c>
      <c r="AT16" s="11" t="s">
        <v>283</v>
      </c>
      <c r="AU16" s="11" t="s">
        <v>283</v>
      </c>
      <c r="AV16" s="11" t="s">
        <v>283</v>
      </c>
      <c r="AW16" s="245">
        <v>53</v>
      </c>
      <c r="AX16" s="245" t="s">
        <v>874</v>
      </c>
      <c r="AY16" s="245">
        <v>9</v>
      </c>
      <c r="AZ16" s="245" t="s">
        <v>874</v>
      </c>
      <c r="BA16" s="263">
        <v>0.04</v>
      </c>
      <c r="BB16" s="263">
        <v>0.36</v>
      </c>
      <c r="BC16" s="263">
        <v>0.56999999999999995</v>
      </c>
      <c r="BD16" s="263">
        <v>0.03</v>
      </c>
      <c r="BE16" s="245" t="s">
        <v>283</v>
      </c>
      <c r="BF16" s="245" t="s">
        <v>283</v>
      </c>
      <c r="BG16" s="245" t="s">
        <v>283</v>
      </c>
      <c r="BH16" s="317">
        <v>54</v>
      </c>
      <c r="BI16" s="317" t="s">
        <v>874</v>
      </c>
      <c r="BJ16" s="317">
        <v>10</v>
      </c>
      <c r="BK16" s="317" t="s">
        <v>874</v>
      </c>
      <c r="BL16" s="465"/>
      <c r="BM16" s="465"/>
      <c r="BN16" s="465"/>
      <c r="BO16" s="327">
        <v>0.04</v>
      </c>
      <c r="BP16" s="327">
        <v>0.3</v>
      </c>
      <c r="BQ16" s="327">
        <v>0.62</v>
      </c>
      <c r="BR16" s="327">
        <v>0.04</v>
      </c>
      <c r="BS16" s="317" t="s">
        <v>283</v>
      </c>
      <c r="BT16" s="317" t="s">
        <v>283</v>
      </c>
      <c r="BU16" s="465"/>
      <c r="BV16" s="465"/>
      <c r="BW16" s="465"/>
      <c r="BX16" s="317" t="s">
        <v>283</v>
      </c>
      <c r="BY16" s="425">
        <v>54</v>
      </c>
      <c r="BZ16" s="425" t="s">
        <v>874</v>
      </c>
      <c r="CA16" s="425">
        <v>10</v>
      </c>
      <c r="CB16" s="425" t="s">
        <v>874</v>
      </c>
      <c r="CC16" s="429">
        <v>0.04</v>
      </c>
      <c r="CD16" s="429">
        <v>0.3</v>
      </c>
      <c r="CE16" s="429">
        <v>0.6</v>
      </c>
      <c r="CF16" s="429">
        <v>0.05</v>
      </c>
      <c r="CG16" s="425" t="s">
        <v>283</v>
      </c>
      <c r="CH16" s="425" t="s">
        <v>283</v>
      </c>
      <c r="CI16" s="425" t="s">
        <v>283</v>
      </c>
      <c r="CJ16" s="425">
        <v>55</v>
      </c>
      <c r="CK16" s="425" t="s">
        <v>874</v>
      </c>
      <c r="CL16" s="425">
        <v>11</v>
      </c>
      <c r="CM16" s="425" t="s">
        <v>874</v>
      </c>
      <c r="CN16" s="429">
        <v>0.04</v>
      </c>
      <c r="CO16" s="429">
        <v>0.3</v>
      </c>
      <c r="CP16" s="429">
        <v>0.59</v>
      </c>
      <c r="CQ16" s="429">
        <v>0.06</v>
      </c>
      <c r="CR16" s="425" t="s">
        <v>283</v>
      </c>
      <c r="CS16" s="425" t="s">
        <v>283</v>
      </c>
      <c r="CT16" s="425" t="s">
        <v>283</v>
      </c>
    </row>
    <row r="17" spans="1:98" ht="24.95" customHeight="1" x14ac:dyDescent="0.2">
      <c r="A17" s="294" t="s">
        <v>17</v>
      </c>
      <c r="B17" s="294"/>
      <c r="C17" s="294"/>
      <c r="D17" s="318"/>
      <c r="E17" s="318"/>
      <c r="F17" s="327"/>
      <c r="G17" s="327"/>
      <c r="H17" s="327"/>
      <c r="I17" s="327"/>
      <c r="J17" s="317"/>
      <c r="K17" s="317"/>
      <c r="L17" s="317"/>
      <c r="M17" s="318"/>
      <c r="N17" s="325"/>
      <c r="O17" s="336"/>
      <c r="P17" s="336"/>
      <c r="Q17" s="336"/>
      <c r="R17" s="336"/>
      <c r="S17" s="317"/>
      <c r="T17" s="317"/>
      <c r="U17" s="317"/>
      <c r="V17" s="318"/>
      <c r="W17" s="318"/>
      <c r="X17" s="327"/>
      <c r="Y17" s="327"/>
      <c r="Z17" s="327"/>
      <c r="AA17" s="327"/>
      <c r="AB17" s="317"/>
      <c r="AC17" s="317"/>
      <c r="AD17" s="317"/>
      <c r="AE17" s="318"/>
      <c r="AF17" s="318"/>
      <c r="AG17" s="327"/>
      <c r="AH17" s="327"/>
      <c r="AI17" s="327"/>
      <c r="AJ17" s="327"/>
      <c r="AK17" s="317"/>
      <c r="AL17" s="317"/>
      <c r="AM17" s="317"/>
      <c r="AN17" s="337"/>
      <c r="AO17" s="337"/>
      <c r="AP17" s="326"/>
      <c r="AQ17" s="326"/>
      <c r="AR17" s="326"/>
      <c r="AS17" s="326"/>
      <c r="AT17" s="317"/>
      <c r="AU17" s="317"/>
      <c r="AV17" s="317"/>
      <c r="AW17" s="320"/>
      <c r="AX17" s="320"/>
      <c r="AY17" s="320"/>
      <c r="AZ17" s="320"/>
      <c r="BA17" s="328"/>
      <c r="BB17" s="328"/>
      <c r="BC17" s="328"/>
      <c r="BD17" s="328"/>
      <c r="BE17" s="320"/>
      <c r="BF17" s="320"/>
      <c r="BG17" s="320"/>
      <c r="BH17" s="317">
        <v>62</v>
      </c>
      <c r="BI17" s="317" t="s">
        <v>875</v>
      </c>
      <c r="BJ17" s="317">
        <v>4</v>
      </c>
      <c r="BK17" s="317" t="s">
        <v>876</v>
      </c>
      <c r="BL17" s="465"/>
      <c r="BM17" s="465"/>
      <c r="BN17" s="465"/>
      <c r="BO17" s="327">
        <v>0</v>
      </c>
      <c r="BP17" s="327">
        <v>0</v>
      </c>
      <c r="BQ17" s="327">
        <v>1</v>
      </c>
      <c r="BR17" s="327">
        <v>0</v>
      </c>
      <c r="BS17" s="317" t="s">
        <v>283</v>
      </c>
      <c r="BT17" s="317" t="s">
        <v>283</v>
      </c>
      <c r="BU17" s="465"/>
      <c r="BV17" s="465"/>
      <c r="BW17" s="465"/>
      <c r="BX17" s="317" t="s">
        <v>283</v>
      </c>
      <c r="CJ17" s="425">
        <v>61</v>
      </c>
      <c r="CK17" s="425" t="s">
        <v>875</v>
      </c>
      <c r="CL17" s="425">
        <v>9</v>
      </c>
      <c r="CM17" s="425" t="s">
        <v>876</v>
      </c>
      <c r="CN17" s="429">
        <v>0.03</v>
      </c>
      <c r="CO17" s="429">
        <v>0.08</v>
      </c>
      <c r="CP17" s="429">
        <v>0.78</v>
      </c>
      <c r="CQ17" s="429">
        <v>0.11</v>
      </c>
      <c r="CR17" s="425" t="s">
        <v>283</v>
      </c>
      <c r="CS17" s="425" t="s">
        <v>283</v>
      </c>
      <c r="CT17" s="425" t="s">
        <v>283</v>
      </c>
    </row>
    <row r="18" spans="1:98" ht="24.95" customHeight="1" x14ac:dyDescent="0.2">
      <c r="A18" s="198" t="s">
        <v>244</v>
      </c>
      <c r="B18" s="6"/>
      <c r="C18" s="6"/>
      <c r="D18" s="129">
        <f t="shared" ref="D18:AW18" si="0">AVERAGEIF($C$36:$C$171,"=1",D$36:D$171)</f>
        <v>51.823529411764703</v>
      </c>
      <c r="E18" s="129">
        <f t="shared" si="0"/>
        <v>9</v>
      </c>
      <c r="F18" s="39">
        <f t="shared" si="0"/>
        <v>5.4117647058823541E-2</v>
      </c>
      <c r="G18" s="39">
        <f t="shared" si="0"/>
        <v>0.39411764705882346</v>
      </c>
      <c r="H18" s="39">
        <f t="shared" si="0"/>
        <v>0.54294117647058826</v>
      </c>
      <c r="I18" s="39">
        <f t="shared" si="0"/>
        <v>9.4117647058823539E-3</v>
      </c>
      <c r="J18" s="39">
        <f t="shared" si="0"/>
        <v>0.53235294117647058</v>
      </c>
      <c r="K18" s="39">
        <f t="shared" si="0"/>
        <v>0.4594117647058823</v>
      </c>
      <c r="L18" s="39">
        <f t="shared" si="0"/>
        <v>0.53941176470588237</v>
      </c>
      <c r="M18" s="129">
        <f t="shared" si="0"/>
        <v>51.625</v>
      </c>
      <c r="N18" s="129">
        <f t="shared" si="0"/>
        <v>9.0625</v>
      </c>
      <c r="O18" s="39">
        <f t="shared" si="0"/>
        <v>5.7222222222222209E-2</v>
      </c>
      <c r="P18" s="39">
        <f t="shared" si="0"/>
        <v>0.40166666666666667</v>
      </c>
      <c r="Q18" s="39">
        <f t="shared" si="0"/>
        <v>0.51555555555555566</v>
      </c>
      <c r="R18" s="39">
        <f t="shared" si="0"/>
        <v>2.6111111111111116E-2</v>
      </c>
      <c r="S18" s="39">
        <f t="shared" si="0"/>
        <v>0.48388888888888892</v>
      </c>
      <c r="T18" s="39">
        <f t="shared" si="0"/>
        <v>0.56166666666666676</v>
      </c>
      <c r="U18" s="39">
        <f t="shared" si="0"/>
        <v>0.36000000000000004</v>
      </c>
      <c r="V18" s="129">
        <f t="shared" si="0"/>
        <v>51.823529411764703</v>
      </c>
      <c r="W18" s="129">
        <f t="shared" si="0"/>
        <v>8.9411764705882355</v>
      </c>
      <c r="X18" s="39">
        <f t="shared" si="0"/>
        <v>4.2777777777777783E-2</v>
      </c>
      <c r="Y18" s="39">
        <f t="shared" si="0"/>
        <v>0.39777777777777773</v>
      </c>
      <c r="Z18" s="39">
        <f t="shared" si="0"/>
        <v>0.52555555555555555</v>
      </c>
      <c r="AA18" s="39">
        <f t="shared" si="0"/>
        <v>3.4444444444444451E-2</v>
      </c>
      <c r="AB18" s="39">
        <f t="shared" si="0"/>
        <v>0.4861111111111111</v>
      </c>
      <c r="AC18" s="39">
        <f t="shared" si="0"/>
        <v>0.37111111111111111</v>
      </c>
      <c r="AD18" s="39">
        <f t="shared" si="0"/>
        <v>0.52444444444444449</v>
      </c>
      <c r="AE18" s="129">
        <f t="shared" si="0"/>
        <v>52.647058823529413</v>
      </c>
      <c r="AF18" s="129">
        <f t="shared" si="0"/>
        <v>9.235294117647058</v>
      </c>
      <c r="AG18" s="39">
        <f t="shared" si="0"/>
        <v>3.2777777777777781E-2</v>
      </c>
      <c r="AH18" s="39">
        <f t="shared" si="0"/>
        <v>0.34333333333333338</v>
      </c>
      <c r="AI18" s="39">
        <f t="shared" si="0"/>
        <v>0.60055555555555562</v>
      </c>
      <c r="AJ18" s="39">
        <f t="shared" si="0"/>
        <v>2.4444444444444446E-2</v>
      </c>
      <c r="AK18" s="39">
        <f t="shared" si="0"/>
        <v>0.51777777777777789</v>
      </c>
      <c r="AL18" s="39">
        <f t="shared" si="0"/>
        <v>0.45944444444444454</v>
      </c>
      <c r="AM18" s="39">
        <f t="shared" si="0"/>
        <v>0.28222222222222221</v>
      </c>
      <c r="AN18" s="129">
        <f t="shared" si="0"/>
        <v>53.294117647058826</v>
      </c>
      <c r="AO18" s="129">
        <f t="shared" si="0"/>
        <v>9.117647058823529</v>
      </c>
      <c r="AP18" s="39">
        <f t="shared" si="0"/>
        <v>3.529411764705883E-2</v>
      </c>
      <c r="AQ18" s="39">
        <f t="shared" si="0"/>
        <v>0.36000000000000004</v>
      </c>
      <c r="AR18" s="39">
        <f t="shared" si="0"/>
        <v>0.57352941176470584</v>
      </c>
      <c r="AS18" s="39">
        <f t="shared" si="0"/>
        <v>3.2941176470588238E-2</v>
      </c>
      <c r="AT18" s="39">
        <f t="shared" si="0"/>
        <v>0.26647058823529413</v>
      </c>
      <c r="AU18" s="39">
        <f t="shared" si="0"/>
        <v>0.48882352941176471</v>
      </c>
      <c r="AV18" s="39">
        <f t="shared" si="0"/>
        <v>0.50235294117647056</v>
      </c>
      <c r="AW18" s="129">
        <f t="shared" si="0"/>
        <v>52.470588235294116</v>
      </c>
      <c r="AX18" s="245"/>
      <c r="AY18" s="129">
        <f>AVERAGEIF($C$36:$C$171,"=1",AY$36:AY$171)</f>
        <v>8.8235294117647065</v>
      </c>
      <c r="AZ18" s="245"/>
      <c r="BA18" s="39">
        <f t="shared" ref="BA18:BH18" si="1">AVERAGEIF($C$36:$C$171,"=1",BA$36:BA$171)</f>
        <v>4.3529411764705886E-2</v>
      </c>
      <c r="BB18" s="39">
        <f t="shared" si="1"/>
        <v>0.36764705882352944</v>
      </c>
      <c r="BC18" s="39">
        <f t="shared" si="1"/>
        <v>0.56176470588235294</v>
      </c>
      <c r="BD18" s="39">
        <f t="shared" si="1"/>
        <v>2.7058823529411767E-2</v>
      </c>
      <c r="BE18" s="39">
        <f t="shared" si="1"/>
        <v>0.27411764705882347</v>
      </c>
      <c r="BF18" s="39">
        <f t="shared" si="1"/>
        <v>0.50000000000000011</v>
      </c>
      <c r="BG18" s="39">
        <f t="shared" si="1"/>
        <v>0.45941176470588241</v>
      </c>
      <c r="BH18" s="129">
        <f t="shared" si="1"/>
        <v>52.444444444444443</v>
      </c>
      <c r="BJ18" s="129">
        <f>AVERAGEIF($C$36:$C$171,"=1",BJ$36:BJ$171)</f>
        <v>9.2777777777777786</v>
      </c>
      <c r="BO18" s="344">
        <f t="shared" ref="BO18:BY18" si="2">AVERAGEIF($C$36:$C$171,"=1",BO$36:BO$171)</f>
        <v>4.9444444444444444E-2</v>
      </c>
      <c r="BP18" s="344">
        <f t="shared" si="2"/>
        <v>0.35777777777777781</v>
      </c>
      <c r="BQ18" s="344">
        <f t="shared" si="2"/>
        <v>0.57055555555555559</v>
      </c>
      <c r="BR18" s="344">
        <f t="shared" si="2"/>
        <v>2.3333333333333331E-2</v>
      </c>
      <c r="BS18" s="344">
        <f t="shared" si="2"/>
        <v>0.51888888888888884</v>
      </c>
      <c r="BT18" s="344">
        <f t="shared" si="2"/>
        <v>0.59</v>
      </c>
      <c r="BU18" s="531"/>
      <c r="BV18" s="531"/>
      <c r="BW18" s="531"/>
      <c r="BX18" s="344">
        <f t="shared" si="2"/>
        <v>0.37666666666666671</v>
      </c>
      <c r="BY18" s="129">
        <f t="shared" si="2"/>
        <v>53.647058823529413</v>
      </c>
      <c r="CA18" s="129">
        <f>AVERAGEIF($C$36:$C$171,"=1",CA$36:CA$171)</f>
        <v>9.117647058823529</v>
      </c>
      <c r="CC18" s="344">
        <f t="shared" ref="CC18" si="3">AVERAGEIF($C$36:$C$171,"=1",CC$36:CC$171)</f>
        <v>3.5882352941176476E-2</v>
      </c>
      <c r="CD18" s="344">
        <f t="shared" ref="CD18:CJ18" si="4">AVERAGEIF($C$36:$C$171,"=1",CD$36:CD$171)</f>
        <v>0.35235294117647059</v>
      </c>
      <c r="CE18" s="344">
        <f t="shared" si="4"/>
        <v>0.56294117647058817</v>
      </c>
      <c r="CF18" s="344">
        <f t="shared" si="4"/>
        <v>4.8235294117647071E-2</v>
      </c>
      <c r="CG18" s="344">
        <f t="shared" si="4"/>
        <v>0.59941176470588231</v>
      </c>
      <c r="CH18" s="344">
        <f t="shared" si="4"/>
        <v>0.35705882352941171</v>
      </c>
      <c r="CI18" s="344">
        <f t="shared" si="4"/>
        <v>0.55294117647058838</v>
      </c>
      <c r="CJ18" s="129">
        <f t="shared" si="4"/>
        <v>53.833333333333336</v>
      </c>
      <c r="CL18" s="129">
        <f>AVERAGEIF($C$36:$C$171,"=1",CL$36:CL$171)</f>
        <v>9.7222222222222214</v>
      </c>
      <c r="CN18" s="241">
        <f>AVERAGEIF($C$36:$C$171,"=1",CN$36:CN$171)</f>
        <v>4.0555555555555553E-2</v>
      </c>
      <c r="CO18" s="241">
        <f t="shared" ref="CO18:CT18" si="5">AVERAGEIF($C$36:$C$171,"=1",CO$36:CO$171)</f>
        <v>0.32222222222222219</v>
      </c>
      <c r="CP18" s="241">
        <f t="shared" si="5"/>
        <v>0.58444444444444466</v>
      </c>
      <c r="CQ18" s="241">
        <f t="shared" si="5"/>
        <v>5.3333333333333344E-2</v>
      </c>
      <c r="CR18" s="241">
        <f t="shared" si="5"/>
        <v>0.53166666666666673</v>
      </c>
      <c r="CS18" s="241">
        <f t="shared" si="5"/>
        <v>0.50777777777777777</v>
      </c>
      <c r="CT18" s="241">
        <f t="shared" si="5"/>
        <v>0.38555555555555554</v>
      </c>
    </row>
    <row r="19" spans="1:98" ht="24.95" customHeight="1" x14ac:dyDescent="0.2">
      <c r="A19" s="198" t="s">
        <v>245</v>
      </c>
      <c r="B19" s="6"/>
      <c r="C19" s="6"/>
      <c r="D19" s="129">
        <f t="shared" ref="D19:AW19" si="6">AVERAGEIF($C$36:$C$171,"=2",D$36:D$171)</f>
        <v>52.6</v>
      </c>
      <c r="E19" s="129">
        <f t="shared" si="6"/>
        <v>8.65</v>
      </c>
      <c r="F19" s="39">
        <f t="shared" si="6"/>
        <v>0.05</v>
      </c>
      <c r="G19" s="39">
        <f t="shared" si="6"/>
        <v>0.36700000000000005</v>
      </c>
      <c r="H19" s="39">
        <f t="shared" si="6"/>
        <v>0.5675</v>
      </c>
      <c r="I19" s="39">
        <f t="shared" si="6"/>
        <v>1.7000000000000001E-2</v>
      </c>
      <c r="J19" s="39">
        <f t="shared" si="6"/>
        <v>0.52899999999999991</v>
      </c>
      <c r="K19" s="39">
        <f t="shared" si="6"/>
        <v>0.44950000000000012</v>
      </c>
      <c r="L19" s="39">
        <f t="shared" si="6"/>
        <v>0.52600000000000002</v>
      </c>
      <c r="M19" s="129">
        <f t="shared" si="6"/>
        <v>52.157894736842103</v>
      </c>
      <c r="N19" s="129">
        <f t="shared" si="6"/>
        <v>9.2631578947368425</v>
      </c>
      <c r="O19" s="39">
        <f t="shared" si="6"/>
        <v>5.7368421052631582E-2</v>
      </c>
      <c r="P19" s="39">
        <f t="shared" si="6"/>
        <v>0.34894736842105273</v>
      </c>
      <c r="Q19" s="39">
        <f t="shared" si="6"/>
        <v>0.55157894736842095</v>
      </c>
      <c r="R19" s="39">
        <f t="shared" si="6"/>
        <v>4.0000000000000008E-2</v>
      </c>
      <c r="S19" s="39">
        <f t="shared" si="6"/>
        <v>0.47000000000000008</v>
      </c>
      <c r="T19" s="39">
        <f t="shared" si="6"/>
        <v>0.54315789473684217</v>
      </c>
      <c r="U19" s="39">
        <f t="shared" si="6"/>
        <v>0.36526315789473685</v>
      </c>
      <c r="V19" s="129">
        <f t="shared" si="6"/>
        <v>52.842105263157897</v>
      </c>
      <c r="W19" s="129">
        <f t="shared" si="6"/>
        <v>8.6315789473684212</v>
      </c>
      <c r="X19" s="39">
        <f t="shared" si="6"/>
        <v>3.6315789473684218E-2</v>
      </c>
      <c r="Y19" s="39">
        <f t="shared" si="6"/>
        <v>0.34789473684210526</v>
      </c>
      <c r="Z19" s="39">
        <f t="shared" si="6"/>
        <v>0.60210526315789459</v>
      </c>
      <c r="AA19" s="39">
        <f t="shared" si="6"/>
        <v>1.6315789473684207E-2</v>
      </c>
      <c r="AB19" s="39">
        <f t="shared" si="6"/>
        <v>0.47210526315789469</v>
      </c>
      <c r="AC19" s="39">
        <f t="shared" si="6"/>
        <v>0.37157894736842106</v>
      </c>
      <c r="AD19" s="39">
        <f t="shared" si="6"/>
        <v>0.50421052631578944</v>
      </c>
      <c r="AE19" s="129">
        <f t="shared" si="6"/>
        <v>53.75</v>
      </c>
      <c r="AF19" s="129">
        <f t="shared" si="6"/>
        <v>9.1</v>
      </c>
      <c r="AG19" s="39">
        <f t="shared" si="6"/>
        <v>3.7000000000000005E-2</v>
      </c>
      <c r="AH19" s="39">
        <f t="shared" si="6"/>
        <v>0.32049999999999995</v>
      </c>
      <c r="AI19" s="39">
        <f t="shared" si="6"/>
        <v>0.60650000000000015</v>
      </c>
      <c r="AJ19" s="39">
        <f t="shared" si="6"/>
        <v>3.7500000000000012E-2</v>
      </c>
      <c r="AK19" s="39">
        <f t="shared" si="6"/>
        <v>0.51800000000000002</v>
      </c>
      <c r="AL19" s="39">
        <f t="shared" si="6"/>
        <v>0.45650000000000002</v>
      </c>
      <c r="AM19" s="39">
        <f t="shared" si="6"/>
        <v>0.26900000000000002</v>
      </c>
      <c r="AN19" s="129">
        <f t="shared" si="6"/>
        <v>52.791666666666664</v>
      </c>
      <c r="AO19" s="129">
        <f t="shared" si="6"/>
        <v>7.833333333333333</v>
      </c>
      <c r="AP19" s="39">
        <f t="shared" si="6"/>
        <v>2.7500000000000007E-2</v>
      </c>
      <c r="AQ19" s="39">
        <f t="shared" si="6"/>
        <v>0.35749999999999998</v>
      </c>
      <c r="AR19" s="39">
        <f t="shared" si="6"/>
        <v>0.57791666666666675</v>
      </c>
      <c r="AS19" s="39">
        <f t="shared" si="6"/>
        <v>3.5833333333333342E-2</v>
      </c>
      <c r="AT19" s="39">
        <f t="shared" si="6"/>
        <v>0.27666666666666667</v>
      </c>
      <c r="AU19" s="39">
        <f t="shared" si="6"/>
        <v>0.49874999999999997</v>
      </c>
      <c r="AV19" s="39">
        <f t="shared" si="6"/>
        <v>0.50833333333333341</v>
      </c>
      <c r="AW19" s="129">
        <f t="shared" si="6"/>
        <v>52.18181818181818</v>
      </c>
      <c r="AX19" s="245"/>
      <c r="AY19" s="129">
        <f>AVERAGEIF($C$36:$C$171,"=2",AY$36:AY$171)</f>
        <v>8</v>
      </c>
      <c r="AZ19" s="245"/>
      <c r="BA19" s="39">
        <f t="shared" ref="BA19:BH19" si="7">AVERAGEIF($C$36:$C$171,"=2",BA$36:BA$171)</f>
        <v>5.9545454545454561E-2</v>
      </c>
      <c r="BB19" s="39">
        <f t="shared" si="7"/>
        <v>0.35272727272727278</v>
      </c>
      <c r="BC19" s="39">
        <f t="shared" si="7"/>
        <v>0.56318181818181823</v>
      </c>
      <c r="BD19" s="39">
        <f t="shared" si="7"/>
        <v>2.5909090909090913E-2</v>
      </c>
      <c r="BE19" s="39">
        <f t="shared" si="7"/>
        <v>0.28590909090909089</v>
      </c>
      <c r="BF19" s="39">
        <f t="shared" si="7"/>
        <v>0.5027272727272728</v>
      </c>
      <c r="BG19" s="39">
        <f t="shared" si="7"/>
        <v>0.46318181818181831</v>
      </c>
      <c r="BH19" s="129">
        <f t="shared" si="7"/>
        <v>53.96</v>
      </c>
      <c r="BJ19" s="129">
        <f>AVERAGEIF($C$36:$C$171,"=2",BJ$36:BJ$171)</f>
        <v>9.48</v>
      </c>
      <c r="BO19" s="344">
        <f t="shared" ref="BO19:BY19" si="8">AVERAGEIF($C$36:$C$171,"=2",BO$36:BO$171)</f>
        <v>7.0400000000000018E-2</v>
      </c>
      <c r="BP19" s="344">
        <f t="shared" si="8"/>
        <v>0.26039999999999996</v>
      </c>
      <c r="BQ19" s="344">
        <f t="shared" si="8"/>
        <v>0.63200000000000001</v>
      </c>
      <c r="BR19" s="344">
        <f t="shared" si="8"/>
        <v>3.8000000000000006E-2</v>
      </c>
      <c r="BS19" s="344">
        <f t="shared" si="8"/>
        <v>0.48560000000000003</v>
      </c>
      <c r="BT19" s="344">
        <f t="shared" si="8"/>
        <v>0.56320000000000003</v>
      </c>
      <c r="BU19" s="531"/>
      <c r="BV19" s="531"/>
      <c r="BW19" s="531"/>
      <c r="BX19" s="344">
        <f t="shared" si="8"/>
        <v>0.37719999999999998</v>
      </c>
      <c r="BY19" s="129">
        <f t="shared" si="8"/>
        <v>52.807692307692307</v>
      </c>
      <c r="CA19" s="129">
        <f>AVERAGEIF($C$36:$C$171,"=2",CA$36:CA$171)</f>
        <v>8.8076923076923084</v>
      </c>
      <c r="CC19" s="344">
        <f t="shared" ref="CC19" si="9">AVERAGEIF($C$36:$C$171,"=2",CC$36:CC$171)</f>
        <v>6.26923076923077E-2</v>
      </c>
      <c r="CD19" s="344">
        <f t="shared" ref="CD19:CJ19" si="10">AVERAGEIF($C$36:$C$171,"=2",CD$36:CD$171)</f>
        <v>0.35423076923076918</v>
      </c>
      <c r="CE19" s="344">
        <f t="shared" si="10"/>
        <v>0.53730769230769237</v>
      </c>
      <c r="CF19" s="344">
        <f t="shared" si="10"/>
        <v>4.615384615384617E-2</v>
      </c>
      <c r="CG19" s="344">
        <f t="shared" si="10"/>
        <v>0.59923076923076923</v>
      </c>
      <c r="CH19" s="344">
        <f t="shared" si="10"/>
        <v>0.39076923076923065</v>
      </c>
      <c r="CI19" s="344">
        <f t="shared" si="10"/>
        <v>0.55615384615384622</v>
      </c>
      <c r="CJ19" s="129">
        <f t="shared" si="10"/>
        <v>54.958333333333336</v>
      </c>
      <c r="CL19" s="129">
        <f>AVERAGEIF($C$36:$C$171,"=2",CL$36:CL$171)</f>
        <v>9.4166666666666661</v>
      </c>
      <c r="CN19" s="241">
        <f>AVERAGEIF($C$36:$C$171,"=2",CN$36:CN$171)</f>
        <v>3.1249999999999997E-2</v>
      </c>
      <c r="CO19" s="241">
        <f t="shared" ref="CO19:CT19" si="11">AVERAGEIF($C$36:$C$171,"=2",CO$36:CO$171)</f>
        <v>0.28375</v>
      </c>
      <c r="CP19" s="241">
        <f t="shared" si="11"/>
        <v>0.62708333333333333</v>
      </c>
      <c r="CQ19" s="241">
        <f t="shared" si="11"/>
        <v>6.083333333333335E-2</v>
      </c>
      <c r="CR19" s="241">
        <f t="shared" si="11"/>
        <v>0.51916666666666655</v>
      </c>
      <c r="CS19" s="241">
        <f t="shared" si="11"/>
        <v>0.48791666666666672</v>
      </c>
      <c r="CT19" s="241">
        <f t="shared" si="11"/>
        <v>0.38999999999999996</v>
      </c>
    </row>
    <row r="20" spans="1:98" ht="24.95" customHeight="1" x14ac:dyDescent="0.2">
      <c r="A20" s="198" t="s">
        <v>246</v>
      </c>
      <c r="B20" s="6"/>
      <c r="C20" s="6"/>
      <c r="D20" s="129">
        <f t="shared" ref="D20:AW20" si="12">AVERAGEIF($C$36:$C$171,"=3",D$36:D$171)</f>
        <v>53</v>
      </c>
      <c r="E20" s="129">
        <f t="shared" si="12"/>
        <v>8.6666666666666661</v>
      </c>
      <c r="F20" s="39">
        <f t="shared" si="12"/>
        <v>3.2777777777777781E-2</v>
      </c>
      <c r="G20" s="39">
        <f t="shared" si="12"/>
        <v>0.37333333333333335</v>
      </c>
      <c r="H20" s="39">
        <f t="shared" si="12"/>
        <v>0.56666666666666687</v>
      </c>
      <c r="I20" s="39">
        <f t="shared" si="12"/>
        <v>2.8888888888888891E-2</v>
      </c>
      <c r="J20" s="39">
        <f t="shared" si="12"/>
        <v>0.51444444444444448</v>
      </c>
      <c r="K20" s="39">
        <f t="shared" si="12"/>
        <v>0.44611111111111107</v>
      </c>
      <c r="L20" s="39">
        <f t="shared" si="12"/>
        <v>0.51777777777777778</v>
      </c>
      <c r="M20" s="129">
        <f t="shared" si="12"/>
        <v>51.89473684210526</v>
      </c>
      <c r="N20" s="129">
        <f t="shared" si="12"/>
        <v>9.2105263157894743</v>
      </c>
      <c r="O20" s="39">
        <f t="shared" si="12"/>
        <v>3.7222222222222226E-2</v>
      </c>
      <c r="P20" s="39">
        <f t="shared" si="12"/>
        <v>0.38388888888888889</v>
      </c>
      <c r="Q20" s="39">
        <f t="shared" si="12"/>
        <v>0.55111111111111111</v>
      </c>
      <c r="R20" s="39">
        <f t="shared" si="12"/>
        <v>2.7777777777777776E-2</v>
      </c>
      <c r="S20" s="39">
        <f t="shared" si="12"/>
        <v>0.46666666666666667</v>
      </c>
      <c r="T20" s="39">
        <f t="shared" si="12"/>
        <v>0.54722222222222228</v>
      </c>
      <c r="U20" s="39">
        <f t="shared" si="12"/>
        <v>0.33999999999999997</v>
      </c>
      <c r="V20" s="129">
        <f t="shared" si="12"/>
        <v>52.684210526315788</v>
      </c>
      <c r="W20" s="129">
        <f t="shared" si="12"/>
        <v>9.2105263157894743</v>
      </c>
      <c r="X20" s="39">
        <f t="shared" si="12"/>
        <v>3.6666666666666667E-2</v>
      </c>
      <c r="Y20" s="39">
        <f t="shared" si="12"/>
        <v>0.35777777777777781</v>
      </c>
      <c r="Z20" s="39">
        <f t="shared" si="12"/>
        <v>0.57111111111111112</v>
      </c>
      <c r="AA20" s="39">
        <f t="shared" si="12"/>
        <v>3.5000000000000003E-2</v>
      </c>
      <c r="AB20" s="39">
        <f t="shared" si="12"/>
        <v>0.47222222222222221</v>
      </c>
      <c r="AC20" s="39">
        <f t="shared" si="12"/>
        <v>0.36222222222222222</v>
      </c>
      <c r="AD20" s="39">
        <f t="shared" si="12"/>
        <v>0.50111111111111117</v>
      </c>
      <c r="AE20" s="129">
        <f t="shared" si="12"/>
        <v>52.789473684210527</v>
      </c>
      <c r="AF20" s="129">
        <f t="shared" si="12"/>
        <v>9.2105263157894743</v>
      </c>
      <c r="AG20" s="39">
        <f t="shared" si="12"/>
        <v>4.222222222222223E-2</v>
      </c>
      <c r="AH20" s="39">
        <f t="shared" si="12"/>
        <v>0.36166666666666675</v>
      </c>
      <c r="AI20" s="39">
        <f t="shared" si="12"/>
        <v>0.57222222222222208</v>
      </c>
      <c r="AJ20" s="39">
        <f t="shared" si="12"/>
        <v>2.6111111111111116E-2</v>
      </c>
      <c r="AK20" s="39">
        <f t="shared" si="12"/>
        <v>0.51944444444444438</v>
      </c>
      <c r="AL20" s="39">
        <f t="shared" si="12"/>
        <v>0.45777777777777778</v>
      </c>
      <c r="AM20" s="39">
        <f t="shared" si="12"/>
        <v>0.27555555555555561</v>
      </c>
      <c r="AN20" s="129">
        <f t="shared" si="12"/>
        <v>53.9</v>
      </c>
      <c r="AO20" s="129">
        <f t="shared" si="12"/>
        <v>8.65</v>
      </c>
      <c r="AP20" s="39">
        <f t="shared" si="12"/>
        <v>2.4E-2</v>
      </c>
      <c r="AQ20" s="39">
        <f t="shared" si="12"/>
        <v>0.3175</v>
      </c>
      <c r="AR20" s="39">
        <f t="shared" si="12"/>
        <v>0.62450000000000006</v>
      </c>
      <c r="AS20" s="39">
        <f t="shared" si="12"/>
        <v>3.3500000000000009E-2</v>
      </c>
      <c r="AT20" s="39">
        <f t="shared" si="12"/>
        <v>0.26149999999999995</v>
      </c>
      <c r="AU20" s="39">
        <f t="shared" si="12"/>
        <v>0.47400000000000003</v>
      </c>
      <c r="AV20" s="39">
        <f t="shared" si="12"/>
        <v>0.4955</v>
      </c>
      <c r="AW20" s="129">
        <f t="shared" si="12"/>
        <v>52.6</v>
      </c>
      <c r="AX20" s="245"/>
      <c r="AY20" s="129">
        <f>AVERAGEIF($C$36:$C$171,"=3",AY$36:AY$171)</f>
        <v>8.5500000000000007</v>
      </c>
      <c r="AZ20" s="245"/>
      <c r="BA20" s="39">
        <f t="shared" ref="BA20:BH20" si="13">AVERAGEIF($C$36:$C$171,"=3",BA$36:BA$171)</f>
        <v>3.7000000000000012E-2</v>
      </c>
      <c r="BB20" s="39">
        <f t="shared" si="13"/>
        <v>0.35</v>
      </c>
      <c r="BC20" s="39">
        <f t="shared" si="13"/>
        <v>0.58350000000000013</v>
      </c>
      <c r="BD20" s="39">
        <f t="shared" si="13"/>
        <v>2.9000000000000005E-2</v>
      </c>
      <c r="BE20" s="39">
        <f t="shared" si="13"/>
        <v>0.27449999999999991</v>
      </c>
      <c r="BF20" s="39">
        <f t="shared" si="13"/>
        <v>0.49199999999999999</v>
      </c>
      <c r="BG20" s="39">
        <f t="shared" si="13"/>
        <v>0.45150000000000007</v>
      </c>
      <c r="BH20" s="129">
        <f t="shared" si="13"/>
        <v>53.81818181818182</v>
      </c>
      <c r="BJ20" s="129">
        <f>AVERAGEIF($C$36:$C$171,"=3",BJ$36:BJ$171)</f>
        <v>9.5</v>
      </c>
      <c r="BO20" s="344">
        <f t="shared" ref="BO20:BY20" si="14">AVERAGEIF($C$36:$C$171,"=3",BO$36:BO$171)</f>
        <v>4.9090909090909102E-2</v>
      </c>
      <c r="BP20" s="344">
        <f t="shared" si="14"/>
        <v>0.30272727272727268</v>
      </c>
      <c r="BQ20" s="344">
        <f t="shared" si="14"/>
        <v>0.60272727272727289</v>
      </c>
      <c r="BR20" s="344">
        <f t="shared" si="14"/>
        <v>4.8181818181818194E-2</v>
      </c>
      <c r="BS20" s="344">
        <f t="shared" si="14"/>
        <v>0.49136363636363645</v>
      </c>
      <c r="BT20" s="344">
        <f t="shared" si="14"/>
        <v>0.55909090909090908</v>
      </c>
      <c r="BU20" s="531"/>
      <c r="BV20" s="531"/>
      <c r="BW20" s="531"/>
      <c r="BX20" s="344">
        <f t="shared" si="14"/>
        <v>0.34636363636363643</v>
      </c>
      <c r="BY20" s="129">
        <f t="shared" si="14"/>
        <v>53.772727272727273</v>
      </c>
      <c r="CA20" s="129">
        <f>AVERAGEIF($C$36:$C$171,"=3",CA$36:CA$171)</f>
        <v>9.8636363636363633</v>
      </c>
      <c r="CC20" s="344">
        <f t="shared" ref="CC20" si="15">AVERAGEIF($C$36:$C$171,"=3",CC$36:CC$171)</f>
        <v>5.5000000000000007E-2</v>
      </c>
      <c r="CD20" s="344">
        <f t="shared" ref="CD20:CJ20" si="16">AVERAGEIF($C$36:$C$171,"=3",CD$36:CD$171)</f>
        <v>0.30409090909090908</v>
      </c>
      <c r="CE20" s="344">
        <f t="shared" si="16"/>
        <v>0.59363636363636363</v>
      </c>
      <c r="CF20" s="344">
        <f t="shared" si="16"/>
        <v>4.8181818181818194E-2</v>
      </c>
      <c r="CG20" s="344">
        <f t="shared" si="16"/>
        <v>0.60318181818181826</v>
      </c>
      <c r="CH20" s="344">
        <f t="shared" si="16"/>
        <v>0.33999999999999991</v>
      </c>
      <c r="CI20" s="344">
        <f t="shared" si="16"/>
        <v>0.56181818181818177</v>
      </c>
      <c r="CJ20" s="129">
        <f t="shared" si="16"/>
        <v>54.454545454545453</v>
      </c>
      <c r="CL20" s="129">
        <f>AVERAGEIF($C$36:$C$171,"=3",CL$36:CL$171)</f>
        <v>9.954545454545455</v>
      </c>
      <c r="CN20" s="241">
        <f>AVERAGEIF($C$36:$C$171,"=3",CN$36:CN$171)</f>
        <v>5.4545454545454543E-2</v>
      </c>
      <c r="CO20" s="241">
        <f t="shared" ref="CO20:CT20" si="17">AVERAGEIF($C$36:$C$171,"=3",CO$36:CO$171)</f>
        <v>0.29772727272727278</v>
      </c>
      <c r="CP20" s="241">
        <f t="shared" si="17"/>
        <v>0.5918181818181818</v>
      </c>
      <c r="CQ20" s="241">
        <f t="shared" si="17"/>
        <v>5.7272727272727281E-2</v>
      </c>
      <c r="CR20" s="241">
        <f t="shared" si="17"/>
        <v>0.53863636363636358</v>
      </c>
      <c r="CS20" s="241">
        <f t="shared" si="17"/>
        <v>0.4859090909090909</v>
      </c>
      <c r="CT20" s="241">
        <f t="shared" si="17"/>
        <v>0.38954545454545458</v>
      </c>
    </row>
    <row r="21" spans="1:98" ht="24.95" customHeight="1" x14ac:dyDescent="0.2">
      <c r="A21" s="198" t="s">
        <v>247</v>
      </c>
      <c r="B21" s="6"/>
      <c r="C21" s="6"/>
      <c r="D21" s="129">
        <f t="shared" ref="D21:AW21" si="18">AVERAGEIF($C$36:$C$171,"=4",D$36:D$171)</f>
        <v>48.357142857142854</v>
      </c>
      <c r="E21" s="129">
        <f t="shared" si="18"/>
        <v>8.7857142857142865</v>
      </c>
      <c r="F21" s="39">
        <f t="shared" si="18"/>
        <v>0.12142857142857144</v>
      </c>
      <c r="G21" s="39">
        <f t="shared" si="18"/>
        <v>0.46285714285714291</v>
      </c>
      <c r="H21" s="39">
        <f t="shared" si="18"/>
        <v>0.41142857142857142</v>
      </c>
      <c r="I21" s="39">
        <f t="shared" si="18"/>
        <v>2.8571428571428571E-3</v>
      </c>
      <c r="J21" s="39">
        <f t="shared" si="18"/>
        <v>0.57285714285714284</v>
      </c>
      <c r="K21" s="39">
        <f t="shared" si="18"/>
        <v>0.50428571428571434</v>
      </c>
      <c r="L21" s="39">
        <f t="shared" si="18"/>
        <v>0.59785714285714298</v>
      </c>
      <c r="M21" s="129">
        <f t="shared" si="18"/>
        <v>49.666666666666664</v>
      </c>
      <c r="N21" s="129">
        <f t="shared" si="18"/>
        <v>8.6666666666666661</v>
      </c>
      <c r="O21" s="39">
        <f t="shared" si="18"/>
        <v>0.10142857142857144</v>
      </c>
      <c r="P21" s="39">
        <f t="shared" si="18"/>
        <v>0.42642857142857143</v>
      </c>
      <c r="Q21" s="39">
        <f t="shared" si="18"/>
        <v>0.4628571428571428</v>
      </c>
      <c r="R21" s="39">
        <f t="shared" si="18"/>
        <v>1.0714285714285714E-2</v>
      </c>
      <c r="S21" s="39">
        <f t="shared" si="18"/>
        <v>0.50642857142857134</v>
      </c>
      <c r="T21" s="39">
        <f t="shared" si="18"/>
        <v>0.57928571428571429</v>
      </c>
      <c r="U21" s="39">
        <f t="shared" si="18"/>
        <v>0.38071428571428573</v>
      </c>
      <c r="V21" s="129">
        <f t="shared" si="18"/>
        <v>50.466666666666669</v>
      </c>
      <c r="W21" s="129">
        <f t="shared" si="18"/>
        <v>8.7333333333333325</v>
      </c>
      <c r="X21" s="39">
        <f t="shared" si="18"/>
        <v>8.0714285714285711E-2</v>
      </c>
      <c r="Y21" s="39">
        <f t="shared" si="18"/>
        <v>0.38785714285714284</v>
      </c>
      <c r="Z21" s="39">
        <f t="shared" si="18"/>
        <v>0.52142857142857146</v>
      </c>
      <c r="AA21" s="39">
        <f t="shared" si="18"/>
        <v>9.285714285714286E-3</v>
      </c>
      <c r="AB21" s="39">
        <f t="shared" si="18"/>
        <v>0.50642857142857145</v>
      </c>
      <c r="AC21" s="39">
        <f t="shared" si="18"/>
        <v>0.40571428571428569</v>
      </c>
      <c r="AD21" s="39">
        <f t="shared" si="18"/>
        <v>0.5407142857142857</v>
      </c>
      <c r="AE21" s="129">
        <f t="shared" si="18"/>
        <v>49.714285714285715</v>
      </c>
      <c r="AF21" s="129">
        <f t="shared" si="18"/>
        <v>8.7857142857142865</v>
      </c>
      <c r="AG21" s="39">
        <f t="shared" si="18"/>
        <v>7.0000000000000007E-2</v>
      </c>
      <c r="AH21" s="39">
        <f t="shared" si="18"/>
        <v>0.48923076923076919</v>
      </c>
      <c r="AI21" s="39">
        <f t="shared" si="18"/>
        <v>0.42153846153846153</v>
      </c>
      <c r="AJ21" s="39">
        <f t="shared" si="18"/>
        <v>1.846153846153846E-2</v>
      </c>
      <c r="AK21" s="39">
        <f t="shared" si="18"/>
        <v>0.57538461538461538</v>
      </c>
      <c r="AL21" s="39">
        <f t="shared" si="18"/>
        <v>0.51153846153846161</v>
      </c>
      <c r="AM21" s="39">
        <f t="shared" si="18"/>
        <v>0.34461538461538466</v>
      </c>
      <c r="AN21" s="129">
        <f t="shared" si="18"/>
        <v>49.153846153846153</v>
      </c>
      <c r="AO21" s="129">
        <f t="shared" si="18"/>
        <v>9.1538461538461533</v>
      </c>
      <c r="AP21" s="39">
        <f t="shared" si="18"/>
        <v>7.2307692307692309E-2</v>
      </c>
      <c r="AQ21" s="39">
        <f t="shared" si="18"/>
        <v>0.47846153846153844</v>
      </c>
      <c r="AR21" s="39">
        <f t="shared" si="18"/>
        <v>0.42615384615384611</v>
      </c>
      <c r="AS21" s="39">
        <f t="shared" si="18"/>
        <v>2.5384615384615387E-2</v>
      </c>
      <c r="AT21" s="39">
        <f t="shared" si="18"/>
        <v>0.31769230769230777</v>
      </c>
      <c r="AU21" s="39">
        <f t="shared" si="18"/>
        <v>0.56384615384615389</v>
      </c>
      <c r="AV21" s="39">
        <f t="shared" si="18"/>
        <v>0.54846153846153856</v>
      </c>
      <c r="AW21" s="129">
        <f t="shared" si="18"/>
        <v>48.5</v>
      </c>
      <c r="AX21" s="245"/>
      <c r="AY21" s="129">
        <f>AVERAGEIF($C$36:$C$171,"=4",AY$36:AY$171)</f>
        <v>8.5714285714285712</v>
      </c>
      <c r="AZ21" s="245"/>
      <c r="BA21" s="39">
        <f t="shared" ref="BA21:BH21" si="19">AVERAGEIF($C$36:$C$171,"=4",BA$36:BA$171)</f>
        <v>8.2857142857142865E-2</v>
      </c>
      <c r="BB21" s="39">
        <f t="shared" si="19"/>
        <v>0.46500000000000002</v>
      </c>
      <c r="BC21" s="39">
        <f t="shared" si="19"/>
        <v>0.43999999999999995</v>
      </c>
      <c r="BD21" s="39">
        <f t="shared" si="19"/>
        <v>1.2142857142857144E-2</v>
      </c>
      <c r="BE21" s="39">
        <f t="shared" si="19"/>
        <v>0.35857142857142854</v>
      </c>
      <c r="BF21" s="39">
        <f t="shared" si="19"/>
        <v>0.54214285714285715</v>
      </c>
      <c r="BG21" s="39">
        <f t="shared" si="19"/>
        <v>0.51928571428571424</v>
      </c>
      <c r="BH21" s="129">
        <f t="shared" si="19"/>
        <v>50.714285714285715</v>
      </c>
      <c r="BJ21" s="129">
        <f>AVERAGEIF($C$36:$C$171,"=4",BJ$36:BJ$171)</f>
        <v>9.5714285714285712</v>
      </c>
      <c r="BO21" s="344">
        <f t="shared" ref="BO21:BY21" si="20">AVERAGEIF($C$36:$C$171,"=4",BO$36:BO$171)</f>
        <v>6.7142857142857143E-2</v>
      </c>
      <c r="BP21" s="344">
        <f t="shared" si="20"/>
        <v>0.41071428571428575</v>
      </c>
      <c r="BQ21" s="344">
        <f t="shared" si="20"/>
        <v>0.50000000000000011</v>
      </c>
      <c r="BR21" s="344">
        <f t="shared" si="20"/>
        <v>2.1428571428571432E-2</v>
      </c>
      <c r="BS21" s="344">
        <f t="shared" si="20"/>
        <v>0.54142857142857148</v>
      </c>
      <c r="BT21" s="344">
        <f t="shared" si="20"/>
        <v>0.6171428571428571</v>
      </c>
      <c r="BU21" s="531"/>
      <c r="BV21" s="531"/>
      <c r="BW21" s="531"/>
      <c r="BX21" s="344">
        <f t="shared" si="20"/>
        <v>0.40857142857142853</v>
      </c>
      <c r="BY21" s="129">
        <f t="shared" si="20"/>
        <v>49.93333333333333</v>
      </c>
      <c r="CA21" s="129">
        <f>AVERAGEIF($C$36:$C$171,"=4",CA$36:CA$171)</f>
        <v>9.6666666666666661</v>
      </c>
      <c r="CC21" s="344">
        <f t="shared" ref="CC21" si="21">AVERAGEIF($C$36:$C$171,"=4",CC$36:CC$171)</f>
        <v>7.3333333333333334E-2</v>
      </c>
      <c r="CD21" s="344">
        <f t="shared" ref="CD21:CJ21" si="22">AVERAGEIF($C$36:$C$171,"=4",CD$36:CD$171)</f>
        <v>0.43533333333333335</v>
      </c>
      <c r="CE21" s="344">
        <f t="shared" si="22"/>
        <v>0.47333333333333338</v>
      </c>
      <c r="CF21" s="344">
        <f t="shared" si="22"/>
        <v>2.0000000000000004E-2</v>
      </c>
      <c r="CG21" s="344">
        <f t="shared" si="22"/>
        <v>0.62533333333333341</v>
      </c>
      <c r="CH21" s="344">
        <f t="shared" si="22"/>
        <v>0.41866666666666663</v>
      </c>
      <c r="CI21" s="344">
        <f t="shared" si="22"/>
        <v>0.61466666666666669</v>
      </c>
      <c r="CJ21" s="129">
        <f t="shared" si="22"/>
        <v>52.153846153846153</v>
      </c>
      <c r="CL21" s="129">
        <f>AVERAGEIF($C$36:$C$171,"=4",CL$36:CL$171)</f>
        <v>10.307692307692308</v>
      </c>
      <c r="CN21" s="241">
        <f>AVERAGEIF($C$36:$C$171,"=4",CN$36:CN$171)</f>
        <v>9.0769230769230783E-2</v>
      </c>
      <c r="CO21" s="241">
        <f t="shared" ref="CO21:CT21" si="23">AVERAGEIF($C$36:$C$171,"=4",CO$36:CO$171)</f>
        <v>0.3569230769230769</v>
      </c>
      <c r="CP21" s="241">
        <f t="shared" si="23"/>
        <v>0.51384615384615384</v>
      </c>
      <c r="CQ21" s="241">
        <f t="shared" si="23"/>
        <v>4.0769230769230766E-2</v>
      </c>
      <c r="CR21" s="241">
        <f t="shared" si="23"/>
        <v>0.57461538461538453</v>
      </c>
      <c r="CS21" s="241">
        <f t="shared" si="23"/>
        <v>0.52769230769230768</v>
      </c>
      <c r="CT21" s="241">
        <f t="shared" si="23"/>
        <v>0.4169230769230769</v>
      </c>
    </row>
    <row r="22" spans="1:98" ht="24.95" customHeight="1" x14ac:dyDescent="0.2">
      <c r="A22" s="198" t="s">
        <v>248</v>
      </c>
      <c r="B22" s="6"/>
      <c r="C22" s="6"/>
      <c r="D22" s="129">
        <f t="shared" ref="D22:AW22" si="24">AVERAGEIF($C$36:$C$171,"=5",D$36:D$171)</f>
        <v>54.470588235294116</v>
      </c>
      <c r="E22" s="129">
        <f t="shared" si="24"/>
        <v>8.2941176470588243</v>
      </c>
      <c r="F22" s="39">
        <f t="shared" si="24"/>
        <v>2.4117647058823532E-2</v>
      </c>
      <c r="G22" s="39">
        <f t="shared" si="24"/>
        <v>0.30647058823529411</v>
      </c>
      <c r="H22" s="39">
        <f t="shared" si="24"/>
        <v>0.64411764705882346</v>
      </c>
      <c r="I22" s="39">
        <f t="shared" si="24"/>
        <v>2.4705882352941178E-2</v>
      </c>
      <c r="J22" s="39">
        <f t="shared" si="24"/>
        <v>0.49294117647058816</v>
      </c>
      <c r="K22" s="39">
        <f t="shared" si="24"/>
        <v>0.44117647058823528</v>
      </c>
      <c r="L22" s="39">
        <f t="shared" si="24"/>
        <v>0.49882352941176472</v>
      </c>
      <c r="M22" s="129">
        <f t="shared" si="24"/>
        <v>54.705882352941174</v>
      </c>
      <c r="N22" s="129">
        <f t="shared" si="24"/>
        <v>9.4705882352941178</v>
      </c>
      <c r="O22" s="39">
        <f t="shared" si="24"/>
        <v>3.8823529411764715E-2</v>
      </c>
      <c r="P22" s="39">
        <f t="shared" si="24"/>
        <v>0.28176470588235292</v>
      </c>
      <c r="Q22" s="39">
        <f t="shared" si="24"/>
        <v>0.6352941176470589</v>
      </c>
      <c r="R22" s="39">
        <f t="shared" si="24"/>
        <v>4.2941176470588246E-2</v>
      </c>
      <c r="S22" s="39">
        <f t="shared" si="24"/>
        <v>0.44058823529411761</v>
      </c>
      <c r="T22" s="39">
        <f t="shared" si="24"/>
        <v>0.50352941176470589</v>
      </c>
      <c r="U22" s="39">
        <f t="shared" si="24"/>
        <v>0.31882352941176478</v>
      </c>
      <c r="V22" s="129">
        <f t="shared" si="24"/>
        <v>54.777777777777779</v>
      </c>
      <c r="W22" s="129">
        <f t="shared" si="24"/>
        <v>8.4444444444444446</v>
      </c>
      <c r="X22" s="39">
        <f t="shared" si="24"/>
        <v>2.2352941176470589E-2</v>
      </c>
      <c r="Y22" s="39">
        <f t="shared" si="24"/>
        <v>0.32647058823529418</v>
      </c>
      <c r="Z22" s="39">
        <f t="shared" si="24"/>
        <v>0.60647058823529409</v>
      </c>
      <c r="AA22" s="39">
        <f t="shared" si="24"/>
        <v>4.5294117647058825E-2</v>
      </c>
      <c r="AB22" s="39">
        <f t="shared" si="24"/>
        <v>0.43999999999999995</v>
      </c>
      <c r="AC22" s="39">
        <f t="shared" si="24"/>
        <v>0.34823529411764703</v>
      </c>
      <c r="AD22" s="39">
        <f t="shared" si="24"/>
        <v>0.47882352941176465</v>
      </c>
      <c r="AE22" s="129">
        <f t="shared" si="24"/>
        <v>55.368421052631582</v>
      </c>
      <c r="AF22" s="129">
        <f t="shared" si="24"/>
        <v>8.526315789473685</v>
      </c>
      <c r="AG22" s="39">
        <f t="shared" si="24"/>
        <v>1.666666666666667E-2</v>
      </c>
      <c r="AH22" s="39">
        <f t="shared" si="24"/>
        <v>0.28055555555555556</v>
      </c>
      <c r="AI22" s="39">
        <f t="shared" si="24"/>
        <v>0.65555555555555556</v>
      </c>
      <c r="AJ22" s="39">
        <f t="shared" si="24"/>
        <v>4.7222222222222228E-2</v>
      </c>
      <c r="AK22" s="39">
        <f t="shared" si="24"/>
        <v>0.48222222222222222</v>
      </c>
      <c r="AL22" s="39">
        <f t="shared" si="24"/>
        <v>0.41555555555555557</v>
      </c>
      <c r="AM22" s="39">
        <f t="shared" si="24"/>
        <v>0.25000000000000006</v>
      </c>
      <c r="AN22" s="129">
        <f t="shared" si="24"/>
        <v>55.944444444444443</v>
      </c>
      <c r="AO22" s="129">
        <f t="shared" si="24"/>
        <v>9.0555555555555554</v>
      </c>
      <c r="AP22" s="39">
        <f t="shared" si="24"/>
        <v>1.8888888888888889E-2</v>
      </c>
      <c r="AQ22" s="39">
        <f t="shared" si="24"/>
        <v>0.25944444444444437</v>
      </c>
      <c r="AR22" s="39">
        <f t="shared" si="24"/>
        <v>0.68111111111111122</v>
      </c>
      <c r="AS22" s="39">
        <f t="shared" si="24"/>
        <v>4.1666666666666671E-2</v>
      </c>
      <c r="AT22" s="39">
        <f t="shared" si="24"/>
        <v>0.22444444444444439</v>
      </c>
      <c r="AU22" s="39">
        <f t="shared" si="24"/>
        <v>0.45499999999999996</v>
      </c>
      <c r="AV22" s="39">
        <f t="shared" si="24"/>
        <v>0.44555555555555554</v>
      </c>
      <c r="AW22" s="129">
        <f t="shared" si="24"/>
        <v>54.277777777777779</v>
      </c>
      <c r="AX22" s="245"/>
      <c r="AY22" s="129">
        <f>AVERAGEIF($C$36:$C$171,"=5",AY$36:AY$171)</f>
        <v>9</v>
      </c>
      <c r="AZ22" s="245"/>
      <c r="BA22" s="39">
        <f t="shared" ref="BA22:BH22" si="25">AVERAGEIF($C$36:$C$171,"=5",BA$36:BA$171)</f>
        <v>2.6666666666666668E-2</v>
      </c>
      <c r="BB22" s="39">
        <f t="shared" si="25"/>
        <v>0.32944444444444443</v>
      </c>
      <c r="BC22" s="39">
        <f t="shared" si="25"/>
        <v>0.59777777777777785</v>
      </c>
      <c r="BD22" s="39">
        <f t="shared" si="25"/>
        <v>4.444444444444446E-2</v>
      </c>
      <c r="BE22" s="39">
        <f t="shared" si="25"/>
        <v>0.24500000000000005</v>
      </c>
      <c r="BF22" s="39">
        <f t="shared" si="25"/>
        <v>0.47500000000000003</v>
      </c>
      <c r="BG22" s="39">
        <f t="shared" si="25"/>
        <v>0.42888888888888893</v>
      </c>
      <c r="BH22" s="129">
        <f t="shared" si="25"/>
        <v>55.882352941176471</v>
      </c>
      <c r="BJ22" s="129">
        <f>AVERAGEIF($C$36:$C$171,"=5",BJ$36:BJ$171)</f>
        <v>9.117647058823529</v>
      </c>
      <c r="BO22" s="344">
        <f t="shared" ref="BO22:BY22" si="26">AVERAGEIF($C$36:$C$171,"=5",BO$36:BO$171)</f>
        <v>2.6470588235294114E-2</v>
      </c>
      <c r="BP22" s="344">
        <f t="shared" si="26"/>
        <v>0.23235294117647062</v>
      </c>
      <c r="BQ22" s="344">
        <f t="shared" si="26"/>
        <v>0.69529411764705884</v>
      </c>
      <c r="BR22" s="344">
        <f t="shared" si="26"/>
        <v>4.7058823529411764E-2</v>
      </c>
      <c r="BS22" s="344">
        <f t="shared" si="26"/>
        <v>0.45117647058823529</v>
      </c>
      <c r="BT22" s="344">
        <f t="shared" si="26"/>
        <v>0.52647058823529402</v>
      </c>
      <c r="BU22" s="531"/>
      <c r="BV22" s="531"/>
      <c r="BW22" s="531"/>
      <c r="BX22" s="344">
        <f t="shared" si="26"/>
        <v>0.32176470588235295</v>
      </c>
      <c r="BY22" s="129">
        <f t="shared" si="26"/>
        <v>55.823529411764703</v>
      </c>
      <c r="CA22" s="129">
        <f>AVERAGEIF($C$36:$C$171,"=5",CA$36:CA$171)</f>
        <v>9.1764705882352935</v>
      </c>
      <c r="CC22" s="344">
        <f t="shared" ref="CC22" si="27">AVERAGEIF($C$36:$C$171,"=5",CC$36:CC$171)</f>
        <v>2.7647058823529417E-2</v>
      </c>
      <c r="CD22" s="344">
        <f t="shared" ref="CD22:CJ22" si="28">AVERAGEIF($C$36:$C$171,"=5",CD$36:CD$171)</f>
        <v>0.27588235294117652</v>
      </c>
      <c r="CE22" s="344">
        <f t="shared" si="28"/>
        <v>0.62235294117647055</v>
      </c>
      <c r="CF22" s="344">
        <f t="shared" si="28"/>
        <v>7.3529411764705899E-2</v>
      </c>
      <c r="CG22" s="344">
        <f t="shared" si="28"/>
        <v>0.57588235294117629</v>
      </c>
      <c r="CH22" s="344">
        <f t="shared" si="28"/>
        <v>0.30588235294117649</v>
      </c>
      <c r="CI22" s="344">
        <f t="shared" si="28"/>
        <v>0.53764705882352937</v>
      </c>
      <c r="CJ22" s="129">
        <f t="shared" si="28"/>
        <v>55.888888888888886</v>
      </c>
      <c r="CL22" s="129">
        <f>AVERAGEIF($C$36:$C$171,"=5",CL$36:CL$171)</f>
        <v>9.5555555555555554</v>
      </c>
      <c r="CN22" s="241">
        <f>AVERAGEIF($C$36:$C$171,"=5",CN$36:CN$171)</f>
        <v>9.4444444444444428E-3</v>
      </c>
      <c r="CO22" s="241">
        <f t="shared" ref="CO22:CT22" si="29">AVERAGEIF($C$36:$C$171,"=5",CO$36:CO$171)</f>
        <v>0.30444444444444446</v>
      </c>
      <c r="CP22" s="241">
        <f t="shared" si="29"/>
        <v>0.61888888888888882</v>
      </c>
      <c r="CQ22" s="241">
        <f t="shared" si="29"/>
        <v>6.7777777777777784E-2</v>
      </c>
      <c r="CR22" s="241">
        <f t="shared" si="29"/>
        <v>0.5261111111111112</v>
      </c>
      <c r="CS22" s="241">
        <f t="shared" si="29"/>
        <v>0.46833333333333343</v>
      </c>
      <c r="CT22" s="241">
        <f t="shared" si="29"/>
        <v>0.3816666666666666</v>
      </c>
    </row>
    <row r="23" spans="1:98" ht="24.95" customHeight="1" x14ac:dyDescent="0.2">
      <c r="A23" s="198" t="s">
        <v>249</v>
      </c>
      <c r="B23" s="6"/>
      <c r="C23" s="6"/>
      <c r="D23" s="129">
        <f t="shared" ref="D23:AW23" si="30">AVERAGEIF($C$36:$C$171,"=6",D$36:D$171)</f>
        <v>52.266666666666666</v>
      </c>
      <c r="E23" s="129">
        <f t="shared" si="30"/>
        <v>7.8666666666666663</v>
      </c>
      <c r="F23" s="39">
        <f t="shared" si="30"/>
        <v>8.7333333333333332E-2</v>
      </c>
      <c r="G23" s="39">
        <f t="shared" si="30"/>
        <v>0.34133333333333327</v>
      </c>
      <c r="H23" s="39">
        <f t="shared" si="30"/>
        <v>0.56000000000000005</v>
      </c>
      <c r="I23" s="39">
        <f t="shared" si="30"/>
        <v>1.0666666666666666E-2</v>
      </c>
      <c r="J23" s="39">
        <f t="shared" si="30"/>
        <v>0.52266666666666672</v>
      </c>
      <c r="K23" s="39">
        <f t="shared" si="30"/>
        <v>0.4393333333333333</v>
      </c>
      <c r="L23" s="39">
        <f t="shared" si="30"/>
        <v>0.52666666666666673</v>
      </c>
      <c r="M23" s="129">
        <f t="shared" si="30"/>
        <v>51</v>
      </c>
      <c r="N23" s="129">
        <f t="shared" si="30"/>
        <v>9.8666666666666671</v>
      </c>
      <c r="O23" s="39">
        <f t="shared" si="30"/>
        <v>8.1333333333333327E-2</v>
      </c>
      <c r="P23" s="39">
        <f t="shared" si="30"/>
        <v>0.38866666666666666</v>
      </c>
      <c r="Q23" s="39">
        <f t="shared" si="30"/>
        <v>0.51133333333333331</v>
      </c>
      <c r="R23" s="39">
        <f t="shared" si="30"/>
        <v>2.0000000000000004E-2</v>
      </c>
      <c r="S23" s="39">
        <f t="shared" si="30"/>
        <v>0.4913333333333334</v>
      </c>
      <c r="T23" s="39">
        <f t="shared" si="30"/>
        <v>0.56000000000000016</v>
      </c>
      <c r="U23" s="39">
        <f t="shared" si="30"/>
        <v>0.36466666666666664</v>
      </c>
      <c r="V23" s="129">
        <f t="shared" si="30"/>
        <v>52.142857142857146</v>
      </c>
      <c r="W23" s="129">
        <f t="shared" si="30"/>
        <v>8.7142857142857135</v>
      </c>
      <c r="X23" s="39">
        <f t="shared" si="30"/>
        <v>3.0000000000000002E-2</v>
      </c>
      <c r="Y23" s="39">
        <f t="shared" si="30"/>
        <v>0.41250000000000003</v>
      </c>
      <c r="Z23" s="39">
        <f t="shared" si="30"/>
        <v>0.541875</v>
      </c>
      <c r="AA23" s="39">
        <f t="shared" si="30"/>
        <v>1.7500000000000002E-2</v>
      </c>
      <c r="AB23" s="39">
        <f t="shared" si="30"/>
        <v>0.49999999999999994</v>
      </c>
      <c r="AC23" s="39">
        <f t="shared" si="30"/>
        <v>0.36874999999999997</v>
      </c>
      <c r="AD23" s="39">
        <f t="shared" si="30"/>
        <v>0.51875000000000004</v>
      </c>
      <c r="AE23" s="129">
        <f t="shared" si="30"/>
        <v>53.6</v>
      </c>
      <c r="AF23" s="129">
        <f t="shared" si="30"/>
        <v>10.6</v>
      </c>
      <c r="AG23" s="39">
        <f t="shared" si="30"/>
        <v>4.2941176470588246E-2</v>
      </c>
      <c r="AH23" s="39">
        <f t="shared" si="30"/>
        <v>0.35588235294117654</v>
      </c>
      <c r="AI23" s="39">
        <f t="shared" si="30"/>
        <v>0.56882352941176473</v>
      </c>
      <c r="AJ23" s="39">
        <f t="shared" si="30"/>
        <v>3.2941176470588238E-2</v>
      </c>
      <c r="AK23" s="39">
        <f t="shared" si="30"/>
        <v>0.52</v>
      </c>
      <c r="AL23" s="39">
        <f t="shared" si="30"/>
        <v>0.4535294117647059</v>
      </c>
      <c r="AM23" s="39">
        <f t="shared" si="30"/>
        <v>0.29411764705882359</v>
      </c>
      <c r="AN23" s="129">
        <f t="shared" si="30"/>
        <v>52.117647058823529</v>
      </c>
      <c r="AO23" s="129">
        <f t="shared" si="30"/>
        <v>8.9411764705882355</v>
      </c>
      <c r="AP23" s="39">
        <f t="shared" si="30"/>
        <v>0.03</v>
      </c>
      <c r="AQ23" s="39">
        <f t="shared" si="30"/>
        <v>0.37470588235294117</v>
      </c>
      <c r="AR23" s="39">
        <f t="shared" si="30"/>
        <v>0.56588235294117639</v>
      </c>
      <c r="AS23" s="39">
        <f t="shared" si="30"/>
        <v>2.9411764705882359E-2</v>
      </c>
      <c r="AT23" s="39">
        <f t="shared" si="30"/>
        <v>0.29058823529411759</v>
      </c>
      <c r="AU23" s="39">
        <f t="shared" si="30"/>
        <v>0.51235294117647079</v>
      </c>
      <c r="AV23" s="39">
        <f t="shared" si="30"/>
        <v>0.50352941176470589</v>
      </c>
      <c r="AW23" s="129">
        <f t="shared" si="30"/>
        <v>51.647058823529413</v>
      </c>
      <c r="AX23" s="245"/>
      <c r="AY23" s="129">
        <f>AVERAGEIF($C$36:$C$171,"=6",AY$36:AY$171)</f>
        <v>7.5294117647058822</v>
      </c>
      <c r="AZ23" s="245"/>
      <c r="BA23" s="39">
        <f t="shared" ref="BA23:BH23" si="31">AVERAGEIF($C$36:$C$171,"=6",BA$36:BA$171)</f>
        <v>3.5882352941176476E-2</v>
      </c>
      <c r="BB23" s="39">
        <f t="shared" si="31"/>
        <v>0.44764705882352945</v>
      </c>
      <c r="BC23" s="39">
        <f t="shared" si="31"/>
        <v>0.4864705882352941</v>
      </c>
      <c r="BD23" s="39">
        <f t="shared" si="31"/>
        <v>3.0588235294117649E-2</v>
      </c>
      <c r="BE23" s="39">
        <f t="shared" si="31"/>
        <v>0.26588235294117646</v>
      </c>
      <c r="BF23" s="39">
        <f t="shared" si="31"/>
        <v>0.52000000000000013</v>
      </c>
      <c r="BG23" s="39">
        <f t="shared" si="31"/>
        <v>0.4864705882352941</v>
      </c>
      <c r="BH23" s="129">
        <f t="shared" si="31"/>
        <v>52.05263157894737</v>
      </c>
      <c r="BJ23" s="129">
        <f>AVERAGEIF($C$36:$C$171,"=6",BJ$36:BJ$171)</f>
        <v>10.105263157894736</v>
      </c>
      <c r="BO23" s="344">
        <f t="shared" ref="BO23:BY23" si="32">AVERAGEIF($C$36:$C$171,"=6",BO$36:BO$171)</f>
        <v>8.0526315789473696E-2</v>
      </c>
      <c r="BP23" s="344">
        <f t="shared" si="32"/>
        <v>0.36157894736842106</v>
      </c>
      <c r="BQ23" s="344">
        <f t="shared" si="32"/>
        <v>0.51315789473684204</v>
      </c>
      <c r="BR23" s="344">
        <f t="shared" si="32"/>
        <v>4.68421052631579E-2</v>
      </c>
      <c r="BS23" s="344">
        <f t="shared" si="32"/>
        <v>0.52052631578947361</v>
      </c>
      <c r="BT23" s="344">
        <f t="shared" si="32"/>
        <v>0.59526315789473694</v>
      </c>
      <c r="BU23" s="531"/>
      <c r="BV23" s="531"/>
      <c r="BW23" s="531"/>
      <c r="BX23" s="344">
        <f t="shared" si="32"/>
        <v>0.38999999999999996</v>
      </c>
      <c r="BY23" s="129">
        <f t="shared" si="32"/>
        <v>53.5</v>
      </c>
      <c r="CA23" s="129">
        <f>AVERAGEIF($C$36:$C$171,"=6",CA$36:CA$171)</f>
        <v>8.85</v>
      </c>
      <c r="CC23" s="344">
        <f t="shared" ref="CC23" si="33">AVERAGEIF($C$36:$C$171,"=6",CC$36:CC$171)</f>
        <v>4.5500000000000013E-2</v>
      </c>
      <c r="CD23" s="344">
        <f t="shared" ref="CD23:CJ23" si="34">AVERAGEIF($C$36:$C$171,"=6",CD$36:CD$171)</f>
        <v>0.28799999999999998</v>
      </c>
      <c r="CE23" s="344">
        <f t="shared" si="34"/>
        <v>0.62399999999999989</v>
      </c>
      <c r="CF23" s="344">
        <f t="shared" si="34"/>
        <v>4.4000000000000004E-2</v>
      </c>
      <c r="CG23" s="344">
        <f t="shared" si="34"/>
        <v>0.60499999999999987</v>
      </c>
      <c r="CH23" s="344">
        <f t="shared" si="34"/>
        <v>0.35299999999999998</v>
      </c>
      <c r="CI23" s="344">
        <f t="shared" si="34"/>
        <v>0.56850000000000001</v>
      </c>
      <c r="CJ23" s="129">
        <f t="shared" si="34"/>
        <v>53.666666666666664</v>
      </c>
      <c r="CL23" s="129">
        <f>AVERAGEIF($C$36:$C$171,"=6",CL$36:CL$171)</f>
        <v>9.5</v>
      </c>
      <c r="CN23" s="526">
        <f>AVERAGEIF($C$36:$C$171,"=6",CN$36:CN$171)</f>
        <v>3.9444444444444449E-2</v>
      </c>
      <c r="CO23" s="526">
        <f t="shared" ref="CO23:CT23" si="35">AVERAGEIF($C$36:$C$171,"=6",CO$36:CO$171)</f>
        <v>0.35388888888888892</v>
      </c>
      <c r="CP23" s="526">
        <f t="shared" si="35"/>
        <v>0.55333333333333323</v>
      </c>
      <c r="CQ23" s="526">
        <f t="shared" si="35"/>
        <v>5.3333333333333337E-2</v>
      </c>
      <c r="CR23" s="526">
        <f t="shared" si="35"/>
        <v>0.55277777777777781</v>
      </c>
      <c r="CS23" s="526">
        <f t="shared" si="35"/>
        <v>0.50222222222222224</v>
      </c>
      <c r="CT23" s="526">
        <f t="shared" si="35"/>
        <v>0.4044444444444445</v>
      </c>
    </row>
    <row r="24" spans="1:98" ht="24.95" customHeight="1" x14ac:dyDescent="0.2">
      <c r="A24" s="6" t="s">
        <v>895</v>
      </c>
      <c r="B24" s="301"/>
      <c r="C24" s="301"/>
      <c r="D24" s="129">
        <f t="shared" ref="D24:AW24" si="36">AVERAGEIFS(D$36:D$171,$C$36:$C$171,"=1", $B$36:$B$171,"OFICIAL")</f>
        <v>52.5</v>
      </c>
      <c r="E24" s="129">
        <f t="shared" si="36"/>
        <v>9.5</v>
      </c>
      <c r="F24" s="39">
        <f t="shared" si="36"/>
        <v>4.5000000000000005E-2</v>
      </c>
      <c r="G24" s="39">
        <f t="shared" si="36"/>
        <v>0.36749999999999999</v>
      </c>
      <c r="H24" s="39">
        <f t="shared" si="36"/>
        <v>0.57250000000000001</v>
      </c>
      <c r="I24" s="39">
        <f t="shared" si="36"/>
        <v>1.7500000000000002E-2</v>
      </c>
      <c r="J24" s="39">
        <f t="shared" si="36"/>
        <v>0.53500000000000003</v>
      </c>
      <c r="K24" s="39">
        <f t="shared" si="36"/>
        <v>0.45749999999999996</v>
      </c>
      <c r="L24" s="39">
        <f t="shared" si="36"/>
        <v>0.5475000000000001</v>
      </c>
      <c r="M24" s="129">
        <f t="shared" si="36"/>
        <v>51.75</v>
      </c>
      <c r="N24" s="129">
        <f t="shared" si="36"/>
        <v>9.25</v>
      </c>
      <c r="O24" s="39">
        <f t="shared" si="36"/>
        <v>4.2500000000000003E-2</v>
      </c>
      <c r="P24" s="39">
        <f t="shared" si="36"/>
        <v>0.39249999999999996</v>
      </c>
      <c r="Q24" s="39">
        <f t="shared" si="36"/>
        <v>0.53749999999999998</v>
      </c>
      <c r="R24" s="39">
        <f t="shared" si="36"/>
        <v>2.5000000000000001E-2</v>
      </c>
      <c r="S24" s="39">
        <f t="shared" si="36"/>
        <v>0.47749999999999998</v>
      </c>
      <c r="T24" s="39">
        <f t="shared" si="36"/>
        <v>0.55499999999999994</v>
      </c>
      <c r="U24" s="39">
        <f t="shared" si="36"/>
        <v>0.35500000000000004</v>
      </c>
      <c r="V24" s="129">
        <f t="shared" si="36"/>
        <v>51.75</v>
      </c>
      <c r="W24" s="129">
        <f t="shared" si="36"/>
        <v>8.75</v>
      </c>
      <c r="X24" s="39">
        <f t="shared" si="36"/>
        <v>3.2500000000000001E-2</v>
      </c>
      <c r="Y24" s="39">
        <f t="shared" si="36"/>
        <v>0.41249999999999998</v>
      </c>
      <c r="Z24" s="39">
        <f t="shared" si="36"/>
        <v>0.54249999999999998</v>
      </c>
      <c r="AA24" s="39">
        <f t="shared" si="36"/>
        <v>1.2500000000000001E-2</v>
      </c>
      <c r="AB24" s="39">
        <f t="shared" si="36"/>
        <v>0.49249999999999999</v>
      </c>
      <c r="AC24" s="39">
        <f t="shared" si="36"/>
        <v>0.3775</v>
      </c>
      <c r="AD24" s="39">
        <f t="shared" si="36"/>
        <v>0.53249999999999997</v>
      </c>
      <c r="AE24" s="129">
        <f t="shared" si="36"/>
        <v>52.5</v>
      </c>
      <c r="AF24" s="129">
        <f t="shared" si="36"/>
        <v>9.5</v>
      </c>
      <c r="AG24" s="39">
        <f t="shared" si="36"/>
        <v>3.7499999999999999E-2</v>
      </c>
      <c r="AH24" s="39">
        <f t="shared" si="36"/>
        <v>0.34249999999999997</v>
      </c>
      <c r="AI24" s="39">
        <f t="shared" si="36"/>
        <v>0.59749999999999992</v>
      </c>
      <c r="AJ24" s="39">
        <f t="shared" si="36"/>
        <v>2.2499999999999999E-2</v>
      </c>
      <c r="AK24" s="39">
        <f t="shared" si="36"/>
        <v>0.53</v>
      </c>
      <c r="AL24" s="39">
        <f t="shared" si="36"/>
        <v>0.45750000000000002</v>
      </c>
      <c r="AM24" s="39">
        <f t="shared" si="36"/>
        <v>0.28749999999999998</v>
      </c>
      <c r="AN24" s="129">
        <f t="shared" si="36"/>
        <v>52.5</v>
      </c>
      <c r="AO24" s="129">
        <f t="shared" si="36"/>
        <v>9.25</v>
      </c>
      <c r="AP24" s="39">
        <f t="shared" si="36"/>
        <v>4.7499999999999994E-2</v>
      </c>
      <c r="AQ24" s="39">
        <f t="shared" si="36"/>
        <v>0.36249999999999999</v>
      </c>
      <c r="AR24" s="39">
        <f t="shared" si="36"/>
        <v>0.5625</v>
      </c>
      <c r="AS24" s="39">
        <f t="shared" si="36"/>
        <v>0.03</v>
      </c>
      <c r="AT24" s="39">
        <f t="shared" si="36"/>
        <v>0.28250000000000003</v>
      </c>
      <c r="AU24" s="39">
        <f t="shared" si="36"/>
        <v>0.495</v>
      </c>
      <c r="AV24" s="39">
        <f t="shared" si="36"/>
        <v>0.51250000000000007</v>
      </c>
      <c r="AW24" s="129">
        <f t="shared" si="36"/>
        <v>51.25</v>
      </c>
      <c r="AX24" s="245"/>
      <c r="AY24" s="129">
        <f>AVERAGEIFS(AY$36:AY$171,$C$36:$C$171,"=1", $B$36:$B$171,"OFICIAL")</f>
        <v>9</v>
      </c>
      <c r="AZ24" s="245"/>
      <c r="BA24" s="39">
        <f t="shared" ref="BA24:BH24" si="37">AVERAGEIFS(BA$36:BA$171,$C$36:$C$171,"=1", $B$36:$B$171,"OFICIAL")</f>
        <v>4.5000000000000005E-2</v>
      </c>
      <c r="BB24" s="39">
        <f t="shared" si="37"/>
        <v>0.40500000000000003</v>
      </c>
      <c r="BC24" s="39">
        <f t="shared" si="37"/>
        <v>0.53249999999999997</v>
      </c>
      <c r="BD24" s="39">
        <f t="shared" si="37"/>
        <v>1.4999999999999999E-2</v>
      </c>
      <c r="BE24" s="39">
        <f t="shared" si="37"/>
        <v>0.29499999999999998</v>
      </c>
      <c r="BF24" s="39">
        <f t="shared" si="37"/>
        <v>0.52</v>
      </c>
      <c r="BG24" s="39">
        <f t="shared" si="37"/>
        <v>0.48</v>
      </c>
      <c r="BH24" s="129">
        <f t="shared" si="37"/>
        <v>51</v>
      </c>
      <c r="BJ24" s="129">
        <f>AVERAGEIFS(BJ$36:BJ$171,$C$36:$C$171,"=1", $B$36:$B$171,"OFICIAL")</f>
        <v>9</v>
      </c>
      <c r="BO24" s="344">
        <f t="shared" ref="BO24:BY24" si="38">AVERAGEIFS(BO$36:BO$171,$C$36:$C$171,"=1", $B$36:$B$171,"OFICIAL")</f>
        <v>5.2000000000000005E-2</v>
      </c>
      <c r="BP24" s="344">
        <f t="shared" si="38"/>
        <v>0.39600000000000002</v>
      </c>
      <c r="BQ24" s="344">
        <f t="shared" si="38"/>
        <v>0.53999999999999992</v>
      </c>
      <c r="BR24" s="344">
        <f t="shared" si="38"/>
        <v>1.4000000000000002E-2</v>
      </c>
      <c r="BS24" s="344">
        <f t="shared" si="38"/>
        <v>0.54</v>
      </c>
      <c r="BT24" s="344">
        <f t="shared" si="38"/>
        <v>0.61599999999999999</v>
      </c>
      <c r="BU24" s="531"/>
      <c r="BV24" s="531"/>
      <c r="BW24" s="531"/>
      <c r="BX24" s="344">
        <f t="shared" si="38"/>
        <v>0.4</v>
      </c>
      <c r="BY24" s="129">
        <f t="shared" si="38"/>
        <v>52.2</v>
      </c>
      <c r="CA24" s="129">
        <f>AVERAGEIFS(CA$36:CA$171,$C$36:$C$171,"=1", $B$36:$B$171,"OFICIAL")</f>
        <v>9.1999999999999993</v>
      </c>
      <c r="CC24" s="344">
        <f t="shared" ref="CC24" si="39">AVERAGEIFS(CC$36:CC$171,$C$36:$C$171,"=1", $B$36:$B$171,"OFICIAL")</f>
        <v>4.4000000000000004E-2</v>
      </c>
      <c r="CD24" s="344">
        <f t="shared" ref="CD24:CJ24" si="40">AVERAGEIFS(CD$36:CD$171,$C$36:$C$171,"=1", $B$36:$B$171,"OFICIAL")</f>
        <v>0.35799999999999998</v>
      </c>
      <c r="CE24" s="344">
        <f t="shared" si="40"/>
        <v>0.58200000000000007</v>
      </c>
      <c r="CF24" s="344">
        <f t="shared" si="40"/>
        <v>1.5999999999999997E-2</v>
      </c>
      <c r="CG24" s="344">
        <f t="shared" si="40"/>
        <v>0.61</v>
      </c>
      <c r="CH24" s="344">
        <f t="shared" si="40"/>
        <v>0.372</v>
      </c>
      <c r="CI24" s="344">
        <f t="shared" si="40"/>
        <v>0.58199999999999996</v>
      </c>
      <c r="CJ24" s="494">
        <f t="shared" si="40"/>
        <v>52.4</v>
      </c>
      <c r="CL24" s="302">
        <f>AVERAGEIFS(CL$36:CL$171,$C$36:$C$171,"=1", $B$36:$B$171,"OFICIAL")</f>
        <v>10.199999999999999</v>
      </c>
      <c r="CN24" s="526">
        <f>AVERAGEIFS(CN$36:CN$171,$C$36:$C$171,"=1", $B$36:$B$171,"OFICIAL")</f>
        <v>5.6000000000000008E-2</v>
      </c>
      <c r="CO24" s="526">
        <f t="shared" ref="CO24:CT24" si="41">AVERAGEIFS(CO$36:CO$171,$C$36:$C$171,"=1", $B$36:$B$171,"OFICIAL")</f>
        <v>0.37</v>
      </c>
      <c r="CP24" s="526">
        <f t="shared" si="41"/>
        <v>0.52799999999999991</v>
      </c>
      <c r="CQ24" s="526">
        <f t="shared" si="41"/>
        <v>4.3999999999999997E-2</v>
      </c>
      <c r="CR24" s="526">
        <f t="shared" si="41"/>
        <v>0.55000000000000004</v>
      </c>
      <c r="CS24" s="526">
        <f t="shared" si="41"/>
        <v>0.52</v>
      </c>
      <c r="CT24" s="526">
        <f t="shared" si="41"/>
        <v>0.41399999999999998</v>
      </c>
    </row>
    <row r="25" spans="1:98" ht="24.95" customHeight="1" x14ac:dyDescent="0.2">
      <c r="A25" s="6" t="s">
        <v>896</v>
      </c>
      <c r="B25" s="301"/>
      <c r="C25" s="301"/>
      <c r="D25" s="129">
        <f t="shared" ref="D25:AW25" si="42">AVERAGEIFS(D$36:D$171,$C$36:$C$171,"=2", $B$36:$B$171,"OFICIAL")</f>
        <v>52</v>
      </c>
      <c r="E25" s="129">
        <f t="shared" si="42"/>
        <v>8.5</v>
      </c>
      <c r="F25" s="39">
        <f t="shared" si="42"/>
        <v>2.5000000000000001E-2</v>
      </c>
      <c r="G25" s="39">
        <f t="shared" si="42"/>
        <v>0.44</v>
      </c>
      <c r="H25" s="39">
        <f t="shared" si="42"/>
        <v>0.52</v>
      </c>
      <c r="I25" s="39">
        <f t="shared" si="42"/>
        <v>2.5000000000000001E-2</v>
      </c>
      <c r="J25" s="39">
        <f t="shared" si="42"/>
        <v>0.54500000000000004</v>
      </c>
      <c r="K25" s="39">
        <f t="shared" si="42"/>
        <v>0.48</v>
      </c>
      <c r="L25" s="39">
        <f t="shared" si="42"/>
        <v>0.53</v>
      </c>
      <c r="M25" s="129">
        <f t="shared" si="42"/>
        <v>51</v>
      </c>
      <c r="N25" s="129">
        <f t="shared" si="42"/>
        <v>10</v>
      </c>
      <c r="O25" s="39">
        <f t="shared" si="42"/>
        <v>5.5E-2</v>
      </c>
      <c r="P25" s="39">
        <f t="shared" si="42"/>
        <v>0.4</v>
      </c>
      <c r="Q25" s="39">
        <f t="shared" si="42"/>
        <v>0.52499999999999991</v>
      </c>
      <c r="R25" s="39">
        <f t="shared" si="42"/>
        <v>0.02</v>
      </c>
      <c r="S25" s="39">
        <f t="shared" si="42"/>
        <v>0.48</v>
      </c>
      <c r="T25" s="39">
        <f t="shared" si="42"/>
        <v>0.55499999999999994</v>
      </c>
      <c r="U25" s="39">
        <f t="shared" si="42"/>
        <v>0.375</v>
      </c>
      <c r="V25" s="129">
        <f t="shared" si="42"/>
        <v>52.5</v>
      </c>
      <c r="W25" s="129">
        <f t="shared" si="42"/>
        <v>9.5</v>
      </c>
      <c r="X25" s="39">
        <f t="shared" si="42"/>
        <v>0.05</v>
      </c>
      <c r="Y25" s="39">
        <f t="shared" si="42"/>
        <v>0.38</v>
      </c>
      <c r="Z25" s="39">
        <f t="shared" si="42"/>
        <v>0.54500000000000004</v>
      </c>
      <c r="AA25" s="39">
        <f t="shared" si="42"/>
        <v>2.5000000000000001E-2</v>
      </c>
      <c r="AB25" s="39">
        <f t="shared" si="42"/>
        <v>0.49</v>
      </c>
      <c r="AC25" s="39">
        <f t="shared" si="42"/>
        <v>0.37</v>
      </c>
      <c r="AD25" s="39">
        <f t="shared" si="42"/>
        <v>0.51</v>
      </c>
      <c r="AE25" s="129">
        <f t="shared" si="42"/>
        <v>52</v>
      </c>
      <c r="AF25" s="129">
        <f t="shared" si="42"/>
        <v>10</v>
      </c>
      <c r="AG25" s="39">
        <f t="shared" si="42"/>
        <v>0.05</v>
      </c>
      <c r="AH25" s="39">
        <f t="shared" si="42"/>
        <v>0.38500000000000001</v>
      </c>
      <c r="AI25" s="39">
        <f t="shared" si="42"/>
        <v>0.54500000000000004</v>
      </c>
      <c r="AJ25" s="39">
        <f t="shared" si="42"/>
        <v>0.03</v>
      </c>
      <c r="AK25" s="39">
        <f t="shared" si="42"/>
        <v>0.53</v>
      </c>
      <c r="AL25" s="39">
        <f t="shared" si="42"/>
        <v>0.47499999999999998</v>
      </c>
      <c r="AM25" s="39">
        <f t="shared" si="42"/>
        <v>0.3</v>
      </c>
      <c r="AN25" s="129">
        <f t="shared" si="42"/>
        <v>52.5</v>
      </c>
      <c r="AO25" s="129">
        <f t="shared" si="42"/>
        <v>9</v>
      </c>
      <c r="AP25" s="39">
        <f t="shared" si="42"/>
        <v>2.5000000000000001E-2</v>
      </c>
      <c r="AQ25" s="39">
        <f t="shared" si="42"/>
        <v>0.36499999999999999</v>
      </c>
      <c r="AR25" s="39">
        <f t="shared" si="42"/>
        <v>0.58499999999999996</v>
      </c>
      <c r="AS25" s="39">
        <f t="shared" si="42"/>
        <v>2.5000000000000001E-2</v>
      </c>
      <c r="AT25" s="39">
        <f t="shared" si="42"/>
        <v>0.28500000000000003</v>
      </c>
      <c r="AU25" s="39">
        <f t="shared" si="42"/>
        <v>0.51</v>
      </c>
      <c r="AV25" s="39">
        <f t="shared" si="42"/>
        <v>0.51</v>
      </c>
      <c r="AW25" s="129">
        <f t="shared" si="42"/>
        <v>50</v>
      </c>
      <c r="AX25" s="245"/>
      <c r="AY25" s="129">
        <f>AVERAGEIFS(AY$36:AY$171,$C$36:$C$171,"=2", $B$36:$B$171,"OFICIAL")</f>
        <v>9</v>
      </c>
      <c r="AZ25" s="245"/>
      <c r="BA25" s="39">
        <f t="shared" ref="BA25:BH25" si="43">AVERAGEIFS(BA$36:BA$171,$C$36:$C$171,"=2", $B$36:$B$171,"OFICIAL")</f>
        <v>0.06</v>
      </c>
      <c r="BB25" s="39">
        <f t="shared" si="43"/>
        <v>0.435</v>
      </c>
      <c r="BC25" s="39">
        <f t="shared" si="43"/>
        <v>0.5</v>
      </c>
      <c r="BD25" s="39">
        <f t="shared" si="43"/>
        <v>5.0000000000000001E-3</v>
      </c>
      <c r="BE25" s="39">
        <f t="shared" si="43"/>
        <v>0.315</v>
      </c>
      <c r="BF25" s="39">
        <f t="shared" si="43"/>
        <v>0.54</v>
      </c>
      <c r="BG25" s="39">
        <f t="shared" si="43"/>
        <v>0.5</v>
      </c>
      <c r="BH25" s="129">
        <f t="shared" si="43"/>
        <v>50.75</v>
      </c>
      <c r="BJ25" s="129">
        <f>AVERAGEIFS(BJ$36:BJ$171,$C$36:$C$171,"=2", $B$36:$B$171,"OFICIAL")</f>
        <v>10</v>
      </c>
      <c r="BO25" s="344">
        <f t="shared" ref="BO25:BY25" si="44">AVERAGEIFS(BO$36:BO$171,$C$36:$C$171,"=2", $B$36:$B$171,"OFICIAL")</f>
        <v>8.4999999999999992E-2</v>
      </c>
      <c r="BP25" s="344">
        <f t="shared" si="44"/>
        <v>0.375</v>
      </c>
      <c r="BQ25" s="344">
        <f t="shared" si="44"/>
        <v>0.52749999999999997</v>
      </c>
      <c r="BR25" s="344">
        <f t="shared" si="44"/>
        <v>1.4999999999999999E-2</v>
      </c>
      <c r="BS25" s="344">
        <f t="shared" si="44"/>
        <v>0.57250000000000001</v>
      </c>
      <c r="BT25" s="344">
        <f t="shared" si="44"/>
        <v>0.62750000000000006</v>
      </c>
      <c r="BU25" s="531"/>
      <c r="BV25" s="531"/>
      <c r="BW25" s="531"/>
      <c r="BX25" s="344">
        <f t="shared" si="44"/>
        <v>0.42</v>
      </c>
      <c r="BY25" s="129">
        <f t="shared" si="44"/>
        <v>51.5</v>
      </c>
      <c r="CA25" s="129">
        <f>AVERAGEIFS(CA$36:CA$171,$C$36:$C$171,"=2", $B$36:$B$171,"OFICIAL")</f>
        <v>9.5</v>
      </c>
      <c r="CC25" s="344">
        <f t="shared" ref="CC25" si="45">AVERAGEIFS(CC$36:CC$171,$C$36:$C$171,"=2", $B$36:$B$171,"OFICIAL")</f>
        <v>5.5000000000000007E-2</v>
      </c>
      <c r="CD25" s="344">
        <f t="shared" ref="CD25:CJ25" si="46">AVERAGEIFS(CD$36:CD$171,$C$36:$C$171,"=2", $B$36:$B$171,"OFICIAL")</f>
        <v>0.38250000000000006</v>
      </c>
      <c r="CE25" s="344">
        <f t="shared" si="46"/>
        <v>0.54249999999999998</v>
      </c>
      <c r="CF25" s="344">
        <f t="shared" si="46"/>
        <v>2.2499999999999999E-2</v>
      </c>
      <c r="CG25" s="344">
        <f t="shared" si="46"/>
        <v>0.63750000000000007</v>
      </c>
      <c r="CH25" s="344">
        <f t="shared" si="46"/>
        <v>0.38749999999999996</v>
      </c>
      <c r="CI25" s="344">
        <f t="shared" si="46"/>
        <v>0.58750000000000002</v>
      </c>
      <c r="CJ25" s="494">
        <f t="shared" si="46"/>
        <v>53.75</v>
      </c>
      <c r="CL25" s="302">
        <f>AVERAGEIFS(CL$36:CL$171,$C$36:$C$171,"=2", $B$36:$B$171,"OFICIAL")</f>
        <v>10.5</v>
      </c>
      <c r="CN25" s="526">
        <f>AVERAGEIFS(CN$36:CN$171,$C$36:$C$171,"=2", $B$36:$B$171,"OFICIAL")</f>
        <v>3.2500000000000001E-2</v>
      </c>
      <c r="CO25" s="526">
        <f t="shared" ref="CO25:CT25" si="47">AVERAGEIFS(CO$36:CO$171,$C$36:$C$171,"=2", $B$36:$B$171,"OFICIAL")</f>
        <v>0.35499999999999998</v>
      </c>
      <c r="CP25" s="526">
        <f t="shared" si="47"/>
        <v>0.5625</v>
      </c>
      <c r="CQ25" s="526">
        <f t="shared" si="47"/>
        <v>5.5000000000000007E-2</v>
      </c>
      <c r="CR25" s="526">
        <f t="shared" si="47"/>
        <v>0.53750000000000009</v>
      </c>
      <c r="CS25" s="526">
        <f t="shared" si="47"/>
        <v>0.51750000000000007</v>
      </c>
      <c r="CT25" s="526">
        <f t="shared" si="47"/>
        <v>0.39749999999999996</v>
      </c>
    </row>
    <row r="26" spans="1:98" ht="24.95" customHeight="1" x14ac:dyDescent="0.2">
      <c r="A26" s="6" t="s">
        <v>897</v>
      </c>
      <c r="B26" s="301"/>
      <c r="C26" s="301"/>
      <c r="D26" s="129">
        <f t="shared" ref="D26:AW26" si="48">AVERAGEIFS(D$36:D$171,$C$36:$C$171,"=3", $B$36:$B$171,"OFICIAL")</f>
        <v>51</v>
      </c>
      <c r="E26" s="129">
        <f t="shared" si="48"/>
        <v>8.8000000000000007</v>
      </c>
      <c r="F26" s="39">
        <f t="shared" si="48"/>
        <v>3.7999999999999999E-2</v>
      </c>
      <c r="G26" s="39">
        <f t="shared" si="48"/>
        <v>0.46600000000000003</v>
      </c>
      <c r="H26" s="39">
        <f t="shared" si="48"/>
        <v>0.48200000000000004</v>
      </c>
      <c r="I26" s="39">
        <f t="shared" si="48"/>
        <v>1.6E-2</v>
      </c>
      <c r="J26" s="39">
        <f t="shared" si="48"/>
        <v>0.53800000000000003</v>
      </c>
      <c r="K26" s="39">
        <f t="shared" si="48"/>
        <v>0.496</v>
      </c>
      <c r="L26" s="39">
        <f t="shared" si="48"/>
        <v>0.56199999999999994</v>
      </c>
      <c r="M26" s="129">
        <f t="shared" si="48"/>
        <v>50.2</v>
      </c>
      <c r="N26" s="129">
        <f t="shared" si="48"/>
        <v>9</v>
      </c>
      <c r="O26" s="39">
        <f t="shared" si="48"/>
        <v>5.5999999999999994E-2</v>
      </c>
      <c r="P26" s="39">
        <f t="shared" si="48"/>
        <v>0.43599999999999994</v>
      </c>
      <c r="Q26" s="39">
        <f t="shared" si="48"/>
        <v>0.502</v>
      </c>
      <c r="R26" s="39">
        <f t="shared" si="48"/>
        <v>6.0000000000000001E-3</v>
      </c>
      <c r="S26" s="39">
        <f t="shared" si="48"/>
        <v>0.49199999999999999</v>
      </c>
      <c r="T26" s="39">
        <f t="shared" si="48"/>
        <v>0.58599999999999997</v>
      </c>
      <c r="U26" s="39">
        <f t="shared" si="48"/>
        <v>0.38400000000000001</v>
      </c>
      <c r="V26" s="129">
        <f t="shared" si="48"/>
        <v>51</v>
      </c>
      <c r="W26" s="129">
        <f t="shared" si="48"/>
        <v>9.1999999999999993</v>
      </c>
      <c r="X26" s="39">
        <f t="shared" si="48"/>
        <v>4.4000000000000004E-2</v>
      </c>
      <c r="Y26" s="39">
        <f t="shared" si="48"/>
        <v>0.41799999999999998</v>
      </c>
      <c r="Z26" s="39">
        <f t="shared" si="48"/>
        <v>0.53199999999999992</v>
      </c>
      <c r="AA26" s="39">
        <f t="shared" si="48"/>
        <v>8.0000000000000002E-3</v>
      </c>
      <c r="AB26" s="39">
        <f t="shared" si="48"/>
        <v>0.51</v>
      </c>
      <c r="AC26" s="39">
        <f t="shared" si="48"/>
        <v>0.39200000000000002</v>
      </c>
      <c r="AD26" s="39">
        <f t="shared" si="48"/>
        <v>0.52800000000000002</v>
      </c>
      <c r="AE26" s="129">
        <f t="shared" si="48"/>
        <v>51</v>
      </c>
      <c r="AF26" s="129">
        <f t="shared" si="48"/>
        <v>9.4</v>
      </c>
      <c r="AG26" s="39">
        <f t="shared" si="48"/>
        <v>5.5999999999999994E-2</v>
      </c>
      <c r="AH26" s="39">
        <f t="shared" si="48"/>
        <v>0.41600000000000004</v>
      </c>
      <c r="AI26" s="39">
        <f t="shared" si="48"/>
        <v>0.52000000000000013</v>
      </c>
      <c r="AJ26" s="39">
        <f t="shared" si="48"/>
        <v>0.01</v>
      </c>
      <c r="AK26" s="39">
        <f t="shared" si="48"/>
        <v>0.55399999999999994</v>
      </c>
      <c r="AL26" s="39">
        <f t="shared" si="48"/>
        <v>0.49000000000000005</v>
      </c>
      <c r="AM26" s="39">
        <f t="shared" si="48"/>
        <v>0.314</v>
      </c>
      <c r="AN26" s="129">
        <f t="shared" si="48"/>
        <v>51.6</v>
      </c>
      <c r="AO26" s="129">
        <f t="shared" si="48"/>
        <v>9</v>
      </c>
      <c r="AP26" s="39">
        <f t="shared" si="48"/>
        <v>4.4000000000000004E-2</v>
      </c>
      <c r="AQ26" s="39">
        <f t="shared" si="48"/>
        <v>0.372</v>
      </c>
      <c r="AR26" s="39">
        <f t="shared" si="48"/>
        <v>0.56400000000000006</v>
      </c>
      <c r="AS26" s="39">
        <f t="shared" si="48"/>
        <v>1.9999999999999997E-2</v>
      </c>
      <c r="AT26" s="39">
        <f t="shared" si="48"/>
        <v>0.28999999999999998</v>
      </c>
      <c r="AU26" s="39">
        <f t="shared" si="48"/>
        <v>0.51600000000000001</v>
      </c>
      <c r="AV26" s="39">
        <f t="shared" si="48"/>
        <v>0.51800000000000002</v>
      </c>
      <c r="AW26" s="129">
        <f t="shared" si="48"/>
        <v>50.2</v>
      </c>
      <c r="AX26" s="245"/>
      <c r="AY26" s="129">
        <f>AVERAGEIFS(AY$36:AY$171,$C$36:$C$171,"=3", $B$36:$B$171,"OFICIAL")</f>
        <v>8.6</v>
      </c>
      <c r="AZ26" s="245"/>
      <c r="BA26" s="39">
        <f t="shared" ref="BA26:BH26" si="49">AVERAGEIFS(BA$36:BA$171,$C$36:$C$171,"=3", $B$36:$B$171,"OFICIAL")</f>
        <v>0.05</v>
      </c>
      <c r="BB26" s="39">
        <f t="shared" si="49"/>
        <v>0.44800000000000006</v>
      </c>
      <c r="BC26" s="39">
        <f t="shared" si="49"/>
        <v>0.48599999999999993</v>
      </c>
      <c r="BD26" s="39">
        <f t="shared" si="49"/>
        <v>1.2E-2</v>
      </c>
      <c r="BE26" s="39">
        <f t="shared" si="49"/>
        <v>0.30000000000000004</v>
      </c>
      <c r="BF26" s="39">
        <f t="shared" si="49"/>
        <v>0.53600000000000003</v>
      </c>
      <c r="BG26" s="39">
        <f t="shared" si="49"/>
        <v>0.49800000000000005</v>
      </c>
      <c r="BH26" s="129">
        <f t="shared" si="49"/>
        <v>52.333333333333336</v>
      </c>
      <c r="BJ26" s="129">
        <f>AVERAGEIFS(BJ$36:BJ$171,$C$36:$C$171,"=3", $B$36:$B$171,"OFICIAL")</f>
        <v>9.5</v>
      </c>
      <c r="BO26" s="344">
        <f t="shared" ref="BO26:BY26" si="50">AVERAGEIFS(BO$36:BO$171,$C$36:$C$171,"=3", $B$36:$B$171,"OFICIAL")</f>
        <v>5.5E-2</v>
      </c>
      <c r="BP26" s="344">
        <f t="shared" si="50"/>
        <v>0.35166666666666663</v>
      </c>
      <c r="BQ26" s="344">
        <f t="shared" si="50"/>
        <v>0.56999999999999995</v>
      </c>
      <c r="BR26" s="344">
        <f t="shared" si="50"/>
        <v>2.1666666666666667E-2</v>
      </c>
      <c r="BS26" s="344">
        <f t="shared" si="50"/>
        <v>0.51833333333333331</v>
      </c>
      <c r="BT26" s="344">
        <f t="shared" si="50"/>
        <v>0.60499999999999998</v>
      </c>
      <c r="BU26" s="531"/>
      <c r="BV26" s="531"/>
      <c r="BW26" s="531"/>
      <c r="BX26" s="344">
        <f t="shared" si="50"/>
        <v>0.39500000000000002</v>
      </c>
      <c r="BY26" s="129">
        <f t="shared" si="50"/>
        <v>51.333333333333336</v>
      </c>
      <c r="CA26" s="129">
        <f>AVERAGEIFS(CA$36:CA$171,$C$36:$C$171,"=3", $B$36:$B$171,"OFICIAL")</f>
        <v>9.6666666666666661</v>
      </c>
      <c r="CC26" s="344">
        <f t="shared" ref="CC26" si="51">AVERAGEIFS(CC$36:CC$171,$C$36:$C$171,"=3", $B$36:$B$171,"OFICIAL")</f>
        <v>5.5E-2</v>
      </c>
      <c r="CD26" s="344">
        <f t="shared" ref="CD26:CJ26" si="52">AVERAGEIFS(CD$36:CD$171,$C$36:$C$171,"=3", $B$36:$B$171,"OFICIAL")</f>
        <v>0.40666666666666668</v>
      </c>
      <c r="CE26" s="344">
        <f t="shared" si="52"/>
        <v>0.51333333333333342</v>
      </c>
      <c r="CF26" s="344">
        <f t="shared" si="52"/>
        <v>2.8333333333333332E-2</v>
      </c>
      <c r="CG26" s="344">
        <f t="shared" si="52"/>
        <v>0.6216666666666667</v>
      </c>
      <c r="CH26" s="344">
        <f t="shared" si="52"/>
        <v>0.375</v>
      </c>
      <c r="CI26" s="344">
        <f t="shared" si="52"/>
        <v>0.61333333333333329</v>
      </c>
      <c r="CJ26" s="494">
        <f t="shared" si="52"/>
        <v>53.5</v>
      </c>
      <c r="CL26" s="302">
        <f>AVERAGEIFS(CL$36:CL$171,$C$36:$C$171,"=3", $B$36:$B$171,"OFICIAL")</f>
        <v>10.666666666666666</v>
      </c>
      <c r="CN26" s="526">
        <f>AVERAGEIFS(CN$36:CN$171,$C$36:$C$171,"=3", $B$36:$B$171,"OFICIAL")</f>
        <v>4.9999999999999996E-2</v>
      </c>
      <c r="CO26" s="526">
        <f t="shared" ref="CO26:CT26" si="53">AVERAGEIFS(CO$36:CO$171,$C$36:$C$171,"=3", $B$36:$B$171,"OFICIAL")</f>
        <v>0.32999999999999996</v>
      </c>
      <c r="CP26" s="526">
        <f t="shared" si="53"/>
        <v>0.57666666666666666</v>
      </c>
      <c r="CQ26" s="526">
        <f t="shared" si="53"/>
        <v>4.5000000000000005E-2</v>
      </c>
      <c r="CR26" s="526">
        <f t="shared" si="53"/>
        <v>0.56666666666666676</v>
      </c>
      <c r="CS26" s="526">
        <f t="shared" si="53"/>
        <v>0.5033333333333333</v>
      </c>
      <c r="CT26" s="526">
        <f t="shared" si="53"/>
        <v>0.41</v>
      </c>
    </row>
    <row r="27" spans="1:98" ht="24.95" customHeight="1" x14ac:dyDescent="0.2">
      <c r="A27" s="6" t="s">
        <v>898</v>
      </c>
      <c r="B27" s="301"/>
      <c r="C27" s="301"/>
      <c r="D27" s="129">
        <f t="shared" ref="D27:AW27" si="54">AVERAGEIFS(D$36:D$171,$C$36:$C$171,"=4", $B$36:$B$171,"OFICIAL")</f>
        <v>47.166666666666664</v>
      </c>
      <c r="E27" s="129">
        <f t="shared" si="54"/>
        <v>9.1666666666666661</v>
      </c>
      <c r="F27" s="39">
        <f t="shared" si="54"/>
        <v>9.9999999999999992E-2</v>
      </c>
      <c r="G27" s="39">
        <f t="shared" si="54"/>
        <v>0.54333333333333333</v>
      </c>
      <c r="H27" s="39">
        <f t="shared" si="54"/>
        <v>0.34666666666666662</v>
      </c>
      <c r="I27" s="39">
        <f t="shared" si="54"/>
        <v>6.6666666666666671E-3</v>
      </c>
      <c r="J27" s="39">
        <f t="shared" si="54"/>
        <v>0.59666666666666668</v>
      </c>
      <c r="K27" s="39">
        <f t="shared" si="54"/>
        <v>0.5149999999999999</v>
      </c>
      <c r="L27" s="39">
        <f t="shared" si="54"/>
        <v>0.60666666666666669</v>
      </c>
      <c r="M27" s="129">
        <f t="shared" si="54"/>
        <v>47.5</v>
      </c>
      <c r="N27" s="129">
        <f t="shared" si="54"/>
        <v>9.8333333333333339</v>
      </c>
      <c r="O27" s="39">
        <f t="shared" si="54"/>
        <v>0.115</v>
      </c>
      <c r="P27" s="39">
        <f t="shared" si="54"/>
        <v>0.51666666666666672</v>
      </c>
      <c r="Q27" s="39">
        <f t="shared" si="54"/>
        <v>0.35833333333333334</v>
      </c>
      <c r="R27" s="39">
        <f t="shared" si="54"/>
        <v>1.1666666666666667E-2</v>
      </c>
      <c r="S27" s="39">
        <f t="shared" si="54"/>
        <v>0.52666666666666673</v>
      </c>
      <c r="T27" s="39">
        <f t="shared" si="54"/>
        <v>0.61166666666666669</v>
      </c>
      <c r="U27" s="39">
        <f t="shared" si="54"/>
        <v>0.43166666666666664</v>
      </c>
      <c r="V27" s="129">
        <f t="shared" si="54"/>
        <v>47.166666666666664</v>
      </c>
      <c r="W27" s="129">
        <f t="shared" si="54"/>
        <v>9.5</v>
      </c>
      <c r="X27" s="39">
        <f t="shared" si="54"/>
        <v>0.13500000000000001</v>
      </c>
      <c r="Y27" s="39">
        <f t="shared" si="54"/>
        <v>0.48</v>
      </c>
      <c r="Z27" s="39">
        <f t="shared" si="54"/>
        <v>0.375</v>
      </c>
      <c r="AA27" s="39">
        <f t="shared" si="54"/>
        <v>8.3333333333333332E-3</v>
      </c>
      <c r="AB27" s="39">
        <f t="shared" si="54"/>
        <v>0.56166666666666665</v>
      </c>
      <c r="AC27" s="39">
        <f t="shared" si="54"/>
        <v>0.44</v>
      </c>
      <c r="AD27" s="39">
        <f t="shared" si="54"/>
        <v>0.58333333333333337</v>
      </c>
      <c r="AE27" s="129">
        <f t="shared" si="54"/>
        <v>47</v>
      </c>
      <c r="AF27" s="129">
        <f t="shared" si="54"/>
        <v>9.3333333333333339</v>
      </c>
      <c r="AG27" s="39">
        <f t="shared" si="54"/>
        <v>9.9999999999999992E-2</v>
      </c>
      <c r="AH27" s="39">
        <f t="shared" si="54"/>
        <v>0.56166666666666665</v>
      </c>
      <c r="AI27" s="39">
        <f t="shared" si="54"/>
        <v>0.33166666666666667</v>
      </c>
      <c r="AJ27" s="39">
        <f t="shared" si="54"/>
        <v>6.6666666666666671E-3</v>
      </c>
      <c r="AK27" s="39">
        <f t="shared" si="54"/>
        <v>0.60666666666666669</v>
      </c>
      <c r="AL27" s="39">
        <f t="shared" si="54"/>
        <v>0.54</v>
      </c>
      <c r="AM27" s="39">
        <f t="shared" si="54"/>
        <v>0.37666666666666665</v>
      </c>
      <c r="AN27" s="129">
        <f t="shared" si="54"/>
        <v>47.333333333333336</v>
      </c>
      <c r="AO27" s="129">
        <f t="shared" si="54"/>
        <v>9.1666666666666661</v>
      </c>
      <c r="AP27" s="39">
        <f t="shared" si="54"/>
        <v>0.10833333333333334</v>
      </c>
      <c r="AQ27" s="39">
        <f t="shared" si="54"/>
        <v>0.48166666666666663</v>
      </c>
      <c r="AR27" s="39">
        <f t="shared" si="54"/>
        <v>0.41000000000000009</v>
      </c>
      <c r="AS27" s="39">
        <f t="shared" si="54"/>
        <v>3.3333333333333335E-3</v>
      </c>
      <c r="AT27" s="39">
        <f t="shared" si="54"/>
        <v>0.35833333333333334</v>
      </c>
      <c r="AU27" s="39">
        <f t="shared" si="54"/>
        <v>0.57666666666666666</v>
      </c>
      <c r="AV27" s="39">
        <f t="shared" si="54"/>
        <v>0.57333333333333336</v>
      </c>
      <c r="AW27" s="129">
        <f t="shared" si="54"/>
        <v>47.166666666666664</v>
      </c>
      <c r="AX27" s="245"/>
      <c r="AY27" s="129">
        <f>AVERAGEIFS(AY$36:AY$171,$C$36:$C$171,"=4", $B$36:$B$171,"OFICIAL")</f>
        <v>9</v>
      </c>
      <c r="AZ27" s="245"/>
      <c r="BA27" s="39">
        <f t="shared" ref="BA27:BH27" si="55">AVERAGEIFS(BA$36:BA$171,$C$36:$C$171,"=4", $B$36:$B$171,"OFICIAL")</f>
        <v>0.10666666666666667</v>
      </c>
      <c r="BB27" s="39">
        <f t="shared" si="55"/>
        <v>0.49499999999999994</v>
      </c>
      <c r="BC27" s="39">
        <f t="shared" si="55"/>
        <v>0.38999999999999996</v>
      </c>
      <c r="BD27" s="39">
        <f t="shared" si="55"/>
        <v>3.3333333333333335E-3</v>
      </c>
      <c r="BE27" s="39">
        <f t="shared" si="55"/>
        <v>0.36000000000000004</v>
      </c>
      <c r="BF27" s="39">
        <f t="shared" si="55"/>
        <v>0.57166666666666677</v>
      </c>
      <c r="BG27" s="39">
        <f t="shared" si="55"/>
        <v>0.53500000000000003</v>
      </c>
      <c r="BH27" s="129">
        <f t="shared" si="55"/>
        <v>48.333333333333336</v>
      </c>
      <c r="BJ27" s="129">
        <f>AVERAGEIFS(BJ$36:BJ$171,$C$36:$C$171,"=4", $B$36:$B$171,"OFICIAL")</f>
        <v>10</v>
      </c>
      <c r="BO27" s="344">
        <f t="shared" ref="BO27:BY27" si="56">AVERAGEIFS(BO$36:BO$171,$C$36:$C$171,"=4", $B$36:$B$171,"OFICIAL")</f>
        <v>9.1666666666666674E-2</v>
      </c>
      <c r="BP27" s="344">
        <f t="shared" si="56"/>
        <v>0.48333333333333334</v>
      </c>
      <c r="BQ27" s="344">
        <f t="shared" si="56"/>
        <v>0.40333333333333332</v>
      </c>
      <c r="BR27" s="344">
        <f t="shared" si="56"/>
        <v>1.8333333333333333E-2</v>
      </c>
      <c r="BS27" s="344">
        <f t="shared" si="56"/>
        <v>0.59</v>
      </c>
      <c r="BT27" s="344">
        <f t="shared" si="56"/>
        <v>0.65166666666666673</v>
      </c>
      <c r="BU27" s="531"/>
      <c r="BV27" s="531"/>
      <c r="BW27" s="531"/>
      <c r="BX27" s="344">
        <f t="shared" si="56"/>
        <v>0.45500000000000002</v>
      </c>
      <c r="BY27" s="129">
        <f t="shared" si="56"/>
        <v>48.333333333333336</v>
      </c>
      <c r="CA27" s="129">
        <f>AVERAGEIFS(CA$36:CA$171,$C$36:$C$171,"=4", $B$36:$B$171,"OFICIAL")</f>
        <v>10.666666666666666</v>
      </c>
      <c r="CC27" s="344">
        <f t="shared" ref="CC27" si="57">AVERAGEIFS(CC$36:CC$171,$C$36:$C$171,"=4", $B$36:$B$171,"OFICIAL")</f>
        <v>0.11666666666666668</v>
      </c>
      <c r="CD27" s="344">
        <f t="shared" ref="CD27:CJ27" si="58">AVERAGEIFS(CD$36:CD$171,$C$36:$C$171,"=4", $B$36:$B$171,"OFICIAL")</f>
        <v>0.47500000000000009</v>
      </c>
      <c r="CE27" s="344">
        <f t="shared" si="58"/>
        <v>0.39500000000000002</v>
      </c>
      <c r="CF27" s="344">
        <f t="shared" si="58"/>
        <v>1.6666666666666666E-2</v>
      </c>
      <c r="CG27" s="344">
        <f t="shared" si="58"/>
        <v>0.65833333333333333</v>
      </c>
      <c r="CH27" s="344">
        <f t="shared" si="58"/>
        <v>0.44</v>
      </c>
      <c r="CI27" s="344">
        <f t="shared" si="58"/>
        <v>0.63</v>
      </c>
      <c r="CJ27" s="494">
        <f t="shared" si="58"/>
        <v>48</v>
      </c>
      <c r="CL27" s="302">
        <f>AVERAGEIFS(CL$36:CL$171,$C$36:$C$171,"=4", $B$36:$B$171,"OFICIAL")</f>
        <v>11</v>
      </c>
      <c r="CN27" s="526">
        <f>AVERAGEIFS(CN$36:CN$171,$C$36:$C$171,"=4", $B$36:$B$171,"OFICIAL")</f>
        <v>0.14833333333333332</v>
      </c>
      <c r="CO27" s="526">
        <f t="shared" ref="CO27:CT27" si="59">AVERAGEIFS(CO$36:CO$171,$C$36:$C$171,"=4", $B$36:$B$171,"OFICIAL")</f>
        <v>0.4283333333333334</v>
      </c>
      <c r="CP27" s="526">
        <f t="shared" si="59"/>
        <v>0.40833333333333338</v>
      </c>
      <c r="CQ27" s="526">
        <f t="shared" si="59"/>
        <v>0.02</v>
      </c>
      <c r="CR27" s="526">
        <f t="shared" si="59"/>
        <v>0.6333333333333333</v>
      </c>
      <c r="CS27" s="526">
        <f t="shared" si="59"/>
        <v>0.59499999999999997</v>
      </c>
      <c r="CT27" s="526">
        <f t="shared" si="59"/>
        <v>0.47</v>
      </c>
    </row>
    <row r="28" spans="1:98" ht="24.95" customHeight="1" x14ac:dyDescent="0.2">
      <c r="A28" s="6" t="s">
        <v>899</v>
      </c>
      <c r="B28" s="301"/>
      <c r="C28" s="301"/>
      <c r="D28" s="129">
        <f t="shared" ref="D28:AW28" si="60">AVERAGEIFS(D$36:D$171,$C$36:$C$171,"=5", $B$36:$B$171,"OFICIAL")</f>
        <v>52.333333333333336</v>
      </c>
      <c r="E28" s="129">
        <f t="shared" si="60"/>
        <v>8.6666666666666661</v>
      </c>
      <c r="F28" s="39">
        <f t="shared" si="60"/>
        <v>3.6666666666666667E-2</v>
      </c>
      <c r="G28" s="39">
        <f t="shared" si="60"/>
        <v>0.37333333333333335</v>
      </c>
      <c r="H28" s="39">
        <f t="shared" si="60"/>
        <v>0.57333333333333336</v>
      </c>
      <c r="I28" s="39">
        <f t="shared" si="60"/>
        <v>1.6666666666666666E-2</v>
      </c>
      <c r="J28" s="39">
        <f t="shared" si="60"/>
        <v>0.52</v>
      </c>
      <c r="K28" s="39">
        <f t="shared" si="60"/>
        <v>0.48333333333333334</v>
      </c>
      <c r="L28" s="39">
        <f t="shared" si="60"/>
        <v>0.54</v>
      </c>
      <c r="M28" s="129">
        <f t="shared" si="60"/>
        <v>53</v>
      </c>
      <c r="N28" s="129">
        <f t="shared" si="60"/>
        <v>9.3333333333333339</v>
      </c>
      <c r="O28" s="39">
        <f t="shared" si="60"/>
        <v>5.3333333333333337E-2</v>
      </c>
      <c r="P28" s="39">
        <f t="shared" si="60"/>
        <v>0.34</v>
      </c>
      <c r="Q28" s="39">
        <f t="shared" si="60"/>
        <v>0.57333333333333336</v>
      </c>
      <c r="R28" s="39">
        <f t="shared" si="60"/>
        <v>3.3333333333333333E-2</v>
      </c>
      <c r="S28" s="39">
        <f t="shared" si="60"/>
        <v>0.46333333333333332</v>
      </c>
      <c r="T28" s="39">
        <f t="shared" si="60"/>
        <v>0.53333333333333333</v>
      </c>
      <c r="U28" s="39">
        <f t="shared" si="60"/>
        <v>0.34</v>
      </c>
      <c r="V28" s="129">
        <f t="shared" si="60"/>
        <v>52</v>
      </c>
      <c r="W28" s="129">
        <f t="shared" si="60"/>
        <v>8.3333333333333339</v>
      </c>
      <c r="X28" s="39">
        <f t="shared" si="60"/>
        <v>3.3333333333333333E-2</v>
      </c>
      <c r="Y28" s="39">
        <f t="shared" si="60"/>
        <v>0.41333333333333333</v>
      </c>
      <c r="Z28" s="39">
        <f t="shared" si="60"/>
        <v>0.53333333333333333</v>
      </c>
      <c r="AA28" s="39">
        <f t="shared" si="60"/>
        <v>2.3333333333333334E-2</v>
      </c>
      <c r="AB28" s="39">
        <f t="shared" si="60"/>
        <v>0.5</v>
      </c>
      <c r="AC28" s="39">
        <f t="shared" si="60"/>
        <v>0.37000000000000005</v>
      </c>
      <c r="AD28" s="39">
        <f t="shared" si="60"/>
        <v>0.5033333333333333</v>
      </c>
      <c r="AE28" s="129">
        <f t="shared" si="60"/>
        <v>54</v>
      </c>
      <c r="AF28" s="129">
        <f t="shared" si="60"/>
        <v>8.6666666666666661</v>
      </c>
      <c r="AG28" s="39">
        <f t="shared" si="60"/>
        <v>2.6666666666666668E-2</v>
      </c>
      <c r="AH28" s="39">
        <f t="shared" si="60"/>
        <v>0.33</v>
      </c>
      <c r="AI28" s="39">
        <f t="shared" si="60"/>
        <v>0.6</v>
      </c>
      <c r="AJ28" s="39">
        <f t="shared" si="60"/>
        <v>4.3333333333333335E-2</v>
      </c>
      <c r="AK28" s="39">
        <f t="shared" si="60"/>
        <v>0.51</v>
      </c>
      <c r="AL28" s="39">
        <f t="shared" si="60"/>
        <v>0.45</v>
      </c>
      <c r="AM28" s="39">
        <f t="shared" si="60"/>
        <v>0.27</v>
      </c>
      <c r="AN28" s="129">
        <f t="shared" si="60"/>
        <v>54.666666666666664</v>
      </c>
      <c r="AO28" s="129">
        <f t="shared" si="60"/>
        <v>8.3333333333333339</v>
      </c>
      <c r="AP28" s="39">
        <f t="shared" si="60"/>
        <v>2.3333333333333334E-2</v>
      </c>
      <c r="AQ28" s="39">
        <f t="shared" si="60"/>
        <v>0.3066666666666667</v>
      </c>
      <c r="AR28" s="39">
        <f t="shared" si="60"/>
        <v>0.64</v>
      </c>
      <c r="AS28" s="39">
        <f t="shared" si="60"/>
        <v>0.03</v>
      </c>
      <c r="AT28" s="39">
        <f t="shared" si="60"/>
        <v>0.25000000000000006</v>
      </c>
      <c r="AU28" s="39">
        <f t="shared" si="60"/>
        <v>0.46666666666666662</v>
      </c>
      <c r="AV28" s="39">
        <f t="shared" si="60"/>
        <v>0.47333333333333333</v>
      </c>
      <c r="AW28" s="129">
        <f t="shared" si="60"/>
        <v>52.333333333333336</v>
      </c>
      <c r="AX28" s="245"/>
      <c r="AY28" s="129">
        <f>AVERAGEIFS(AY$36:AY$171,$C$36:$C$171,"=5", $B$36:$B$171,"OFICIAL")</f>
        <v>9</v>
      </c>
      <c r="AZ28" s="245"/>
      <c r="BA28" s="39">
        <f t="shared" ref="BA28:BH28" si="61">AVERAGEIFS(BA$36:BA$171,$C$36:$C$171,"=5", $B$36:$B$171,"OFICIAL")</f>
        <v>3.6666666666666667E-2</v>
      </c>
      <c r="BB28" s="39">
        <f t="shared" si="61"/>
        <v>0.35666666666666669</v>
      </c>
      <c r="BC28" s="39">
        <f t="shared" si="61"/>
        <v>0.56666666666666665</v>
      </c>
      <c r="BD28" s="39">
        <f t="shared" si="61"/>
        <v>3.6666666666666667E-2</v>
      </c>
      <c r="BE28" s="39">
        <f t="shared" si="61"/>
        <v>0.27</v>
      </c>
      <c r="BF28" s="39">
        <f t="shared" si="61"/>
        <v>0.5</v>
      </c>
      <c r="BG28" s="39">
        <f t="shared" si="61"/>
        <v>0.45333333333333331</v>
      </c>
      <c r="BH28" s="129">
        <f t="shared" si="61"/>
        <v>54.666666666666664</v>
      </c>
      <c r="BJ28" s="129">
        <f>AVERAGEIFS(BJ$36:BJ$171,$C$36:$C$171,"=5", $B$36:$B$171,"OFICIAL")</f>
        <v>9.3333333333333339</v>
      </c>
      <c r="BO28" s="344">
        <f t="shared" ref="BO28:BY28" si="62">AVERAGEIFS(BO$36:BO$171,$C$36:$C$171,"=5", $B$36:$B$171,"OFICIAL")</f>
        <v>3.3333333333333333E-2</v>
      </c>
      <c r="BP28" s="344">
        <f t="shared" si="62"/>
        <v>0.26999999999999996</v>
      </c>
      <c r="BQ28" s="344">
        <f t="shared" si="62"/>
        <v>0.66999999999999993</v>
      </c>
      <c r="BR28" s="344">
        <f t="shared" si="62"/>
        <v>3.0000000000000002E-2</v>
      </c>
      <c r="BS28" s="344">
        <f t="shared" si="62"/>
        <v>0.49333333333333335</v>
      </c>
      <c r="BT28" s="344">
        <f t="shared" si="62"/>
        <v>0.55333333333333334</v>
      </c>
      <c r="BU28" s="531"/>
      <c r="BV28" s="531"/>
      <c r="BW28" s="531"/>
      <c r="BX28" s="344">
        <f t="shared" si="62"/>
        <v>0.35666666666666669</v>
      </c>
      <c r="BY28" s="129">
        <f t="shared" si="62"/>
        <v>53</v>
      </c>
      <c r="CA28" s="129">
        <f>AVERAGEIFS(CA$36:CA$171,$C$36:$C$171,"=5", $B$36:$B$171,"OFICIAL")</f>
        <v>10.333333333333334</v>
      </c>
      <c r="CC28" s="344">
        <f t="shared" ref="CC28" si="63">AVERAGEIFS(CC$36:CC$171,$C$36:$C$171,"=5", $B$36:$B$171,"OFICIAL")</f>
        <v>6.0000000000000005E-2</v>
      </c>
      <c r="CD28" s="344">
        <f t="shared" ref="CD28:CJ28" si="64">AVERAGEIFS(CD$36:CD$171,$C$36:$C$171,"=5", $B$36:$B$171,"OFICIAL")</f>
        <v>0.34</v>
      </c>
      <c r="CE28" s="344">
        <f t="shared" si="64"/>
        <v>0.56333333333333335</v>
      </c>
      <c r="CF28" s="344">
        <f t="shared" si="64"/>
        <v>3.3333333333333333E-2</v>
      </c>
      <c r="CG28" s="344">
        <f t="shared" si="64"/>
        <v>0.61333333333333329</v>
      </c>
      <c r="CH28" s="344">
        <f t="shared" si="64"/>
        <v>0.38000000000000006</v>
      </c>
      <c r="CI28" s="344">
        <f t="shared" si="64"/>
        <v>0.57666666666666666</v>
      </c>
      <c r="CJ28" s="494">
        <f t="shared" si="64"/>
        <v>55.666666666666664</v>
      </c>
      <c r="CL28" s="302">
        <f>AVERAGEIFS(CL$36:CL$171,$C$36:$C$171,"=5", $B$36:$B$171,"OFICIAL")</f>
        <v>10</v>
      </c>
      <c r="CN28" s="526">
        <f>AVERAGEIFS(CN$36:CN$171,$C$36:$C$171,"=5", $B$36:$B$171,"OFICIAL")</f>
        <v>3.6666666666666667E-2</v>
      </c>
      <c r="CO28" s="526">
        <f t="shared" ref="CO28:CT28" si="65">AVERAGEIFS(CO$36:CO$171,$C$36:$C$171,"=5", $B$36:$B$171,"OFICIAL")</f>
        <v>0.2466666666666667</v>
      </c>
      <c r="CP28" s="526">
        <f t="shared" si="65"/>
        <v>0.64333333333333331</v>
      </c>
      <c r="CQ28" s="526">
        <f t="shared" si="65"/>
        <v>0.08</v>
      </c>
      <c r="CR28" s="526">
        <f t="shared" si="65"/>
        <v>0.54333333333333333</v>
      </c>
      <c r="CS28" s="526">
        <f t="shared" si="65"/>
        <v>0.47</v>
      </c>
      <c r="CT28" s="526">
        <f t="shared" si="65"/>
        <v>0.37666666666666671</v>
      </c>
    </row>
    <row r="29" spans="1:98" ht="24.95" customHeight="1" x14ac:dyDescent="0.2">
      <c r="A29" s="6" t="s">
        <v>900</v>
      </c>
      <c r="B29" s="301"/>
      <c r="C29" s="301"/>
      <c r="D29" s="129">
        <f t="shared" ref="D29:AW29" si="66">AVERAGEIFS(D$36:D$171,$C$36:$C$171,"=6", $B$36:$B$171,"OFICIAL")</f>
        <v>50.75</v>
      </c>
      <c r="E29" s="129">
        <f t="shared" si="66"/>
        <v>9.25</v>
      </c>
      <c r="F29" s="39">
        <f t="shared" si="66"/>
        <v>0.04</v>
      </c>
      <c r="G29" s="39">
        <f t="shared" si="66"/>
        <v>0.495</v>
      </c>
      <c r="H29" s="39">
        <f t="shared" si="66"/>
        <v>0.45499999999999996</v>
      </c>
      <c r="I29" s="39">
        <f t="shared" si="66"/>
        <v>0.01</v>
      </c>
      <c r="J29" s="39">
        <f t="shared" si="66"/>
        <v>0.53749999999999998</v>
      </c>
      <c r="K29" s="39">
        <f t="shared" si="66"/>
        <v>0.45750000000000002</v>
      </c>
      <c r="L29" s="39">
        <f t="shared" si="66"/>
        <v>0.55000000000000004</v>
      </c>
      <c r="M29" s="129">
        <f t="shared" si="66"/>
        <v>50.75</v>
      </c>
      <c r="N29" s="129">
        <f t="shared" si="66"/>
        <v>9.5</v>
      </c>
      <c r="O29" s="39">
        <f t="shared" si="66"/>
        <v>6.25E-2</v>
      </c>
      <c r="P29" s="39">
        <f t="shared" si="66"/>
        <v>0.42499999999999999</v>
      </c>
      <c r="Q29" s="39">
        <f t="shared" si="66"/>
        <v>0.49999999999999994</v>
      </c>
      <c r="R29" s="39">
        <f t="shared" si="66"/>
        <v>1.7499999999999998E-2</v>
      </c>
      <c r="S29" s="39">
        <f t="shared" si="66"/>
        <v>0.495</v>
      </c>
      <c r="T29" s="39">
        <f t="shared" si="66"/>
        <v>0.5675</v>
      </c>
      <c r="U29" s="39">
        <f t="shared" si="66"/>
        <v>0.36499999999999999</v>
      </c>
      <c r="V29" s="129">
        <f t="shared" si="66"/>
        <v>50.5</v>
      </c>
      <c r="W29" s="129">
        <f t="shared" si="66"/>
        <v>9.25</v>
      </c>
      <c r="X29" s="39">
        <f t="shared" si="66"/>
        <v>5.2499999999999998E-2</v>
      </c>
      <c r="Y29" s="39">
        <f t="shared" si="66"/>
        <v>0.46</v>
      </c>
      <c r="Z29" s="39">
        <f t="shared" si="66"/>
        <v>0.47499999999999998</v>
      </c>
      <c r="AA29" s="39">
        <f t="shared" si="66"/>
        <v>1.2500000000000001E-2</v>
      </c>
      <c r="AB29" s="39">
        <f t="shared" si="66"/>
        <v>0.51249999999999996</v>
      </c>
      <c r="AC29" s="39">
        <f t="shared" si="66"/>
        <v>0.38750000000000007</v>
      </c>
      <c r="AD29" s="39">
        <f t="shared" si="66"/>
        <v>0.54249999999999998</v>
      </c>
      <c r="AE29" s="129">
        <f t="shared" si="66"/>
        <v>51.75</v>
      </c>
      <c r="AF29" s="129">
        <f t="shared" si="66"/>
        <v>9.25</v>
      </c>
      <c r="AG29" s="39">
        <f t="shared" si="66"/>
        <v>4.2500000000000003E-2</v>
      </c>
      <c r="AH29" s="39">
        <f t="shared" si="66"/>
        <v>0.38</v>
      </c>
      <c r="AI29" s="39">
        <f t="shared" si="66"/>
        <v>0.57250000000000001</v>
      </c>
      <c r="AJ29" s="39">
        <f t="shared" si="66"/>
        <v>1.2500000000000001E-2</v>
      </c>
      <c r="AK29" s="39">
        <f t="shared" si="66"/>
        <v>0.54500000000000004</v>
      </c>
      <c r="AL29" s="39">
        <f t="shared" si="66"/>
        <v>0.47499999999999998</v>
      </c>
      <c r="AM29" s="39">
        <f t="shared" si="66"/>
        <v>0.30499999999999999</v>
      </c>
      <c r="AN29" s="129">
        <f t="shared" si="66"/>
        <v>52.25</v>
      </c>
      <c r="AO29" s="129">
        <f t="shared" si="66"/>
        <v>9.25</v>
      </c>
      <c r="AP29" s="39">
        <f t="shared" si="66"/>
        <v>2.7500000000000004E-2</v>
      </c>
      <c r="AQ29" s="39">
        <f t="shared" si="66"/>
        <v>0.38750000000000007</v>
      </c>
      <c r="AR29" s="39">
        <f t="shared" si="66"/>
        <v>0.55000000000000004</v>
      </c>
      <c r="AS29" s="39">
        <f t="shared" si="66"/>
        <v>3.5000000000000003E-2</v>
      </c>
      <c r="AT29" s="39">
        <f t="shared" si="66"/>
        <v>0.28000000000000003</v>
      </c>
      <c r="AU29" s="39">
        <f t="shared" si="66"/>
        <v>0.51</v>
      </c>
      <c r="AV29" s="39">
        <f t="shared" si="66"/>
        <v>0.50750000000000006</v>
      </c>
      <c r="AW29" s="129">
        <f t="shared" si="66"/>
        <v>49.75</v>
      </c>
      <c r="AX29" s="245"/>
      <c r="AY29" s="129">
        <f>AVERAGEIFS(AY$36:AY$171,$C$36:$C$171,"=6", $B$36:$B$171,"OFICIAL")</f>
        <v>8.5</v>
      </c>
      <c r="AZ29" s="245"/>
      <c r="BA29" s="39">
        <f t="shared" ref="BA29:BH29" si="67">AVERAGEIFS(BA$36:BA$171,$C$36:$C$171,"=6", $B$36:$B$171,"OFICIAL")</f>
        <v>5.2499999999999998E-2</v>
      </c>
      <c r="BB29" s="39">
        <f t="shared" si="67"/>
        <v>0.49</v>
      </c>
      <c r="BC29" s="39">
        <f t="shared" si="67"/>
        <v>0.44499999999999995</v>
      </c>
      <c r="BD29" s="39">
        <f t="shared" si="67"/>
        <v>1.7500000000000002E-2</v>
      </c>
      <c r="BE29" s="39">
        <f t="shared" si="67"/>
        <v>0.3175</v>
      </c>
      <c r="BF29" s="39">
        <f t="shared" si="67"/>
        <v>0.54500000000000004</v>
      </c>
      <c r="BG29" s="39">
        <f t="shared" si="67"/>
        <v>0.51500000000000001</v>
      </c>
      <c r="BH29" s="129">
        <f t="shared" si="67"/>
        <v>50.25</v>
      </c>
      <c r="BJ29" s="129">
        <f>AVERAGEIFS(BJ$36:BJ$171,$C$36:$C$171,"=6", $B$36:$B$171,"OFICIAL")</f>
        <v>10.25</v>
      </c>
      <c r="BO29" s="344">
        <f t="shared" ref="BO29:BY29" si="68">AVERAGEIFS(BO$36:BO$171,$C$36:$C$171,"=6", $B$36:$B$171,"OFICIAL")</f>
        <v>0.09</v>
      </c>
      <c r="BP29" s="344">
        <f t="shared" si="68"/>
        <v>0.41750000000000004</v>
      </c>
      <c r="BQ29" s="344">
        <f t="shared" si="68"/>
        <v>0.48</v>
      </c>
      <c r="BR29" s="344">
        <f t="shared" si="68"/>
        <v>0.01</v>
      </c>
      <c r="BS29" s="344">
        <f t="shared" si="68"/>
        <v>0.54249999999999998</v>
      </c>
      <c r="BT29" s="344">
        <f t="shared" si="68"/>
        <v>0.62250000000000005</v>
      </c>
      <c r="BU29" s="531"/>
      <c r="BV29" s="531"/>
      <c r="BW29" s="531"/>
      <c r="BX29" s="344">
        <f t="shared" si="68"/>
        <v>0.40249999999999997</v>
      </c>
      <c r="BY29" s="129">
        <f t="shared" si="68"/>
        <v>50.5</v>
      </c>
      <c r="CA29" s="129">
        <f>AVERAGEIFS(CA$36:CA$171,$C$36:$C$171,"=6", $B$36:$B$171,"OFICIAL")</f>
        <v>10.25</v>
      </c>
      <c r="CC29" s="344">
        <f t="shared" ref="CC29" si="69">AVERAGEIFS(CC$36:CC$171,$C$36:$C$171,"=6", $B$36:$B$171,"OFICIAL")</f>
        <v>7.2500000000000009E-2</v>
      </c>
      <c r="CD29" s="344">
        <f t="shared" ref="CD29:CJ29" si="70">AVERAGEIFS(CD$36:CD$171,$C$36:$C$171,"=6", $B$36:$B$171,"OFICIAL")</f>
        <v>0.43</v>
      </c>
      <c r="CE29" s="344">
        <f t="shared" si="70"/>
        <v>0.47</v>
      </c>
      <c r="CF29" s="344">
        <f t="shared" si="70"/>
        <v>3.2500000000000001E-2</v>
      </c>
      <c r="CG29" s="344">
        <f t="shared" si="70"/>
        <v>0.65</v>
      </c>
      <c r="CH29" s="344">
        <f t="shared" si="70"/>
        <v>0.4</v>
      </c>
      <c r="CI29" s="344">
        <f t="shared" si="70"/>
        <v>0.6</v>
      </c>
      <c r="CJ29" s="494">
        <f t="shared" si="70"/>
        <v>51.25</v>
      </c>
      <c r="CL29" s="302">
        <f>AVERAGEIFS(CL$36:CL$171,$C$36:$C$171,"=6", $B$36:$B$171,"OFICIAL")</f>
        <v>10.5</v>
      </c>
      <c r="CN29" s="526">
        <f>AVERAGEIFS(CN$36:CN$171,$C$36:$C$171,"=6", $B$36:$B$171,"OFICIAL")</f>
        <v>6.25E-2</v>
      </c>
      <c r="CO29" s="526">
        <f t="shared" ref="CO29:CT29" si="71">AVERAGEIFS(CO$36:CO$171,$C$36:$C$171,"=6", $B$36:$B$171,"OFICIAL")</f>
        <v>0.41000000000000003</v>
      </c>
      <c r="CP29" s="526">
        <f t="shared" si="71"/>
        <v>0.49500000000000005</v>
      </c>
      <c r="CQ29" s="526">
        <f t="shared" si="71"/>
        <v>0.03</v>
      </c>
      <c r="CR29" s="526">
        <f t="shared" si="71"/>
        <v>0.59750000000000003</v>
      </c>
      <c r="CS29" s="526">
        <f t="shared" si="71"/>
        <v>0.54249999999999998</v>
      </c>
      <c r="CT29" s="526">
        <f t="shared" si="71"/>
        <v>0.42999999999999994</v>
      </c>
    </row>
    <row r="30" spans="1:98" ht="24.95" customHeight="1" x14ac:dyDescent="0.2">
      <c r="A30" s="6" t="s">
        <v>901</v>
      </c>
      <c r="B30" s="301"/>
      <c r="C30" s="301"/>
      <c r="D30" s="129">
        <f t="shared" ref="D30:AW30" si="72">AVERAGEIFS(D$36:D$171,$C$36:$C$171,"=1", $B$36:$B$171,"NO OFICIAL")</f>
        <v>51.615384615384613</v>
      </c>
      <c r="E30" s="129">
        <f t="shared" si="72"/>
        <v>8.8461538461538467</v>
      </c>
      <c r="F30" s="39">
        <f t="shared" si="72"/>
        <v>5.692307692307693E-2</v>
      </c>
      <c r="G30" s="39">
        <f t="shared" si="72"/>
        <v>0.40230769230769226</v>
      </c>
      <c r="H30" s="39">
        <f t="shared" si="72"/>
        <v>0.53384615384615386</v>
      </c>
      <c r="I30" s="39">
        <f t="shared" si="72"/>
        <v>6.9230769230769224E-3</v>
      </c>
      <c r="J30" s="39">
        <f t="shared" si="72"/>
        <v>0.53153846153846152</v>
      </c>
      <c r="K30" s="39">
        <f t="shared" si="72"/>
        <v>0.45999999999999996</v>
      </c>
      <c r="L30" s="39">
        <f t="shared" si="72"/>
        <v>0.53692307692307695</v>
      </c>
      <c r="M30" s="129">
        <f t="shared" si="72"/>
        <v>51.583333333333336</v>
      </c>
      <c r="N30" s="129">
        <f t="shared" si="72"/>
        <v>9</v>
      </c>
      <c r="O30" s="39">
        <f t="shared" si="72"/>
        <v>6.1428571428571423E-2</v>
      </c>
      <c r="P30" s="39">
        <f t="shared" si="72"/>
        <v>0.4042857142857143</v>
      </c>
      <c r="Q30" s="39">
        <f t="shared" si="72"/>
        <v>0.50928571428571434</v>
      </c>
      <c r="R30" s="39">
        <f t="shared" si="72"/>
        <v>2.6428571428571433E-2</v>
      </c>
      <c r="S30" s="39">
        <f t="shared" si="72"/>
        <v>0.48571428571428577</v>
      </c>
      <c r="T30" s="39">
        <f t="shared" si="72"/>
        <v>0.56357142857142861</v>
      </c>
      <c r="U30" s="39">
        <f t="shared" si="72"/>
        <v>0.36142857142857149</v>
      </c>
      <c r="V30" s="129">
        <f t="shared" si="72"/>
        <v>51.846153846153847</v>
      </c>
      <c r="W30" s="129">
        <f t="shared" si="72"/>
        <v>9</v>
      </c>
      <c r="X30" s="39">
        <f t="shared" si="72"/>
        <v>4.5714285714285714E-2</v>
      </c>
      <c r="Y30" s="39">
        <f t="shared" si="72"/>
        <v>0.39357142857142857</v>
      </c>
      <c r="Z30" s="39">
        <f t="shared" si="72"/>
        <v>0.5207142857142858</v>
      </c>
      <c r="AA30" s="39">
        <f t="shared" si="72"/>
        <v>4.0714285714285717E-2</v>
      </c>
      <c r="AB30" s="39">
        <f t="shared" si="72"/>
        <v>0.48428571428571437</v>
      </c>
      <c r="AC30" s="39">
        <f t="shared" si="72"/>
        <v>0.36928571428571427</v>
      </c>
      <c r="AD30" s="39">
        <f t="shared" si="72"/>
        <v>0.52214285714285713</v>
      </c>
      <c r="AE30" s="129">
        <f t="shared" si="72"/>
        <v>52.692307692307693</v>
      </c>
      <c r="AF30" s="129">
        <f t="shared" si="72"/>
        <v>9.1538461538461533</v>
      </c>
      <c r="AG30" s="39">
        <f t="shared" si="72"/>
        <v>3.1428571428571431E-2</v>
      </c>
      <c r="AH30" s="39">
        <f t="shared" si="72"/>
        <v>0.34357142857142853</v>
      </c>
      <c r="AI30" s="39">
        <f t="shared" si="72"/>
        <v>0.60142857142857153</v>
      </c>
      <c r="AJ30" s="39">
        <f t="shared" si="72"/>
        <v>2.5000000000000001E-2</v>
      </c>
      <c r="AK30" s="39">
        <f t="shared" si="72"/>
        <v>0.51428571428571435</v>
      </c>
      <c r="AL30" s="39">
        <f t="shared" si="72"/>
        <v>0.46000000000000008</v>
      </c>
      <c r="AM30" s="39">
        <f t="shared" si="72"/>
        <v>0.28071428571428569</v>
      </c>
      <c r="AN30" s="129">
        <f t="shared" si="72"/>
        <v>53.53846153846154</v>
      </c>
      <c r="AO30" s="129">
        <f t="shared" si="72"/>
        <v>9.0769230769230766</v>
      </c>
      <c r="AP30" s="39">
        <f t="shared" si="72"/>
        <v>3.1538461538461543E-2</v>
      </c>
      <c r="AQ30" s="39">
        <f t="shared" si="72"/>
        <v>0.35923076923076924</v>
      </c>
      <c r="AR30" s="39">
        <f t="shared" si="72"/>
        <v>0.57692307692307687</v>
      </c>
      <c r="AS30" s="39">
        <f t="shared" si="72"/>
        <v>3.3846153846153845E-2</v>
      </c>
      <c r="AT30" s="39">
        <f t="shared" si="72"/>
        <v>0.26153846153846155</v>
      </c>
      <c r="AU30" s="39">
        <f t="shared" si="72"/>
        <v>0.4869230769230769</v>
      </c>
      <c r="AV30" s="39">
        <f t="shared" si="72"/>
        <v>0.4992307692307692</v>
      </c>
      <c r="AW30" s="129">
        <f t="shared" si="72"/>
        <v>52.846153846153847</v>
      </c>
      <c r="AX30" s="245"/>
      <c r="AY30" s="129">
        <f>AVERAGEIFS(AY$36:AY$171,$C$36:$C$171,"=1", $B$36:$B$171,"NO OFICIAL")</f>
        <v>8.7692307692307701</v>
      </c>
      <c r="AZ30" s="245"/>
      <c r="BA30" s="39">
        <f t="shared" ref="BA30:BH30" si="73">AVERAGEIFS(BA$36:BA$171,$C$36:$C$171,"=1", $B$36:$B$171,"NO OFICIAL")</f>
        <v>4.3076923076923082E-2</v>
      </c>
      <c r="BB30" s="39">
        <f t="shared" si="73"/>
        <v>0.35615384615384621</v>
      </c>
      <c r="BC30" s="39">
        <f t="shared" si="73"/>
        <v>0.57076923076923081</v>
      </c>
      <c r="BD30" s="39">
        <f t="shared" si="73"/>
        <v>3.0769230769230774E-2</v>
      </c>
      <c r="BE30" s="39">
        <f t="shared" si="73"/>
        <v>0.26769230769230767</v>
      </c>
      <c r="BF30" s="39">
        <f t="shared" si="73"/>
        <v>0.49384615384615399</v>
      </c>
      <c r="BG30" s="39">
        <f t="shared" si="73"/>
        <v>0.4530769230769231</v>
      </c>
      <c r="BH30" s="129">
        <f t="shared" si="73"/>
        <v>53</v>
      </c>
      <c r="BJ30" s="129">
        <f>AVERAGEIFS(BJ$36:BJ$171,$C$36:$C$171,"=1", $B$36:$B$171,"NO OFICIAL")</f>
        <v>9.384615384615385</v>
      </c>
      <c r="BO30" s="344">
        <f t="shared" ref="BO30:BY30" si="74">AVERAGEIFS(BO$36:BO$171,$C$36:$C$171,"=1", $B$36:$B$171,"NO OFICIAL")</f>
        <v>4.8461538461538459E-2</v>
      </c>
      <c r="BP30" s="344">
        <f t="shared" si="74"/>
        <v>0.34307692307692306</v>
      </c>
      <c r="BQ30" s="344">
        <f t="shared" si="74"/>
        <v>0.58230769230769219</v>
      </c>
      <c r="BR30" s="344">
        <f t="shared" si="74"/>
        <v>2.6923076923076925E-2</v>
      </c>
      <c r="BS30" s="344">
        <f t="shared" si="74"/>
        <v>0.51076923076923086</v>
      </c>
      <c r="BT30" s="344">
        <f t="shared" si="74"/>
        <v>0.57999999999999996</v>
      </c>
      <c r="BU30" s="531"/>
      <c r="BV30" s="531"/>
      <c r="BW30" s="531"/>
      <c r="BX30" s="344">
        <f t="shared" si="74"/>
        <v>0.36769230769230771</v>
      </c>
      <c r="BY30" s="129">
        <f t="shared" si="74"/>
        <v>54.25</v>
      </c>
      <c r="CA30" s="129">
        <f>AVERAGEIFS(CA$36:CA$171,$C$36:$C$171,"=1", $B$36:$B$171,"NO OFICIAL")</f>
        <v>9.0833333333333339</v>
      </c>
      <c r="CC30" s="344">
        <f t="shared" ref="CC30" si="75">AVERAGEIFS(CC$36:CC$171,$C$36:$C$171,"=1", $B$36:$B$171,"NO OFICIAL")</f>
        <v>3.2500000000000008E-2</v>
      </c>
      <c r="CD30" s="344">
        <f t="shared" ref="CD30:CJ30" si="76">AVERAGEIFS(CD$36:CD$171,$C$36:$C$171,"=1", $B$36:$B$171,"NO OFICIAL")</f>
        <v>0.35000000000000003</v>
      </c>
      <c r="CE30" s="344">
        <f t="shared" si="76"/>
        <v>0.55499999999999994</v>
      </c>
      <c r="CF30" s="344">
        <f t="shared" si="76"/>
        <v>6.1666666666666675E-2</v>
      </c>
      <c r="CG30" s="344">
        <f t="shared" si="76"/>
        <v>0.59500000000000008</v>
      </c>
      <c r="CH30" s="344">
        <f t="shared" si="76"/>
        <v>0.35083333333333327</v>
      </c>
      <c r="CI30" s="344">
        <f t="shared" si="76"/>
        <v>0.54083333333333339</v>
      </c>
      <c r="CJ30" s="494">
        <f t="shared" si="76"/>
        <v>54.384615384615387</v>
      </c>
      <c r="CL30" s="302">
        <f>AVERAGEIFS(CL$36:CL$171,$C$36:$C$171,"=1", $B$36:$B$171,"NO OFICIAL")</f>
        <v>9.5384615384615383</v>
      </c>
      <c r="CN30" s="526">
        <f>AVERAGEIFS(CN$36:CN$171,$C$36:$C$171,"=1", $B$36:$B$171,"NO OFICIAL")</f>
        <v>3.4615384615384617E-2</v>
      </c>
      <c r="CO30" s="526">
        <f t="shared" ref="CO30:CT30" si="77">AVERAGEIFS(CO$36:CO$171,$C$36:$C$171,"=1", $B$36:$B$171,"NO OFICIAL")</f>
        <v>0.30384615384615388</v>
      </c>
      <c r="CP30" s="526">
        <f t="shared" si="77"/>
        <v>0.60615384615384615</v>
      </c>
      <c r="CQ30" s="526">
        <f t="shared" si="77"/>
        <v>5.692307692307693E-2</v>
      </c>
      <c r="CR30" s="526">
        <f t="shared" si="77"/>
        <v>0.52461538461538459</v>
      </c>
      <c r="CS30" s="526">
        <f t="shared" si="77"/>
        <v>0.5030769230769232</v>
      </c>
      <c r="CT30" s="526">
        <f t="shared" si="77"/>
        <v>0.37461538461538457</v>
      </c>
    </row>
    <row r="31" spans="1:98" ht="24.95" customHeight="1" x14ac:dyDescent="0.2">
      <c r="A31" s="6" t="s">
        <v>902</v>
      </c>
      <c r="B31" s="301"/>
      <c r="C31" s="301"/>
      <c r="D31" s="129">
        <f t="shared" ref="D31:AW31" si="78">AVERAGEIFS(D$36:D$171,$C$36:$C$171,"=2", $B$36:$B$171,"NO OFICIAL")</f>
        <v>52.666666666666664</v>
      </c>
      <c r="E31" s="129">
        <f t="shared" si="78"/>
        <v>8.6666666666666661</v>
      </c>
      <c r="F31" s="39">
        <f t="shared" si="78"/>
        <v>5.2777777777777785E-2</v>
      </c>
      <c r="G31" s="39">
        <f t="shared" si="78"/>
        <v>0.35888888888888887</v>
      </c>
      <c r="H31" s="39">
        <f t="shared" si="78"/>
        <v>0.57277777777777783</v>
      </c>
      <c r="I31" s="39">
        <f t="shared" si="78"/>
        <v>1.6111111111111114E-2</v>
      </c>
      <c r="J31" s="39">
        <f t="shared" si="78"/>
        <v>0.52722222222222215</v>
      </c>
      <c r="K31" s="39">
        <f t="shared" si="78"/>
        <v>0.44611111111111118</v>
      </c>
      <c r="L31" s="39">
        <f t="shared" si="78"/>
        <v>0.52555555555555555</v>
      </c>
      <c r="M31" s="129">
        <f t="shared" si="78"/>
        <v>52.294117647058826</v>
      </c>
      <c r="N31" s="129">
        <f t="shared" si="78"/>
        <v>9.1764705882352935</v>
      </c>
      <c r="O31" s="39">
        <f t="shared" si="78"/>
        <v>5.7647058823529412E-2</v>
      </c>
      <c r="P31" s="39">
        <f t="shared" si="78"/>
        <v>0.34294117647058836</v>
      </c>
      <c r="Q31" s="39">
        <f t="shared" si="78"/>
        <v>0.55470588235294116</v>
      </c>
      <c r="R31" s="39">
        <f t="shared" si="78"/>
        <v>4.2352941176470593E-2</v>
      </c>
      <c r="S31" s="39">
        <f t="shared" si="78"/>
        <v>0.46882352941176475</v>
      </c>
      <c r="T31" s="39">
        <f t="shared" si="78"/>
        <v>0.54176470588235293</v>
      </c>
      <c r="U31" s="39">
        <f t="shared" si="78"/>
        <v>0.36411764705882355</v>
      </c>
      <c r="V31" s="129">
        <f t="shared" si="78"/>
        <v>52.882352941176471</v>
      </c>
      <c r="W31" s="129">
        <f t="shared" si="78"/>
        <v>8.5294117647058822</v>
      </c>
      <c r="X31" s="39">
        <f t="shared" si="78"/>
        <v>3.4705882352941184E-2</v>
      </c>
      <c r="Y31" s="39">
        <f t="shared" si="78"/>
        <v>0.34411764705882353</v>
      </c>
      <c r="Z31" s="39">
        <f t="shared" si="78"/>
        <v>0.60882352941176465</v>
      </c>
      <c r="AA31" s="39">
        <f t="shared" si="78"/>
        <v>1.5294117647058824E-2</v>
      </c>
      <c r="AB31" s="39">
        <f t="shared" si="78"/>
        <v>0.47000000000000003</v>
      </c>
      <c r="AC31" s="39">
        <f t="shared" si="78"/>
        <v>0.37176470588235294</v>
      </c>
      <c r="AD31" s="39">
        <f t="shared" si="78"/>
        <v>0.50352941176470589</v>
      </c>
      <c r="AE31" s="129">
        <f t="shared" si="78"/>
        <v>53.944444444444443</v>
      </c>
      <c r="AF31" s="129">
        <f t="shared" si="78"/>
        <v>9</v>
      </c>
      <c r="AG31" s="39">
        <f t="shared" si="78"/>
        <v>3.5555555555555556E-2</v>
      </c>
      <c r="AH31" s="39">
        <f t="shared" si="78"/>
        <v>0.3133333333333333</v>
      </c>
      <c r="AI31" s="39">
        <f t="shared" si="78"/>
        <v>0.6133333333333334</v>
      </c>
      <c r="AJ31" s="39">
        <f t="shared" si="78"/>
        <v>3.8333333333333344E-2</v>
      </c>
      <c r="AK31" s="39">
        <f t="shared" si="78"/>
        <v>0.51666666666666672</v>
      </c>
      <c r="AL31" s="39">
        <f t="shared" si="78"/>
        <v>0.45444444444444443</v>
      </c>
      <c r="AM31" s="39">
        <f t="shared" si="78"/>
        <v>0.2655555555555556</v>
      </c>
      <c r="AN31" s="129">
        <f t="shared" si="78"/>
        <v>52.81818181818182</v>
      </c>
      <c r="AO31" s="129">
        <f t="shared" si="78"/>
        <v>7.7272727272727275</v>
      </c>
      <c r="AP31" s="39">
        <f t="shared" si="78"/>
        <v>2.7727272727272732E-2</v>
      </c>
      <c r="AQ31" s="39">
        <f t="shared" si="78"/>
        <v>0.35681818181818187</v>
      </c>
      <c r="AR31" s="39">
        <f t="shared" si="78"/>
        <v>0.57727272727272727</v>
      </c>
      <c r="AS31" s="39">
        <f t="shared" si="78"/>
        <v>3.6818181818181826E-2</v>
      </c>
      <c r="AT31" s="39">
        <f t="shared" si="78"/>
        <v>0.27590909090909094</v>
      </c>
      <c r="AU31" s="39">
        <f t="shared" si="78"/>
        <v>0.49772727272727263</v>
      </c>
      <c r="AV31" s="39">
        <f t="shared" si="78"/>
        <v>0.50818181818181829</v>
      </c>
      <c r="AW31" s="129">
        <f t="shared" si="78"/>
        <v>52.4</v>
      </c>
      <c r="AX31" s="245"/>
      <c r="AY31" s="129">
        <f>AVERAGEIFS(AY$36:AY$171,$C$36:$C$171,"=2", $B$36:$B$171,"NO OFICIAL")</f>
        <v>7.9</v>
      </c>
      <c r="AZ31" s="245"/>
      <c r="BA31" s="39">
        <f t="shared" ref="BA31:BH31" si="79">AVERAGEIFS(BA$36:BA$171,$C$36:$C$171,"=2", $B$36:$B$171,"NO OFICIAL")</f>
        <v>5.9500000000000011E-2</v>
      </c>
      <c r="BB31" s="39">
        <f t="shared" si="79"/>
        <v>0.34450000000000003</v>
      </c>
      <c r="BC31" s="39">
        <f t="shared" si="79"/>
        <v>0.56950000000000001</v>
      </c>
      <c r="BD31" s="39">
        <f t="shared" si="79"/>
        <v>2.8000000000000004E-2</v>
      </c>
      <c r="BE31" s="39">
        <f t="shared" si="79"/>
        <v>0.28299999999999997</v>
      </c>
      <c r="BF31" s="39">
        <f t="shared" si="79"/>
        <v>0.49900000000000011</v>
      </c>
      <c r="BG31" s="39">
        <f t="shared" si="79"/>
        <v>0.45949999999999996</v>
      </c>
      <c r="BH31" s="129">
        <f t="shared" si="79"/>
        <v>54.571428571428569</v>
      </c>
      <c r="BJ31" s="129">
        <f>AVERAGEIFS(BJ$36:BJ$171,$C$36:$C$171,"=2", $B$36:$B$171,"NO OFICIAL")</f>
        <v>9.3809523809523814</v>
      </c>
      <c r="BO31" s="344">
        <f t="shared" ref="BO31:BY31" si="80">AVERAGEIFS(BO$36:BO$171,$C$36:$C$171,"=2", $B$36:$B$171,"NO OFICIAL")</f>
        <v>6.7619047619047634E-2</v>
      </c>
      <c r="BP31" s="344">
        <f t="shared" si="80"/>
        <v>0.23857142857142857</v>
      </c>
      <c r="BQ31" s="344">
        <f t="shared" si="80"/>
        <v>0.65190476190476176</v>
      </c>
      <c r="BR31" s="344">
        <f t="shared" si="80"/>
        <v>4.238095238095238E-2</v>
      </c>
      <c r="BS31" s="344">
        <f t="shared" si="80"/>
        <v>0.4690476190476191</v>
      </c>
      <c r="BT31" s="344">
        <f t="shared" si="80"/>
        <v>0.55095238095238097</v>
      </c>
      <c r="BU31" s="531"/>
      <c r="BV31" s="531"/>
      <c r="BW31" s="531"/>
      <c r="BX31" s="344">
        <f t="shared" si="80"/>
        <v>0.36904761904761907</v>
      </c>
      <c r="BY31" s="129">
        <f t="shared" si="80"/>
        <v>53.045454545454547</v>
      </c>
      <c r="CA31" s="129">
        <f>AVERAGEIFS(CA$36:CA$171,$C$36:$C$171,"=2", $B$36:$B$171,"NO OFICIAL")</f>
        <v>8.6818181818181817</v>
      </c>
      <c r="CC31" s="344">
        <f t="shared" ref="CC31" si="81">AVERAGEIFS(CC$36:CC$171,$C$36:$C$171,"=2", $B$36:$B$171,"NO OFICIAL")</f>
        <v>6.4090909090909101E-2</v>
      </c>
      <c r="CD31" s="344">
        <f t="shared" ref="CD31:CJ31" si="82">AVERAGEIFS(CD$36:CD$171,$C$36:$C$171,"=2", $B$36:$B$171,"NO OFICIAL")</f>
        <v>0.34909090909090906</v>
      </c>
      <c r="CE31" s="344">
        <f t="shared" si="82"/>
        <v>0.53636363636363638</v>
      </c>
      <c r="CF31" s="344">
        <f t="shared" si="82"/>
        <v>5.0454545454545467E-2</v>
      </c>
      <c r="CG31" s="344">
        <f t="shared" si="82"/>
        <v>0.59227272727272728</v>
      </c>
      <c r="CH31" s="344">
        <f t="shared" si="82"/>
        <v>0.39136363636363636</v>
      </c>
      <c r="CI31" s="344">
        <f t="shared" si="82"/>
        <v>0.55045454545454553</v>
      </c>
      <c r="CJ31" s="494">
        <f t="shared" si="82"/>
        <v>55.2</v>
      </c>
      <c r="CL31" s="302">
        <f>AVERAGEIFS(CL$36:CL$171,$C$36:$C$171,"=2", $B$36:$B$171,"NO OFICIAL")</f>
        <v>9.1999999999999993</v>
      </c>
      <c r="CN31" s="526">
        <f>AVERAGEIFS(CN$36:CN$171,$C$36:$C$171,"=2", $B$36:$B$171,"NO OFICIAL")</f>
        <v>3.1E-2</v>
      </c>
      <c r="CO31" s="526">
        <f t="shared" ref="CO31:CT31" si="83">AVERAGEIFS(CO$36:CO$171,$C$36:$C$171,"=2", $B$36:$B$171,"NO OFICIAL")</f>
        <v>0.26950000000000002</v>
      </c>
      <c r="CP31" s="526">
        <f t="shared" si="83"/>
        <v>0.6399999999999999</v>
      </c>
      <c r="CQ31" s="526">
        <f t="shared" si="83"/>
        <v>6.2000000000000013E-2</v>
      </c>
      <c r="CR31" s="526">
        <f t="shared" si="83"/>
        <v>0.51549999999999996</v>
      </c>
      <c r="CS31" s="526">
        <f t="shared" si="83"/>
        <v>0.48199999999999993</v>
      </c>
      <c r="CT31" s="526">
        <f t="shared" si="83"/>
        <v>0.38850000000000001</v>
      </c>
    </row>
    <row r="32" spans="1:98" ht="24.95" customHeight="1" x14ac:dyDescent="0.2">
      <c r="A32" s="6" t="s">
        <v>903</v>
      </c>
      <c r="B32" s="301"/>
      <c r="C32" s="301"/>
      <c r="D32" s="129">
        <f t="shared" ref="D32:AW32" si="84">AVERAGEIFS(D$36:D$171,$C$36:$C$171,"=3", $B$36:$B$171,"NO OFICIAL")</f>
        <v>53.769230769230766</v>
      </c>
      <c r="E32" s="129">
        <f t="shared" si="84"/>
        <v>8.615384615384615</v>
      </c>
      <c r="F32" s="39">
        <f t="shared" si="84"/>
        <v>3.0769230769230771E-2</v>
      </c>
      <c r="G32" s="39">
        <f t="shared" si="84"/>
        <v>0.33769230769230768</v>
      </c>
      <c r="H32" s="39">
        <f t="shared" si="84"/>
        <v>0.59923076923076934</v>
      </c>
      <c r="I32" s="39">
        <f t="shared" si="84"/>
        <v>3.3846153846153845E-2</v>
      </c>
      <c r="J32" s="39">
        <f t="shared" si="84"/>
        <v>0.50538461538461532</v>
      </c>
      <c r="K32" s="39">
        <f t="shared" si="84"/>
        <v>0.42692307692307696</v>
      </c>
      <c r="L32" s="39">
        <f t="shared" si="84"/>
        <v>0.50076923076923074</v>
      </c>
      <c r="M32" s="129">
        <f t="shared" si="84"/>
        <v>52.5</v>
      </c>
      <c r="N32" s="129">
        <f t="shared" si="84"/>
        <v>9.2857142857142865</v>
      </c>
      <c r="O32" s="39">
        <f t="shared" si="84"/>
        <v>3.0000000000000002E-2</v>
      </c>
      <c r="P32" s="39">
        <f t="shared" si="84"/>
        <v>0.36384615384615382</v>
      </c>
      <c r="Q32" s="39">
        <f t="shared" si="84"/>
        <v>0.57000000000000006</v>
      </c>
      <c r="R32" s="39">
        <f t="shared" si="84"/>
        <v>3.6153846153846154E-2</v>
      </c>
      <c r="S32" s="39">
        <f t="shared" si="84"/>
        <v>0.45692307692307688</v>
      </c>
      <c r="T32" s="39">
        <f t="shared" si="84"/>
        <v>0.53230769230769237</v>
      </c>
      <c r="U32" s="39">
        <f t="shared" si="84"/>
        <v>0.32307692307692309</v>
      </c>
      <c r="V32" s="129">
        <f t="shared" si="84"/>
        <v>53.285714285714285</v>
      </c>
      <c r="W32" s="129">
        <f t="shared" si="84"/>
        <v>9.2142857142857135</v>
      </c>
      <c r="X32" s="39">
        <f t="shared" si="84"/>
        <v>3.3846153846153845E-2</v>
      </c>
      <c r="Y32" s="39">
        <f t="shared" si="84"/>
        <v>0.33461538461538465</v>
      </c>
      <c r="Z32" s="39">
        <f t="shared" si="84"/>
        <v>0.58615384615384614</v>
      </c>
      <c r="AA32" s="39">
        <f t="shared" si="84"/>
        <v>4.5384615384615391E-2</v>
      </c>
      <c r="AB32" s="39">
        <f t="shared" si="84"/>
        <v>0.45769230769230762</v>
      </c>
      <c r="AC32" s="39">
        <f t="shared" si="84"/>
        <v>0.35076923076923072</v>
      </c>
      <c r="AD32" s="39">
        <f t="shared" si="84"/>
        <v>0.49076923076923074</v>
      </c>
      <c r="AE32" s="129">
        <f t="shared" si="84"/>
        <v>53.428571428571431</v>
      </c>
      <c r="AF32" s="129">
        <f t="shared" si="84"/>
        <v>9.1428571428571423</v>
      </c>
      <c r="AG32" s="39">
        <f t="shared" si="84"/>
        <v>3.692307692307692E-2</v>
      </c>
      <c r="AH32" s="39">
        <f t="shared" si="84"/>
        <v>0.34076923076923077</v>
      </c>
      <c r="AI32" s="39">
        <f t="shared" si="84"/>
        <v>0.5923076923076922</v>
      </c>
      <c r="AJ32" s="39">
        <f t="shared" si="84"/>
        <v>3.2307692307692308E-2</v>
      </c>
      <c r="AK32" s="39">
        <f t="shared" si="84"/>
        <v>0.50615384615384618</v>
      </c>
      <c r="AL32" s="39">
        <f t="shared" si="84"/>
        <v>0.44538461538461543</v>
      </c>
      <c r="AM32" s="39">
        <f t="shared" si="84"/>
        <v>0.26076923076923075</v>
      </c>
      <c r="AN32" s="129">
        <f t="shared" si="84"/>
        <v>54.666666666666664</v>
      </c>
      <c r="AO32" s="129">
        <f t="shared" si="84"/>
        <v>8.5333333333333332</v>
      </c>
      <c r="AP32" s="39">
        <f t="shared" si="84"/>
        <v>1.7333333333333333E-2</v>
      </c>
      <c r="AQ32" s="39">
        <f t="shared" si="84"/>
        <v>0.29933333333333328</v>
      </c>
      <c r="AR32" s="39">
        <f t="shared" si="84"/>
        <v>0.64466666666666661</v>
      </c>
      <c r="AS32" s="39">
        <f t="shared" si="84"/>
        <v>3.8000000000000006E-2</v>
      </c>
      <c r="AT32" s="39">
        <f t="shared" si="84"/>
        <v>0.252</v>
      </c>
      <c r="AU32" s="39">
        <f t="shared" si="84"/>
        <v>0.46</v>
      </c>
      <c r="AV32" s="39">
        <f t="shared" si="84"/>
        <v>0.48800000000000004</v>
      </c>
      <c r="AW32" s="129">
        <f t="shared" si="84"/>
        <v>53.4</v>
      </c>
      <c r="AX32" s="245"/>
      <c r="AY32" s="129">
        <f>AVERAGEIFS(AY$36:AY$171,$C$36:$C$171,"=3", $B$36:$B$171,"NO OFICIAL")</f>
        <v>8.5333333333333332</v>
      </c>
      <c r="AZ32" s="245"/>
      <c r="BA32" s="39">
        <f t="shared" ref="BA32:BH32" si="85">AVERAGEIFS(BA$36:BA$171,$C$36:$C$171,"=3", $B$36:$B$171,"NO OFICIAL")</f>
        <v>3.2666666666666663E-2</v>
      </c>
      <c r="BB32" s="39">
        <f t="shared" si="85"/>
        <v>0.3173333333333333</v>
      </c>
      <c r="BC32" s="39">
        <f t="shared" si="85"/>
        <v>0.61599999999999999</v>
      </c>
      <c r="BD32" s="39">
        <f t="shared" si="85"/>
        <v>3.4666666666666665E-2</v>
      </c>
      <c r="BE32" s="39">
        <f t="shared" si="85"/>
        <v>0.26599999999999996</v>
      </c>
      <c r="BF32" s="39">
        <f t="shared" si="85"/>
        <v>0.47733333333333333</v>
      </c>
      <c r="BG32" s="39">
        <f t="shared" si="85"/>
        <v>0.43600000000000005</v>
      </c>
      <c r="BH32" s="129">
        <f t="shared" si="85"/>
        <v>54.375</v>
      </c>
      <c r="BJ32" s="129">
        <f>AVERAGEIFS(BJ$36:BJ$171,$C$36:$C$171,"=3", $B$36:$B$171,"NO OFICIAL")</f>
        <v>9.5</v>
      </c>
      <c r="BO32" s="344">
        <f t="shared" ref="BO32:BY32" si="86">AVERAGEIFS(BO$36:BO$171,$C$36:$C$171,"=3", $B$36:$B$171,"NO OFICIAL")</f>
        <v>4.6875000000000007E-2</v>
      </c>
      <c r="BP32" s="344">
        <f t="shared" si="86"/>
        <v>0.28437499999999999</v>
      </c>
      <c r="BQ32" s="344">
        <f t="shared" si="86"/>
        <v>0.6150000000000001</v>
      </c>
      <c r="BR32" s="344">
        <f t="shared" si="86"/>
        <v>5.8125000000000003E-2</v>
      </c>
      <c r="BS32" s="344">
        <f t="shared" si="86"/>
        <v>0.4812499999999999</v>
      </c>
      <c r="BT32" s="344">
        <f t="shared" si="86"/>
        <v>0.54187500000000011</v>
      </c>
      <c r="BU32" s="531"/>
      <c r="BV32" s="531"/>
      <c r="BW32" s="531"/>
      <c r="BX32" s="344">
        <f t="shared" si="86"/>
        <v>0.32812500000000006</v>
      </c>
      <c r="BY32" s="129">
        <f t="shared" si="86"/>
        <v>54.6875</v>
      </c>
      <c r="CA32" s="129">
        <f>AVERAGEIFS(CA$36:CA$171,$C$36:$C$171,"=3", $B$36:$B$171,"NO OFICIAL")</f>
        <v>9.9375</v>
      </c>
      <c r="CC32" s="344">
        <f t="shared" ref="CC32" si="87">AVERAGEIFS(CC$36:CC$171,$C$36:$C$171,"=3", $B$36:$B$171,"NO OFICIAL")</f>
        <v>5.5000000000000007E-2</v>
      </c>
      <c r="CD32" s="344">
        <f t="shared" ref="CD32:CJ32" si="88">AVERAGEIFS(CD$36:CD$171,$C$36:$C$171,"=3", $B$36:$B$171,"NO OFICIAL")</f>
        <v>0.265625</v>
      </c>
      <c r="CE32" s="344">
        <f t="shared" si="88"/>
        <v>0.62374999999999992</v>
      </c>
      <c r="CF32" s="344">
        <f t="shared" si="88"/>
        <v>5.5625000000000008E-2</v>
      </c>
      <c r="CG32" s="344">
        <f t="shared" si="88"/>
        <v>0.59625000000000006</v>
      </c>
      <c r="CH32" s="344">
        <f t="shared" si="88"/>
        <v>0.32687499999999997</v>
      </c>
      <c r="CI32" s="344">
        <f t="shared" si="88"/>
        <v>0.54249999999999998</v>
      </c>
      <c r="CJ32" s="494">
        <f t="shared" si="88"/>
        <v>54.8125</v>
      </c>
      <c r="CL32" s="302">
        <f>AVERAGEIFS(CL$36:CL$171,$C$36:$C$171,"=3", $B$36:$B$171,"NO OFICIAL")</f>
        <v>9.6875</v>
      </c>
      <c r="CN32" s="526">
        <f>AVERAGEIFS(CN$36:CN$171,$C$36:$C$171,"=3", $B$36:$B$171,"NO OFICIAL")</f>
        <v>5.6249999999999994E-2</v>
      </c>
      <c r="CO32" s="526">
        <f t="shared" ref="CO32:CT32" si="89">AVERAGEIFS(CO$36:CO$171,$C$36:$C$171,"=3", $B$36:$B$171,"NO OFICIAL")</f>
        <v>0.28562500000000007</v>
      </c>
      <c r="CP32" s="526">
        <f t="shared" si="89"/>
        <v>0.59750000000000003</v>
      </c>
      <c r="CQ32" s="526">
        <f t="shared" si="89"/>
        <v>6.1874999999999999E-2</v>
      </c>
      <c r="CR32" s="526">
        <f t="shared" si="89"/>
        <v>0.52812500000000007</v>
      </c>
      <c r="CS32" s="526">
        <f t="shared" si="89"/>
        <v>0.479375</v>
      </c>
      <c r="CT32" s="526">
        <f t="shared" si="89"/>
        <v>0.38187499999999996</v>
      </c>
    </row>
    <row r="33" spans="1:98" ht="24.95" customHeight="1" x14ac:dyDescent="0.2">
      <c r="A33" s="6" t="s">
        <v>904</v>
      </c>
      <c r="B33" s="301"/>
      <c r="C33" s="301"/>
      <c r="D33" s="129">
        <f t="shared" ref="D33:AW33" si="90">AVERAGEIFS(D$36:D$171,$C$36:$C$171,"=4", $B$36:$B$171,"NO OFICIAL")</f>
        <v>49.25</v>
      </c>
      <c r="E33" s="129">
        <f t="shared" si="90"/>
        <v>8.5</v>
      </c>
      <c r="F33" s="39">
        <f t="shared" si="90"/>
        <v>0.13750000000000001</v>
      </c>
      <c r="G33" s="39">
        <f t="shared" si="90"/>
        <v>0.40250000000000002</v>
      </c>
      <c r="H33" s="39">
        <f t="shared" si="90"/>
        <v>0.46</v>
      </c>
      <c r="I33" s="39">
        <f t="shared" si="90"/>
        <v>0</v>
      </c>
      <c r="J33" s="39">
        <f t="shared" si="90"/>
        <v>0.55499999999999994</v>
      </c>
      <c r="K33" s="39">
        <f t="shared" si="90"/>
        <v>0.49625000000000002</v>
      </c>
      <c r="L33" s="39">
        <f t="shared" si="90"/>
        <v>0.59125000000000005</v>
      </c>
      <c r="M33" s="129">
        <f t="shared" si="90"/>
        <v>51.111111111111114</v>
      </c>
      <c r="N33" s="129">
        <f t="shared" si="90"/>
        <v>7.8888888888888893</v>
      </c>
      <c r="O33" s="39">
        <f t="shared" si="90"/>
        <v>9.1249999999999998E-2</v>
      </c>
      <c r="P33" s="39">
        <f t="shared" si="90"/>
        <v>0.35875000000000001</v>
      </c>
      <c r="Q33" s="39">
        <f t="shared" si="90"/>
        <v>0.54125000000000001</v>
      </c>
      <c r="R33" s="39">
        <f t="shared" si="90"/>
        <v>0.01</v>
      </c>
      <c r="S33" s="39">
        <f t="shared" si="90"/>
        <v>0.49125000000000002</v>
      </c>
      <c r="T33" s="39">
        <f t="shared" si="90"/>
        <v>0.55500000000000005</v>
      </c>
      <c r="U33" s="39">
        <f t="shared" si="90"/>
        <v>0.34250000000000003</v>
      </c>
      <c r="V33" s="129">
        <f t="shared" si="90"/>
        <v>52.666666666666664</v>
      </c>
      <c r="W33" s="129">
        <f t="shared" si="90"/>
        <v>8.2222222222222214</v>
      </c>
      <c r="X33" s="39">
        <f t="shared" si="90"/>
        <v>0.04</v>
      </c>
      <c r="Y33" s="39">
        <f t="shared" si="90"/>
        <v>0.31874999999999998</v>
      </c>
      <c r="Z33" s="39">
        <f t="shared" si="90"/>
        <v>0.63125000000000009</v>
      </c>
      <c r="AA33" s="39">
        <f t="shared" si="90"/>
        <v>0.01</v>
      </c>
      <c r="AB33" s="39">
        <f t="shared" si="90"/>
        <v>0.46500000000000002</v>
      </c>
      <c r="AC33" s="39">
        <f t="shared" si="90"/>
        <v>0.38</v>
      </c>
      <c r="AD33" s="39">
        <f t="shared" si="90"/>
        <v>0.50875000000000004</v>
      </c>
      <c r="AE33" s="129">
        <f t="shared" si="90"/>
        <v>51.75</v>
      </c>
      <c r="AF33" s="129">
        <f t="shared" si="90"/>
        <v>8.375</v>
      </c>
      <c r="AG33" s="39">
        <f t="shared" si="90"/>
        <v>4.4285714285714282E-2</v>
      </c>
      <c r="AH33" s="39">
        <f t="shared" si="90"/>
        <v>0.4271428571428571</v>
      </c>
      <c r="AI33" s="39">
        <f t="shared" si="90"/>
        <v>0.49857142857142861</v>
      </c>
      <c r="AJ33" s="39">
        <f t="shared" si="90"/>
        <v>2.8571428571428574E-2</v>
      </c>
      <c r="AK33" s="39">
        <f t="shared" si="90"/>
        <v>0.5485714285714286</v>
      </c>
      <c r="AL33" s="39">
        <f t="shared" si="90"/>
        <v>0.48714285714285716</v>
      </c>
      <c r="AM33" s="39">
        <f t="shared" si="90"/>
        <v>0.31714285714285717</v>
      </c>
      <c r="AN33" s="129">
        <f t="shared" si="90"/>
        <v>50.714285714285715</v>
      </c>
      <c r="AO33" s="129">
        <f t="shared" si="90"/>
        <v>9.1428571428571423</v>
      </c>
      <c r="AP33" s="39">
        <f t="shared" si="90"/>
        <v>4.1428571428571433E-2</v>
      </c>
      <c r="AQ33" s="39">
        <f t="shared" si="90"/>
        <v>0.4757142857142857</v>
      </c>
      <c r="AR33" s="39">
        <f t="shared" si="90"/>
        <v>0.44</v>
      </c>
      <c r="AS33" s="39">
        <f t="shared" si="90"/>
        <v>4.4285714285714282E-2</v>
      </c>
      <c r="AT33" s="39">
        <f t="shared" si="90"/>
        <v>0.28285714285714286</v>
      </c>
      <c r="AU33" s="39">
        <f t="shared" si="90"/>
        <v>0.55285714285714282</v>
      </c>
      <c r="AV33" s="39">
        <f t="shared" si="90"/>
        <v>0.52714285714285714</v>
      </c>
      <c r="AW33" s="129">
        <f t="shared" si="90"/>
        <v>49.5</v>
      </c>
      <c r="AX33" s="245"/>
      <c r="AY33" s="129">
        <f>AVERAGEIFS(AY$36:AY$171,$C$36:$C$171,"=4", $B$36:$B$171,"NO OFICIAL")</f>
        <v>8.25</v>
      </c>
      <c r="AZ33" s="245"/>
      <c r="BA33" s="39">
        <f t="shared" ref="BA33:BH33" si="91">AVERAGEIFS(BA$36:BA$171,$C$36:$C$171,"=4", $B$36:$B$171,"NO OFICIAL")</f>
        <v>6.5000000000000002E-2</v>
      </c>
      <c r="BB33" s="39">
        <f t="shared" si="91"/>
        <v>0.4425</v>
      </c>
      <c r="BC33" s="39">
        <f t="shared" si="91"/>
        <v>0.47749999999999998</v>
      </c>
      <c r="BD33" s="39">
        <f t="shared" si="91"/>
        <v>1.8749999999999999E-2</v>
      </c>
      <c r="BE33" s="39">
        <f t="shared" si="91"/>
        <v>0.35750000000000004</v>
      </c>
      <c r="BF33" s="39">
        <f t="shared" si="91"/>
        <v>0.51999999999999991</v>
      </c>
      <c r="BG33" s="39">
        <f t="shared" si="91"/>
        <v>0.50749999999999995</v>
      </c>
      <c r="BH33" s="129">
        <f t="shared" si="91"/>
        <v>52.5</v>
      </c>
      <c r="BJ33" s="129">
        <f>AVERAGEIFS(BJ$36:BJ$171,$C$36:$C$171,"=4", $B$36:$B$171,"NO OFICIAL")</f>
        <v>9.25</v>
      </c>
      <c r="BO33" s="344">
        <f t="shared" ref="BO33:BY33" si="92">AVERAGEIFS(BO$36:BO$171,$C$36:$C$171,"=4", $B$36:$B$171,"NO OFICIAL")</f>
        <v>4.8749999999999995E-2</v>
      </c>
      <c r="BP33" s="344">
        <f t="shared" si="92"/>
        <v>0.35625000000000007</v>
      </c>
      <c r="BQ33" s="344">
        <f t="shared" si="92"/>
        <v>0.57250000000000001</v>
      </c>
      <c r="BR33" s="344">
        <f t="shared" si="92"/>
        <v>2.375E-2</v>
      </c>
      <c r="BS33" s="344">
        <f t="shared" si="92"/>
        <v>0.505</v>
      </c>
      <c r="BT33" s="344">
        <f t="shared" si="92"/>
        <v>0.59124999999999994</v>
      </c>
      <c r="BU33" s="531"/>
      <c r="BV33" s="531"/>
      <c r="BW33" s="531"/>
      <c r="BX33" s="344">
        <f t="shared" si="92"/>
        <v>0.37375000000000003</v>
      </c>
      <c r="BY33" s="129">
        <f t="shared" si="92"/>
        <v>51</v>
      </c>
      <c r="CA33" s="129">
        <f>AVERAGEIFS(CA$36:CA$171,$C$36:$C$171,"=4", $B$36:$B$171,"NO OFICIAL")</f>
        <v>9</v>
      </c>
      <c r="CC33" s="344">
        <f t="shared" ref="CC33" si="93">AVERAGEIFS(CC$36:CC$171,$C$36:$C$171,"=4", $B$36:$B$171,"NO OFICIAL")</f>
        <v>4.4444444444444446E-2</v>
      </c>
      <c r="CD33" s="344">
        <f t="shared" ref="CD33:CJ33" si="94">AVERAGEIFS(CD$36:CD$171,$C$36:$C$171,"=4", $B$36:$B$171,"NO OFICIAL")</f>
        <v>0.40888888888888886</v>
      </c>
      <c r="CE33" s="344">
        <f t="shared" si="94"/>
        <v>0.52555555555555555</v>
      </c>
      <c r="CF33" s="344">
        <f t="shared" si="94"/>
        <v>2.2222222222222223E-2</v>
      </c>
      <c r="CG33" s="344">
        <f t="shared" si="94"/>
        <v>0.60333333333333339</v>
      </c>
      <c r="CH33" s="344">
        <f t="shared" si="94"/>
        <v>0.40444444444444438</v>
      </c>
      <c r="CI33" s="344">
        <f t="shared" si="94"/>
        <v>0.60444444444444445</v>
      </c>
      <c r="CJ33" s="494">
        <f t="shared" si="94"/>
        <v>55.714285714285715</v>
      </c>
      <c r="CL33" s="302">
        <f>AVERAGEIFS(CL$36:CL$171,$C$36:$C$171,"=4", $B$36:$B$171,"NO OFICIAL")</f>
        <v>9.7142857142857135</v>
      </c>
      <c r="CN33" s="526">
        <f>AVERAGEIFS(CN$36:CN$171,$C$36:$C$171,"=4", $B$36:$B$171,"NO OFICIAL")</f>
        <v>4.1428571428571426E-2</v>
      </c>
      <c r="CO33" s="526">
        <f t="shared" ref="CO33:CT33" si="95">AVERAGEIFS(CO$36:CO$171,$C$36:$C$171,"=4", $B$36:$B$171,"NO OFICIAL")</f>
        <v>0.29571428571428571</v>
      </c>
      <c r="CP33" s="526">
        <f t="shared" si="95"/>
        <v>0.60428571428571431</v>
      </c>
      <c r="CQ33" s="526">
        <f t="shared" si="95"/>
        <v>5.8571428571428566E-2</v>
      </c>
      <c r="CR33" s="526">
        <f t="shared" si="95"/>
        <v>0.52428571428571435</v>
      </c>
      <c r="CS33" s="526">
        <f t="shared" si="95"/>
        <v>0.47000000000000003</v>
      </c>
      <c r="CT33" s="526">
        <f t="shared" si="95"/>
        <v>0.37142857142857139</v>
      </c>
    </row>
    <row r="34" spans="1:98" ht="24.95" customHeight="1" x14ac:dyDescent="0.2">
      <c r="A34" s="6" t="s">
        <v>905</v>
      </c>
      <c r="B34" s="301"/>
      <c r="C34" s="301"/>
      <c r="D34" s="129">
        <f t="shared" ref="D34:AW34" si="96">AVERAGEIFS(D$36:D$171,$C$36:$C$171,"=5", $B$36:$B$171,"NO OFICIAL")</f>
        <v>54.928571428571431</v>
      </c>
      <c r="E34" s="129">
        <f t="shared" si="96"/>
        <v>8.2142857142857135</v>
      </c>
      <c r="F34" s="39">
        <f t="shared" si="96"/>
        <v>2.1428571428571432E-2</v>
      </c>
      <c r="G34" s="39">
        <f t="shared" si="96"/>
        <v>0.29214285714285715</v>
      </c>
      <c r="H34" s="39">
        <f t="shared" si="96"/>
        <v>0.65928571428571436</v>
      </c>
      <c r="I34" s="39">
        <f t="shared" si="96"/>
        <v>2.642857142857143E-2</v>
      </c>
      <c r="J34" s="39">
        <f t="shared" si="96"/>
        <v>0.48714285714285716</v>
      </c>
      <c r="K34" s="39">
        <f t="shared" si="96"/>
        <v>0.43214285714285711</v>
      </c>
      <c r="L34" s="39">
        <f t="shared" si="96"/>
        <v>0.48999999999999994</v>
      </c>
      <c r="M34" s="129">
        <f t="shared" si="96"/>
        <v>55.071428571428569</v>
      </c>
      <c r="N34" s="129">
        <f t="shared" si="96"/>
        <v>9.5</v>
      </c>
      <c r="O34" s="39">
        <f t="shared" si="96"/>
        <v>3.5714285714285712E-2</v>
      </c>
      <c r="P34" s="39">
        <f t="shared" si="96"/>
        <v>0.26928571428571429</v>
      </c>
      <c r="Q34" s="39">
        <f t="shared" si="96"/>
        <v>0.64857142857142858</v>
      </c>
      <c r="R34" s="39">
        <f t="shared" si="96"/>
        <v>4.5000000000000005E-2</v>
      </c>
      <c r="S34" s="39">
        <f t="shared" si="96"/>
        <v>0.43571428571428578</v>
      </c>
      <c r="T34" s="39">
        <f t="shared" si="96"/>
        <v>0.49714285714285716</v>
      </c>
      <c r="U34" s="39">
        <f t="shared" si="96"/>
        <v>0.31428571428571433</v>
      </c>
      <c r="V34" s="129">
        <f t="shared" si="96"/>
        <v>55.333333333333336</v>
      </c>
      <c r="W34" s="129">
        <f t="shared" si="96"/>
        <v>8.4666666666666668</v>
      </c>
      <c r="X34" s="39">
        <f t="shared" si="96"/>
        <v>0.02</v>
      </c>
      <c r="Y34" s="39">
        <f t="shared" si="96"/>
        <v>0.30785714285714288</v>
      </c>
      <c r="Z34" s="39">
        <f t="shared" si="96"/>
        <v>0.62214285714285711</v>
      </c>
      <c r="AA34" s="39">
        <f t="shared" si="96"/>
        <v>4.9999999999999996E-2</v>
      </c>
      <c r="AB34" s="39">
        <f t="shared" si="96"/>
        <v>0.4271428571428571</v>
      </c>
      <c r="AC34" s="39">
        <f t="shared" si="96"/>
        <v>0.34357142857142858</v>
      </c>
      <c r="AD34" s="39">
        <f t="shared" si="96"/>
        <v>0.47357142857142859</v>
      </c>
      <c r="AE34" s="129">
        <f t="shared" si="96"/>
        <v>55.625</v>
      </c>
      <c r="AF34" s="129">
        <f t="shared" si="96"/>
        <v>8.5</v>
      </c>
      <c r="AG34" s="39">
        <f t="shared" si="96"/>
        <v>1.4666666666666665E-2</v>
      </c>
      <c r="AH34" s="39">
        <f t="shared" si="96"/>
        <v>0.27066666666666667</v>
      </c>
      <c r="AI34" s="39">
        <f t="shared" si="96"/>
        <v>0.66666666666666663</v>
      </c>
      <c r="AJ34" s="39">
        <f t="shared" si="96"/>
        <v>4.8000000000000015E-2</v>
      </c>
      <c r="AK34" s="39">
        <f t="shared" si="96"/>
        <v>0.47666666666666668</v>
      </c>
      <c r="AL34" s="39">
        <f t="shared" si="96"/>
        <v>0.40866666666666668</v>
      </c>
      <c r="AM34" s="39">
        <f t="shared" si="96"/>
        <v>0.24600000000000002</v>
      </c>
      <c r="AN34" s="129">
        <f t="shared" si="96"/>
        <v>56.2</v>
      </c>
      <c r="AO34" s="129">
        <f t="shared" si="96"/>
        <v>9.1999999999999993</v>
      </c>
      <c r="AP34" s="39">
        <f t="shared" si="96"/>
        <v>1.8000000000000002E-2</v>
      </c>
      <c r="AQ34" s="39">
        <f t="shared" si="96"/>
        <v>0.25</v>
      </c>
      <c r="AR34" s="39">
        <f t="shared" si="96"/>
        <v>0.68933333333333335</v>
      </c>
      <c r="AS34" s="39">
        <f t="shared" si="96"/>
        <v>4.3999999999999997E-2</v>
      </c>
      <c r="AT34" s="39">
        <f t="shared" si="96"/>
        <v>0.21933333333333332</v>
      </c>
      <c r="AU34" s="39">
        <f t="shared" si="96"/>
        <v>0.45266666666666666</v>
      </c>
      <c r="AV34" s="39">
        <f t="shared" si="96"/>
        <v>0.44000000000000006</v>
      </c>
      <c r="AW34" s="129">
        <f t="shared" si="96"/>
        <v>54.666666666666664</v>
      </c>
      <c r="AX34" s="245"/>
      <c r="AY34" s="129">
        <f>AVERAGEIFS(AY$36:AY$171,$C$36:$C$171,"=5", $B$36:$B$171,"NO OFICIAL")</f>
        <v>9</v>
      </c>
      <c r="AZ34" s="245"/>
      <c r="BA34" s="39">
        <f t="shared" ref="BA34:BH34" si="97">AVERAGEIFS(BA$36:BA$171,$C$36:$C$171,"=5", $B$36:$B$171,"NO OFICIAL")</f>
        <v>2.466666666666667E-2</v>
      </c>
      <c r="BB34" s="39">
        <f t="shared" si="97"/>
        <v>0.32400000000000001</v>
      </c>
      <c r="BC34" s="39">
        <f t="shared" si="97"/>
        <v>0.60399999999999998</v>
      </c>
      <c r="BD34" s="39">
        <f t="shared" si="97"/>
        <v>4.6000000000000013E-2</v>
      </c>
      <c r="BE34" s="39">
        <f t="shared" si="97"/>
        <v>0.24000000000000005</v>
      </c>
      <c r="BF34" s="39">
        <f t="shared" si="97"/>
        <v>0.47000000000000003</v>
      </c>
      <c r="BG34" s="39">
        <f t="shared" si="97"/>
        <v>0.42400000000000004</v>
      </c>
      <c r="BH34" s="129">
        <f t="shared" si="97"/>
        <v>56.142857142857146</v>
      </c>
      <c r="BJ34" s="129">
        <f>AVERAGEIFS(BJ$36:BJ$171,$C$36:$C$171,"=5", $B$36:$B$171,"NO OFICIAL")</f>
        <v>9.0714285714285712</v>
      </c>
      <c r="BO34" s="344">
        <f t="shared" ref="BO34:BY34" si="98">AVERAGEIFS(BO$36:BO$171,$C$36:$C$171,"=5", $B$36:$B$171,"NO OFICIAL")</f>
        <v>2.4999999999999998E-2</v>
      </c>
      <c r="BP34" s="344">
        <f t="shared" si="98"/>
        <v>0.22428571428571428</v>
      </c>
      <c r="BQ34" s="344">
        <f t="shared" si="98"/>
        <v>0.70071428571428562</v>
      </c>
      <c r="BR34" s="344">
        <f t="shared" si="98"/>
        <v>5.0714285714285712E-2</v>
      </c>
      <c r="BS34" s="344">
        <f t="shared" si="98"/>
        <v>0.44214285714285717</v>
      </c>
      <c r="BT34" s="344">
        <f t="shared" si="98"/>
        <v>0.5207142857142858</v>
      </c>
      <c r="BU34" s="531"/>
      <c r="BV34" s="531"/>
      <c r="BW34" s="531"/>
      <c r="BX34" s="344">
        <f t="shared" si="98"/>
        <v>0.31428571428571433</v>
      </c>
      <c r="BY34" s="129">
        <f t="shared" si="98"/>
        <v>56.428571428571431</v>
      </c>
      <c r="CA34" s="129">
        <f>AVERAGEIFS(CA$36:CA$171,$C$36:$C$171,"=5", $B$36:$B$171,"NO OFICIAL")</f>
        <v>8.9285714285714288</v>
      </c>
      <c r="CC34" s="344">
        <f t="shared" ref="CC34" si="99">AVERAGEIFS(CC$36:CC$171,$C$36:$C$171,"=5", $B$36:$B$171,"NO OFICIAL")</f>
        <v>2.0714285714285716E-2</v>
      </c>
      <c r="CD34" s="344">
        <f t="shared" ref="CD34:CJ34" si="100">AVERAGEIFS(CD$36:CD$171,$C$36:$C$171,"=5", $B$36:$B$171,"NO OFICIAL")</f>
        <v>0.26214285714285712</v>
      </c>
      <c r="CE34" s="344">
        <f t="shared" si="100"/>
        <v>0.63500000000000001</v>
      </c>
      <c r="CF34" s="344">
        <f t="shared" si="100"/>
        <v>8.2142857142857156E-2</v>
      </c>
      <c r="CG34" s="344">
        <f t="shared" si="100"/>
        <v>0.56785714285714284</v>
      </c>
      <c r="CH34" s="344">
        <f t="shared" si="100"/>
        <v>0.28999999999999998</v>
      </c>
      <c r="CI34" s="344">
        <f t="shared" si="100"/>
        <v>0.52928571428571436</v>
      </c>
      <c r="CJ34" s="494">
        <f t="shared" si="100"/>
        <v>55.93333333333333</v>
      </c>
      <c r="CL34" s="302">
        <f>AVERAGEIFS(CL$36:CL$171,$C$36:$C$171,"=5", $B$36:$B$171,"NO OFICIAL")</f>
        <v>9.4666666666666668</v>
      </c>
      <c r="CN34" s="526">
        <f>AVERAGEIFS(CN$36:CN$171,$C$36:$C$171,"=5", $B$36:$B$171,"NO OFICIAL")</f>
        <v>4.0000000000000001E-3</v>
      </c>
      <c r="CO34" s="526">
        <f t="shared" ref="CO34:CT34" si="101">AVERAGEIFS(CO$36:CO$171,$C$36:$C$171,"=5", $B$36:$B$171,"NO OFICIAL")</f>
        <v>0.316</v>
      </c>
      <c r="CP34" s="526">
        <f t="shared" si="101"/>
        <v>0.61399999999999999</v>
      </c>
      <c r="CQ34" s="526">
        <f t="shared" si="101"/>
        <v>6.5333333333333327E-2</v>
      </c>
      <c r="CR34" s="526">
        <f t="shared" si="101"/>
        <v>0.52266666666666672</v>
      </c>
      <c r="CS34" s="526">
        <f t="shared" si="101"/>
        <v>0.46800000000000003</v>
      </c>
      <c r="CT34" s="526">
        <f t="shared" si="101"/>
        <v>0.3826666666666666</v>
      </c>
    </row>
    <row r="35" spans="1:98" ht="24.95" customHeight="1" x14ac:dyDescent="0.2">
      <c r="A35" s="6" t="s">
        <v>906</v>
      </c>
      <c r="B35" s="301"/>
      <c r="C35" s="301"/>
      <c r="D35" s="129">
        <f t="shared" ref="D35:AW35" si="102">AVERAGEIFS(D$36:D$171,$C$36:$C$171,"=6", $B$36:$B$171,"NO OFICIAL")</f>
        <v>52.81818181818182</v>
      </c>
      <c r="E35" s="129">
        <f t="shared" si="102"/>
        <v>7.3636363636363633</v>
      </c>
      <c r="F35" s="39">
        <f t="shared" si="102"/>
        <v>0.10454545454545455</v>
      </c>
      <c r="G35" s="39">
        <f t="shared" si="102"/>
        <v>0.28545454545454552</v>
      </c>
      <c r="H35" s="39">
        <f t="shared" si="102"/>
        <v>0.59818181818181815</v>
      </c>
      <c r="I35" s="39">
        <f t="shared" si="102"/>
        <v>1.0909090909090908E-2</v>
      </c>
      <c r="J35" s="39">
        <f t="shared" si="102"/>
        <v>0.51727272727272711</v>
      </c>
      <c r="K35" s="39">
        <f t="shared" si="102"/>
        <v>0.43272727272727268</v>
      </c>
      <c r="L35" s="39">
        <f t="shared" si="102"/>
        <v>0.51818181818181808</v>
      </c>
      <c r="M35" s="129">
        <f t="shared" si="102"/>
        <v>51.090909090909093</v>
      </c>
      <c r="N35" s="129">
        <f t="shared" si="102"/>
        <v>10</v>
      </c>
      <c r="O35" s="39">
        <f t="shared" si="102"/>
        <v>8.8181818181818195E-2</v>
      </c>
      <c r="P35" s="39">
        <f t="shared" si="102"/>
        <v>0.37545454545454543</v>
      </c>
      <c r="Q35" s="39">
        <f t="shared" si="102"/>
        <v>0.5154545454545455</v>
      </c>
      <c r="R35" s="39">
        <f t="shared" si="102"/>
        <v>2.0909090909090908E-2</v>
      </c>
      <c r="S35" s="39">
        <f t="shared" si="102"/>
        <v>0.49000000000000005</v>
      </c>
      <c r="T35" s="39">
        <f t="shared" si="102"/>
        <v>0.55727272727272736</v>
      </c>
      <c r="U35" s="39">
        <f t="shared" si="102"/>
        <v>0.36454545454545451</v>
      </c>
      <c r="V35" s="129">
        <f t="shared" si="102"/>
        <v>52.8</v>
      </c>
      <c r="W35" s="129">
        <f t="shared" si="102"/>
        <v>8.5</v>
      </c>
      <c r="X35" s="39">
        <f t="shared" si="102"/>
        <v>2.2500000000000003E-2</v>
      </c>
      <c r="Y35" s="39">
        <f t="shared" si="102"/>
        <v>0.39666666666666656</v>
      </c>
      <c r="Z35" s="39">
        <f t="shared" si="102"/>
        <v>0.56416666666666659</v>
      </c>
      <c r="AA35" s="39">
        <f t="shared" si="102"/>
        <v>1.9166666666666669E-2</v>
      </c>
      <c r="AB35" s="39">
        <f t="shared" si="102"/>
        <v>0.49583333333333335</v>
      </c>
      <c r="AC35" s="39">
        <f t="shared" si="102"/>
        <v>0.36250000000000004</v>
      </c>
      <c r="AD35" s="39">
        <f t="shared" si="102"/>
        <v>0.51083333333333336</v>
      </c>
      <c r="AE35" s="129">
        <f t="shared" si="102"/>
        <v>54.272727272727273</v>
      </c>
      <c r="AF35" s="129">
        <f t="shared" si="102"/>
        <v>11.090909090909092</v>
      </c>
      <c r="AG35" s="39">
        <f t="shared" si="102"/>
        <v>4.3076923076923082E-2</v>
      </c>
      <c r="AH35" s="39">
        <f t="shared" si="102"/>
        <v>0.34846153846153843</v>
      </c>
      <c r="AI35" s="39">
        <f t="shared" si="102"/>
        <v>0.56769230769230772</v>
      </c>
      <c r="AJ35" s="39">
        <f t="shared" si="102"/>
        <v>3.9230769230769229E-2</v>
      </c>
      <c r="AK35" s="39">
        <f t="shared" si="102"/>
        <v>0.51230769230769235</v>
      </c>
      <c r="AL35" s="39">
        <f t="shared" si="102"/>
        <v>0.44692307692307698</v>
      </c>
      <c r="AM35" s="39">
        <f t="shared" si="102"/>
        <v>0.29076923076923078</v>
      </c>
      <c r="AN35" s="129">
        <f t="shared" si="102"/>
        <v>52.07692307692308</v>
      </c>
      <c r="AO35" s="129">
        <f t="shared" si="102"/>
        <v>8.8461538461538467</v>
      </c>
      <c r="AP35" s="39">
        <f t="shared" si="102"/>
        <v>3.0769230769230771E-2</v>
      </c>
      <c r="AQ35" s="39">
        <f t="shared" si="102"/>
        <v>0.3707692307692308</v>
      </c>
      <c r="AR35" s="39">
        <f t="shared" si="102"/>
        <v>0.57076923076923081</v>
      </c>
      <c r="AS35" s="39">
        <f t="shared" si="102"/>
        <v>2.7692307692307697E-2</v>
      </c>
      <c r="AT35" s="39">
        <f t="shared" si="102"/>
        <v>0.29384615384615381</v>
      </c>
      <c r="AU35" s="39">
        <f t="shared" si="102"/>
        <v>0.5130769230769231</v>
      </c>
      <c r="AV35" s="39">
        <f t="shared" si="102"/>
        <v>0.50230769230769234</v>
      </c>
      <c r="AW35" s="129">
        <f t="shared" si="102"/>
        <v>52.230769230769234</v>
      </c>
      <c r="AX35" s="245"/>
      <c r="AY35" s="129">
        <f>AVERAGEIFS(AY$36:AY$171,$C$36:$C$171,"=6", $B$36:$B$171,"NO OFICIAL")</f>
        <v>7.2307692307692308</v>
      </c>
      <c r="AZ35" s="245"/>
      <c r="BA35" s="39">
        <f t="shared" ref="BA35:BH35" si="103">AVERAGEIFS(BA$36:BA$171,$C$36:$C$171,"=6", $B$36:$B$171,"NO OFICIAL")</f>
        <v>3.0769230769230771E-2</v>
      </c>
      <c r="BB35" s="39">
        <f t="shared" si="103"/>
        <v>0.43461538461538463</v>
      </c>
      <c r="BC35" s="39">
        <f t="shared" si="103"/>
        <v>0.49923076923076926</v>
      </c>
      <c r="BD35" s="39">
        <f t="shared" si="103"/>
        <v>3.4615384615384617E-2</v>
      </c>
      <c r="BE35" s="39">
        <f t="shared" si="103"/>
        <v>0.24999999999999997</v>
      </c>
      <c r="BF35" s="39">
        <f t="shared" si="103"/>
        <v>0.51230769230769235</v>
      </c>
      <c r="BG35" s="39">
        <f t="shared" si="103"/>
        <v>0.47769230769230769</v>
      </c>
      <c r="BH35" s="129">
        <f t="shared" si="103"/>
        <v>52.533333333333331</v>
      </c>
      <c r="BJ35" s="129">
        <f>AVERAGEIFS(BJ$36:BJ$171,$C$36:$C$171,"=6", $B$36:$B$171,"NO OFICIAL")</f>
        <v>10.066666666666666</v>
      </c>
      <c r="BO35" s="344">
        <f t="shared" ref="BO35:BY35" si="104">AVERAGEIFS(BO$36:BO$171,$C$36:$C$171,"=6", $B$36:$B$171,"NO OFICIAL")</f>
        <v>7.8000000000000014E-2</v>
      </c>
      <c r="BP35" s="344">
        <f t="shared" si="104"/>
        <v>0.34666666666666668</v>
      </c>
      <c r="BQ35" s="344">
        <f t="shared" si="104"/>
        <v>0.52199999999999991</v>
      </c>
      <c r="BR35" s="344">
        <f t="shared" si="104"/>
        <v>5.6666666666666671E-2</v>
      </c>
      <c r="BS35" s="344">
        <f t="shared" si="104"/>
        <v>0.51466666666666672</v>
      </c>
      <c r="BT35" s="344">
        <f t="shared" si="104"/>
        <v>0.58799999999999997</v>
      </c>
      <c r="BU35" s="531"/>
      <c r="BV35" s="531"/>
      <c r="BW35" s="531"/>
      <c r="BX35" s="344">
        <f t="shared" si="104"/>
        <v>0.3866666666666666</v>
      </c>
      <c r="BY35" s="129">
        <f t="shared" si="104"/>
        <v>54.25</v>
      </c>
      <c r="CA35" s="129">
        <f>AVERAGEIFS(CA$36:CA$171,$C$36:$C$171,"=6", $B$36:$B$171,"NO OFICIAL")</f>
        <v>8.5</v>
      </c>
      <c r="CC35" s="344">
        <f t="shared" ref="CC35" si="105">AVERAGEIFS(CC$36:CC$171,$C$36:$C$171,"=6", $B$36:$B$171,"NO OFICIAL")</f>
        <v>3.8750000000000007E-2</v>
      </c>
      <c r="CD35" s="344">
        <f t="shared" ref="CD35:CJ35" si="106">AVERAGEIFS(CD$36:CD$171,$C$36:$C$171,"=6", $B$36:$B$171,"NO OFICIAL")</f>
        <v>0.2525</v>
      </c>
      <c r="CE35" s="344">
        <f t="shared" si="106"/>
        <v>0.66249999999999998</v>
      </c>
      <c r="CF35" s="344">
        <f t="shared" si="106"/>
        <v>4.6875000000000014E-2</v>
      </c>
      <c r="CG35" s="344">
        <f t="shared" si="106"/>
        <v>0.59375</v>
      </c>
      <c r="CH35" s="344">
        <f t="shared" si="106"/>
        <v>0.34125</v>
      </c>
      <c r="CI35" s="344">
        <f t="shared" si="106"/>
        <v>0.56062500000000015</v>
      </c>
      <c r="CJ35" s="494">
        <f t="shared" si="106"/>
        <v>54.357142857142854</v>
      </c>
      <c r="CL35" s="302">
        <f>AVERAGEIFS(CL$36:CL$171,$C$36:$C$171,"=6", $B$36:$B$171,"NO OFICIAL")</f>
        <v>9.2142857142857135</v>
      </c>
      <c r="CN35" s="526">
        <f>AVERAGEIFS(CN$36:CN$171,$C$36:$C$171,"=6", $B$36:$B$171,"NO OFICIAL")</f>
        <v>3.2857142857142863E-2</v>
      </c>
      <c r="CO35" s="526">
        <f t="shared" ref="CO35:CT35" si="107">AVERAGEIFS(CO$36:CO$171,$C$36:$C$171,"=6", $B$36:$B$171,"NO OFICIAL")</f>
        <v>0.33785714285714291</v>
      </c>
      <c r="CP35" s="526">
        <f t="shared" si="107"/>
        <v>0.56999999999999995</v>
      </c>
      <c r="CQ35" s="526">
        <f t="shared" si="107"/>
        <v>0.06</v>
      </c>
      <c r="CR35" s="526">
        <f t="shared" si="107"/>
        <v>0.53999999999999992</v>
      </c>
      <c r="CS35" s="526">
        <f t="shared" si="107"/>
        <v>0.49071428571428566</v>
      </c>
      <c r="CT35" s="526">
        <f t="shared" si="107"/>
        <v>0.39714285714285719</v>
      </c>
    </row>
    <row r="36" spans="1:98" ht="24.95" customHeight="1" x14ac:dyDescent="0.2">
      <c r="A36" s="126" t="s">
        <v>29</v>
      </c>
      <c r="B36" s="1" t="s">
        <v>221</v>
      </c>
      <c r="C36" s="12">
        <v>2</v>
      </c>
      <c r="D36" s="12">
        <v>51</v>
      </c>
      <c r="E36" s="12">
        <v>9</v>
      </c>
      <c r="F36" s="66">
        <v>0.06</v>
      </c>
      <c r="G36" s="66">
        <v>0.46</v>
      </c>
      <c r="H36" s="66">
        <v>0.49</v>
      </c>
      <c r="I36" s="66">
        <v>0</v>
      </c>
      <c r="J36" s="66">
        <v>0.54</v>
      </c>
      <c r="K36" s="66">
        <v>0.47</v>
      </c>
      <c r="L36" s="66">
        <v>0.57999999999999996</v>
      </c>
      <c r="M36" s="12">
        <v>50</v>
      </c>
      <c r="N36" s="12">
        <v>9</v>
      </c>
      <c r="O36" s="40">
        <v>0.03</v>
      </c>
      <c r="P36" s="40">
        <v>0.47</v>
      </c>
      <c r="Q36" s="40">
        <v>0.48</v>
      </c>
      <c r="R36" s="40">
        <v>0.01</v>
      </c>
      <c r="S36" s="40">
        <v>0.48</v>
      </c>
      <c r="T36" s="40">
        <v>0.6</v>
      </c>
      <c r="U36" s="40">
        <v>0.39</v>
      </c>
      <c r="V36" s="12">
        <v>51</v>
      </c>
      <c r="W36" s="12">
        <v>8</v>
      </c>
      <c r="X36" s="66">
        <v>0.02</v>
      </c>
      <c r="Y36" s="66">
        <v>0.45</v>
      </c>
      <c r="Z36" s="66">
        <v>0.54</v>
      </c>
      <c r="AA36" s="66">
        <v>0</v>
      </c>
      <c r="AB36" s="66">
        <v>0.52</v>
      </c>
      <c r="AC36" s="66">
        <v>0.38</v>
      </c>
      <c r="AD36" s="66">
        <v>0.54</v>
      </c>
      <c r="AE36" s="12">
        <v>51</v>
      </c>
      <c r="AF36" s="12">
        <v>9</v>
      </c>
      <c r="AG36" s="66">
        <v>0.04</v>
      </c>
      <c r="AH36" s="66">
        <v>0.38</v>
      </c>
      <c r="AI36" s="66">
        <v>0.56000000000000005</v>
      </c>
      <c r="AJ36" s="66">
        <v>0.01</v>
      </c>
      <c r="AK36" s="66">
        <v>0.56000000000000005</v>
      </c>
      <c r="AL36" s="66">
        <v>0.48</v>
      </c>
      <c r="AM36" s="66">
        <v>0.31</v>
      </c>
      <c r="AN36" s="35">
        <v>54</v>
      </c>
      <c r="AO36" s="35">
        <v>11</v>
      </c>
      <c r="AP36" s="40">
        <v>0.03</v>
      </c>
      <c r="AQ36" s="40">
        <v>0.37</v>
      </c>
      <c r="AR36" s="40">
        <v>0.51</v>
      </c>
      <c r="AS36" s="40">
        <v>0.08</v>
      </c>
      <c r="AT36" s="40">
        <v>0.28999999999999998</v>
      </c>
      <c r="AU36" s="40">
        <v>0.46</v>
      </c>
      <c r="AV36" s="40">
        <v>0.49</v>
      </c>
      <c r="AW36" s="247">
        <v>51</v>
      </c>
      <c r="AX36" s="247" t="s">
        <v>874</v>
      </c>
      <c r="AY36" s="247">
        <v>9</v>
      </c>
      <c r="AZ36" s="247" t="s">
        <v>874</v>
      </c>
      <c r="BA36" s="264">
        <v>7.0000000000000007E-2</v>
      </c>
      <c r="BB36" s="264">
        <v>0.38</v>
      </c>
      <c r="BC36" s="264">
        <v>0.52</v>
      </c>
      <c r="BD36" s="264">
        <v>0.03</v>
      </c>
      <c r="BE36" s="264">
        <v>0.26</v>
      </c>
      <c r="BF36" s="264">
        <v>0.53</v>
      </c>
      <c r="BG36" s="264">
        <v>0.48</v>
      </c>
    </row>
    <row r="37" spans="1:98" ht="24.95" customHeight="1" x14ac:dyDescent="0.2">
      <c r="A37" s="749" t="s">
        <v>1095</v>
      </c>
      <c r="B37" s="14" t="s">
        <v>221</v>
      </c>
      <c r="C37" s="746"/>
      <c r="D37" s="746"/>
      <c r="E37" s="746"/>
      <c r="F37" s="809"/>
      <c r="G37" s="809"/>
      <c r="H37" s="809"/>
      <c r="I37" s="809"/>
      <c r="J37" s="809"/>
      <c r="K37" s="809"/>
      <c r="L37" s="809"/>
      <c r="M37" s="746"/>
      <c r="N37" s="746"/>
      <c r="O37" s="811"/>
      <c r="P37" s="811"/>
      <c r="Q37" s="811"/>
      <c r="R37" s="811"/>
      <c r="S37" s="811"/>
      <c r="T37" s="811"/>
      <c r="U37" s="811"/>
      <c r="V37" s="746"/>
      <c r="W37" s="746"/>
      <c r="X37" s="809"/>
      <c r="Y37" s="809"/>
      <c r="Z37" s="809"/>
      <c r="AA37" s="809"/>
      <c r="AB37" s="809"/>
      <c r="AC37" s="809"/>
      <c r="AD37" s="809"/>
      <c r="AE37" s="746"/>
      <c r="AF37" s="746"/>
      <c r="AG37" s="809"/>
      <c r="AH37" s="809"/>
      <c r="AI37" s="809"/>
      <c r="AJ37" s="809"/>
      <c r="AK37" s="809"/>
      <c r="AL37" s="809"/>
      <c r="AM37" s="809"/>
      <c r="AN37" s="810"/>
      <c r="AO37" s="810"/>
      <c r="AP37" s="811"/>
      <c r="AQ37" s="811"/>
      <c r="AR37" s="811"/>
      <c r="AS37" s="811"/>
      <c r="AT37" s="811"/>
      <c r="AU37" s="811"/>
      <c r="AV37" s="811"/>
      <c r="AW37" s="812"/>
      <c r="AX37" s="812"/>
      <c r="AY37" s="812"/>
      <c r="AZ37" s="812"/>
      <c r="BA37" s="813"/>
      <c r="BB37" s="813"/>
      <c r="BC37" s="813"/>
      <c r="BD37" s="813"/>
      <c r="BE37" s="813"/>
      <c r="BF37" s="813"/>
      <c r="BG37" s="813"/>
    </row>
    <row r="38" spans="1:98" ht="24.95" customHeight="1" x14ac:dyDescent="0.2">
      <c r="A38" s="36" t="s">
        <v>270</v>
      </c>
      <c r="B38" s="14" t="s">
        <v>221</v>
      </c>
      <c r="C38" s="12">
        <v>2</v>
      </c>
      <c r="D38" s="12"/>
      <c r="E38" s="12"/>
      <c r="F38" s="12"/>
      <c r="G38" s="12"/>
      <c r="H38" s="12"/>
      <c r="I38" s="12"/>
      <c r="J38" s="12"/>
      <c r="K38" s="12"/>
      <c r="L38" s="12"/>
      <c r="M38" s="12" t="s">
        <v>224</v>
      </c>
      <c r="N38" s="12" t="s">
        <v>224</v>
      </c>
      <c r="O38" s="40"/>
      <c r="P38" s="40"/>
      <c r="Q38" s="40"/>
      <c r="R38" s="40"/>
      <c r="S38" s="40"/>
      <c r="T38" s="40"/>
      <c r="U38" s="40"/>
      <c r="V38" s="12" t="s">
        <v>224</v>
      </c>
      <c r="W38" s="12" t="s">
        <v>224</v>
      </c>
      <c r="X38" s="12"/>
      <c r="Y38" s="12"/>
      <c r="Z38" s="12"/>
      <c r="AA38" s="12"/>
      <c r="AB38" s="12"/>
      <c r="AC38" s="12"/>
      <c r="AD38" s="12"/>
      <c r="AE38" s="12" t="s">
        <v>224</v>
      </c>
      <c r="AF38" s="12" t="s">
        <v>224</v>
      </c>
      <c r="AG38" s="12"/>
      <c r="AH38" s="12"/>
      <c r="AI38" s="12"/>
      <c r="AJ38" s="12"/>
      <c r="AK38" s="12"/>
      <c r="AL38" s="12"/>
      <c r="AM38" s="12"/>
      <c r="AN38" s="35">
        <v>45</v>
      </c>
      <c r="AO38" s="35">
        <v>3</v>
      </c>
      <c r="AP38" s="40">
        <v>0</v>
      </c>
      <c r="AQ38" s="40">
        <v>1</v>
      </c>
      <c r="AR38" s="40">
        <v>0</v>
      </c>
      <c r="AS38" s="40">
        <v>0</v>
      </c>
      <c r="AT38" s="40">
        <v>0.28999999999999998</v>
      </c>
      <c r="AU38" s="40">
        <v>0.5</v>
      </c>
      <c r="AV38" s="40">
        <v>1</v>
      </c>
      <c r="AW38" s="247">
        <v>52</v>
      </c>
      <c r="AX38" s="247" t="s">
        <v>874</v>
      </c>
      <c r="AY38" s="247">
        <v>0</v>
      </c>
      <c r="AZ38" s="247" t="s">
        <v>876</v>
      </c>
      <c r="BA38" s="264">
        <v>0</v>
      </c>
      <c r="BB38" s="264">
        <v>0</v>
      </c>
      <c r="BC38" s="264">
        <v>1</v>
      </c>
      <c r="BD38" s="264">
        <v>0</v>
      </c>
      <c r="BE38" s="264">
        <v>0.33</v>
      </c>
      <c r="BF38" s="264">
        <v>0.53</v>
      </c>
      <c r="BG38" s="264">
        <v>0.5</v>
      </c>
      <c r="BH38" s="311">
        <v>45</v>
      </c>
      <c r="BI38" s="311" t="s">
        <v>876</v>
      </c>
      <c r="BJ38" s="311">
        <v>18</v>
      </c>
      <c r="BK38" s="311" t="s">
        <v>875</v>
      </c>
      <c r="BL38" s="466"/>
      <c r="BM38" s="466"/>
      <c r="BN38" s="466"/>
      <c r="BO38" s="329">
        <v>0.33</v>
      </c>
      <c r="BP38" s="329">
        <v>0.33</v>
      </c>
      <c r="BQ38" s="329">
        <v>0.33</v>
      </c>
      <c r="BR38" s="329">
        <v>0</v>
      </c>
      <c r="BS38" s="329">
        <v>0.48</v>
      </c>
      <c r="BT38" s="329">
        <v>0.64</v>
      </c>
      <c r="BU38" s="480"/>
      <c r="BV38" s="480"/>
      <c r="BW38" s="480"/>
      <c r="BX38" s="329">
        <v>0.57999999999999996</v>
      </c>
      <c r="BY38" s="426">
        <v>44</v>
      </c>
      <c r="BZ38" s="426" t="s">
        <v>876</v>
      </c>
      <c r="CA38" s="426">
        <v>0</v>
      </c>
      <c r="CB38" s="426" t="s">
        <v>876</v>
      </c>
      <c r="CC38" s="430">
        <v>0</v>
      </c>
      <c r="CD38" s="430">
        <v>1</v>
      </c>
      <c r="CE38" s="430">
        <v>0</v>
      </c>
      <c r="CF38" s="430">
        <v>0</v>
      </c>
      <c r="CG38" s="430">
        <v>0.6</v>
      </c>
      <c r="CH38" s="430">
        <v>0.25</v>
      </c>
      <c r="CI38" s="430">
        <v>0.75</v>
      </c>
      <c r="CJ38" s="466">
        <v>45</v>
      </c>
      <c r="CK38" s="466" t="s">
        <v>876</v>
      </c>
      <c r="CL38" s="466">
        <v>9</v>
      </c>
      <c r="CM38" s="466" t="s">
        <v>874</v>
      </c>
      <c r="CN38" s="480">
        <v>0</v>
      </c>
      <c r="CO38" s="480">
        <v>0.5</v>
      </c>
      <c r="CP38" s="480">
        <v>0.5</v>
      </c>
      <c r="CQ38" s="480">
        <v>0</v>
      </c>
      <c r="CR38" s="480">
        <v>0.89</v>
      </c>
      <c r="CS38" s="480">
        <v>0.63</v>
      </c>
      <c r="CT38" s="480">
        <v>0.75</v>
      </c>
    </row>
    <row r="39" spans="1:98" ht="24.95" customHeight="1" x14ac:dyDescent="0.2">
      <c r="A39" s="560" t="s">
        <v>916</v>
      </c>
      <c r="B39" s="14" t="s">
        <v>221</v>
      </c>
      <c r="C39" s="330">
        <v>2</v>
      </c>
      <c r="D39" s="330"/>
      <c r="E39" s="330"/>
      <c r="F39" s="330"/>
      <c r="G39" s="330"/>
      <c r="H39" s="330"/>
      <c r="I39" s="330"/>
      <c r="J39" s="330"/>
      <c r="K39" s="330"/>
      <c r="L39" s="330"/>
      <c r="M39" s="330"/>
      <c r="N39" s="330"/>
      <c r="O39" s="333"/>
      <c r="P39" s="333"/>
      <c r="Q39" s="333"/>
      <c r="R39" s="333"/>
      <c r="S39" s="333"/>
      <c r="T39" s="333"/>
      <c r="U39" s="333"/>
      <c r="V39" s="330"/>
      <c r="W39" s="330"/>
      <c r="X39" s="330"/>
      <c r="Y39" s="330"/>
      <c r="Z39" s="330"/>
      <c r="AA39" s="330"/>
      <c r="AB39" s="330"/>
      <c r="AC39" s="330"/>
      <c r="AD39" s="330"/>
      <c r="AE39" s="330"/>
      <c r="AF39" s="330"/>
      <c r="AG39" s="330"/>
      <c r="AH39" s="330"/>
      <c r="AI39" s="330"/>
      <c r="AJ39" s="330"/>
      <c r="AK39" s="330"/>
      <c r="AL39" s="330"/>
      <c r="AM39" s="330"/>
      <c r="AN39" s="313"/>
      <c r="AO39" s="313"/>
      <c r="AP39" s="333"/>
      <c r="AQ39" s="333"/>
      <c r="AR39" s="333"/>
      <c r="AS39" s="333"/>
      <c r="AT39" s="333"/>
      <c r="AU39" s="333"/>
      <c r="AV39" s="333"/>
      <c r="AW39" s="314"/>
      <c r="AX39" s="314"/>
      <c r="AY39" s="314"/>
      <c r="AZ39" s="314"/>
      <c r="BA39" s="334"/>
      <c r="BB39" s="334"/>
      <c r="BC39" s="334"/>
      <c r="BD39" s="334"/>
      <c r="BE39" s="334"/>
      <c r="BF39" s="334"/>
      <c r="BG39" s="334"/>
      <c r="BH39" s="311">
        <v>41</v>
      </c>
      <c r="BI39" s="311" t="s">
        <v>876</v>
      </c>
      <c r="BJ39" s="311">
        <v>9</v>
      </c>
      <c r="BK39" s="311" t="s">
        <v>874</v>
      </c>
      <c r="BL39" s="466"/>
      <c r="BM39" s="466"/>
      <c r="BN39" s="466"/>
      <c r="BO39" s="329">
        <v>0.5</v>
      </c>
      <c r="BP39" s="329">
        <v>0.38</v>
      </c>
      <c r="BQ39" s="329">
        <v>0.13</v>
      </c>
      <c r="BR39" s="329">
        <v>0</v>
      </c>
      <c r="BS39" s="329">
        <v>0.75</v>
      </c>
      <c r="BT39" s="329">
        <v>0.63</v>
      </c>
      <c r="BU39" s="480"/>
      <c r="BV39" s="480"/>
      <c r="BW39" s="480"/>
      <c r="BX39" s="329">
        <v>0.69</v>
      </c>
      <c r="BY39" s="426">
        <v>38</v>
      </c>
      <c r="BZ39" s="426" t="s">
        <v>876</v>
      </c>
      <c r="CA39" s="426">
        <v>9</v>
      </c>
      <c r="CB39" s="426" t="s">
        <v>874</v>
      </c>
      <c r="CC39" s="430">
        <v>0.25</v>
      </c>
      <c r="CD39" s="430">
        <v>0.75</v>
      </c>
      <c r="CE39" s="430">
        <v>0</v>
      </c>
      <c r="CF39" s="430">
        <v>0</v>
      </c>
      <c r="CG39" s="430">
        <v>0.89</v>
      </c>
      <c r="CH39" s="430">
        <v>0.75</v>
      </c>
      <c r="CI39" s="430">
        <v>0.75</v>
      </c>
      <c r="CJ39" s="426"/>
      <c r="CK39" s="426"/>
      <c r="CL39" s="426"/>
      <c r="CM39" s="426"/>
      <c r="CN39" s="430"/>
      <c r="CO39" s="430"/>
      <c r="CP39" s="430"/>
      <c r="CQ39" s="430"/>
      <c r="CR39" s="430"/>
      <c r="CS39" s="430"/>
      <c r="CT39" s="430"/>
    </row>
    <row r="40" spans="1:98" ht="24.95" customHeight="1" x14ac:dyDescent="0.2">
      <c r="A40" s="126" t="s">
        <v>34</v>
      </c>
      <c r="B40" s="1" t="s">
        <v>221</v>
      </c>
      <c r="C40" s="12">
        <v>3</v>
      </c>
      <c r="D40" s="12">
        <v>52</v>
      </c>
      <c r="E40" s="12">
        <v>6</v>
      </c>
      <c r="F40" s="66">
        <v>0</v>
      </c>
      <c r="G40" s="66">
        <v>0.43</v>
      </c>
      <c r="H40" s="66">
        <v>0.56999999999999995</v>
      </c>
      <c r="I40" s="66">
        <v>0</v>
      </c>
      <c r="J40" s="66">
        <v>0.52</v>
      </c>
      <c r="K40" s="66">
        <v>0.51</v>
      </c>
      <c r="L40" s="66">
        <v>0.55000000000000004</v>
      </c>
      <c r="M40" s="12">
        <v>49</v>
      </c>
      <c r="N40" s="12">
        <v>9</v>
      </c>
      <c r="O40" s="40">
        <v>7.0000000000000007E-2</v>
      </c>
      <c r="P40" s="40">
        <v>0.4</v>
      </c>
      <c r="Q40" s="40">
        <v>0.52</v>
      </c>
      <c r="R40" s="40">
        <v>0.02</v>
      </c>
      <c r="S40" s="40">
        <v>0.51</v>
      </c>
      <c r="T40" s="40">
        <v>0.6</v>
      </c>
      <c r="U40" s="40">
        <v>0.4</v>
      </c>
      <c r="V40" s="12">
        <v>49</v>
      </c>
      <c r="W40" s="12">
        <v>10</v>
      </c>
      <c r="X40" s="66">
        <v>0.04</v>
      </c>
      <c r="Y40" s="66">
        <v>0.46</v>
      </c>
      <c r="Z40" s="66">
        <v>0.5</v>
      </c>
      <c r="AA40" s="66">
        <v>0</v>
      </c>
      <c r="AB40" s="66">
        <v>0.54</v>
      </c>
      <c r="AC40" s="66">
        <v>0.4</v>
      </c>
      <c r="AD40" s="66">
        <v>0.59</v>
      </c>
      <c r="AE40" s="12">
        <v>49</v>
      </c>
      <c r="AF40" s="12">
        <v>8</v>
      </c>
      <c r="AG40" s="66">
        <v>0.08</v>
      </c>
      <c r="AH40" s="66">
        <v>0.56000000000000005</v>
      </c>
      <c r="AI40" s="66">
        <v>0.35</v>
      </c>
      <c r="AJ40" s="66">
        <v>0</v>
      </c>
      <c r="AK40" s="66">
        <v>0.6</v>
      </c>
      <c r="AL40" s="66">
        <v>0.49</v>
      </c>
      <c r="AM40" s="66">
        <v>0.35</v>
      </c>
      <c r="AN40" s="35">
        <v>52</v>
      </c>
      <c r="AO40" s="35">
        <v>10</v>
      </c>
      <c r="AP40" s="40">
        <v>0.05</v>
      </c>
      <c r="AQ40" s="40">
        <v>0.38</v>
      </c>
      <c r="AR40" s="40">
        <v>0.52</v>
      </c>
      <c r="AS40" s="40">
        <v>0.05</v>
      </c>
      <c r="AT40" s="40">
        <v>0.28000000000000003</v>
      </c>
      <c r="AU40" s="40">
        <v>0.51</v>
      </c>
      <c r="AV40" s="40">
        <v>0.55000000000000004</v>
      </c>
      <c r="AW40" s="247">
        <v>51</v>
      </c>
      <c r="AX40" s="247" t="s">
        <v>874</v>
      </c>
      <c r="AY40" s="247">
        <v>9</v>
      </c>
      <c r="AZ40" s="247" t="s">
        <v>874</v>
      </c>
      <c r="BA40" s="264">
        <v>0.05</v>
      </c>
      <c r="BB40" s="264">
        <v>0.41</v>
      </c>
      <c r="BC40" s="264">
        <v>0.51</v>
      </c>
      <c r="BD40" s="264">
        <v>0.03</v>
      </c>
      <c r="BE40" s="264">
        <v>0.28999999999999998</v>
      </c>
      <c r="BF40" s="264">
        <v>0.51</v>
      </c>
      <c r="BG40" s="264">
        <v>0.47</v>
      </c>
      <c r="BH40" s="311">
        <v>52</v>
      </c>
      <c r="BI40" s="311" t="s">
        <v>874</v>
      </c>
      <c r="BJ40" s="311">
        <v>6</v>
      </c>
      <c r="BK40" s="311" t="s">
        <v>876</v>
      </c>
      <c r="BL40" s="466"/>
      <c r="BM40" s="466"/>
      <c r="BN40" s="466"/>
      <c r="BO40" s="329">
        <v>0</v>
      </c>
      <c r="BP40" s="329">
        <v>0.42</v>
      </c>
      <c r="BQ40" s="329">
        <v>0.57999999999999996</v>
      </c>
      <c r="BR40" s="329">
        <v>0</v>
      </c>
      <c r="BS40" s="329">
        <v>0.51</v>
      </c>
      <c r="BT40" s="329">
        <v>0.68</v>
      </c>
      <c r="BU40" s="480"/>
      <c r="BV40" s="480"/>
      <c r="BW40" s="480"/>
      <c r="BX40" s="329">
        <v>0.35</v>
      </c>
      <c r="BY40" s="426">
        <v>53</v>
      </c>
      <c r="BZ40" s="426" t="s">
        <v>874</v>
      </c>
      <c r="CA40" s="426">
        <v>11</v>
      </c>
      <c r="CB40" s="426" t="s">
        <v>874</v>
      </c>
      <c r="CC40" s="430">
        <v>0.13</v>
      </c>
      <c r="CD40" s="430">
        <v>0.17</v>
      </c>
      <c r="CE40" s="430">
        <v>0.71</v>
      </c>
      <c r="CF40" s="430">
        <v>0</v>
      </c>
      <c r="CG40" s="430">
        <v>0.67</v>
      </c>
      <c r="CH40" s="430">
        <v>0.42</v>
      </c>
      <c r="CI40" s="430">
        <v>0.56999999999999995</v>
      </c>
      <c r="CJ40" s="426">
        <v>51</v>
      </c>
      <c r="CK40" s="426" t="s">
        <v>874</v>
      </c>
      <c r="CL40" s="426">
        <v>9</v>
      </c>
      <c r="CM40" s="426" t="s">
        <v>874</v>
      </c>
      <c r="CN40" s="430">
        <v>0</v>
      </c>
      <c r="CO40" s="430">
        <v>0.42</v>
      </c>
      <c r="CP40" s="430">
        <v>0.57999999999999996</v>
      </c>
      <c r="CQ40" s="430">
        <v>0</v>
      </c>
      <c r="CR40" s="480">
        <v>0.56999999999999995</v>
      </c>
      <c r="CS40" s="480">
        <v>0.56000000000000005</v>
      </c>
      <c r="CT40" s="480">
        <v>0.43</v>
      </c>
    </row>
    <row r="41" spans="1:98" ht="24.95" customHeight="1" x14ac:dyDescent="0.2">
      <c r="A41" s="821" t="s">
        <v>271</v>
      </c>
      <c r="B41" s="1" t="s">
        <v>221</v>
      </c>
      <c r="C41" s="528">
        <v>4</v>
      </c>
      <c r="D41" s="528">
        <v>47</v>
      </c>
      <c r="E41" s="528">
        <v>8</v>
      </c>
      <c r="F41" s="529">
        <v>7.0000000000000007E-2</v>
      </c>
      <c r="G41" s="529">
        <v>0.59</v>
      </c>
      <c r="H41" s="529">
        <v>0.35</v>
      </c>
      <c r="I41" s="529">
        <v>0</v>
      </c>
      <c r="J41" s="529">
        <v>0.56999999999999995</v>
      </c>
      <c r="K41" s="529">
        <v>0.52</v>
      </c>
      <c r="L41" s="529">
        <v>0.64</v>
      </c>
      <c r="M41" s="528">
        <v>46</v>
      </c>
      <c r="N41" s="528">
        <v>9</v>
      </c>
      <c r="O41" s="643">
        <v>0.23</v>
      </c>
      <c r="P41" s="643">
        <v>0.41</v>
      </c>
      <c r="Q41" s="643">
        <v>0.36</v>
      </c>
      <c r="R41" s="643">
        <v>0</v>
      </c>
      <c r="S41" s="643">
        <v>0.55000000000000004</v>
      </c>
      <c r="T41" s="643">
        <v>0.65</v>
      </c>
      <c r="U41" s="643">
        <v>0.46</v>
      </c>
      <c r="V41" s="528">
        <v>48</v>
      </c>
      <c r="W41" s="528">
        <v>10</v>
      </c>
      <c r="X41" s="529">
        <v>0.14000000000000001</v>
      </c>
      <c r="Y41" s="529">
        <v>0.43</v>
      </c>
      <c r="Z41" s="529">
        <v>0.43</v>
      </c>
      <c r="AA41" s="529">
        <v>0</v>
      </c>
      <c r="AB41" s="529">
        <v>0.55000000000000004</v>
      </c>
      <c r="AC41" s="529">
        <v>0.43</v>
      </c>
      <c r="AD41" s="529">
        <v>0.56000000000000005</v>
      </c>
      <c r="AE41" s="528">
        <v>47</v>
      </c>
      <c r="AF41" s="528">
        <v>10</v>
      </c>
      <c r="AG41" s="529">
        <v>0.12</v>
      </c>
      <c r="AH41" s="529">
        <v>0.52</v>
      </c>
      <c r="AI41" s="529">
        <v>0.33</v>
      </c>
      <c r="AJ41" s="529">
        <v>0.02</v>
      </c>
      <c r="AK41" s="529">
        <v>0.59</v>
      </c>
      <c r="AL41" s="529">
        <v>0.55000000000000004</v>
      </c>
      <c r="AM41" s="529">
        <v>0.4</v>
      </c>
      <c r="AN41" s="644">
        <v>48</v>
      </c>
      <c r="AO41" s="644">
        <v>10</v>
      </c>
      <c r="AP41" s="643">
        <v>0.03</v>
      </c>
      <c r="AQ41" s="643">
        <v>0.65</v>
      </c>
      <c r="AR41" s="643">
        <v>0.33</v>
      </c>
      <c r="AS41" s="643">
        <v>0</v>
      </c>
      <c r="AT41" s="643">
        <v>0.33</v>
      </c>
      <c r="AU41" s="643">
        <v>0.62</v>
      </c>
      <c r="AV41" s="643">
        <v>0.55000000000000004</v>
      </c>
      <c r="AW41" s="645">
        <v>48</v>
      </c>
      <c r="AX41" s="645" t="s">
        <v>874</v>
      </c>
      <c r="AY41" s="645">
        <v>11</v>
      </c>
      <c r="AZ41" s="645" t="s">
        <v>874</v>
      </c>
      <c r="BA41" s="646">
        <v>0.17</v>
      </c>
      <c r="BB41" s="646">
        <v>0.44</v>
      </c>
      <c r="BC41" s="646">
        <v>0.37</v>
      </c>
      <c r="BD41" s="646">
        <v>0.02</v>
      </c>
      <c r="BE41" s="646">
        <v>0.38</v>
      </c>
      <c r="BF41" s="646">
        <v>0.56999999999999995</v>
      </c>
      <c r="BG41" s="646">
        <v>0.51</v>
      </c>
      <c r="BH41" s="466">
        <v>49</v>
      </c>
      <c r="BI41" s="466" t="s">
        <v>874</v>
      </c>
      <c r="BJ41" s="466">
        <v>10</v>
      </c>
      <c r="BK41" s="466" t="s">
        <v>874</v>
      </c>
      <c r="BL41" s="466"/>
      <c r="BM41" s="466"/>
      <c r="BN41" s="466"/>
      <c r="BO41" s="480">
        <v>7.0000000000000007E-2</v>
      </c>
      <c r="BP41" s="480">
        <v>0.5</v>
      </c>
      <c r="BQ41" s="480">
        <v>0.41</v>
      </c>
      <c r="BR41" s="480">
        <v>0.02</v>
      </c>
      <c r="BS41" s="480">
        <v>0.56999999999999995</v>
      </c>
      <c r="BT41" s="480">
        <v>0.65</v>
      </c>
      <c r="BU41" s="480"/>
      <c r="BV41" s="480"/>
      <c r="BW41" s="480"/>
      <c r="BX41" s="480">
        <v>0.45</v>
      </c>
      <c r="BY41" s="647">
        <v>53</v>
      </c>
      <c r="BZ41" s="647" t="s">
        <v>874</v>
      </c>
      <c r="CA41" s="647">
        <v>7</v>
      </c>
      <c r="CB41" s="647" t="s">
        <v>874</v>
      </c>
      <c r="CC41" s="648">
        <v>0</v>
      </c>
      <c r="CD41" s="648">
        <v>0.32</v>
      </c>
      <c r="CE41" s="648">
        <v>0.68</v>
      </c>
      <c r="CF41" s="648">
        <v>0</v>
      </c>
      <c r="CG41" s="648">
        <v>0.66</v>
      </c>
      <c r="CH41" s="648">
        <v>0.37</v>
      </c>
      <c r="CI41" s="648">
        <v>0.64</v>
      </c>
      <c r="CJ41" s="647">
        <v>56</v>
      </c>
      <c r="CK41" s="647" t="s">
        <v>874</v>
      </c>
      <c r="CL41" s="647">
        <v>9</v>
      </c>
      <c r="CM41" s="647" t="s">
        <v>874</v>
      </c>
      <c r="CN41" s="648">
        <v>0</v>
      </c>
      <c r="CO41" s="648">
        <v>0.38</v>
      </c>
      <c r="CP41" s="648">
        <v>0.54</v>
      </c>
      <c r="CQ41" s="648">
        <v>0.08</v>
      </c>
      <c r="CR41" s="480">
        <v>0.5</v>
      </c>
      <c r="CS41" s="480">
        <v>0.45</v>
      </c>
      <c r="CT41" s="480">
        <v>0.39</v>
      </c>
    </row>
    <row r="42" spans="1:98" ht="24.95" customHeight="1" x14ac:dyDescent="0.2">
      <c r="A42" s="822" t="s">
        <v>291</v>
      </c>
      <c r="B42" s="1" t="s">
        <v>221</v>
      </c>
      <c r="C42" s="528">
        <v>5</v>
      </c>
      <c r="D42" s="528"/>
      <c r="E42" s="528"/>
      <c r="F42" s="528"/>
      <c r="G42" s="528"/>
      <c r="H42" s="528"/>
      <c r="I42" s="528"/>
      <c r="J42" s="528"/>
      <c r="K42" s="528"/>
      <c r="L42" s="528"/>
      <c r="M42" s="528" t="s">
        <v>224</v>
      </c>
      <c r="N42" s="528" t="s">
        <v>224</v>
      </c>
      <c r="O42" s="643">
        <v>0</v>
      </c>
      <c r="P42" s="643">
        <v>0.56999999999999995</v>
      </c>
      <c r="Q42" s="643">
        <v>0.43</v>
      </c>
      <c r="R42" s="643">
        <v>0</v>
      </c>
      <c r="S42" s="643">
        <v>0.53</v>
      </c>
      <c r="T42" s="643">
        <v>0.6</v>
      </c>
      <c r="U42" s="643">
        <v>0.36</v>
      </c>
      <c r="V42" s="528">
        <v>53</v>
      </c>
      <c r="W42" s="528">
        <v>10</v>
      </c>
      <c r="X42" s="529">
        <v>0.04</v>
      </c>
      <c r="Y42" s="529">
        <v>0.48</v>
      </c>
      <c r="Z42" s="529">
        <v>0.48</v>
      </c>
      <c r="AA42" s="529">
        <v>0</v>
      </c>
      <c r="AB42" s="529">
        <v>0.45</v>
      </c>
      <c r="AC42" s="529">
        <v>0.4</v>
      </c>
      <c r="AD42" s="529">
        <v>0.49</v>
      </c>
      <c r="AE42" s="528">
        <v>48</v>
      </c>
      <c r="AF42" s="528">
        <v>9</v>
      </c>
      <c r="AG42" s="529">
        <v>0</v>
      </c>
      <c r="AH42" s="529">
        <v>0.45</v>
      </c>
      <c r="AI42" s="529">
        <v>0.5</v>
      </c>
      <c r="AJ42" s="529">
        <v>0.05</v>
      </c>
      <c r="AK42" s="529">
        <v>0.56000000000000005</v>
      </c>
      <c r="AL42" s="529">
        <v>0.48</v>
      </c>
      <c r="AM42" s="529">
        <v>0.31</v>
      </c>
      <c r="AN42" s="644">
        <v>51</v>
      </c>
      <c r="AO42" s="644">
        <v>10</v>
      </c>
      <c r="AP42" s="643">
        <v>0</v>
      </c>
      <c r="AQ42" s="643">
        <v>0.59</v>
      </c>
      <c r="AR42" s="643">
        <v>0.41</v>
      </c>
      <c r="AS42" s="643">
        <v>0</v>
      </c>
      <c r="AT42" s="643">
        <v>0.3</v>
      </c>
      <c r="AU42" s="643">
        <v>0.53</v>
      </c>
      <c r="AV42" s="643">
        <v>0.53</v>
      </c>
      <c r="AW42" s="645">
        <v>52</v>
      </c>
      <c r="AX42" s="645" t="s">
        <v>874</v>
      </c>
      <c r="AY42" s="645">
        <v>10</v>
      </c>
      <c r="AZ42" s="645" t="s">
        <v>874</v>
      </c>
      <c r="BA42" s="646">
        <v>0.04</v>
      </c>
      <c r="BB42" s="646">
        <v>0.38</v>
      </c>
      <c r="BC42" s="646">
        <v>0.54</v>
      </c>
      <c r="BD42" s="646">
        <v>0.04</v>
      </c>
      <c r="BE42" s="646">
        <v>0.24</v>
      </c>
      <c r="BF42" s="646">
        <v>0.51</v>
      </c>
      <c r="BG42" s="646">
        <v>0.5</v>
      </c>
      <c r="BH42" s="466">
        <v>56</v>
      </c>
      <c r="BI42" s="466" t="s">
        <v>874</v>
      </c>
      <c r="BJ42" s="466">
        <v>13</v>
      </c>
      <c r="BK42" s="466" t="s">
        <v>874</v>
      </c>
      <c r="BL42" s="466"/>
      <c r="BM42" s="466"/>
      <c r="BN42" s="466"/>
      <c r="BO42" s="480">
        <v>0.08</v>
      </c>
      <c r="BP42" s="480">
        <v>0.31</v>
      </c>
      <c r="BQ42" s="480">
        <v>0.54</v>
      </c>
      <c r="BR42" s="480">
        <v>0.08</v>
      </c>
      <c r="BS42" s="480">
        <v>0.43</v>
      </c>
      <c r="BT42" s="480">
        <v>0.53</v>
      </c>
      <c r="BU42" s="480"/>
      <c r="BV42" s="480"/>
      <c r="BW42" s="480"/>
      <c r="BX42" s="480">
        <v>0.38</v>
      </c>
      <c r="BY42" s="647">
        <v>51</v>
      </c>
      <c r="BZ42" s="647" t="s">
        <v>874</v>
      </c>
      <c r="CA42" s="647">
        <v>11</v>
      </c>
      <c r="CB42" s="647" t="s">
        <v>874</v>
      </c>
      <c r="CC42" s="648">
        <v>0.09</v>
      </c>
      <c r="CD42" s="648">
        <v>0.41</v>
      </c>
      <c r="CE42" s="648">
        <v>0.45</v>
      </c>
      <c r="CF42" s="648">
        <v>0.05</v>
      </c>
      <c r="CG42" s="648">
        <v>0.55000000000000004</v>
      </c>
      <c r="CH42" s="648">
        <v>0.4</v>
      </c>
      <c r="CI42" s="648">
        <v>0.57999999999999996</v>
      </c>
      <c r="CJ42" s="647">
        <v>53</v>
      </c>
      <c r="CK42" s="647" t="s">
        <v>874</v>
      </c>
      <c r="CL42" s="647">
        <v>8</v>
      </c>
      <c r="CM42" s="647" t="s">
        <v>874</v>
      </c>
      <c r="CN42" s="648">
        <v>0</v>
      </c>
      <c r="CO42" s="648">
        <v>0.36</v>
      </c>
      <c r="CP42" s="648">
        <v>0.64</v>
      </c>
      <c r="CQ42" s="648">
        <v>0</v>
      </c>
      <c r="CR42" s="480">
        <v>0.6</v>
      </c>
      <c r="CS42" s="480">
        <v>0.56000000000000005</v>
      </c>
      <c r="CT42" s="480">
        <v>0.38</v>
      </c>
    </row>
    <row r="43" spans="1:98" ht="24.95" customHeight="1" x14ac:dyDescent="0.2">
      <c r="A43" s="820" t="s">
        <v>267</v>
      </c>
      <c r="B43" s="14" t="s">
        <v>221</v>
      </c>
      <c r="C43" s="12">
        <v>6</v>
      </c>
      <c r="D43" s="12"/>
      <c r="E43" s="12"/>
      <c r="F43" s="12"/>
      <c r="G43" s="12"/>
      <c r="H43" s="12"/>
      <c r="I43" s="12"/>
      <c r="J43" s="12"/>
      <c r="K43" s="12"/>
      <c r="L43" s="12"/>
      <c r="M43" s="12" t="s">
        <v>224</v>
      </c>
      <c r="N43" s="12" t="s">
        <v>224</v>
      </c>
      <c r="O43" s="40"/>
      <c r="P43" s="40"/>
      <c r="Q43" s="40"/>
      <c r="R43" s="40"/>
      <c r="S43" s="40"/>
      <c r="T43" s="40"/>
      <c r="U43" s="40"/>
      <c r="V43" s="12" t="s">
        <v>224</v>
      </c>
      <c r="W43" s="12" t="s">
        <v>224</v>
      </c>
      <c r="X43" s="66">
        <v>0.06</v>
      </c>
      <c r="Y43" s="66">
        <v>0.33</v>
      </c>
      <c r="Z43" s="66">
        <v>0.56000000000000005</v>
      </c>
      <c r="AA43" s="66">
        <v>0.06</v>
      </c>
      <c r="AB43" s="66">
        <v>0.47</v>
      </c>
      <c r="AC43" s="66">
        <v>0.37</v>
      </c>
      <c r="AD43" s="66">
        <v>0.56000000000000005</v>
      </c>
      <c r="AE43" s="12" t="s">
        <v>224</v>
      </c>
      <c r="AF43" s="12" t="s">
        <v>224</v>
      </c>
      <c r="AG43" s="66">
        <v>0.13</v>
      </c>
      <c r="AH43" s="66">
        <v>0.33</v>
      </c>
      <c r="AI43" s="66">
        <v>0.53</v>
      </c>
      <c r="AJ43" s="66">
        <v>0</v>
      </c>
      <c r="AK43" s="66">
        <v>0.6</v>
      </c>
      <c r="AL43" s="66">
        <v>0.56000000000000005</v>
      </c>
      <c r="AM43" s="66">
        <v>0.35</v>
      </c>
      <c r="AN43" s="35">
        <v>59</v>
      </c>
      <c r="AO43" s="35">
        <v>11</v>
      </c>
      <c r="AP43" s="40">
        <v>0</v>
      </c>
      <c r="AQ43" s="40">
        <v>0</v>
      </c>
      <c r="AR43" s="40">
        <v>1</v>
      </c>
      <c r="AS43" s="40">
        <v>0</v>
      </c>
      <c r="AT43" s="40">
        <v>0.14000000000000001</v>
      </c>
      <c r="AU43" s="40">
        <v>0.42</v>
      </c>
      <c r="AV43" s="40">
        <v>0.43</v>
      </c>
      <c r="AW43" s="247">
        <v>48</v>
      </c>
      <c r="AX43" s="247" t="s">
        <v>874</v>
      </c>
      <c r="AY43" s="247">
        <v>0</v>
      </c>
      <c r="AZ43" s="247" t="s">
        <v>876</v>
      </c>
      <c r="BA43" s="264">
        <v>0</v>
      </c>
      <c r="BB43" s="264">
        <v>1</v>
      </c>
      <c r="BC43" s="264">
        <v>0</v>
      </c>
      <c r="BD43" s="264">
        <v>0</v>
      </c>
      <c r="BE43" s="264">
        <v>0.2</v>
      </c>
      <c r="BF43" s="264">
        <v>0.67</v>
      </c>
      <c r="BG43" s="264">
        <v>0.45</v>
      </c>
      <c r="BH43" s="311">
        <v>54</v>
      </c>
      <c r="BI43" s="311" t="s">
        <v>874</v>
      </c>
      <c r="BJ43" s="311">
        <v>12</v>
      </c>
      <c r="BK43" s="311" t="s">
        <v>874</v>
      </c>
      <c r="BL43" s="466"/>
      <c r="BM43" s="466"/>
      <c r="BN43" s="466"/>
      <c r="BO43" s="329">
        <v>0</v>
      </c>
      <c r="BP43" s="329">
        <v>0.33</v>
      </c>
      <c r="BQ43" s="329">
        <v>0.67</v>
      </c>
      <c r="BR43" s="329">
        <v>0</v>
      </c>
      <c r="BS43" s="329">
        <v>0.5</v>
      </c>
      <c r="BT43" s="329">
        <v>0.77</v>
      </c>
      <c r="BU43" s="480"/>
      <c r="BV43" s="480"/>
      <c r="BW43" s="480"/>
      <c r="BX43" s="329">
        <v>0.33</v>
      </c>
      <c r="BY43" s="426">
        <v>54</v>
      </c>
      <c r="BZ43" s="426" t="s">
        <v>874</v>
      </c>
      <c r="CA43" s="426">
        <v>6</v>
      </c>
      <c r="CB43" s="426" t="s">
        <v>876</v>
      </c>
      <c r="CC43" s="430">
        <v>0</v>
      </c>
      <c r="CD43" s="430">
        <v>0.25</v>
      </c>
      <c r="CE43" s="430">
        <v>0.75</v>
      </c>
      <c r="CF43" s="430">
        <v>0</v>
      </c>
      <c r="CG43" s="430">
        <v>0.55000000000000004</v>
      </c>
      <c r="CH43" s="430">
        <v>0.38</v>
      </c>
      <c r="CI43" s="430">
        <v>0.64</v>
      </c>
      <c r="CJ43" s="426">
        <v>57</v>
      </c>
      <c r="CK43" s="426" t="s">
        <v>874</v>
      </c>
      <c r="CL43" s="426">
        <v>10</v>
      </c>
      <c r="CM43" s="426" t="s">
        <v>874</v>
      </c>
      <c r="CN43" s="430">
        <v>0</v>
      </c>
      <c r="CO43" s="430">
        <v>0.38</v>
      </c>
      <c r="CP43" s="430">
        <v>0.63</v>
      </c>
      <c r="CQ43" s="430">
        <v>0</v>
      </c>
      <c r="CR43" s="480">
        <v>0.54</v>
      </c>
      <c r="CS43" s="480">
        <v>0.41</v>
      </c>
      <c r="CT43" s="480">
        <v>0.44</v>
      </c>
    </row>
    <row r="44" spans="1:98" ht="24.95" customHeight="1" x14ac:dyDescent="0.2">
      <c r="A44" s="814" t="s">
        <v>189</v>
      </c>
      <c r="B44" s="1" t="s">
        <v>221</v>
      </c>
      <c r="C44" s="12">
        <v>2</v>
      </c>
      <c r="D44" s="12">
        <v>66</v>
      </c>
      <c r="E44" s="12">
        <v>0</v>
      </c>
      <c r="F44" s="66">
        <v>0</v>
      </c>
      <c r="G44" s="66">
        <v>0</v>
      </c>
      <c r="H44" s="66">
        <v>1</v>
      </c>
      <c r="I44" s="66">
        <v>0</v>
      </c>
      <c r="J44" s="66">
        <v>0.43</v>
      </c>
      <c r="K44" s="66">
        <v>0.33</v>
      </c>
      <c r="L44" s="66">
        <v>0.5</v>
      </c>
      <c r="M44" s="12" t="s">
        <v>224</v>
      </c>
      <c r="N44" s="12" t="s">
        <v>224</v>
      </c>
      <c r="O44" s="40"/>
      <c r="P44" s="40"/>
      <c r="Q44" s="40"/>
      <c r="R44" s="40"/>
      <c r="S44" s="40"/>
      <c r="T44" s="40"/>
      <c r="U44" s="40"/>
      <c r="V44" s="12" t="s">
        <v>224</v>
      </c>
      <c r="W44" s="12" t="s">
        <v>224</v>
      </c>
      <c r="X44" s="12"/>
      <c r="Y44" s="12"/>
      <c r="Z44" s="12"/>
      <c r="AA44" s="12"/>
      <c r="AB44" s="12"/>
      <c r="AC44" s="12"/>
      <c r="AD44" s="12"/>
      <c r="AE44" s="12" t="s">
        <v>224</v>
      </c>
      <c r="AF44" s="12" t="s">
        <v>224</v>
      </c>
      <c r="AG44" s="12"/>
      <c r="AH44" s="12"/>
      <c r="AI44" s="12"/>
      <c r="AJ44" s="12"/>
      <c r="AK44" s="12"/>
      <c r="AL44" s="12"/>
      <c r="AM44" s="12"/>
      <c r="AN44" s="35">
        <v>37</v>
      </c>
      <c r="AO44" s="35">
        <v>0</v>
      </c>
      <c r="AP44" s="40">
        <v>0</v>
      </c>
      <c r="AQ44" s="40">
        <v>1</v>
      </c>
      <c r="AR44" s="40">
        <v>0</v>
      </c>
      <c r="AS44" s="40">
        <v>0</v>
      </c>
      <c r="AT44" s="40">
        <v>0.6</v>
      </c>
      <c r="AU44" s="40">
        <v>0.75</v>
      </c>
      <c r="AV44" s="40">
        <v>0.75</v>
      </c>
      <c r="AW44" s="652"/>
      <c r="AX44" s="652"/>
      <c r="AY44" s="652"/>
      <c r="AZ44" s="652"/>
      <c r="BA44" s="652"/>
      <c r="BB44" s="652"/>
      <c r="BC44" s="652"/>
      <c r="BD44" s="652"/>
      <c r="BE44" s="652"/>
      <c r="BF44" s="652"/>
      <c r="BG44" s="652"/>
      <c r="BH44" s="655"/>
      <c r="BI44" s="655"/>
      <c r="BJ44" s="655"/>
      <c r="BK44" s="655"/>
      <c r="BL44" s="656"/>
      <c r="BM44" s="656"/>
      <c r="BN44" s="656"/>
      <c r="BO44" s="655"/>
      <c r="BP44" s="655"/>
      <c r="BQ44" s="655"/>
      <c r="BR44" s="655"/>
      <c r="BS44" s="655"/>
      <c r="BT44" s="655"/>
      <c r="BU44" s="656"/>
      <c r="BV44" s="656"/>
      <c r="BW44" s="656"/>
      <c r="BX44" s="655"/>
      <c r="BY44" s="657"/>
      <c r="BZ44" s="657"/>
      <c r="CA44" s="657"/>
      <c r="CB44" s="657"/>
      <c r="CC44" s="657"/>
      <c r="CD44" s="657"/>
      <c r="CE44" s="657"/>
      <c r="CF44" s="657"/>
      <c r="CG44" s="657"/>
      <c r="CH44" s="657"/>
      <c r="CI44" s="657"/>
      <c r="CJ44" s="657"/>
      <c r="CK44" s="657"/>
      <c r="CL44" s="657"/>
      <c r="CM44" s="657"/>
      <c r="CN44" s="657"/>
      <c r="CO44" s="657"/>
      <c r="CP44" s="657"/>
      <c r="CQ44" s="657"/>
      <c r="CR44" s="656"/>
      <c r="CS44" s="656"/>
      <c r="CT44" s="656"/>
    </row>
    <row r="45" spans="1:98" ht="24.95" customHeight="1" x14ac:dyDescent="0.2">
      <c r="A45" s="814" t="s">
        <v>918</v>
      </c>
      <c r="B45" s="14" t="s">
        <v>221</v>
      </c>
      <c r="C45" s="12">
        <v>2</v>
      </c>
      <c r="D45" s="12"/>
      <c r="E45" s="12"/>
      <c r="F45" s="66"/>
      <c r="G45" s="66"/>
      <c r="H45" s="66"/>
      <c r="I45" s="66"/>
      <c r="J45" s="66"/>
      <c r="K45" s="66"/>
      <c r="L45" s="66"/>
      <c r="M45" s="12"/>
      <c r="N45" s="12"/>
      <c r="O45" s="40"/>
      <c r="P45" s="40"/>
      <c r="Q45" s="40"/>
      <c r="R45" s="40"/>
      <c r="S45" s="40"/>
      <c r="T45" s="40"/>
      <c r="U45" s="40"/>
      <c r="V45" s="12"/>
      <c r="W45" s="12"/>
      <c r="X45" s="12"/>
      <c r="Y45" s="12"/>
      <c r="Z45" s="12"/>
      <c r="AA45" s="12"/>
      <c r="AB45" s="12"/>
      <c r="AC45" s="12"/>
      <c r="AD45" s="12"/>
      <c r="AE45" s="12"/>
      <c r="AF45" s="12"/>
      <c r="AG45" s="12"/>
      <c r="AH45" s="12"/>
      <c r="AI45" s="12"/>
      <c r="AJ45" s="12"/>
      <c r="AK45" s="12"/>
      <c r="AL45" s="12"/>
      <c r="AM45" s="12"/>
      <c r="AN45" s="35"/>
      <c r="AO45" s="35"/>
      <c r="AP45" s="40"/>
      <c r="AQ45" s="40"/>
      <c r="AR45" s="40"/>
      <c r="AS45" s="40"/>
      <c r="AT45" s="40"/>
      <c r="AU45" s="40"/>
      <c r="AV45" s="40"/>
      <c r="AW45" s="652"/>
      <c r="AX45" s="652"/>
      <c r="AY45" s="652"/>
      <c r="AZ45" s="652"/>
      <c r="BA45" s="652"/>
      <c r="BB45" s="652"/>
      <c r="BC45" s="652"/>
      <c r="BD45" s="652"/>
      <c r="BE45" s="652"/>
      <c r="BF45" s="652"/>
      <c r="BG45" s="652"/>
      <c r="BH45" s="311">
        <v>62</v>
      </c>
      <c r="BI45" s="311" t="s">
        <v>875</v>
      </c>
      <c r="BJ45" s="311">
        <v>4</v>
      </c>
      <c r="BK45" s="311" t="s">
        <v>876</v>
      </c>
      <c r="BL45" s="466"/>
      <c r="BM45" s="466"/>
      <c r="BN45" s="466"/>
      <c r="BO45" s="329">
        <v>0</v>
      </c>
      <c r="BP45" s="329">
        <v>0</v>
      </c>
      <c r="BQ45" s="329">
        <v>1</v>
      </c>
      <c r="BR45" s="329">
        <v>0</v>
      </c>
      <c r="BS45" s="329">
        <v>0.32</v>
      </c>
      <c r="BT45" s="329">
        <v>0.57999999999999996</v>
      </c>
      <c r="BU45" s="480"/>
      <c r="BV45" s="480"/>
      <c r="BW45" s="480"/>
      <c r="BX45" s="329">
        <v>0.57999999999999996</v>
      </c>
      <c r="BY45" s="426">
        <v>54</v>
      </c>
      <c r="BZ45" s="426" t="s">
        <v>874</v>
      </c>
      <c r="CA45" s="426">
        <v>6</v>
      </c>
      <c r="CB45" s="426" t="s">
        <v>876</v>
      </c>
      <c r="CC45" s="430">
        <v>0</v>
      </c>
      <c r="CD45" s="430">
        <v>0.28999999999999998</v>
      </c>
      <c r="CE45" s="430">
        <v>0.71</v>
      </c>
      <c r="CF45" s="430">
        <v>0</v>
      </c>
      <c r="CG45" s="430">
        <v>0.47</v>
      </c>
      <c r="CH45" s="430">
        <v>0.61</v>
      </c>
      <c r="CI45" s="430">
        <v>0.56999999999999995</v>
      </c>
      <c r="CJ45" s="426"/>
      <c r="CK45" s="426"/>
      <c r="CL45" s="426"/>
      <c r="CM45" s="426"/>
      <c r="CN45" s="430"/>
      <c r="CO45" s="430"/>
      <c r="CP45" s="430"/>
      <c r="CQ45" s="430"/>
      <c r="CR45" s="648"/>
      <c r="CS45" s="648"/>
      <c r="CT45" s="648"/>
    </row>
    <row r="46" spans="1:98" ht="24.95" customHeight="1" x14ac:dyDescent="0.2">
      <c r="A46" s="814" t="s">
        <v>63</v>
      </c>
      <c r="B46" s="1" t="s">
        <v>221</v>
      </c>
      <c r="C46" s="12">
        <v>4</v>
      </c>
      <c r="D46" s="12">
        <v>48</v>
      </c>
      <c r="E46" s="12">
        <v>9</v>
      </c>
      <c r="F46" s="66">
        <v>0.1</v>
      </c>
      <c r="G46" s="66">
        <v>0.6</v>
      </c>
      <c r="H46" s="66">
        <v>0.3</v>
      </c>
      <c r="I46" s="66">
        <v>0</v>
      </c>
      <c r="J46" s="66">
        <v>0.56000000000000005</v>
      </c>
      <c r="K46" s="66">
        <v>0.56000000000000005</v>
      </c>
      <c r="L46" s="66">
        <v>0.63</v>
      </c>
      <c r="M46" s="12">
        <v>45</v>
      </c>
      <c r="N46" s="12">
        <v>11</v>
      </c>
      <c r="O46" s="40"/>
      <c r="P46" s="40"/>
      <c r="Q46" s="40"/>
      <c r="R46" s="40"/>
      <c r="S46" s="40"/>
      <c r="T46" s="40"/>
      <c r="U46" s="40"/>
      <c r="V46" s="12">
        <v>52</v>
      </c>
      <c r="W46" s="12">
        <v>14</v>
      </c>
      <c r="X46" s="12"/>
      <c r="Y46" s="12"/>
      <c r="Z46" s="12"/>
      <c r="AA46" s="12"/>
      <c r="AB46" s="12"/>
      <c r="AC46" s="12"/>
      <c r="AD46" s="12"/>
      <c r="AE46" s="12">
        <v>57</v>
      </c>
      <c r="AF46" s="12">
        <v>7</v>
      </c>
      <c r="AG46" s="12"/>
      <c r="AH46" s="12"/>
      <c r="AI46" s="12"/>
      <c r="AJ46" s="12"/>
      <c r="AK46" s="12"/>
      <c r="AL46" s="12"/>
      <c r="AM46" s="12"/>
      <c r="AN46" s="35">
        <v>48</v>
      </c>
      <c r="AO46" s="35">
        <v>6</v>
      </c>
      <c r="AP46" s="40">
        <v>0</v>
      </c>
      <c r="AQ46" s="40">
        <v>0.69</v>
      </c>
      <c r="AR46" s="40">
        <v>0.31</v>
      </c>
      <c r="AS46" s="40">
        <v>0</v>
      </c>
      <c r="AT46" s="40">
        <v>0.33</v>
      </c>
      <c r="AU46" s="40">
        <v>0.55000000000000004</v>
      </c>
      <c r="AV46" s="40">
        <v>0.6</v>
      </c>
      <c r="AW46" s="653">
        <v>51</v>
      </c>
      <c r="AX46" s="653" t="s">
        <v>874</v>
      </c>
      <c r="AY46" s="653">
        <v>8</v>
      </c>
      <c r="AZ46" s="653" t="s">
        <v>874</v>
      </c>
      <c r="BA46" s="654">
        <v>0.05</v>
      </c>
      <c r="BB46" s="654">
        <v>0.48</v>
      </c>
      <c r="BC46" s="654">
        <v>0.48</v>
      </c>
      <c r="BD46" s="654">
        <v>0</v>
      </c>
      <c r="BE46" s="654">
        <v>0.26</v>
      </c>
      <c r="BF46" s="654">
        <v>0.54</v>
      </c>
      <c r="BG46" s="654">
        <v>0.53</v>
      </c>
      <c r="BH46" s="74">
        <v>52</v>
      </c>
      <c r="BI46" s="74" t="s">
        <v>874</v>
      </c>
      <c r="BJ46" s="74">
        <v>9</v>
      </c>
      <c r="BK46" s="74" t="s">
        <v>874</v>
      </c>
      <c r="BL46" s="74"/>
      <c r="BM46" s="74"/>
      <c r="BN46" s="74"/>
      <c r="BO46" s="96">
        <v>0.08</v>
      </c>
      <c r="BP46" s="96">
        <v>0.28000000000000003</v>
      </c>
      <c r="BQ46" s="96">
        <v>0.64</v>
      </c>
      <c r="BR46" s="96">
        <v>0</v>
      </c>
      <c r="BS46" s="96">
        <v>0.53</v>
      </c>
      <c r="BT46" s="96">
        <v>0.65</v>
      </c>
      <c r="BU46" s="96"/>
      <c r="BV46" s="96"/>
      <c r="BW46" s="96"/>
      <c r="BX46" s="96">
        <v>0.32</v>
      </c>
      <c r="BY46" s="658">
        <v>49</v>
      </c>
      <c r="BZ46" s="658" t="s">
        <v>874</v>
      </c>
      <c r="CA46" s="658">
        <v>9</v>
      </c>
      <c r="CB46" s="658" t="s">
        <v>874</v>
      </c>
      <c r="CC46" s="659">
        <v>0.06</v>
      </c>
      <c r="CD46" s="659">
        <v>0.5</v>
      </c>
      <c r="CE46" s="659">
        <v>0.44</v>
      </c>
      <c r="CF46" s="659">
        <v>0</v>
      </c>
      <c r="CG46" s="659">
        <v>0.63</v>
      </c>
      <c r="CH46" s="659">
        <v>0.51</v>
      </c>
      <c r="CI46" s="659">
        <v>0.6</v>
      </c>
      <c r="CJ46" s="658">
        <v>49</v>
      </c>
      <c r="CK46" s="658" t="s">
        <v>874</v>
      </c>
      <c r="CL46" s="658">
        <v>11</v>
      </c>
      <c r="CM46" s="658" t="s">
        <v>874</v>
      </c>
      <c r="CN46" s="659">
        <v>0.06</v>
      </c>
      <c r="CO46" s="659">
        <v>0.57999999999999996</v>
      </c>
      <c r="CP46" s="659">
        <v>0.32</v>
      </c>
      <c r="CQ46" s="659">
        <v>0.03</v>
      </c>
      <c r="CR46" s="96">
        <v>0.65</v>
      </c>
      <c r="CS46" s="96">
        <v>0.57999999999999996</v>
      </c>
      <c r="CT46" s="96">
        <v>0.52</v>
      </c>
    </row>
    <row r="47" spans="1:98" ht="24.95" customHeight="1" x14ac:dyDescent="0.2">
      <c r="A47" s="815" t="s">
        <v>44</v>
      </c>
      <c r="B47" s="1" t="s">
        <v>221</v>
      </c>
      <c r="C47" s="330">
        <v>1</v>
      </c>
      <c r="D47" s="330">
        <v>48</v>
      </c>
      <c r="E47" s="330">
        <v>10</v>
      </c>
      <c r="F47" s="335">
        <v>7.0000000000000007E-2</v>
      </c>
      <c r="G47" s="335">
        <v>0.47</v>
      </c>
      <c r="H47" s="335">
        <v>0.47</v>
      </c>
      <c r="I47" s="335">
        <v>0</v>
      </c>
      <c r="J47" s="335">
        <v>0.54</v>
      </c>
      <c r="K47" s="335">
        <v>0.51</v>
      </c>
      <c r="L47" s="335">
        <v>0.56999999999999995</v>
      </c>
      <c r="M47" s="330" t="s">
        <v>224</v>
      </c>
      <c r="N47" s="330" t="s">
        <v>224</v>
      </c>
      <c r="O47" s="333">
        <v>0.2</v>
      </c>
      <c r="P47" s="333">
        <v>0.6</v>
      </c>
      <c r="Q47" s="333">
        <v>0.2</v>
      </c>
      <c r="R47" s="333">
        <v>0</v>
      </c>
      <c r="S47" s="333">
        <v>0.56000000000000005</v>
      </c>
      <c r="T47" s="333">
        <v>0.68</v>
      </c>
      <c r="U47" s="333">
        <v>0.43</v>
      </c>
      <c r="V47" s="330" t="s">
        <v>224</v>
      </c>
      <c r="W47" s="330" t="s">
        <v>224</v>
      </c>
      <c r="X47" s="335">
        <v>0</v>
      </c>
      <c r="Y47" s="335">
        <v>0.45</v>
      </c>
      <c r="Z47" s="335">
        <v>0.45</v>
      </c>
      <c r="AA47" s="335">
        <v>0.09</v>
      </c>
      <c r="AB47" s="335">
        <v>0.53</v>
      </c>
      <c r="AC47" s="335">
        <v>0.35</v>
      </c>
      <c r="AD47" s="335">
        <v>0.5</v>
      </c>
      <c r="AE47" s="330" t="s">
        <v>224</v>
      </c>
      <c r="AF47" s="330" t="s">
        <v>224</v>
      </c>
      <c r="AG47" s="335">
        <v>0</v>
      </c>
      <c r="AH47" s="335">
        <v>0.2</v>
      </c>
      <c r="AI47" s="335">
        <v>0.8</v>
      </c>
      <c r="AJ47" s="335">
        <v>0</v>
      </c>
      <c r="AK47" s="335">
        <v>0.5</v>
      </c>
      <c r="AL47" s="335">
        <v>0.4</v>
      </c>
      <c r="AM47" s="335">
        <v>0.24</v>
      </c>
      <c r="BH47" s="655"/>
      <c r="BI47" s="655"/>
      <c r="BJ47" s="655"/>
      <c r="BK47" s="655"/>
      <c r="BL47" s="656"/>
      <c r="BM47" s="656"/>
      <c r="BN47" s="656"/>
      <c r="BO47" s="655"/>
      <c r="BP47" s="655"/>
      <c r="BQ47" s="655"/>
      <c r="BR47" s="655"/>
      <c r="BS47" s="655"/>
      <c r="BT47" s="655"/>
      <c r="BU47" s="656"/>
      <c r="BV47" s="656"/>
      <c r="BW47" s="656"/>
      <c r="BX47" s="655"/>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row>
    <row r="48" spans="1:98" ht="24.95" customHeight="1" x14ac:dyDescent="0.2">
      <c r="A48" s="814" t="s">
        <v>69</v>
      </c>
      <c r="B48" s="1" t="s">
        <v>221</v>
      </c>
      <c r="C48" s="12">
        <v>2</v>
      </c>
      <c r="D48" s="12">
        <v>44</v>
      </c>
      <c r="E48" s="12">
        <v>10</v>
      </c>
      <c r="F48" s="66">
        <v>0.08</v>
      </c>
      <c r="G48" s="66">
        <v>0.67</v>
      </c>
      <c r="H48" s="66">
        <v>0.25</v>
      </c>
      <c r="I48" s="66">
        <v>0</v>
      </c>
      <c r="J48" s="66">
        <v>0.62</v>
      </c>
      <c r="K48" s="66">
        <v>0.49</v>
      </c>
      <c r="L48" s="66">
        <v>0.65</v>
      </c>
      <c r="M48" s="12" t="s">
        <v>224</v>
      </c>
      <c r="N48" s="12" t="s">
        <v>224</v>
      </c>
      <c r="O48" s="40"/>
      <c r="P48" s="40"/>
      <c r="Q48" s="40"/>
      <c r="R48" s="40"/>
      <c r="S48" s="40"/>
      <c r="T48" s="40"/>
      <c r="U48" s="40"/>
      <c r="V48" s="12">
        <v>47</v>
      </c>
      <c r="W48" s="12">
        <v>10</v>
      </c>
      <c r="X48" s="12"/>
      <c r="Y48" s="12"/>
      <c r="Z48" s="12"/>
      <c r="AA48" s="12"/>
      <c r="AB48" s="12"/>
      <c r="AC48" s="12"/>
      <c r="AD48" s="12"/>
      <c r="AE48" s="12">
        <v>50</v>
      </c>
      <c r="AF48" s="12">
        <v>8</v>
      </c>
      <c r="AG48" s="12"/>
      <c r="AH48" s="12"/>
      <c r="AI48" s="12"/>
      <c r="AJ48" s="12"/>
      <c r="AK48" s="12"/>
      <c r="AL48" s="12"/>
      <c r="AM48" s="12"/>
      <c r="AN48" s="45">
        <v>54</v>
      </c>
      <c r="AO48" s="45">
        <v>7</v>
      </c>
      <c r="AP48" s="46">
        <v>0</v>
      </c>
      <c r="AQ48" s="46">
        <v>0.33</v>
      </c>
      <c r="AR48" s="46">
        <v>0.67</v>
      </c>
      <c r="AS48" s="46">
        <v>0</v>
      </c>
      <c r="AT48" s="46">
        <v>0.23</v>
      </c>
      <c r="AU48" s="46">
        <v>0.47</v>
      </c>
      <c r="AV48" s="46">
        <v>0.4</v>
      </c>
      <c r="AW48" s="247">
        <v>48</v>
      </c>
      <c r="AX48" s="247" t="s">
        <v>874</v>
      </c>
      <c r="AY48" s="247">
        <v>9</v>
      </c>
      <c r="AZ48" s="247" t="s">
        <v>874</v>
      </c>
      <c r="BA48" s="264">
        <v>0.08</v>
      </c>
      <c r="BB48" s="264">
        <v>0.5</v>
      </c>
      <c r="BC48" s="264">
        <v>0.42</v>
      </c>
      <c r="BD48" s="264">
        <v>0</v>
      </c>
      <c r="BE48" s="264">
        <v>0.31</v>
      </c>
      <c r="BF48" s="264">
        <v>0.55000000000000004</v>
      </c>
      <c r="BG48" s="264">
        <v>0.55000000000000004</v>
      </c>
      <c r="BH48" s="655"/>
      <c r="BI48" s="655"/>
      <c r="BJ48" s="655"/>
      <c r="BK48" s="655"/>
      <c r="BL48" s="656"/>
      <c r="BM48" s="656"/>
      <c r="BN48" s="656"/>
      <c r="BO48" s="655"/>
      <c r="BP48" s="655"/>
      <c r="BQ48" s="655"/>
      <c r="BR48" s="655"/>
      <c r="BS48" s="655"/>
      <c r="BT48" s="655"/>
      <c r="BU48" s="656"/>
      <c r="BV48" s="656"/>
      <c r="BW48" s="656"/>
      <c r="BX48" s="655"/>
      <c r="BY48" s="426">
        <v>53</v>
      </c>
      <c r="BZ48" s="426" t="s">
        <v>874</v>
      </c>
      <c r="CA48" s="426">
        <v>8</v>
      </c>
      <c r="CB48" s="426" t="s">
        <v>874</v>
      </c>
      <c r="CC48" s="430">
        <v>0</v>
      </c>
      <c r="CD48" s="430">
        <v>0.43</v>
      </c>
      <c r="CE48" s="430">
        <v>0.56999999999999995</v>
      </c>
      <c r="CF48" s="430">
        <v>0</v>
      </c>
      <c r="CG48" s="430">
        <v>0.74</v>
      </c>
      <c r="CH48" s="430">
        <v>0.46</v>
      </c>
      <c r="CI48" s="430">
        <v>0.48</v>
      </c>
      <c r="CJ48" s="660">
        <v>57</v>
      </c>
      <c r="CK48" s="660" t="s">
        <v>874</v>
      </c>
      <c r="CL48" s="660">
        <v>9</v>
      </c>
      <c r="CM48" s="660" t="s">
        <v>874</v>
      </c>
      <c r="CN48" s="661">
        <v>0</v>
      </c>
      <c r="CO48" s="661">
        <v>0.31</v>
      </c>
      <c r="CP48" s="661">
        <v>0.62</v>
      </c>
      <c r="CQ48" s="661">
        <v>0.08</v>
      </c>
      <c r="CR48" s="480">
        <v>0.52</v>
      </c>
      <c r="CS48" s="480">
        <v>0.48</v>
      </c>
      <c r="CT48" s="480">
        <v>0.25</v>
      </c>
    </row>
    <row r="49" spans="1:98" ht="24.95" customHeight="1" x14ac:dyDescent="0.2">
      <c r="A49" s="820" t="s">
        <v>268</v>
      </c>
      <c r="B49" s="1" t="s">
        <v>221</v>
      </c>
      <c r="C49" s="12">
        <v>6</v>
      </c>
      <c r="D49" s="12"/>
      <c r="E49" s="12"/>
      <c r="F49" s="12"/>
      <c r="G49" s="12"/>
      <c r="H49" s="12"/>
      <c r="I49" s="12"/>
      <c r="J49" s="12"/>
      <c r="K49" s="12"/>
      <c r="L49" s="12"/>
      <c r="M49" s="12" t="s">
        <v>224</v>
      </c>
      <c r="N49" s="12" t="s">
        <v>224</v>
      </c>
      <c r="O49" s="40"/>
      <c r="P49" s="40"/>
      <c r="Q49" s="40"/>
      <c r="R49" s="40"/>
      <c r="S49" s="40"/>
      <c r="T49" s="40"/>
      <c r="U49" s="40"/>
      <c r="V49" s="12" t="s">
        <v>224</v>
      </c>
      <c r="W49" s="12" t="s">
        <v>224</v>
      </c>
      <c r="X49" s="66">
        <v>0</v>
      </c>
      <c r="Y49" s="66">
        <v>0.56999999999999995</v>
      </c>
      <c r="Z49" s="66">
        <v>0.43</v>
      </c>
      <c r="AA49" s="66">
        <v>0</v>
      </c>
      <c r="AB49" s="66">
        <v>0.61</v>
      </c>
      <c r="AC49" s="66">
        <v>0.41</v>
      </c>
      <c r="AD49" s="66">
        <v>0.6</v>
      </c>
      <c r="AE49" s="12" t="s">
        <v>224</v>
      </c>
      <c r="AF49" s="12" t="s">
        <v>224</v>
      </c>
      <c r="AG49" s="66">
        <v>0.08</v>
      </c>
      <c r="AH49" s="66">
        <v>0.54</v>
      </c>
      <c r="AI49" s="66">
        <v>0.38</v>
      </c>
      <c r="AJ49" s="66">
        <v>0</v>
      </c>
      <c r="AK49" s="66">
        <v>0.56999999999999995</v>
      </c>
      <c r="AL49" s="66">
        <v>0.5</v>
      </c>
      <c r="AM49" s="66">
        <v>0.34</v>
      </c>
      <c r="AN49" s="35">
        <v>50</v>
      </c>
      <c r="AO49" s="35">
        <v>10</v>
      </c>
      <c r="AP49" s="40">
        <v>0.08</v>
      </c>
      <c r="AQ49" s="40">
        <v>0.32</v>
      </c>
      <c r="AR49" s="40">
        <v>0.6</v>
      </c>
      <c r="AS49" s="40">
        <v>0</v>
      </c>
      <c r="AT49" s="40">
        <v>0.33</v>
      </c>
      <c r="AU49" s="40">
        <v>0.55000000000000004</v>
      </c>
      <c r="AV49" s="40">
        <v>0.54</v>
      </c>
      <c r="AW49" s="653">
        <v>51</v>
      </c>
      <c r="AX49" s="653" t="s">
        <v>874</v>
      </c>
      <c r="AY49" s="653">
        <v>11</v>
      </c>
      <c r="AZ49" s="653" t="s">
        <v>874</v>
      </c>
      <c r="BA49" s="654">
        <v>0.15</v>
      </c>
      <c r="BB49" s="654">
        <v>0.27</v>
      </c>
      <c r="BC49" s="654">
        <v>0.57999999999999996</v>
      </c>
      <c r="BD49" s="654">
        <v>0</v>
      </c>
      <c r="BE49" s="654">
        <v>0.27</v>
      </c>
      <c r="BF49" s="654">
        <v>0.51</v>
      </c>
      <c r="BG49" s="654">
        <v>0.49</v>
      </c>
      <c r="BH49" s="74">
        <v>45</v>
      </c>
      <c r="BI49" s="74" t="s">
        <v>876</v>
      </c>
      <c r="BJ49" s="74">
        <v>12</v>
      </c>
      <c r="BK49" s="74" t="s">
        <v>874</v>
      </c>
      <c r="BL49" s="74"/>
      <c r="BM49" s="74"/>
      <c r="BN49" s="74"/>
      <c r="BO49" s="96">
        <v>0.19</v>
      </c>
      <c r="BP49" s="96">
        <v>0.5</v>
      </c>
      <c r="BQ49" s="96">
        <v>0.31</v>
      </c>
      <c r="BR49" s="96">
        <v>0</v>
      </c>
      <c r="BS49" s="96">
        <v>0.61</v>
      </c>
      <c r="BT49" s="96">
        <v>0.68</v>
      </c>
      <c r="BU49" s="96"/>
      <c r="BV49" s="96"/>
      <c r="BW49" s="96"/>
      <c r="BX49" s="96">
        <v>0.52</v>
      </c>
      <c r="BY49" s="658">
        <v>52</v>
      </c>
      <c r="BZ49" s="658" t="s">
        <v>874</v>
      </c>
      <c r="CA49" s="658">
        <v>11</v>
      </c>
      <c r="CB49" s="658" t="s">
        <v>874</v>
      </c>
      <c r="CC49" s="659">
        <v>0.11</v>
      </c>
      <c r="CD49" s="659">
        <v>0.28999999999999998</v>
      </c>
      <c r="CE49" s="659">
        <v>0.61</v>
      </c>
      <c r="CF49" s="659">
        <v>0</v>
      </c>
      <c r="CG49" s="659">
        <v>0.67</v>
      </c>
      <c r="CH49" s="659">
        <v>0.45</v>
      </c>
      <c r="CI49" s="659">
        <v>0.59</v>
      </c>
      <c r="CJ49" s="74">
        <v>52</v>
      </c>
      <c r="CK49" s="74" t="s">
        <v>874</v>
      </c>
      <c r="CL49" s="74">
        <v>9</v>
      </c>
      <c r="CM49" s="74" t="s">
        <v>874</v>
      </c>
      <c r="CN49" s="96">
        <v>0</v>
      </c>
      <c r="CO49" s="96">
        <v>0.49</v>
      </c>
      <c r="CP49" s="96">
        <v>0.51</v>
      </c>
      <c r="CQ49" s="96">
        <v>0</v>
      </c>
      <c r="CR49" s="96">
        <v>0.66</v>
      </c>
      <c r="CS49" s="96">
        <v>0.55000000000000004</v>
      </c>
      <c r="CT49" s="96">
        <v>0.42</v>
      </c>
    </row>
    <row r="50" spans="1:98" ht="24.95" customHeight="1" x14ac:dyDescent="0.2">
      <c r="A50" s="814" t="s">
        <v>223</v>
      </c>
      <c r="B50" s="1" t="s">
        <v>221</v>
      </c>
      <c r="C50" s="12">
        <v>3</v>
      </c>
      <c r="D50" s="12"/>
      <c r="E50" s="12"/>
      <c r="F50" s="12"/>
      <c r="G50" s="12"/>
      <c r="H50" s="12"/>
      <c r="I50" s="12"/>
      <c r="J50" s="12"/>
      <c r="K50" s="12"/>
      <c r="L50" s="12"/>
      <c r="M50" s="12">
        <v>50</v>
      </c>
      <c r="N50" s="12">
        <v>9</v>
      </c>
      <c r="O50" s="40"/>
      <c r="P50" s="40"/>
      <c r="Q50" s="40"/>
      <c r="R50" s="40"/>
      <c r="S50" s="40"/>
      <c r="T50" s="40"/>
      <c r="U50" s="40"/>
      <c r="V50" s="12">
        <v>49</v>
      </c>
      <c r="W50" s="12">
        <v>9</v>
      </c>
      <c r="X50" s="12"/>
      <c r="Y50" s="12"/>
      <c r="Z50" s="12"/>
      <c r="AA50" s="12"/>
      <c r="AB50" s="12"/>
      <c r="AC50" s="12"/>
      <c r="AD50" s="12"/>
      <c r="AE50" s="12">
        <v>51</v>
      </c>
      <c r="AF50" s="12">
        <v>10</v>
      </c>
      <c r="AG50" s="12"/>
      <c r="AH50" s="12"/>
      <c r="AI50" s="12"/>
      <c r="AJ50" s="12"/>
      <c r="AK50" s="12"/>
      <c r="AL50" s="12"/>
      <c r="AM50" s="12"/>
      <c r="AN50" s="35">
        <v>49</v>
      </c>
      <c r="AO50" s="35">
        <v>9</v>
      </c>
      <c r="AP50" s="40">
        <v>0.05</v>
      </c>
      <c r="AQ50" s="40">
        <v>0.52</v>
      </c>
      <c r="AR50" s="40">
        <v>0.42</v>
      </c>
      <c r="AS50" s="40">
        <v>0.01</v>
      </c>
      <c r="AT50" s="40">
        <v>0.32</v>
      </c>
      <c r="AU50" s="40">
        <v>0.56000000000000005</v>
      </c>
      <c r="AV50" s="40">
        <v>0.56999999999999995</v>
      </c>
      <c r="AW50" s="247">
        <v>48</v>
      </c>
      <c r="AX50" s="247" t="s">
        <v>874</v>
      </c>
      <c r="AY50" s="247">
        <v>8</v>
      </c>
      <c r="AZ50" s="247" t="s">
        <v>874</v>
      </c>
      <c r="BA50" s="264">
        <v>7.0000000000000007E-2</v>
      </c>
      <c r="BB50" s="264">
        <v>0.52</v>
      </c>
      <c r="BC50" s="264">
        <v>0.4</v>
      </c>
      <c r="BD50" s="264">
        <v>0.01</v>
      </c>
      <c r="BE50" s="264">
        <v>0.32</v>
      </c>
      <c r="BF50" s="264">
        <v>0.57999999999999996</v>
      </c>
      <c r="BG50" s="264">
        <v>0.52</v>
      </c>
      <c r="BH50" s="74">
        <v>48</v>
      </c>
      <c r="BI50" s="74" t="s">
        <v>874</v>
      </c>
      <c r="BJ50" s="74">
        <v>9</v>
      </c>
      <c r="BK50" s="74" t="s">
        <v>874</v>
      </c>
      <c r="BL50" s="74"/>
      <c r="BM50" s="74"/>
      <c r="BN50" s="74"/>
      <c r="BO50" s="96">
        <v>0.11</v>
      </c>
      <c r="BP50" s="96">
        <v>0.47</v>
      </c>
      <c r="BQ50" s="96">
        <v>0.43</v>
      </c>
      <c r="BR50" s="96">
        <v>0</v>
      </c>
      <c r="BS50" s="96">
        <v>0.61</v>
      </c>
      <c r="BT50" s="96">
        <v>0.66</v>
      </c>
      <c r="BU50" s="96"/>
      <c r="BV50" s="96"/>
      <c r="BW50" s="96"/>
      <c r="BX50" s="96">
        <v>0.45</v>
      </c>
      <c r="BY50" s="426">
        <v>50</v>
      </c>
      <c r="BZ50" s="426" t="s">
        <v>874</v>
      </c>
      <c r="CA50" s="426">
        <v>9</v>
      </c>
      <c r="CB50" s="426" t="s">
        <v>874</v>
      </c>
      <c r="CC50" s="430">
        <v>7.0000000000000007E-2</v>
      </c>
      <c r="CD50" s="430">
        <v>0.42</v>
      </c>
      <c r="CE50" s="430">
        <v>0.5</v>
      </c>
      <c r="CF50" s="430">
        <v>0.01</v>
      </c>
      <c r="CG50" s="430">
        <v>0.64</v>
      </c>
      <c r="CH50" s="430">
        <v>0.39</v>
      </c>
      <c r="CI50" s="430">
        <v>0.64</v>
      </c>
      <c r="CJ50" s="466">
        <v>49</v>
      </c>
      <c r="CK50" s="466" t="s">
        <v>874</v>
      </c>
      <c r="CL50" s="466">
        <v>12</v>
      </c>
      <c r="CM50" s="466" t="s">
        <v>874</v>
      </c>
      <c r="CN50" s="480">
        <v>0.15</v>
      </c>
      <c r="CO50" s="480">
        <v>0.38</v>
      </c>
      <c r="CP50" s="480">
        <v>0.46</v>
      </c>
      <c r="CQ50" s="480">
        <v>0.01</v>
      </c>
      <c r="CR50" s="480">
        <v>0.56999999999999995</v>
      </c>
      <c r="CS50" s="480">
        <v>0.56000000000000005</v>
      </c>
      <c r="CT50" s="480">
        <v>0.5</v>
      </c>
    </row>
    <row r="51" spans="1:98" ht="24.95" customHeight="1" x14ac:dyDescent="0.2">
      <c r="A51" s="814" t="s">
        <v>126</v>
      </c>
      <c r="B51" s="1" t="s">
        <v>221</v>
      </c>
      <c r="C51" s="12">
        <v>2</v>
      </c>
      <c r="D51" s="12">
        <v>59</v>
      </c>
      <c r="E51" s="12">
        <v>9</v>
      </c>
      <c r="F51" s="66">
        <v>0</v>
      </c>
      <c r="G51" s="66">
        <v>0.2</v>
      </c>
      <c r="H51" s="66">
        <v>0.71</v>
      </c>
      <c r="I51" s="66">
        <v>0.09</v>
      </c>
      <c r="J51" s="66">
        <v>0.43</v>
      </c>
      <c r="K51" s="66">
        <v>0.34</v>
      </c>
      <c r="L51" s="66">
        <v>0.43</v>
      </c>
      <c r="M51" s="12">
        <v>59</v>
      </c>
      <c r="N51" s="12">
        <v>9</v>
      </c>
      <c r="O51" s="40">
        <v>7.0000000000000007E-2</v>
      </c>
      <c r="P51" s="40">
        <v>0.4</v>
      </c>
      <c r="Q51" s="40">
        <v>0.52</v>
      </c>
      <c r="R51" s="40">
        <v>0.01</v>
      </c>
      <c r="S51" s="40">
        <v>0.51</v>
      </c>
      <c r="T51" s="40">
        <v>0.59</v>
      </c>
      <c r="U51" s="40">
        <v>0.39</v>
      </c>
      <c r="V51" s="12">
        <v>59</v>
      </c>
      <c r="W51" s="12">
        <v>8</v>
      </c>
      <c r="X51" s="66">
        <v>7.0000000000000007E-2</v>
      </c>
      <c r="Y51" s="66">
        <v>0.5</v>
      </c>
      <c r="Z51" s="66">
        <v>0.44</v>
      </c>
      <c r="AA51" s="66">
        <v>0</v>
      </c>
      <c r="AB51" s="66">
        <v>0.54</v>
      </c>
      <c r="AC51" s="66">
        <v>0.4</v>
      </c>
      <c r="AD51" s="66">
        <v>0.56999999999999995</v>
      </c>
      <c r="AE51" s="12">
        <v>61</v>
      </c>
      <c r="AF51" s="12">
        <v>10</v>
      </c>
      <c r="AG51" s="66">
        <v>0.06</v>
      </c>
      <c r="AH51" s="66">
        <v>0.44</v>
      </c>
      <c r="AI51" s="66">
        <v>0.48</v>
      </c>
      <c r="AJ51" s="66">
        <v>0.02</v>
      </c>
      <c r="AK51" s="66">
        <v>0.56999999999999995</v>
      </c>
      <c r="AL51" s="66">
        <v>0.51</v>
      </c>
      <c r="AM51" s="66">
        <v>0.3</v>
      </c>
      <c r="AN51" s="35">
        <v>60</v>
      </c>
      <c r="AO51" s="35">
        <v>9</v>
      </c>
      <c r="AP51" s="40">
        <v>0.02</v>
      </c>
      <c r="AQ51" s="40">
        <v>0.08</v>
      </c>
      <c r="AR51" s="40">
        <v>0.76</v>
      </c>
      <c r="AS51" s="40">
        <v>0.13</v>
      </c>
      <c r="AT51" s="40">
        <v>0.19</v>
      </c>
      <c r="AU51" s="40">
        <v>0.36</v>
      </c>
      <c r="AV51" s="40">
        <v>0.37</v>
      </c>
      <c r="AW51" s="247">
        <v>59</v>
      </c>
      <c r="AX51" s="247" t="s">
        <v>874</v>
      </c>
      <c r="AY51" s="247">
        <v>10</v>
      </c>
      <c r="AZ51" s="247" t="s">
        <v>874</v>
      </c>
      <c r="BA51" s="264">
        <v>0.01</v>
      </c>
      <c r="BB51" s="264">
        <v>0.19</v>
      </c>
      <c r="BC51" s="264">
        <v>0.71</v>
      </c>
      <c r="BD51" s="264">
        <v>0.09</v>
      </c>
      <c r="BE51" s="264">
        <v>0.21</v>
      </c>
      <c r="BF51" s="264">
        <v>0.39</v>
      </c>
      <c r="BG51" s="264">
        <v>0.36</v>
      </c>
      <c r="BH51" s="311">
        <v>60</v>
      </c>
      <c r="BI51" s="311" t="s">
        <v>874</v>
      </c>
      <c r="BJ51" s="311">
        <v>9</v>
      </c>
      <c r="BK51" s="311" t="s">
        <v>874</v>
      </c>
      <c r="BL51" s="466"/>
      <c r="BM51" s="466"/>
      <c r="BN51" s="466"/>
      <c r="BO51" s="329">
        <v>0.01</v>
      </c>
      <c r="BP51" s="329">
        <v>0.13</v>
      </c>
      <c r="BQ51" s="329">
        <v>0.77</v>
      </c>
      <c r="BR51" s="329">
        <v>0.09</v>
      </c>
      <c r="BS51" s="329">
        <v>0.38</v>
      </c>
      <c r="BT51" s="329">
        <v>0.42</v>
      </c>
      <c r="BU51" s="480"/>
      <c r="BV51" s="480"/>
      <c r="BW51" s="480"/>
      <c r="BX51" s="329">
        <v>0.26</v>
      </c>
      <c r="BY51" s="426">
        <v>60</v>
      </c>
      <c r="BZ51" s="426" t="s">
        <v>874</v>
      </c>
      <c r="CA51" s="426">
        <v>8</v>
      </c>
      <c r="CB51" s="426" t="s">
        <v>874</v>
      </c>
      <c r="CC51" s="430">
        <v>0</v>
      </c>
      <c r="CD51" s="430">
        <v>0.11</v>
      </c>
      <c r="CE51" s="430">
        <v>0.79</v>
      </c>
      <c r="CF51" s="430">
        <v>0.1</v>
      </c>
      <c r="CG51" s="430">
        <v>0.52</v>
      </c>
      <c r="CH51" s="430">
        <v>0.24</v>
      </c>
      <c r="CI51" s="430">
        <v>0.45</v>
      </c>
      <c r="CJ51" s="466">
        <v>62</v>
      </c>
      <c r="CK51" s="466" t="s">
        <v>875</v>
      </c>
      <c r="CL51" s="466">
        <v>10</v>
      </c>
      <c r="CM51" s="466" t="s">
        <v>874</v>
      </c>
      <c r="CN51" s="480">
        <v>0.01</v>
      </c>
      <c r="CO51" s="480">
        <v>0.11</v>
      </c>
      <c r="CP51" s="480">
        <v>0.69</v>
      </c>
      <c r="CQ51" s="480">
        <v>0.19</v>
      </c>
      <c r="CR51" s="480">
        <v>0.38</v>
      </c>
      <c r="CS51" s="480">
        <v>0.37</v>
      </c>
      <c r="CT51" s="480">
        <v>0.28999999999999998</v>
      </c>
    </row>
    <row r="52" spans="1:98" ht="24.95" customHeight="1" x14ac:dyDescent="0.2">
      <c r="A52" s="820" t="s">
        <v>269</v>
      </c>
      <c r="B52" s="1" t="s">
        <v>221</v>
      </c>
      <c r="C52" s="12">
        <v>2</v>
      </c>
      <c r="D52" s="12"/>
      <c r="E52" s="12"/>
      <c r="F52" s="12"/>
      <c r="G52" s="12"/>
      <c r="H52" s="12"/>
      <c r="I52" s="12"/>
      <c r="J52" s="12"/>
      <c r="K52" s="12"/>
      <c r="L52" s="12"/>
      <c r="M52" s="12" t="s">
        <v>224</v>
      </c>
      <c r="N52" s="12" t="s">
        <v>224</v>
      </c>
      <c r="O52" s="40">
        <v>0.01</v>
      </c>
      <c r="P52" s="40">
        <v>0.19</v>
      </c>
      <c r="Q52" s="40">
        <v>0.71</v>
      </c>
      <c r="R52" s="40">
        <v>0.09</v>
      </c>
      <c r="S52" s="40">
        <v>0.38</v>
      </c>
      <c r="T52" s="40">
        <v>0.43</v>
      </c>
      <c r="U52" s="40">
        <v>0.25</v>
      </c>
      <c r="V52" s="12" t="s">
        <v>224</v>
      </c>
      <c r="W52" s="12" t="s">
        <v>224</v>
      </c>
      <c r="X52" s="66">
        <v>0.01</v>
      </c>
      <c r="Y52" s="66">
        <v>0.09</v>
      </c>
      <c r="Z52" s="66">
        <v>0.85</v>
      </c>
      <c r="AA52" s="66">
        <v>0.06</v>
      </c>
      <c r="AB52" s="66">
        <v>0.38</v>
      </c>
      <c r="AC52" s="66">
        <v>0.28000000000000003</v>
      </c>
      <c r="AD52" s="66">
        <v>0.39</v>
      </c>
      <c r="AE52" s="12" t="s">
        <v>224</v>
      </c>
      <c r="AF52" s="12" t="s">
        <v>224</v>
      </c>
      <c r="AG52" s="66">
        <v>0.01</v>
      </c>
      <c r="AH52" s="66">
        <v>0.13</v>
      </c>
      <c r="AI52" s="66">
        <v>0.72</v>
      </c>
      <c r="AJ52" s="66">
        <v>0.13</v>
      </c>
      <c r="AK52" s="66">
        <v>0.37</v>
      </c>
      <c r="AL52" s="66">
        <v>0.35</v>
      </c>
      <c r="AM52" s="66">
        <v>0.18</v>
      </c>
      <c r="AN52" s="35">
        <v>54</v>
      </c>
      <c r="AO52" s="35">
        <v>0</v>
      </c>
      <c r="AP52" s="40">
        <v>0</v>
      </c>
      <c r="AQ52" s="40">
        <v>0</v>
      </c>
      <c r="AR52" s="40">
        <v>1</v>
      </c>
      <c r="AS52" s="40">
        <v>0</v>
      </c>
      <c r="AT52" s="40">
        <v>0.18</v>
      </c>
      <c r="AU52" s="40">
        <v>0.83</v>
      </c>
      <c r="AV52" s="40">
        <v>0.28999999999999998</v>
      </c>
      <c r="AW52" s="652"/>
      <c r="AX52" s="652"/>
      <c r="AY52" s="652"/>
      <c r="AZ52" s="652"/>
      <c r="BA52" s="652"/>
      <c r="BB52" s="652"/>
      <c r="BC52" s="652"/>
      <c r="BD52" s="652"/>
      <c r="BE52" s="652"/>
      <c r="BF52" s="652"/>
      <c r="BG52" s="652"/>
      <c r="BH52" s="655"/>
      <c r="BI52" s="655"/>
      <c r="BJ52" s="655"/>
      <c r="BK52" s="655"/>
      <c r="BL52" s="656"/>
      <c r="BM52" s="656"/>
      <c r="BN52" s="656"/>
      <c r="BO52" s="655"/>
      <c r="BP52" s="655"/>
      <c r="BQ52" s="655"/>
      <c r="BR52" s="655"/>
      <c r="BS52" s="655"/>
      <c r="BT52" s="655"/>
      <c r="BU52" s="656"/>
      <c r="BV52" s="656"/>
      <c r="BW52" s="656"/>
      <c r="BX52" s="655"/>
      <c r="BY52" s="657"/>
      <c r="BZ52" s="657"/>
      <c r="CA52" s="657"/>
      <c r="CB52" s="657"/>
      <c r="CC52" s="657"/>
      <c r="CD52" s="657"/>
      <c r="CE52" s="657"/>
      <c r="CF52" s="657"/>
      <c r="CG52" s="657"/>
      <c r="CH52" s="657"/>
      <c r="CI52" s="657"/>
      <c r="CJ52" s="656"/>
      <c r="CK52" s="656"/>
      <c r="CL52" s="656"/>
      <c r="CM52" s="656"/>
      <c r="CN52" s="656"/>
      <c r="CO52" s="656"/>
      <c r="CP52" s="656"/>
      <c r="CQ52" s="656"/>
      <c r="CR52" s="656"/>
      <c r="CS52" s="656"/>
      <c r="CT52" s="656"/>
    </row>
    <row r="53" spans="1:98" ht="24.95" customHeight="1" x14ac:dyDescent="0.2">
      <c r="A53" s="814" t="s">
        <v>134</v>
      </c>
      <c r="B53" s="1" t="s">
        <v>221</v>
      </c>
      <c r="C53" s="12">
        <v>5</v>
      </c>
      <c r="D53" s="12">
        <v>54</v>
      </c>
      <c r="E53" s="12">
        <v>8</v>
      </c>
      <c r="F53" s="66">
        <v>0</v>
      </c>
      <c r="G53" s="66">
        <v>0.42</v>
      </c>
      <c r="H53" s="66">
        <v>0.57999999999999996</v>
      </c>
      <c r="I53" s="66">
        <v>0</v>
      </c>
      <c r="J53" s="66">
        <v>0.5</v>
      </c>
      <c r="K53" s="66">
        <v>0.41</v>
      </c>
      <c r="L53" s="66">
        <v>0.47</v>
      </c>
      <c r="M53" s="12">
        <v>55</v>
      </c>
      <c r="N53" s="12">
        <v>12</v>
      </c>
      <c r="O53" s="40"/>
      <c r="P53" s="40"/>
      <c r="Q53" s="40"/>
      <c r="R53" s="40"/>
      <c r="S53" s="40"/>
      <c r="T53" s="40"/>
      <c r="U53" s="40"/>
      <c r="V53" s="12">
        <v>58</v>
      </c>
      <c r="W53" s="12">
        <v>9</v>
      </c>
      <c r="X53" s="12"/>
      <c r="Y53" s="12"/>
      <c r="Z53" s="12"/>
      <c r="AA53" s="12"/>
      <c r="AB53" s="12"/>
      <c r="AC53" s="12"/>
      <c r="AD53" s="12"/>
      <c r="AE53" s="12">
        <v>58</v>
      </c>
      <c r="AF53" s="12">
        <v>8</v>
      </c>
      <c r="AG53" s="12"/>
      <c r="AH53" s="12"/>
      <c r="AI53" s="12"/>
      <c r="AJ53" s="12"/>
      <c r="AK53" s="12"/>
      <c r="AL53" s="12"/>
      <c r="AM53" s="12"/>
      <c r="AN53" s="35">
        <v>58</v>
      </c>
      <c r="AO53" s="35">
        <v>12</v>
      </c>
      <c r="AP53" s="40">
        <v>0.05</v>
      </c>
      <c r="AQ53" s="40">
        <v>0.28999999999999998</v>
      </c>
      <c r="AR53" s="40">
        <v>0.48</v>
      </c>
      <c r="AS53" s="40">
        <v>0.19</v>
      </c>
      <c r="AT53" s="40">
        <v>0.21</v>
      </c>
      <c r="AU53" s="40">
        <v>0.45</v>
      </c>
      <c r="AV53" s="40">
        <v>0.34</v>
      </c>
      <c r="AW53" s="247">
        <v>58</v>
      </c>
      <c r="AX53" s="247" t="s">
        <v>874</v>
      </c>
      <c r="AY53" s="247">
        <v>10</v>
      </c>
      <c r="AZ53" s="247" t="s">
        <v>874</v>
      </c>
      <c r="BA53" s="264">
        <v>0</v>
      </c>
      <c r="BB53" s="264">
        <v>0.19</v>
      </c>
      <c r="BC53" s="264">
        <v>0.67</v>
      </c>
      <c r="BD53" s="264">
        <v>0.14000000000000001</v>
      </c>
      <c r="BE53" s="264">
        <v>0.23</v>
      </c>
      <c r="BF53" s="264">
        <v>0.41</v>
      </c>
      <c r="BG53" s="264">
        <v>0.32</v>
      </c>
      <c r="BH53" s="311">
        <v>58</v>
      </c>
      <c r="BI53" s="311" t="s">
        <v>874</v>
      </c>
      <c r="BJ53" s="311">
        <v>7</v>
      </c>
      <c r="BK53" s="311" t="s">
        <v>874</v>
      </c>
      <c r="BL53" s="466"/>
      <c r="BM53" s="466"/>
      <c r="BN53" s="466"/>
      <c r="BO53" s="329">
        <v>0</v>
      </c>
      <c r="BP53" s="329">
        <v>0.11</v>
      </c>
      <c r="BQ53" s="329">
        <v>0.83</v>
      </c>
      <c r="BR53" s="329">
        <v>0.06</v>
      </c>
      <c r="BS53" s="329">
        <v>0.34</v>
      </c>
      <c r="BT53" s="329">
        <v>0.49</v>
      </c>
      <c r="BU53" s="480"/>
      <c r="BV53" s="480"/>
      <c r="BW53" s="480"/>
      <c r="BX53" s="329">
        <v>0.26</v>
      </c>
      <c r="BY53" s="426">
        <v>56</v>
      </c>
      <c r="BZ53" s="426" t="s">
        <v>874</v>
      </c>
      <c r="CA53" s="426">
        <v>8</v>
      </c>
      <c r="CB53" s="426" t="s">
        <v>874</v>
      </c>
      <c r="CC53" s="430">
        <v>0</v>
      </c>
      <c r="CD53" s="430">
        <v>0.33</v>
      </c>
      <c r="CE53" s="430">
        <v>0.67</v>
      </c>
      <c r="CF53" s="430">
        <v>0</v>
      </c>
      <c r="CG53" s="430">
        <v>0.51</v>
      </c>
      <c r="CH53" s="430">
        <v>0.35</v>
      </c>
      <c r="CI53" s="430">
        <v>0.54</v>
      </c>
      <c r="CJ53" s="466">
        <v>58</v>
      </c>
      <c r="CK53" s="466" t="s">
        <v>874</v>
      </c>
      <c r="CL53" s="466">
        <v>8</v>
      </c>
      <c r="CM53" s="466" t="s">
        <v>874</v>
      </c>
      <c r="CN53" s="480">
        <v>0</v>
      </c>
      <c r="CO53" s="480">
        <v>0.24</v>
      </c>
      <c r="CP53" s="480">
        <v>0.71</v>
      </c>
      <c r="CQ53" s="480">
        <v>0.05</v>
      </c>
      <c r="CR53" s="480">
        <v>0.4</v>
      </c>
      <c r="CS53" s="480">
        <v>0.41</v>
      </c>
      <c r="CT53" s="480">
        <v>0.39</v>
      </c>
    </row>
    <row r="54" spans="1:98" ht="24.95" customHeight="1" x14ac:dyDescent="0.2">
      <c r="A54" s="814" t="s">
        <v>920</v>
      </c>
      <c r="B54" s="14" t="s">
        <v>221</v>
      </c>
      <c r="C54" s="12">
        <v>6</v>
      </c>
      <c r="D54" s="12"/>
      <c r="E54" s="12"/>
      <c r="F54" s="66"/>
      <c r="G54" s="66"/>
      <c r="H54" s="66"/>
      <c r="I54" s="66"/>
      <c r="J54" s="66"/>
      <c r="K54" s="66"/>
      <c r="L54" s="66"/>
      <c r="M54" s="12"/>
      <c r="N54" s="12"/>
      <c r="O54" s="40"/>
      <c r="P54" s="40"/>
      <c r="Q54" s="40"/>
      <c r="R54" s="40"/>
      <c r="S54" s="40"/>
      <c r="T54" s="40"/>
      <c r="U54" s="40"/>
      <c r="V54" s="12"/>
      <c r="W54" s="12"/>
      <c r="X54" s="12"/>
      <c r="Y54" s="12"/>
      <c r="Z54" s="12"/>
      <c r="AA54" s="12"/>
      <c r="AB54" s="12"/>
      <c r="AC54" s="12"/>
      <c r="AD54" s="12"/>
      <c r="AE54" s="12"/>
      <c r="AF54" s="12"/>
      <c r="AG54" s="12"/>
      <c r="AH54" s="12"/>
      <c r="AI54" s="12"/>
      <c r="AJ54" s="12"/>
      <c r="AK54" s="12"/>
      <c r="AL54" s="12"/>
      <c r="AM54" s="12"/>
      <c r="AN54" s="35"/>
      <c r="AO54" s="35"/>
      <c r="AP54" s="40"/>
      <c r="AQ54" s="40"/>
      <c r="AR54" s="40"/>
      <c r="AS54" s="40"/>
      <c r="AT54" s="40"/>
      <c r="AU54" s="40"/>
      <c r="AV54" s="40"/>
      <c r="AW54" s="653"/>
      <c r="AX54" s="653"/>
      <c r="AY54" s="653"/>
      <c r="AZ54" s="653"/>
      <c r="BA54" s="654"/>
      <c r="BB54" s="654"/>
      <c r="BC54" s="654"/>
      <c r="BD54" s="654"/>
      <c r="BE54" s="654"/>
      <c r="BF54" s="654"/>
      <c r="BG54" s="654"/>
      <c r="BH54" s="74">
        <v>64</v>
      </c>
      <c r="BI54" s="74" t="s">
        <v>875</v>
      </c>
      <c r="BJ54" s="74">
        <v>15</v>
      </c>
      <c r="BK54" s="74" t="s">
        <v>875</v>
      </c>
      <c r="BL54" s="74"/>
      <c r="BM54" s="74"/>
      <c r="BN54" s="74"/>
      <c r="BO54" s="96">
        <v>0</v>
      </c>
      <c r="BP54" s="96">
        <v>0.25</v>
      </c>
      <c r="BQ54" s="96">
        <v>0.38</v>
      </c>
      <c r="BR54" s="96">
        <v>0.38</v>
      </c>
      <c r="BS54" s="96">
        <v>0.34</v>
      </c>
      <c r="BT54" s="96">
        <v>0.32</v>
      </c>
      <c r="BU54" s="96"/>
      <c r="BV54" s="96"/>
      <c r="BW54" s="96"/>
      <c r="BX54" s="96">
        <v>0.2</v>
      </c>
      <c r="BY54" s="658">
        <v>61</v>
      </c>
      <c r="BZ54" s="658" t="s">
        <v>875</v>
      </c>
      <c r="CA54" s="658">
        <v>9</v>
      </c>
      <c r="CB54" s="658" t="s">
        <v>874</v>
      </c>
      <c r="CC54" s="659">
        <v>0</v>
      </c>
      <c r="CD54" s="659">
        <v>0.15</v>
      </c>
      <c r="CE54" s="659">
        <v>0.7</v>
      </c>
      <c r="CF54" s="659">
        <v>0.15</v>
      </c>
      <c r="CG54" s="659">
        <v>0.56999999999999995</v>
      </c>
      <c r="CH54" s="659">
        <v>0.22</v>
      </c>
      <c r="CI54" s="659">
        <v>0.42</v>
      </c>
      <c r="CJ54" s="74">
        <v>65</v>
      </c>
      <c r="CK54" s="74" t="s">
        <v>875</v>
      </c>
      <c r="CL54" s="74">
        <v>10</v>
      </c>
      <c r="CM54" s="74" t="s">
        <v>874</v>
      </c>
      <c r="CN54" s="96">
        <v>0</v>
      </c>
      <c r="CO54" s="96">
        <v>0.09</v>
      </c>
      <c r="CP54" s="96">
        <v>0.59</v>
      </c>
      <c r="CQ54" s="96">
        <v>0.32</v>
      </c>
      <c r="CR54" s="96">
        <v>0.31</v>
      </c>
      <c r="CS54" s="96">
        <v>0.32</v>
      </c>
      <c r="CT54" s="96">
        <v>0.25</v>
      </c>
    </row>
    <row r="55" spans="1:98" ht="24.95" customHeight="1" x14ac:dyDescent="0.2">
      <c r="A55" s="814" t="s">
        <v>101</v>
      </c>
      <c r="B55" s="1" t="s">
        <v>221</v>
      </c>
      <c r="C55" s="12">
        <v>1</v>
      </c>
      <c r="D55" s="12">
        <v>55</v>
      </c>
      <c r="E55" s="12">
        <v>10</v>
      </c>
      <c r="F55" s="66">
        <v>0.1</v>
      </c>
      <c r="G55" s="66">
        <v>0.2</v>
      </c>
      <c r="H55" s="66">
        <v>0.68</v>
      </c>
      <c r="I55" s="66">
        <v>0.02</v>
      </c>
      <c r="J55" s="66">
        <v>0.51</v>
      </c>
      <c r="K55" s="66">
        <v>0.48</v>
      </c>
      <c r="L55" s="66">
        <v>0.54</v>
      </c>
      <c r="M55" s="12">
        <v>55</v>
      </c>
      <c r="N55" s="12">
        <v>9</v>
      </c>
      <c r="O55" s="40">
        <v>0.06</v>
      </c>
      <c r="P55" s="40">
        <v>0.17</v>
      </c>
      <c r="Q55" s="40">
        <v>0.67</v>
      </c>
      <c r="R55" s="40">
        <v>0.11</v>
      </c>
      <c r="S55" s="40">
        <v>0.42</v>
      </c>
      <c r="T55" s="40">
        <v>0.45</v>
      </c>
      <c r="U55" s="40">
        <v>0.36</v>
      </c>
      <c r="V55" s="12">
        <v>57</v>
      </c>
      <c r="W55" s="12">
        <v>9</v>
      </c>
      <c r="X55" s="66">
        <v>0</v>
      </c>
      <c r="Y55" s="66">
        <v>0.11</v>
      </c>
      <c r="Z55" s="66">
        <v>0.72</v>
      </c>
      <c r="AA55" s="66">
        <v>0.17</v>
      </c>
      <c r="AB55" s="66">
        <v>0.39</v>
      </c>
      <c r="AC55" s="66">
        <v>0.33</v>
      </c>
      <c r="AD55" s="66">
        <v>0.39</v>
      </c>
      <c r="AE55" s="12">
        <v>57</v>
      </c>
      <c r="AF55" s="12">
        <v>9</v>
      </c>
      <c r="AG55" s="66">
        <v>0</v>
      </c>
      <c r="AH55" s="66">
        <v>0.26</v>
      </c>
      <c r="AI55" s="66">
        <v>0.68</v>
      </c>
      <c r="AJ55" s="66">
        <v>0.05</v>
      </c>
      <c r="AK55" s="66">
        <v>0.44</v>
      </c>
      <c r="AL55" s="66">
        <v>0.4</v>
      </c>
      <c r="AM55" s="66">
        <v>0.2</v>
      </c>
      <c r="AN55" s="35">
        <v>56</v>
      </c>
      <c r="AO55" s="35">
        <v>10</v>
      </c>
      <c r="AP55" s="40">
        <v>0</v>
      </c>
      <c r="AQ55" s="40">
        <v>0.28999999999999998</v>
      </c>
      <c r="AR55" s="40">
        <v>0.64</v>
      </c>
      <c r="AS55" s="40">
        <v>7.0000000000000007E-2</v>
      </c>
      <c r="AT55" s="40">
        <v>0.24</v>
      </c>
      <c r="AU55" s="40">
        <v>0.43</v>
      </c>
      <c r="AV55" s="40">
        <v>0.47</v>
      </c>
      <c r="AW55" s="247">
        <v>56</v>
      </c>
      <c r="AX55" s="247" t="s">
        <v>874</v>
      </c>
      <c r="AY55" s="247">
        <v>9</v>
      </c>
      <c r="AZ55" s="247" t="s">
        <v>874</v>
      </c>
      <c r="BA55" s="264">
        <v>0</v>
      </c>
      <c r="BB55" s="264">
        <v>0.25</v>
      </c>
      <c r="BC55" s="264">
        <v>0.7</v>
      </c>
      <c r="BD55" s="264">
        <v>0.05</v>
      </c>
      <c r="BE55" s="264">
        <v>0.22</v>
      </c>
      <c r="BF55" s="264">
        <v>0.43</v>
      </c>
      <c r="BG55" s="264">
        <v>0.4</v>
      </c>
      <c r="BH55" s="311">
        <v>56</v>
      </c>
      <c r="BI55" s="311" t="s">
        <v>874</v>
      </c>
      <c r="BJ55" s="311">
        <v>8</v>
      </c>
      <c r="BK55" s="311" t="s">
        <v>874</v>
      </c>
      <c r="BL55" s="466"/>
      <c r="BM55" s="466"/>
      <c r="BN55" s="466"/>
      <c r="BO55" s="329">
        <v>0</v>
      </c>
      <c r="BP55" s="329">
        <v>0.26</v>
      </c>
      <c r="BQ55" s="329">
        <v>0.74</v>
      </c>
      <c r="BR55" s="329">
        <v>0</v>
      </c>
      <c r="BS55" s="329">
        <v>0.51</v>
      </c>
      <c r="BT55" s="329">
        <v>0.6</v>
      </c>
      <c r="BU55" s="480"/>
      <c r="BV55" s="480"/>
      <c r="BW55" s="480"/>
      <c r="BX55" s="329">
        <v>0.35</v>
      </c>
      <c r="BY55" s="426">
        <v>56</v>
      </c>
      <c r="BZ55" s="426" t="s">
        <v>874</v>
      </c>
      <c r="CA55" s="426">
        <v>12</v>
      </c>
      <c r="CB55" s="426" t="s">
        <v>874</v>
      </c>
      <c r="CC55" s="430">
        <v>7.0000000000000007E-2</v>
      </c>
      <c r="CD55" s="430">
        <v>0.26</v>
      </c>
      <c r="CE55" s="430">
        <v>0.56000000000000005</v>
      </c>
      <c r="CF55" s="430">
        <v>0.11</v>
      </c>
      <c r="CG55" s="430">
        <v>0.56000000000000005</v>
      </c>
      <c r="CH55" s="430">
        <v>0.34</v>
      </c>
      <c r="CI55" s="430">
        <v>0.45</v>
      </c>
      <c r="CJ55" s="466">
        <v>57</v>
      </c>
      <c r="CK55" s="466" t="s">
        <v>874</v>
      </c>
      <c r="CL55" s="466">
        <v>10</v>
      </c>
      <c r="CM55" s="466" t="s">
        <v>874</v>
      </c>
      <c r="CN55" s="480">
        <v>0.03</v>
      </c>
      <c r="CO55" s="480">
        <v>0.17</v>
      </c>
      <c r="CP55" s="480">
        <v>0.71</v>
      </c>
      <c r="CQ55" s="480">
        <v>0.08</v>
      </c>
      <c r="CR55" s="480">
        <v>0.54</v>
      </c>
      <c r="CS55" s="480">
        <v>0.43</v>
      </c>
      <c r="CT55" s="480">
        <v>0.35</v>
      </c>
    </row>
    <row r="56" spans="1:98" ht="24.95" customHeight="1" x14ac:dyDescent="0.2">
      <c r="A56" s="815" t="s">
        <v>229</v>
      </c>
      <c r="B56" s="1" t="s">
        <v>221</v>
      </c>
      <c r="C56" s="330">
        <v>1</v>
      </c>
      <c r="D56" s="330"/>
      <c r="E56" s="330"/>
      <c r="F56" s="330"/>
      <c r="G56" s="330"/>
      <c r="H56" s="330"/>
      <c r="I56" s="330"/>
      <c r="J56" s="330"/>
      <c r="K56" s="330"/>
      <c r="L56" s="330"/>
      <c r="M56" s="330" t="s">
        <v>224</v>
      </c>
      <c r="N56" s="330" t="s">
        <v>224</v>
      </c>
      <c r="O56" s="333">
        <v>0.04</v>
      </c>
      <c r="P56" s="333">
        <v>0.27</v>
      </c>
      <c r="Q56" s="333">
        <v>0.65</v>
      </c>
      <c r="R56" s="333">
        <v>0.04</v>
      </c>
      <c r="S56" s="333">
        <v>0.42</v>
      </c>
      <c r="T56" s="333">
        <v>0.5</v>
      </c>
      <c r="U56" s="333">
        <v>0.31</v>
      </c>
      <c r="V56" s="330">
        <v>52</v>
      </c>
      <c r="W56" s="330">
        <v>8</v>
      </c>
      <c r="X56" s="335">
        <v>0</v>
      </c>
      <c r="Y56" s="335">
        <v>0.25</v>
      </c>
      <c r="Z56" s="335">
        <v>0.68</v>
      </c>
      <c r="AA56" s="335">
        <v>7.0000000000000007E-2</v>
      </c>
      <c r="AB56" s="335">
        <v>0.38</v>
      </c>
      <c r="AC56" s="335">
        <v>0.34</v>
      </c>
      <c r="AD56" s="335">
        <v>0.46</v>
      </c>
      <c r="AE56" s="330">
        <v>52</v>
      </c>
      <c r="AF56" s="330">
        <v>9</v>
      </c>
      <c r="AG56" s="335">
        <v>0</v>
      </c>
      <c r="AH56" s="335">
        <v>0.28000000000000003</v>
      </c>
      <c r="AI56" s="335">
        <v>0.72</v>
      </c>
      <c r="AJ56" s="335">
        <v>0</v>
      </c>
      <c r="AK56" s="335">
        <v>0.46</v>
      </c>
      <c r="AL56" s="335">
        <v>0.41</v>
      </c>
      <c r="AM56" s="335">
        <v>0.22</v>
      </c>
      <c r="AN56" s="313">
        <v>56</v>
      </c>
      <c r="AO56" s="313">
        <v>8</v>
      </c>
      <c r="AP56" s="333">
        <v>0</v>
      </c>
      <c r="AQ56" s="333">
        <v>0.4</v>
      </c>
      <c r="AR56" s="333">
        <v>0.6</v>
      </c>
      <c r="AS56" s="333">
        <v>0</v>
      </c>
      <c r="AT56" s="333">
        <v>0.22</v>
      </c>
      <c r="AU56" s="333">
        <v>0.45</v>
      </c>
      <c r="AV56" s="333">
        <v>0.51</v>
      </c>
      <c r="AW56" s="314">
        <v>61</v>
      </c>
      <c r="AX56" s="314" t="s">
        <v>875</v>
      </c>
      <c r="AY56" s="314">
        <v>4</v>
      </c>
      <c r="AZ56" s="314" t="s">
        <v>876</v>
      </c>
      <c r="BA56" s="334">
        <v>0</v>
      </c>
      <c r="BB56" s="334">
        <v>0</v>
      </c>
      <c r="BC56" s="334">
        <v>1</v>
      </c>
      <c r="BD56" s="334">
        <v>0</v>
      </c>
      <c r="BE56" s="334">
        <v>0.19</v>
      </c>
      <c r="BF56" s="334">
        <v>0.38</v>
      </c>
      <c r="BG56" s="334">
        <v>0.2</v>
      </c>
      <c r="BH56" s="311">
        <v>56</v>
      </c>
      <c r="BI56" s="311" t="s">
        <v>874</v>
      </c>
      <c r="BJ56" s="311">
        <v>7</v>
      </c>
      <c r="BK56" s="311" t="s">
        <v>874</v>
      </c>
      <c r="BL56" s="466"/>
      <c r="BM56" s="466"/>
      <c r="BN56" s="466"/>
      <c r="BO56" s="329">
        <v>0</v>
      </c>
      <c r="BP56" s="329">
        <v>0.3</v>
      </c>
      <c r="BQ56" s="329">
        <v>0.7</v>
      </c>
      <c r="BR56" s="329">
        <v>0</v>
      </c>
      <c r="BS56" s="329">
        <v>0.41</v>
      </c>
      <c r="BT56" s="329">
        <v>0.46</v>
      </c>
      <c r="BU56" s="480"/>
      <c r="BV56" s="480"/>
      <c r="BW56" s="480"/>
      <c r="BX56" s="329">
        <v>0.2</v>
      </c>
      <c r="BY56" s="426">
        <v>55</v>
      </c>
      <c r="BZ56" s="426" t="s">
        <v>874</v>
      </c>
      <c r="CA56" s="426">
        <v>9</v>
      </c>
      <c r="CB56" s="426" t="s">
        <v>874</v>
      </c>
      <c r="CC56" s="430">
        <v>0.05</v>
      </c>
      <c r="CD56" s="430">
        <v>0.15</v>
      </c>
      <c r="CE56" s="430">
        <v>0.75</v>
      </c>
      <c r="CF56" s="430">
        <v>0.05</v>
      </c>
      <c r="CG56" s="430">
        <v>0.66</v>
      </c>
      <c r="CH56" s="430">
        <v>0.4</v>
      </c>
      <c r="CI56" s="430">
        <v>0.51</v>
      </c>
      <c r="CJ56" s="466">
        <v>46</v>
      </c>
      <c r="CK56" s="466" t="s">
        <v>876</v>
      </c>
      <c r="CL56" s="466">
        <v>11</v>
      </c>
      <c r="CM56" s="466" t="s">
        <v>874</v>
      </c>
      <c r="CN56" s="480">
        <v>0.14000000000000001</v>
      </c>
      <c r="CO56" s="480">
        <v>0.56999999999999995</v>
      </c>
      <c r="CP56" s="480">
        <v>0.28999999999999998</v>
      </c>
      <c r="CQ56" s="480">
        <v>0</v>
      </c>
      <c r="CR56" s="480">
        <v>0.63</v>
      </c>
      <c r="CS56" s="480">
        <v>0.66</v>
      </c>
      <c r="CT56" s="480">
        <v>0.5</v>
      </c>
    </row>
    <row r="57" spans="1:98" ht="24.95" customHeight="1" x14ac:dyDescent="0.2">
      <c r="A57" s="814" t="s">
        <v>116</v>
      </c>
      <c r="B57" s="1" t="s">
        <v>221</v>
      </c>
      <c r="C57" s="12">
        <v>2</v>
      </c>
      <c r="D57" s="12">
        <v>53</v>
      </c>
      <c r="E57" s="12">
        <v>9</v>
      </c>
      <c r="F57" s="66">
        <v>0.03</v>
      </c>
      <c r="G57" s="66">
        <v>0.36</v>
      </c>
      <c r="H57" s="66">
        <v>0.56999999999999995</v>
      </c>
      <c r="I57" s="66">
        <v>0.04</v>
      </c>
      <c r="J57" s="66">
        <v>0.52</v>
      </c>
      <c r="K57" s="66">
        <v>0.42</v>
      </c>
      <c r="L57" s="66">
        <v>0.5</v>
      </c>
      <c r="M57" s="12">
        <v>54</v>
      </c>
      <c r="N57" s="12">
        <v>10</v>
      </c>
      <c r="O57" s="40"/>
      <c r="P57" s="40"/>
      <c r="Q57" s="40"/>
      <c r="R57" s="40"/>
      <c r="S57" s="40"/>
      <c r="T57" s="40"/>
      <c r="U57" s="40"/>
      <c r="V57" s="12">
        <v>53</v>
      </c>
      <c r="W57" s="12">
        <v>9</v>
      </c>
      <c r="X57" s="66">
        <v>0</v>
      </c>
      <c r="Y57" s="66">
        <v>0.5</v>
      </c>
      <c r="Z57" s="66">
        <v>0.5</v>
      </c>
      <c r="AA57" s="66">
        <v>0</v>
      </c>
      <c r="AB57" s="66">
        <v>0.48</v>
      </c>
      <c r="AC57" s="66">
        <v>0.39</v>
      </c>
      <c r="AD57" s="66">
        <v>0.56999999999999995</v>
      </c>
      <c r="AE57" s="12">
        <v>57</v>
      </c>
      <c r="AF57" s="12">
        <v>9</v>
      </c>
      <c r="AG57" s="66">
        <v>0</v>
      </c>
      <c r="AH57" s="66">
        <v>0.4</v>
      </c>
      <c r="AI57" s="66">
        <v>0.6</v>
      </c>
      <c r="AJ57" s="66">
        <v>0</v>
      </c>
      <c r="AK57" s="66">
        <v>0.56999999999999995</v>
      </c>
      <c r="AL57" s="66">
        <v>0.42</v>
      </c>
      <c r="AM57" s="66">
        <v>0.3</v>
      </c>
      <c r="AN57" s="35">
        <v>55</v>
      </c>
      <c r="AO57" s="35">
        <v>9</v>
      </c>
      <c r="AP57" s="40">
        <v>0.01</v>
      </c>
      <c r="AQ57" s="40">
        <v>0.32</v>
      </c>
      <c r="AR57" s="40">
        <v>0.63</v>
      </c>
      <c r="AS57" s="40">
        <v>0.04</v>
      </c>
      <c r="AT57" s="40">
        <v>0.24</v>
      </c>
      <c r="AU57" s="40">
        <v>0.46</v>
      </c>
      <c r="AV57" s="40">
        <v>0.45</v>
      </c>
      <c r="AW57" s="247">
        <v>55</v>
      </c>
      <c r="AX57" s="247" t="s">
        <v>874</v>
      </c>
      <c r="AY57" s="247">
        <v>9</v>
      </c>
      <c r="AZ57" s="247" t="s">
        <v>874</v>
      </c>
      <c r="BA57" s="264">
        <v>0.02</v>
      </c>
      <c r="BB57" s="264">
        <v>0.22</v>
      </c>
      <c r="BC57" s="264">
        <v>0.73</v>
      </c>
      <c r="BD57" s="264">
        <v>0.03</v>
      </c>
      <c r="BE57" s="264">
        <v>0.23</v>
      </c>
      <c r="BF57" s="264">
        <v>0.45</v>
      </c>
      <c r="BG57" s="264">
        <v>0.37</v>
      </c>
      <c r="BH57" s="311">
        <v>57</v>
      </c>
      <c r="BI57" s="311" t="s">
        <v>874</v>
      </c>
      <c r="BJ57" s="311">
        <v>10</v>
      </c>
      <c r="BK57" s="311" t="s">
        <v>874</v>
      </c>
      <c r="BL57" s="466"/>
      <c r="BM57" s="466"/>
      <c r="BN57" s="466"/>
      <c r="BO57" s="329">
        <v>0.05</v>
      </c>
      <c r="BP57" s="329">
        <v>0.18</v>
      </c>
      <c r="BQ57" s="329">
        <v>0.73</v>
      </c>
      <c r="BR57" s="329">
        <v>0.04</v>
      </c>
      <c r="BS57" s="329">
        <v>0.4</v>
      </c>
      <c r="BT57" s="329">
        <v>0.5</v>
      </c>
      <c r="BU57" s="480"/>
      <c r="BV57" s="480"/>
      <c r="BW57" s="480"/>
      <c r="BX57" s="329">
        <v>0.33</v>
      </c>
      <c r="BY57" s="426">
        <v>57</v>
      </c>
      <c r="BZ57" s="426" t="s">
        <v>874</v>
      </c>
      <c r="CA57" s="426">
        <v>10</v>
      </c>
      <c r="CB57" s="426" t="s">
        <v>874</v>
      </c>
      <c r="CC57" s="430">
        <v>0.05</v>
      </c>
      <c r="CD57" s="430">
        <v>0.2</v>
      </c>
      <c r="CE57" s="430">
        <v>0.7</v>
      </c>
      <c r="CF57" s="430">
        <v>0.05</v>
      </c>
      <c r="CG57" s="430">
        <v>0.55000000000000004</v>
      </c>
      <c r="CH57" s="430">
        <v>0.32</v>
      </c>
      <c r="CI57" s="430">
        <v>0.45</v>
      </c>
      <c r="CJ57" s="466">
        <v>60</v>
      </c>
      <c r="CK57" s="466" t="s">
        <v>874</v>
      </c>
      <c r="CL57" s="466">
        <v>9</v>
      </c>
      <c r="CM57" s="466" t="s">
        <v>874</v>
      </c>
      <c r="CN57" s="480">
        <v>0.02</v>
      </c>
      <c r="CO57" s="480">
        <v>0.11</v>
      </c>
      <c r="CP57" s="480">
        <v>0.75</v>
      </c>
      <c r="CQ57" s="480">
        <v>0.11</v>
      </c>
      <c r="CR57" s="480">
        <v>0.46</v>
      </c>
      <c r="CS57" s="480">
        <v>0.39</v>
      </c>
      <c r="CT57" s="480">
        <v>0.32</v>
      </c>
    </row>
    <row r="58" spans="1:98" ht="24.95" customHeight="1" x14ac:dyDescent="0.2">
      <c r="A58" s="814" t="s">
        <v>151</v>
      </c>
      <c r="B58" s="1" t="s">
        <v>221</v>
      </c>
      <c r="C58" s="12">
        <v>3</v>
      </c>
      <c r="D58" s="12">
        <v>54</v>
      </c>
      <c r="E58" s="12">
        <v>8</v>
      </c>
      <c r="F58" s="66">
        <v>0.04</v>
      </c>
      <c r="G58" s="66">
        <v>0.3</v>
      </c>
      <c r="H58" s="66">
        <v>0.67</v>
      </c>
      <c r="I58" s="66">
        <v>0</v>
      </c>
      <c r="J58" s="66">
        <v>0.48</v>
      </c>
      <c r="K58" s="66">
        <v>0.44</v>
      </c>
      <c r="L58" s="66">
        <v>0.49</v>
      </c>
      <c r="M58" s="12">
        <v>49</v>
      </c>
      <c r="N58" s="12">
        <v>9</v>
      </c>
      <c r="O58" s="40">
        <v>0.04</v>
      </c>
      <c r="P58" s="40">
        <v>0.31</v>
      </c>
      <c r="Q58" s="40">
        <v>0.59</v>
      </c>
      <c r="R58" s="40">
        <v>0.06</v>
      </c>
      <c r="S58" s="40">
        <v>0.43</v>
      </c>
      <c r="T58" s="40">
        <v>0.49</v>
      </c>
      <c r="U58" s="40">
        <v>0.33</v>
      </c>
      <c r="V58" s="12">
        <v>52</v>
      </c>
      <c r="W58" s="12">
        <v>10</v>
      </c>
      <c r="X58" s="66">
        <v>0.01</v>
      </c>
      <c r="Y58" s="66">
        <v>0.42</v>
      </c>
      <c r="Z58" s="66">
        <v>0.51</v>
      </c>
      <c r="AA58" s="66">
        <v>0.05</v>
      </c>
      <c r="AB58" s="66">
        <v>0.46</v>
      </c>
      <c r="AC58" s="66">
        <v>0.38</v>
      </c>
      <c r="AD58" s="66">
        <v>0.49</v>
      </c>
      <c r="AE58" s="12">
        <v>51</v>
      </c>
      <c r="AF58" s="12">
        <v>9</v>
      </c>
      <c r="AG58" s="66">
        <v>0.03</v>
      </c>
      <c r="AH58" s="66">
        <v>0.16</v>
      </c>
      <c r="AI58" s="66">
        <v>0.78</v>
      </c>
      <c r="AJ58" s="66">
        <v>0.03</v>
      </c>
      <c r="AK58" s="66">
        <v>0.46</v>
      </c>
      <c r="AL58" s="66">
        <v>0.39</v>
      </c>
      <c r="AM58" s="66">
        <v>0.21</v>
      </c>
      <c r="AN58" s="35">
        <v>57</v>
      </c>
      <c r="AO58" s="35">
        <v>8</v>
      </c>
      <c r="AP58" s="40">
        <v>0</v>
      </c>
      <c r="AQ58" s="40">
        <v>0.14000000000000001</v>
      </c>
      <c r="AR58" s="40">
        <v>0.79</v>
      </c>
      <c r="AS58" s="40">
        <v>7.0000000000000007E-2</v>
      </c>
      <c r="AT58" s="40">
        <v>0.22</v>
      </c>
      <c r="AU58" s="40">
        <v>0.42</v>
      </c>
      <c r="AV58" s="40">
        <v>0.46</v>
      </c>
      <c r="AW58" s="247">
        <v>52</v>
      </c>
      <c r="AX58" s="247" t="s">
        <v>874</v>
      </c>
      <c r="AY58" s="247">
        <v>8</v>
      </c>
      <c r="AZ58" s="247" t="s">
        <v>874</v>
      </c>
      <c r="BA58" s="264">
        <v>0.02</v>
      </c>
      <c r="BB58" s="264">
        <v>0.43</v>
      </c>
      <c r="BC58" s="264">
        <v>0.52</v>
      </c>
      <c r="BD58" s="264">
        <v>0.02</v>
      </c>
      <c r="BE58" s="264">
        <v>0.28000000000000003</v>
      </c>
      <c r="BF58" s="264">
        <v>0.52</v>
      </c>
      <c r="BG58" s="264">
        <v>0.49</v>
      </c>
      <c r="BH58" s="311">
        <v>49</v>
      </c>
      <c r="BI58" s="311" t="s">
        <v>874</v>
      </c>
      <c r="BJ58" s="311">
        <v>10</v>
      </c>
      <c r="BK58" s="311" t="s">
        <v>874</v>
      </c>
      <c r="BL58" s="466"/>
      <c r="BM58" s="466"/>
      <c r="BN58" s="466"/>
      <c r="BO58" s="329">
        <v>0.05</v>
      </c>
      <c r="BP58" s="329">
        <v>0.51</v>
      </c>
      <c r="BQ58" s="329">
        <v>0.41</v>
      </c>
      <c r="BR58" s="329">
        <v>0.03</v>
      </c>
      <c r="BS58" s="329">
        <v>0.6</v>
      </c>
      <c r="BT58" s="329">
        <v>0.56000000000000005</v>
      </c>
      <c r="BU58" s="480"/>
      <c r="BV58" s="480"/>
      <c r="BW58" s="480"/>
      <c r="BX58" s="329">
        <v>0.41</v>
      </c>
      <c r="BY58" s="426">
        <v>51</v>
      </c>
      <c r="BZ58" s="426" t="s">
        <v>874</v>
      </c>
      <c r="CA58" s="426">
        <v>10</v>
      </c>
      <c r="CB58" s="426" t="s">
        <v>874</v>
      </c>
      <c r="CC58" s="430">
        <v>0.08</v>
      </c>
      <c r="CD58" s="430">
        <v>0.42</v>
      </c>
      <c r="CE58" s="430">
        <v>0.47</v>
      </c>
      <c r="CF58" s="430">
        <v>0.03</v>
      </c>
      <c r="CG58" s="430">
        <v>0.7</v>
      </c>
      <c r="CH58" s="430">
        <v>0.32</v>
      </c>
      <c r="CI58" s="430">
        <v>0.62</v>
      </c>
      <c r="CJ58" s="466">
        <v>51</v>
      </c>
      <c r="CK58" s="466" t="s">
        <v>874</v>
      </c>
      <c r="CL58" s="466">
        <v>12</v>
      </c>
      <c r="CM58" s="466" t="s">
        <v>874</v>
      </c>
      <c r="CN58" s="480">
        <v>0.11</v>
      </c>
      <c r="CO58" s="480">
        <v>0.4</v>
      </c>
      <c r="CP58" s="480">
        <v>0.46</v>
      </c>
      <c r="CQ58" s="480">
        <v>0.03</v>
      </c>
      <c r="CR58" s="480">
        <v>0.57999999999999996</v>
      </c>
      <c r="CS58" s="480">
        <v>0.54</v>
      </c>
      <c r="CT58" s="480">
        <v>0.41</v>
      </c>
    </row>
    <row r="59" spans="1:98" ht="24.95" customHeight="1" x14ac:dyDescent="0.2">
      <c r="A59" s="814" t="s">
        <v>843</v>
      </c>
      <c r="B59" s="1" t="s">
        <v>221</v>
      </c>
      <c r="C59" s="12">
        <v>4</v>
      </c>
      <c r="D59" s="12"/>
      <c r="E59" s="12"/>
      <c r="F59" s="66"/>
      <c r="G59" s="66"/>
      <c r="H59" s="66"/>
      <c r="I59" s="66"/>
      <c r="J59" s="66"/>
      <c r="K59" s="66"/>
      <c r="L59" s="66"/>
      <c r="M59" s="12"/>
      <c r="N59" s="12"/>
      <c r="O59" s="40"/>
      <c r="P59" s="40"/>
      <c r="Q59" s="40"/>
      <c r="R59" s="40"/>
      <c r="S59" s="40"/>
      <c r="T59" s="40"/>
      <c r="U59" s="40"/>
      <c r="V59" s="12"/>
      <c r="W59" s="12"/>
      <c r="X59" s="66"/>
      <c r="Y59" s="66"/>
      <c r="Z59" s="66"/>
      <c r="AA59" s="66"/>
      <c r="AB59" s="66"/>
      <c r="AC59" s="66"/>
      <c r="AD59" s="66"/>
      <c r="AE59" s="12"/>
      <c r="AF59" s="12"/>
      <c r="AG59" s="66"/>
      <c r="AH59" s="66"/>
      <c r="AI59" s="66"/>
      <c r="AJ59" s="66"/>
      <c r="AK59" s="66"/>
      <c r="AL59" s="66"/>
      <c r="AM59" s="66"/>
      <c r="AN59" s="35"/>
      <c r="AO59" s="35"/>
      <c r="AP59" s="40"/>
      <c r="AQ59" s="40"/>
      <c r="AR59" s="40"/>
      <c r="AS59" s="40"/>
      <c r="AT59" s="40"/>
      <c r="AU59" s="40"/>
      <c r="AV59" s="40"/>
      <c r="AW59" s="652"/>
      <c r="AX59" s="652"/>
      <c r="AY59" s="652"/>
      <c r="AZ59" s="652"/>
      <c r="BA59" s="652"/>
      <c r="BB59" s="652"/>
      <c r="BC59" s="652"/>
      <c r="BD59" s="652"/>
      <c r="BE59" s="652"/>
      <c r="BF59" s="652"/>
      <c r="BG59" s="652"/>
      <c r="BH59" s="655"/>
      <c r="BI59" s="655"/>
      <c r="BJ59" s="655"/>
      <c r="BK59" s="655"/>
      <c r="BL59" s="656"/>
      <c r="BM59" s="656"/>
      <c r="BN59" s="656"/>
      <c r="BO59" s="655"/>
      <c r="BP59" s="655"/>
      <c r="BQ59" s="655"/>
      <c r="BR59" s="655"/>
      <c r="BS59" s="655"/>
      <c r="BT59" s="655"/>
      <c r="BU59" s="656"/>
      <c r="BV59" s="656"/>
      <c r="BW59" s="656"/>
      <c r="BX59" s="655"/>
      <c r="BY59" s="657"/>
      <c r="BZ59" s="657"/>
      <c r="CA59" s="657"/>
      <c r="CB59" s="657"/>
      <c r="CC59" s="657"/>
      <c r="CD59" s="657"/>
      <c r="CE59" s="657"/>
      <c r="CF59" s="657"/>
      <c r="CG59" s="657"/>
      <c r="CH59" s="657"/>
      <c r="CI59" s="657"/>
      <c r="CJ59" s="656"/>
      <c r="CK59" s="656"/>
      <c r="CL59" s="656"/>
      <c r="CM59" s="656"/>
      <c r="CN59" s="656"/>
      <c r="CO59" s="656"/>
      <c r="CP59" s="656"/>
      <c r="CQ59" s="656"/>
      <c r="CR59" s="656"/>
      <c r="CS59" s="656"/>
      <c r="CT59" s="656"/>
    </row>
    <row r="60" spans="1:98" ht="24.95" customHeight="1" x14ac:dyDescent="0.2">
      <c r="A60" s="814" t="s">
        <v>199</v>
      </c>
      <c r="B60" s="1" t="s">
        <v>221</v>
      </c>
      <c r="C60" s="12">
        <v>3</v>
      </c>
      <c r="D60" s="12">
        <v>56</v>
      </c>
      <c r="E60" s="12">
        <v>8</v>
      </c>
      <c r="F60" s="66">
        <v>0</v>
      </c>
      <c r="G60" s="66">
        <v>0.28000000000000003</v>
      </c>
      <c r="H60" s="66">
        <v>0.69</v>
      </c>
      <c r="I60" s="66">
        <v>0.04</v>
      </c>
      <c r="J60" s="66">
        <v>0.47</v>
      </c>
      <c r="K60" s="66">
        <v>0.41</v>
      </c>
      <c r="L60" s="66">
        <v>0.51</v>
      </c>
      <c r="M60" s="12">
        <v>56</v>
      </c>
      <c r="N60" s="12">
        <v>9</v>
      </c>
      <c r="O60" s="40">
        <v>0.01</v>
      </c>
      <c r="P60" s="40">
        <v>0.28999999999999998</v>
      </c>
      <c r="Q60" s="40">
        <v>0.66</v>
      </c>
      <c r="R60" s="40">
        <v>0.04</v>
      </c>
      <c r="S60" s="40">
        <v>0.42</v>
      </c>
      <c r="T60" s="40">
        <v>0.48</v>
      </c>
      <c r="U60" s="40">
        <v>0.28000000000000003</v>
      </c>
      <c r="V60" s="12">
        <v>56</v>
      </c>
      <c r="W60" s="12">
        <v>8</v>
      </c>
      <c r="X60" s="66">
        <v>0.01</v>
      </c>
      <c r="Y60" s="66">
        <v>0.21</v>
      </c>
      <c r="Z60" s="66">
        <v>0.75</v>
      </c>
      <c r="AA60" s="66">
        <v>0.04</v>
      </c>
      <c r="AB60" s="66">
        <v>0.42</v>
      </c>
      <c r="AC60" s="66">
        <v>0.32</v>
      </c>
      <c r="AD60" s="66">
        <v>0.43</v>
      </c>
      <c r="AE60" s="12">
        <v>59</v>
      </c>
      <c r="AF60" s="12">
        <v>9</v>
      </c>
      <c r="AG60" s="66">
        <v>0</v>
      </c>
      <c r="AH60" s="66">
        <v>0.16</v>
      </c>
      <c r="AI60" s="66">
        <v>0.74</v>
      </c>
      <c r="AJ60" s="66">
        <v>0.1</v>
      </c>
      <c r="AK60" s="66">
        <v>0.42</v>
      </c>
      <c r="AL60" s="66">
        <v>0.36</v>
      </c>
      <c r="AM60" s="66">
        <v>0.19</v>
      </c>
      <c r="AN60" s="35">
        <v>58</v>
      </c>
      <c r="AO60" s="35">
        <v>9</v>
      </c>
      <c r="AP60" s="40">
        <v>0.01</v>
      </c>
      <c r="AQ60" s="40">
        <v>0.19</v>
      </c>
      <c r="AR60" s="40">
        <v>0.76</v>
      </c>
      <c r="AS60" s="40">
        <v>0.05</v>
      </c>
      <c r="AT60" s="40">
        <v>0.22</v>
      </c>
      <c r="AU60" s="40">
        <v>0.41</v>
      </c>
      <c r="AV60" s="40">
        <v>0.41</v>
      </c>
      <c r="AW60" s="247">
        <v>57</v>
      </c>
      <c r="AX60" s="247" t="s">
        <v>874</v>
      </c>
      <c r="AY60" s="247">
        <v>9</v>
      </c>
      <c r="AZ60" s="247" t="s">
        <v>874</v>
      </c>
      <c r="BA60" s="264">
        <v>0.02</v>
      </c>
      <c r="BB60" s="264">
        <v>0.18</v>
      </c>
      <c r="BC60" s="264">
        <v>0.73</v>
      </c>
      <c r="BD60" s="264">
        <v>7.0000000000000007E-2</v>
      </c>
      <c r="BE60" s="264">
        <v>0.22</v>
      </c>
      <c r="BF60" s="264">
        <v>0.4</v>
      </c>
      <c r="BG60" s="264">
        <v>0.39</v>
      </c>
      <c r="BH60" s="311">
        <v>62</v>
      </c>
      <c r="BI60" s="311" t="s">
        <v>875</v>
      </c>
      <c r="BJ60" s="311">
        <v>9</v>
      </c>
      <c r="BK60" s="311" t="s">
        <v>874</v>
      </c>
      <c r="BL60" s="466"/>
      <c r="BM60" s="466"/>
      <c r="BN60" s="466"/>
      <c r="BO60" s="329">
        <v>0</v>
      </c>
      <c r="BP60" s="329">
        <v>0.1</v>
      </c>
      <c r="BQ60" s="329">
        <v>0.75</v>
      </c>
      <c r="BR60" s="329">
        <v>0.15</v>
      </c>
      <c r="BS60" s="329">
        <v>0.32</v>
      </c>
      <c r="BT60" s="329">
        <v>0.45</v>
      </c>
      <c r="BU60" s="480"/>
      <c r="BV60" s="480"/>
      <c r="BW60" s="480"/>
      <c r="BX60" s="329">
        <v>0.23</v>
      </c>
      <c r="BY60" s="426">
        <v>59</v>
      </c>
      <c r="BZ60" s="426" t="s">
        <v>874</v>
      </c>
      <c r="CA60" s="426">
        <v>11</v>
      </c>
      <c r="CB60" s="426" t="s">
        <v>874</v>
      </c>
      <c r="CC60" s="430">
        <v>0.03</v>
      </c>
      <c r="CD60" s="430">
        <v>0.18</v>
      </c>
      <c r="CE60" s="430">
        <v>0.68</v>
      </c>
      <c r="CF60" s="430">
        <v>0.1</v>
      </c>
      <c r="CG60" s="430">
        <v>0.54</v>
      </c>
      <c r="CH60" s="430">
        <v>0.32</v>
      </c>
      <c r="CI60" s="430">
        <v>0.46</v>
      </c>
      <c r="CJ60" s="466">
        <v>59</v>
      </c>
      <c r="CK60" s="466" t="s">
        <v>874</v>
      </c>
      <c r="CL60" s="466">
        <v>11</v>
      </c>
      <c r="CM60" s="466" t="s">
        <v>874</v>
      </c>
      <c r="CN60" s="480">
        <v>0.02</v>
      </c>
      <c r="CO60" s="480">
        <v>0.18</v>
      </c>
      <c r="CP60" s="480">
        <v>0.63</v>
      </c>
      <c r="CQ60" s="480">
        <v>0.17</v>
      </c>
      <c r="CR60" s="480">
        <v>0.45</v>
      </c>
      <c r="CS60" s="480">
        <v>0.4</v>
      </c>
      <c r="CT60" s="480">
        <v>0.33</v>
      </c>
    </row>
    <row r="61" spans="1:98" ht="24.95" customHeight="1" x14ac:dyDescent="0.2">
      <c r="A61" s="814" t="s">
        <v>174</v>
      </c>
      <c r="B61" s="1" t="s">
        <v>221</v>
      </c>
      <c r="C61" s="12">
        <v>2</v>
      </c>
      <c r="D61" s="12">
        <v>53</v>
      </c>
      <c r="E61" s="12">
        <v>8</v>
      </c>
      <c r="F61" s="66">
        <v>0</v>
      </c>
      <c r="G61" s="66">
        <v>0.41</v>
      </c>
      <c r="H61" s="66">
        <v>0.59</v>
      </c>
      <c r="I61" s="66">
        <v>0</v>
      </c>
      <c r="J61" s="66">
        <v>0.51</v>
      </c>
      <c r="K61" s="66">
        <v>0.48</v>
      </c>
      <c r="L61" s="66">
        <v>0.53</v>
      </c>
      <c r="M61" s="12">
        <v>48</v>
      </c>
      <c r="N61" s="12">
        <v>9</v>
      </c>
      <c r="O61" s="40">
        <v>0.03</v>
      </c>
      <c r="P61" s="40">
        <v>0.63</v>
      </c>
      <c r="Q61" s="40">
        <v>0.33</v>
      </c>
      <c r="R61" s="40">
        <v>0</v>
      </c>
      <c r="S61" s="40">
        <v>0.49</v>
      </c>
      <c r="T61" s="40">
        <v>0.64</v>
      </c>
      <c r="U61" s="40">
        <v>0.41</v>
      </c>
      <c r="V61" s="12">
        <v>53</v>
      </c>
      <c r="W61" s="12">
        <v>10</v>
      </c>
      <c r="X61" s="66">
        <v>0</v>
      </c>
      <c r="Y61" s="66">
        <v>0.44</v>
      </c>
      <c r="Z61" s="66">
        <v>0.56000000000000005</v>
      </c>
      <c r="AA61" s="66">
        <v>0</v>
      </c>
      <c r="AB61" s="66">
        <v>0.49</v>
      </c>
      <c r="AC61" s="66">
        <v>0.36</v>
      </c>
      <c r="AD61" s="66">
        <v>0.48</v>
      </c>
      <c r="AE61" s="12">
        <v>55</v>
      </c>
      <c r="AF61" s="12">
        <v>8</v>
      </c>
      <c r="AG61" s="66">
        <v>0</v>
      </c>
      <c r="AH61" s="66">
        <v>0.23</v>
      </c>
      <c r="AI61" s="66">
        <v>0.73</v>
      </c>
      <c r="AJ61" s="66">
        <v>0.04</v>
      </c>
      <c r="AK61" s="66">
        <v>0.5</v>
      </c>
      <c r="AL61" s="66">
        <v>0.43</v>
      </c>
      <c r="AM61" s="66">
        <v>0.22</v>
      </c>
      <c r="AN61" s="35">
        <v>52</v>
      </c>
      <c r="AO61" s="35">
        <v>9</v>
      </c>
      <c r="AP61" s="40">
        <v>0.06</v>
      </c>
      <c r="AQ61" s="40">
        <v>0.33</v>
      </c>
      <c r="AR61" s="40">
        <v>0.61</v>
      </c>
      <c r="AS61" s="40">
        <v>0</v>
      </c>
      <c r="AT61" s="40">
        <v>0.28999999999999998</v>
      </c>
      <c r="AU61" s="40">
        <v>0.54</v>
      </c>
      <c r="AV61" s="40">
        <v>0.47</v>
      </c>
      <c r="AW61" s="653">
        <v>51</v>
      </c>
      <c r="AX61" s="653" t="s">
        <v>874</v>
      </c>
      <c r="AY61" s="653">
        <v>8</v>
      </c>
      <c r="AZ61" s="653" t="s">
        <v>874</v>
      </c>
      <c r="BA61" s="654">
        <v>0</v>
      </c>
      <c r="BB61" s="654">
        <v>0.59</v>
      </c>
      <c r="BC61" s="654">
        <v>0.41</v>
      </c>
      <c r="BD61" s="654">
        <v>0</v>
      </c>
      <c r="BE61" s="654">
        <v>0.28999999999999998</v>
      </c>
      <c r="BF61" s="654">
        <v>0.53</v>
      </c>
      <c r="BG61" s="654">
        <v>0.5</v>
      </c>
      <c r="BH61" s="74">
        <v>57</v>
      </c>
      <c r="BI61" s="74" t="s">
        <v>874</v>
      </c>
      <c r="BJ61" s="74">
        <v>8</v>
      </c>
      <c r="BK61" s="74" t="s">
        <v>874</v>
      </c>
      <c r="BL61" s="74"/>
      <c r="BM61" s="74"/>
      <c r="BN61" s="74"/>
      <c r="BO61" s="96">
        <v>0</v>
      </c>
      <c r="BP61" s="96">
        <v>0.21</v>
      </c>
      <c r="BQ61" s="96">
        <v>0.74</v>
      </c>
      <c r="BR61" s="96">
        <v>0.05</v>
      </c>
      <c r="BS61" s="96">
        <v>0.49</v>
      </c>
      <c r="BT61" s="96">
        <v>0.5</v>
      </c>
      <c r="BU61" s="96"/>
      <c r="BV61" s="96"/>
      <c r="BW61" s="96"/>
      <c r="BX61" s="96">
        <v>0.31</v>
      </c>
      <c r="BY61" s="658">
        <v>53</v>
      </c>
      <c r="BZ61" s="658" t="s">
        <v>874</v>
      </c>
      <c r="CA61" s="658">
        <v>9</v>
      </c>
      <c r="CB61" s="658" t="s">
        <v>874</v>
      </c>
      <c r="CC61" s="659">
        <v>0.06</v>
      </c>
      <c r="CD61" s="659">
        <v>0.36</v>
      </c>
      <c r="CE61" s="659">
        <v>0.55000000000000004</v>
      </c>
      <c r="CF61" s="659">
        <v>0.03</v>
      </c>
      <c r="CG61" s="659">
        <v>0.57999999999999996</v>
      </c>
      <c r="CH61" s="659">
        <v>0.34</v>
      </c>
      <c r="CI61" s="659">
        <v>0.55000000000000004</v>
      </c>
      <c r="CJ61" s="74">
        <v>53</v>
      </c>
      <c r="CK61" s="74" t="s">
        <v>874</v>
      </c>
      <c r="CL61" s="74">
        <v>11</v>
      </c>
      <c r="CM61" s="74" t="s">
        <v>874</v>
      </c>
      <c r="CN61" s="96">
        <v>0.09</v>
      </c>
      <c r="CO61" s="96">
        <v>0.28999999999999998</v>
      </c>
      <c r="CP61" s="96">
        <v>0.6</v>
      </c>
      <c r="CQ61" s="96">
        <v>0.03</v>
      </c>
      <c r="CR61" s="96">
        <v>0.53</v>
      </c>
      <c r="CS61" s="96">
        <v>0.54</v>
      </c>
      <c r="CT61" s="96">
        <v>0.42</v>
      </c>
    </row>
    <row r="62" spans="1:98" ht="24.95" customHeight="1" x14ac:dyDescent="0.2">
      <c r="A62" s="814" t="s">
        <v>84</v>
      </c>
      <c r="B62" s="1" t="s">
        <v>221</v>
      </c>
      <c r="C62" s="12">
        <v>2</v>
      </c>
      <c r="D62" s="12">
        <v>56</v>
      </c>
      <c r="E62" s="12">
        <v>6</v>
      </c>
      <c r="F62" s="66">
        <v>0</v>
      </c>
      <c r="G62" s="66">
        <v>0.17</v>
      </c>
      <c r="H62" s="66">
        <v>0.83</v>
      </c>
      <c r="I62" s="66">
        <v>0</v>
      </c>
      <c r="J62" s="66">
        <v>0.49</v>
      </c>
      <c r="K62" s="66">
        <v>0.41</v>
      </c>
      <c r="L62" s="66">
        <v>0.45</v>
      </c>
      <c r="M62" s="12">
        <v>60</v>
      </c>
      <c r="N62" s="12">
        <v>7</v>
      </c>
      <c r="O62" s="40">
        <v>0</v>
      </c>
      <c r="P62" s="40">
        <v>0.11</v>
      </c>
      <c r="Q62" s="40">
        <v>0.79</v>
      </c>
      <c r="R62" s="40">
        <v>0.11</v>
      </c>
      <c r="S62" s="40">
        <v>0.42</v>
      </c>
      <c r="T62" s="40">
        <v>0.39</v>
      </c>
      <c r="U62" s="40">
        <v>0.24</v>
      </c>
      <c r="V62" s="12">
        <v>59</v>
      </c>
      <c r="W62" s="12">
        <v>6</v>
      </c>
      <c r="X62" s="66">
        <v>0</v>
      </c>
      <c r="Y62" s="66">
        <v>0.06</v>
      </c>
      <c r="Z62" s="66">
        <v>0.94</v>
      </c>
      <c r="AA62" s="66">
        <v>0</v>
      </c>
      <c r="AB62" s="66">
        <v>0.39</v>
      </c>
      <c r="AC62" s="66">
        <v>0.27</v>
      </c>
      <c r="AD62" s="66">
        <v>0.41</v>
      </c>
      <c r="AE62" s="12">
        <v>57</v>
      </c>
      <c r="AF62" s="12">
        <v>8</v>
      </c>
      <c r="AG62" s="66">
        <v>0</v>
      </c>
      <c r="AH62" s="66">
        <v>0.27</v>
      </c>
      <c r="AI62" s="66">
        <v>0.68</v>
      </c>
      <c r="AJ62" s="66">
        <v>0.05</v>
      </c>
      <c r="AK62" s="66">
        <v>0.49</v>
      </c>
      <c r="AL62" s="66">
        <v>0.46</v>
      </c>
      <c r="AM62" s="66">
        <v>0.19</v>
      </c>
      <c r="AN62" s="35">
        <v>57</v>
      </c>
      <c r="AO62" s="35">
        <v>7</v>
      </c>
      <c r="AP62" s="40">
        <v>0</v>
      </c>
      <c r="AQ62" s="40">
        <v>0.15</v>
      </c>
      <c r="AR62" s="40">
        <v>0.78</v>
      </c>
      <c r="AS62" s="40">
        <v>7.0000000000000007E-2</v>
      </c>
      <c r="AT62" s="40">
        <v>0.18</v>
      </c>
      <c r="AU62" s="40">
        <v>0.44</v>
      </c>
      <c r="AV62" s="40">
        <v>0.43</v>
      </c>
      <c r="AW62" s="247">
        <v>58</v>
      </c>
      <c r="AX62" s="247" t="s">
        <v>874</v>
      </c>
      <c r="AY62" s="247">
        <v>6</v>
      </c>
      <c r="AZ62" s="247" t="s">
        <v>876</v>
      </c>
      <c r="BA62" s="264">
        <v>0</v>
      </c>
      <c r="BB62" s="264">
        <v>0.14000000000000001</v>
      </c>
      <c r="BC62" s="264">
        <v>0.86</v>
      </c>
      <c r="BD62" s="264">
        <v>0</v>
      </c>
      <c r="BE62" s="264">
        <v>0.23</v>
      </c>
      <c r="BF62" s="264">
        <v>0.41</v>
      </c>
      <c r="BG62" s="264">
        <v>0.4</v>
      </c>
      <c r="BH62" s="311">
        <v>57</v>
      </c>
      <c r="BI62" s="311" t="s">
        <v>874</v>
      </c>
      <c r="BJ62" s="311">
        <v>11</v>
      </c>
      <c r="BK62" s="311" t="s">
        <v>874</v>
      </c>
      <c r="BL62" s="466"/>
      <c r="BM62" s="466"/>
      <c r="BN62" s="466"/>
      <c r="BO62" s="329">
        <v>0</v>
      </c>
      <c r="BP62" s="329">
        <v>0.2</v>
      </c>
      <c r="BQ62" s="329">
        <v>0.75</v>
      </c>
      <c r="BR62" s="329">
        <v>0.05</v>
      </c>
      <c r="BS62" s="329">
        <v>0.49</v>
      </c>
      <c r="BT62" s="329">
        <v>0.51</v>
      </c>
      <c r="BU62" s="480"/>
      <c r="BV62" s="480"/>
      <c r="BW62" s="480"/>
      <c r="BX62" s="329">
        <v>0.34</v>
      </c>
      <c r="BY62" s="426">
        <v>59</v>
      </c>
      <c r="BZ62" s="426" t="s">
        <v>874</v>
      </c>
      <c r="CA62" s="426">
        <v>10</v>
      </c>
      <c r="CB62" s="426" t="s">
        <v>874</v>
      </c>
      <c r="CC62" s="430">
        <v>0</v>
      </c>
      <c r="CD62" s="430">
        <v>0.19</v>
      </c>
      <c r="CE62" s="430">
        <v>0.69</v>
      </c>
      <c r="CF62" s="430">
        <v>0.13</v>
      </c>
      <c r="CG62" s="430">
        <v>0.36</v>
      </c>
      <c r="CH62" s="430">
        <v>0.34</v>
      </c>
      <c r="CI62" s="430">
        <v>0.48</v>
      </c>
      <c r="CJ62" s="466">
        <v>58</v>
      </c>
      <c r="CK62" s="466" t="s">
        <v>874</v>
      </c>
      <c r="CL62" s="466">
        <v>8</v>
      </c>
      <c r="CM62" s="466" t="s">
        <v>874</v>
      </c>
      <c r="CN62" s="480">
        <v>0</v>
      </c>
      <c r="CO62" s="480">
        <v>0.25</v>
      </c>
      <c r="CP62" s="480">
        <v>0.75</v>
      </c>
      <c r="CQ62" s="480">
        <v>0</v>
      </c>
      <c r="CR62" s="480">
        <v>0.44</v>
      </c>
      <c r="CS62" s="480">
        <v>0.41</v>
      </c>
      <c r="CT62" s="480">
        <v>0.35</v>
      </c>
    </row>
    <row r="63" spans="1:98" ht="24.95" customHeight="1" x14ac:dyDescent="0.2">
      <c r="A63" s="814" t="s">
        <v>185</v>
      </c>
      <c r="B63" s="1" t="s">
        <v>221</v>
      </c>
      <c r="C63" s="12">
        <v>1</v>
      </c>
      <c r="D63" s="12">
        <v>46</v>
      </c>
      <c r="E63" s="12">
        <v>10</v>
      </c>
      <c r="F63" s="66">
        <v>0.15</v>
      </c>
      <c r="G63" s="66">
        <v>0.38</v>
      </c>
      <c r="H63" s="66">
        <v>0.46</v>
      </c>
      <c r="I63" s="66">
        <v>0</v>
      </c>
      <c r="J63" s="66">
        <v>0.56999999999999995</v>
      </c>
      <c r="K63" s="66">
        <v>0.52</v>
      </c>
      <c r="L63" s="66">
        <v>0.68</v>
      </c>
      <c r="M63" s="12">
        <v>45</v>
      </c>
      <c r="N63" s="12">
        <v>7</v>
      </c>
      <c r="O63" s="40">
        <v>0</v>
      </c>
      <c r="P63" s="40">
        <v>0.8</v>
      </c>
      <c r="Q63" s="40">
        <v>0.2</v>
      </c>
      <c r="R63" s="40">
        <v>0</v>
      </c>
      <c r="S63" s="40">
        <v>0.59</v>
      </c>
      <c r="T63" s="40">
        <v>0.63</v>
      </c>
      <c r="U63" s="40">
        <v>0.48</v>
      </c>
      <c r="V63" s="12">
        <v>47</v>
      </c>
      <c r="W63" s="12">
        <v>10</v>
      </c>
      <c r="X63" s="66">
        <v>0.05</v>
      </c>
      <c r="Y63" s="66">
        <v>0.74</v>
      </c>
      <c r="Z63" s="66">
        <v>0.16</v>
      </c>
      <c r="AA63" s="66">
        <v>0.05</v>
      </c>
      <c r="AB63" s="66">
        <v>0.56999999999999995</v>
      </c>
      <c r="AC63" s="66">
        <v>0.43</v>
      </c>
      <c r="AD63" s="66">
        <v>0.61</v>
      </c>
      <c r="AE63" s="12">
        <v>42</v>
      </c>
      <c r="AF63" s="12">
        <v>7</v>
      </c>
      <c r="AG63" s="66">
        <v>0.18</v>
      </c>
      <c r="AH63" s="66">
        <v>0.65</v>
      </c>
      <c r="AI63" s="66">
        <v>0.18</v>
      </c>
      <c r="AJ63" s="66">
        <v>0</v>
      </c>
      <c r="AK63" s="66">
        <v>0.68</v>
      </c>
      <c r="AL63" s="66">
        <v>0.63</v>
      </c>
      <c r="AM63" s="66">
        <v>0.45</v>
      </c>
      <c r="AN63" s="35">
        <v>48</v>
      </c>
      <c r="AO63" s="35">
        <v>8</v>
      </c>
      <c r="AP63" s="40">
        <v>0.06</v>
      </c>
      <c r="AQ63" s="40">
        <v>0.53</v>
      </c>
      <c r="AR63" s="40">
        <v>0.41</v>
      </c>
      <c r="AS63" s="40">
        <v>0</v>
      </c>
      <c r="AT63" s="40">
        <v>0.34</v>
      </c>
      <c r="AU63" s="40">
        <v>0.61</v>
      </c>
      <c r="AV63" s="40">
        <v>0.62</v>
      </c>
      <c r="AW63" s="247">
        <v>47</v>
      </c>
      <c r="AX63" s="247" t="s">
        <v>874</v>
      </c>
      <c r="AY63" s="247">
        <v>6</v>
      </c>
      <c r="AZ63" s="247" t="s">
        <v>876</v>
      </c>
      <c r="BA63" s="264">
        <v>0</v>
      </c>
      <c r="BB63" s="264">
        <v>0.69</v>
      </c>
      <c r="BC63" s="264">
        <v>0.31</v>
      </c>
      <c r="BD63" s="264">
        <v>0</v>
      </c>
      <c r="BE63" s="264">
        <v>0.32</v>
      </c>
      <c r="BF63" s="264">
        <v>0.6</v>
      </c>
      <c r="BG63" s="264">
        <v>0.56999999999999995</v>
      </c>
      <c r="BH63" s="311">
        <v>46</v>
      </c>
      <c r="BI63" s="311" t="s">
        <v>874</v>
      </c>
      <c r="BJ63" s="311">
        <v>8</v>
      </c>
      <c r="BK63" s="311" t="s">
        <v>874</v>
      </c>
      <c r="BL63" s="466"/>
      <c r="BM63" s="466"/>
      <c r="BN63" s="466"/>
      <c r="BO63" s="329">
        <v>0.13</v>
      </c>
      <c r="BP63" s="329">
        <v>0.5</v>
      </c>
      <c r="BQ63" s="329">
        <v>0.38</v>
      </c>
      <c r="BR63" s="329">
        <v>0</v>
      </c>
      <c r="BS63" s="329">
        <v>0.71</v>
      </c>
      <c r="BT63" s="329">
        <v>0.71</v>
      </c>
      <c r="BU63" s="480"/>
      <c r="BV63" s="480"/>
      <c r="BW63" s="480"/>
      <c r="BX63" s="329">
        <v>0.47</v>
      </c>
      <c r="BY63" s="426">
        <v>48</v>
      </c>
      <c r="BZ63" s="426" t="s">
        <v>874</v>
      </c>
      <c r="CA63" s="426">
        <v>4</v>
      </c>
      <c r="CB63" s="426" t="s">
        <v>876</v>
      </c>
      <c r="CC63" s="430">
        <v>0</v>
      </c>
      <c r="CD63" s="430">
        <v>0.75</v>
      </c>
      <c r="CE63" s="430">
        <v>0.25</v>
      </c>
      <c r="CF63" s="430">
        <v>0</v>
      </c>
      <c r="CG63" s="430">
        <v>0.61</v>
      </c>
      <c r="CH63" s="430">
        <v>0.47</v>
      </c>
      <c r="CI63" s="430">
        <v>0.69</v>
      </c>
      <c r="CJ63" s="466">
        <v>51</v>
      </c>
      <c r="CK63" s="466" t="s">
        <v>874</v>
      </c>
      <c r="CL63" s="466">
        <v>11</v>
      </c>
      <c r="CM63" s="466" t="s">
        <v>874</v>
      </c>
      <c r="CN63" s="480">
        <v>0.04</v>
      </c>
      <c r="CO63" s="480">
        <v>0.4</v>
      </c>
      <c r="CP63" s="480">
        <v>0.52</v>
      </c>
      <c r="CQ63" s="480">
        <v>0.04</v>
      </c>
      <c r="CR63" s="480">
        <v>0.55000000000000004</v>
      </c>
      <c r="CS63" s="480">
        <v>0.49</v>
      </c>
      <c r="CT63" s="480">
        <v>0.42</v>
      </c>
    </row>
    <row r="64" spans="1:98" ht="24.95" customHeight="1" x14ac:dyDescent="0.2">
      <c r="A64" s="814" t="s">
        <v>161</v>
      </c>
      <c r="B64" s="1" t="s">
        <v>221</v>
      </c>
      <c r="C64" s="12">
        <v>4</v>
      </c>
      <c r="D64" s="12">
        <v>55</v>
      </c>
      <c r="E64" s="12">
        <v>10</v>
      </c>
      <c r="F64" s="66">
        <v>0.05</v>
      </c>
      <c r="G64" s="66">
        <v>0.27</v>
      </c>
      <c r="H64" s="66">
        <v>0.68</v>
      </c>
      <c r="I64" s="66">
        <v>0</v>
      </c>
      <c r="J64" s="66">
        <v>0.5</v>
      </c>
      <c r="K64" s="66">
        <v>0.38</v>
      </c>
      <c r="L64" s="66">
        <v>0.52</v>
      </c>
      <c r="M64" s="12">
        <v>52</v>
      </c>
      <c r="N64" s="12">
        <v>8</v>
      </c>
      <c r="O64" s="40">
        <v>0</v>
      </c>
      <c r="P64" s="40">
        <v>0.41</v>
      </c>
      <c r="Q64" s="40">
        <v>0.59</v>
      </c>
      <c r="R64" s="40">
        <v>0</v>
      </c>
      <c r="S64" s="40">
        <v>0.46</v>
      </c>
      <c r="T64" s="40">
        <v>0.56000000000000005</v>
      </c>
      <c r="U64" s="40">
        <v>0.35</v>
      </c>
      <c r="V64" s="12">
        <v>54</v>
      </c>
      <c r="W64" s="12">
        <v>9</v>
      </c>
      <c r="X64" s="66">
        <v>0.02</v>
      </c>
      <c r="Y64" s="66">
        <v>0.35</v>
      </c>
      <c r="Z64" s="66">
        <v>0.63</v>
      </c>
      <c r="AA64" s="66">
        <v>0</v>
      </c>
      <c r="AB64" s="66">
        <v>0.44</v>
      </c>
      <c r="AC64" s="66">
        <v>0.34</v>
      </c>
      <c r="AD64" s="66">
        <v>0.49</v>
      </c>
      <c r="AE64" s="12">
        <v>55</v>
      </c>
      <c r="AF64" s="12">
        <v>9</v>
      </c>
      <c r="AG64" s="66">
        <v>0</v>
      </c>
      <c r="AH64" s="66">
        <v>0.3</v>
      </c>
      <c r="AI64" s="66">
        <v>0.65</v>
      </c>
      <c r="AJ64" s="66">
        <v>0.05</v>
      </c>
      <c r="AK64" s="66">
        <v>0.49</v>
      </c>
      <c r="AL64" s="66">
        <v>0.46</v>
      </c>
      <c r="AM64" s="66">
        <v>0.25</v>
      </c>
      <c r="AN64" s="35">
        <v>56</v>
      </c>
      <c r="AO64" s="35">
        <v>10</v>
      </c>
      <c r="AP64" s="40">
        <v>0</v>
      </c>
      <c r="AQ64" s="40">
        <v>0.34</v>
      </c>
      <c r="AR64" s="40">
        <v>0.61</v>
      </c>
      <c r="AS64" s="40">
        <v>0.05</v>
      </c>
      <c r="AT64" s="40">
        <v>0.25</v>
      </c>
      <c r="AU64" s="40">
        <v>0.4</v>
      </c>
      <c r="AV64" s="40">
        <v>0.46</v>
      </c>
      <c r="AW64" s="247">
        <v>53</v>
      </c>
      <c r="AX64" s="247" t="s">
        <v>874</v>
      </c>
      <c r="AY64" s="247">
        <v>9</v>
      </c>
      <c r="AZ64" s="247" t="s">
        <v>874</v>
      </c>
      <c r="BA64" s="264">
        <v>0.03</v>
      </c>
      <c r="BB64" s="264">
        <v>0.33</v>
      </c>
      <c r="BC64" s="264">
        <v>0.65</v>
      </c>
      <c r="BD64" s="264">
        <v>0</v>
      </c>
      <c r="BE64" s="264">
        <v>0.27</v>
      </c>
      <c r="BF64" s="264">
        <v>0.48</v>
      </c>
      <c r="BG64" s="264">
        <v>0.44</v>
      </c>
      <c r="BH64" s="311">
        <v>54</v>
      </c>
      <c r="BI64" s="311" t="s">
        <v>874</v>
      </c>
      <c r="BJ64" s="311">
        <v>10</v>
      </c>
      <c r="BK64" s="311" t="s">
        <v>874</v>
      </c>
      <c r="BL64" s="466"/>
      <c r="BM64" s="466"/>
      <c r="BN64" s="466"/>
      <c r="BO64" s="329">
        <v>0.03</v>
      </c>
      <c r="BP64" s="329">
        <v>0.38</v>
      </c>
      <c r="BQ64" s="329">
        <v>0.56999999999999995</v>
      </c>
      <c r="BR64" s="329">
        <v>0.03</v>
      </c>
      <c r="BS64" s="329">
        <v>0.44</v>
      </c>
      <c r="BT64" s="329">
        <v>0.6</v>
      </c>
      <c r="BU64" s="480"/>
      <c r="BV64" s="480"/>
      <c r="BW64" s="480"/>
      <c r="BX64" s="329">
        <v>0.43</v>
      </c>
      <c r="BY64" s="426">
        <v>55</v>
      </c>
      <c r="BZ64" s="426" t="s">
        <v>874</v>
      </c>
      <c r="CA64" s="426">
        <v>8</v>
      </c>
      <c r="CB64" s="426" t="s">
        <v>874</v>
      </c>
      <c r="CC64" s="430">
        <v>0.02</v>
      </c>
      <c r="CD64" s="430">
        <v>0.21</v>
      </c>
      <c r="CE64" s="430">
        <v>0.74</v>
      </c>
      <c r="CF64" s="430">
        <v>0.02</v>
      </c>
      <c r="CG64" s="430">
        <v>0.55000000000000004</v>
      </c>
      <c r="CH64" s="430">
        <v>0.34</v>
      </c>
      <c r="CI64" s="430">
        <v>0.52</v>
      </c>
      <c r="CJ64" s="466">
        <v>57</v>
      </c>
      <c r="CK64" s="466" t="s">
        <v>874</v>
      </c>
      <c r="CL64" s="466">
        <v>10</v>
      </c>
      <c r="CM64" s="466" t="s">
        <v>874</v>
      </c>
      <c r="CN64" s="480">
        <v>0.04</v>
      </c>
      <c r="CO64" s="480">
        <v>0.23</v>
      </c>
      <c r="CP64" s="480">
        <v>0.68</v>
      </c>
      <c r="CQ64" s="480">
        <v>0.05</v>
      </c>
      <c r="CR64" s="480">
        <v>0.49</v>
      </c>
      <c r="CS64" s="480">
        <v>0.44</v>
      </c>
      <c r="CT64" s="480">
        <v>0.35</v>
      </c>
    </row>
    <row r="65" spans="1:98" ht="24.95" customHeight="1" x14ac:dyDescent="0.2">
      <c r="A65" s="814" t="s">
        <v>114</v>
      </c>
      <c r="B65" s="1" t="s">
        <v>221</v>
      </c>
      <c r="C65" s="12">
        <v>3</v>
      </c>
      <c r="D65" s="12">
        <v>55</v>
      </c>
      <c r="E65" s="12">
        <v>9</v>
      </c>
      <c r="F65" s="66">
        <v>0</v>
      </c>
      <c r="G65" s="66">
        <v>0.4</v>
      </c>
      <c r="H65" s="66">
        <v>0.55000000000000004</v>
      </c>
      <c r="I65" s="66">
        <v>0.04</v>
      </c>
      <c r="J65" s="66">
        <v>0.49</v>
      </c>
      <c r="K65" s="66">
        <v>0.41</v>
      </c>
      <c r="L65" s="66">
        <v>0.47</v>
      </c>
      <c r="M65" s="12">
        <v>57</v>
      </c>
      <c r="N65" s="12">
        <v>10</v>
      </c>
      <c r="O65" s="40">
        <v>0</v>
      </c>
      <c r="P65" s="40">
        <v>0.25</v>
      </c>
      <c r="Q65" s="40">
        <v>0.72</v>
      </c>
      <c r="R65" s="40">
        <v>0.03</v>
      </c>
      <c r="S65" s="40">
        <v>0.39</v>
      </c>
      <c r="T65" s="40">
        <v>0.47</v>
      </c>
      <c r="U65" s="40">
        <v>0.25</v>
      </c>
      <c r="V65" s="12">
        <v>57</v>
      </c>
      <c r="W65" s="12">
        <v>8</v>
      </c>
      <c r="X65" s="66">
        <v>0</v>
      </c>
      <c r="Y65" s="66">
        <v>0.22</v>
      </c>
      <c r="Z65" s="66">
        <v>0.76</v>
      </c>
      <c r="AA65" s="66">
        <v>0.02</v>
      </c>
      <c r="AB65" s="66">
        <v>0.42</v>
      </c>
      <c r="AC65" s="66">
        <v>0.3</v>
      </c>
      <c r="AD65" s="66">
        <v>0.42</v>
      </c>
      <c r="AE65" s="12">
        <v>54</v>
      </c>
      <c r="AF65" s="12">
        <v>9</v>
      </c>
      <c r="AG65" s="66">
        <v>0.03</v>
      </c>
      <c r="AH65" s="66">
        <v>0.37</v>
      </c>
      <c r="AI65" s="66">
        <v>0.6</v>
      </c>
      <c r="AJ65" s="66">
        <v>0</v>
      </c>
      <c r="AK65" s="66">
        <v>0.5</v>
      </c>
      <c r="AL65" s="66">
        <v>0.44</v>
      </c>
      <c r="AM65" s="66">
        <v>0.25</v>
      </c>
      <c r="AN65" s="35">
        <v>57</v>
      </c>
      <c r="AO65" s="35">
        <v>10</v>
      </c>
      <c r="AP65" s="40">
        <v>0.03</v>
      </c>
      <c r="AQ65" s="40">
        <v>0.18</v>
      </c>
      <c r="AR65" s="40">
        <v>0.68</v>
      </c>
      <c r="AS65" s="40">
        <v>0.11</v>
      </c>
      <c r="AT65" s="40">
        <v>0.27</v>
      </c>
      <c r="AU65" s="40">
        <v>0.41</v>
      </c>
      <c r="AV65" s="40">
        <v>0.41</v>
      </c>
      <c r="AW65" s="247">
        <v>55</v>
      </c>
      <c r="AX65" s="247" t="s">
        <v>874</v>
      </c>
      <c r="AY65" s="247">
        <v>9</v>
      </c>
      <c r="AZ65" s="247" t="s">
        <v>874</v>
      </c>
      <c r="BA65" s="264">
        <v>0.03</v>
      </c>
      <c r="BB65" s="264">
        <v>0.22</v>
      </c>
      <c r="BC65" s="264">
        <v>0.7</v>
      </c>
      <c r="BD65" s="264">
        <v>0.05</v>
      </c>
      <c r="BE65" s="264">
        <v>0.24</v>
      </c>
      <c r="BF65" s="264">
        <v>0.45</v>
      </c>
      <c r="BG65" s="264">
        <v>0.43</v>
      </c>
      <c r="BH65" s="311">
        <v>58</v>
      </c>
      <c r="BI65" s="311" t="s">
        <v>874</v>
      </c>
      <c r="BJ65" s="311">
        <v>9</v>
      </c>
      <c r="BK65" s="311" t="s">
        <v>874</v>
      </c>
      <c r="BL65" s="466"/>
      <c r="BM65" s="466"/>
      <c r="BN65" s="466"/>
      <c r="BO65" s="329">
        <v>0.02</v>
      </c>
      <c r="BP65" s="329">
        <v>0.19</v>
      </c>
      <c r="BQ65" s="329">
        <v>0.71</v>
      </c>
      <c r="BR65" s="329">
        <v>0.08</v>
      </c>
      <c r="BS65" s="329">
        <v>0.44</v>
      </c>
      <c r="BT65" s="329">
        <v>0.48</v>
      </c>
      <c r="BU65" s="480"/>
      <c r="BV65" s="480"/>
      <c r="BW65" s="480"/>
      <c r="BX65" s="329">
        <v>0.3</v>
      </c>
      <c r="BY65" s="426">
        <v>58</v>
      </c>
      <c r="BZ65" s="426" t="s">
        <v>874</v>
      </c>
      <c r="CA65" s="426">
        <v>11</v>
      </c>
      <c r="CB65" s="426" t="s">
        <v>874</v>
      </c>
      <c r="CC65" s="430">
        <v>0.02</v>
      </c>
      <c r="CD65" s="430">
        <v>0.18</v>
      </c>
      <c r="CE65" s="430">
        <v>0.7</v>
      </c>
      <c r="CF65" s="430">
        <v>0.1</v>
      </c>
      <c r="CG65" s="430">
        <v>0.53</v>
      </c>
      <c r="CH65" s="430">
        <v>0.26</v>
      </c>
      <c r="CI65" s="430">
        <v>0.5</v>
      </c>
      <c r="CJ65" s="466">
        <v>60</v>
      </c>
      <c r="CK65" s="466" t="s">
        <v>874</v>
      </c>
      <c r="CL65" s="466">
        <v>8</v>
      </c>
      <c r="CM65" s="466" t="s">
        <v>874</v>
      </c>
      <c r="CN65" s="480">
        <v>0</v>
      </c>
      <c r="CO65" s="480">
        <v>0.13</v>
      </c>
      <c r="CP65" s="480">
        <v>0.81</v>
      </c>
      <c r="CQ65" s="480">
        <v>0.06</v>
      </c>
      <c r="CR65" s="480">
        <v>0.45</v>
      </c>
      <c r="CS65" s="480">
        <v>0.4</v>
      </c>
      <c r="CT65" s="480">
        <v>0.28999999999999998</v>
      </c>
    </row>
    <row r="66" spans="1:98" ht="24.95" customHeight="1" x14ac:dyDescent="0.2">
      <c r="A66" s="814" t="s">
        <v>128</v>
      </c>
      <c r="B66" s="1" t="s">
        <v>221</v>
      </c>
      <c r="C66" s="12">
        <v>5</v>
      </c>
      <c r="D66" s="12">
        <v>54</v>
      </c>
      <c r="E66" s="12">
        <v>9</v>
      </c>
      <c r="F66" s="66">
        <v>0.03</v>
      </c>
      <c r="G66" s="66">
        <v>0.23</v>
      </c>
      <c r="H66" s="66">
        <v>0.73</v>
      </c>
      <c r="I66" s="66">
        <v>0</v>
      </c>
      <c r="J66" s="66">
        <v>0.52</v>
      </c>
      <c r="K66" s="66">
        <v>0.53</v>
      </c>
      <c r="L66" s="66">
        <v>0.56000000000000005</v>
      </c>
      <c r="M66" s="12">
        <v>56</v>
      </c>
      <c r="N66" s="12">
        <v>9</v>
      </c>
      <c r="O66" s="40">
        <v>0</v>
      </c>
      <c r="P66" s="40">
        <v>0.17</v>
      </c>
      <c r="Q66" s="40">
        <v>0.78</v>
      </c>
      <c r="R66" s="40">
        <v>0.06</v>
      </c>
      <c r="S66" s="40">
        <v>0.42</v>
      </c>
      <c r="T66" s="40">
        <v>0.44</v>
      </c>
      <c r="U66" s="40">
        <v>0.28999999999999998</v>
      </c>
      <c r="V66" s="12">
        <v>54</v>
      </c>
      <c r="W66" s="12">
        <v>10</v>
      </c>
      <c r="X66" s="66">
        <v>0.03</v>
      </c>
      <c r="Y66" s="66">
        <v>0.41</v>
      </c>
      <c r="Z66" s="66">
        <v>0.48</v>
      </c>
      <c r="AA66" s="66">
        <v>7.0000000000000007E-2</v>
      </c>
      <c r="AB66" s="66">
        <v>0.47</v>
      </c>
      <c r="AC66" s="66">
        <v>0.35</v>
      </c>
      <c r="AD66" s="66">
        <v>0.52</v>
      </c>
      <c r="AE66" s="12">
        <v>59</v>
      </c>
      <c r="AF66" s="12">
        <v>9</v>
      </c>
      <c r="AG66" s="66">
        <v>0</v>
      </c>
      <c r="AH66" s="66">
        <v>0.22</v>
      </c>
      <c r="AI66" s="66">
        <v>0.67</v>
      </c>
      <c r="AJ66" s="66">
        <v>0.11</v>
      </c>
      <c r="AK66" s="66">
        <v>0.44</v>
      </c>
      <c r="AL66" s="66">
        <v>0.34</v>
      </c>
      <c r="AM66" s="66">
        <v>0.21</v>
      </c>
      <c r="AN66" s="35">
        <v>55</v>
      </c>
      <c r="AO66" s="35">
        <v>8</v>
      </c>
      <c r="AP66" s="40">
        <v>0</v>
      </c>
      <c r="AQ66" s="40">
        <v>0.35</v>
      </c>
      <c r="AR66" s="40">
        <v>0.65</v>
      </c>
      <c r="AS66" s="40">
        <v>0</v>
      </c>
      <c r="AT66" s="40">
        <v>0.23</v>
      </c>
      <c r="AU66" s="40">
        <v>0.47</v>
      </c>
      <c r="AV66" s="40">
        <v>0.48</v>
      </c>
      <c r="AW66" s="247">
        <v>56</v>
      </c>
      <c r="AX66" s="247" t="s">
        <v>874</v>
      </c>
      <c r="AY66" s="247">
        <v>10</v>
      </c>
      <c r="AZ66" s="247" t="s">
        <v>874</v>
      </c>
      <c r="BA66" s="264">
        <v>0</v>
      </c>
      <c r="BB66" s="264">
        <v>0.35</v>
      </c>
      <c r="BC66" s="264">
        <v>0.6</v>
      </c>
      <c r="BD66" s="264">
        <v>0.05</v>
      </c>
      <c r="BE66" s="264">
        <v>0.23</v>
      </c>
      <c r="BF66" s="264">
        <v>0.44</v>
      </c>
      <c r="BG66" s="264">
        <v>0.42</v>
      </c>
      <c r="BH66" s="311">
        <v>55</v>
      </c>
      <c r="BI66" s="311" t="s">
        <v>874</v>
      </c>
      <c r="BJ66" s="311">
        <v>8</v>
      </c>
      <c r="BK66" s="311" t="s">
        <v>874</v>
      </c>
      <c r="BL66" s="466"/>
      <c r="BM66" s="466"/>
      <c r="BN66" s="466"/>
      <c r="BO66" s="329">
        <v>0</v>
      </c>
      <c r="BP66" s="329">
        <v>0.28999999999999998</v>
      </c>
      <c r="BQ66" s="329">
        <v>0.71</v>
      </c>
      <c r="BR66" s="329">
        <v>0</v>
      </c>
      <c r="BS66" s="329">
        <v>0.5</v>
      </c>
      <c r="BT66" s="329">
        <v>0.54</v>
      </c>
      <c r="BU66" s="480"/>
      <c r="BV66" s="480"/>
      <c r="BW66" s="480"/>
      <c r="BX66" s="329">
        <v>0.46</v>
      </c>
      <c r="BY66" s="426">
        <v>55</v>
      </c>
      <c r="BZ66" s="426" t="s">
        <v>874</v>
      </c>
      <c r="CA66" s="426">
        <v>7</v>
      </c>
      <c r="CB66" s="426" t="s">
        <v>874</v>
      </c>
      <c r="CC66" s="430">
        <v>0</v>
      </c>
      <c r="CD66" s="430">
        <v>0.3</v>
      </c>
      <c r="CE66" s="430">
        <v>0.7</v>
      </c>
      <c r="CF66" s="430">
        <v>0</v>
      </c>
      <c r="CG66" s="430">
        <v>0.65</v>
      </c>
      <c r="CH66" s="430">
        <v>0.33</v>
      </c>
      <c r="CI66" s="430">
        <v>0.5</v>
      </c>
      <c r="CJ66" s="466">
        <v>54</v>
      </c>
      <c r="CK66" s="466" t="s">
        <v>874</v>
      </c>
      <c r="CL66" s="466">
        <v>8</v>
      </c>
      <c r="CM66" s="466" t="s">
        <v>874</v>
      </c>
      <c r="CN66" s="480">
        <v>0</v>
      </c>
      <c r="CO66" s="480">
        <v>0.4</v>
      </c>
      <c r="CP66" s="480">
        <v>0.6</v>
      </c>
      <c r="CQ66" s="480">
        <v>0</v>
      </c>
      <c r="CR66" s="480">
        <v>0.61</v>
      </c>
      <c r="CS66" s="480">
        <v>0.49</v>
      </c>
      <c r="CT66" s="480">
        <v>0.42</v>
      </c>
    </row>
    <row r="67" spans="1:98" ht="24.95" customHeight="1" x14ac:dyDescent="0.2">
      <c r="A67" s="814" t="s">
        <v>159</v>
      </c>
      <c r="B67" s="1" t="s">
        <v>221</v>
      </c>
      <c r="C67" s="12">
        <v>3</v>
      </c>
      <c r="D67" s="12">
        <v>53</v>
      </c>
      <c r="E67" s="12">
        <v>9</v>
      </c>
      <c r="F67" s="66">
        <v>0.03</v>
      </c>
      <c r="G67" s="66">
        <v>0.37</v>
      </c>
      <c r="H67" s="66">
        <v>0.55000000000000004</v>
      </c>
      <c r="I67" s="66">
        <v>0.05</v>
      </c>
      <c r="J67" s="66">
        <v>0.52</v>
      </c>
      <c r="K67" s="66">
        <v>0.45</v>
      </c>
      <c r="L67" s="66">
        <v>0.49</v>
      </c>
      <c r="M67" s="12">
        <v>56</v>
      </c>
      <c r="N67" s="12">
        <v>9</v>
      </c>
      <c r="O67" s="40">
        <v>0</v>
      </c>
      <c r="P67" s="40">
        <v>0.22</v>
      </c>
      <c r="Q67" s="40">
        <v>0.78</v>
      </c>
      <c r="R67" s="40">
        <v>0</v>
      </c>
      <c r="S67" s="40">
        <v>0.44</v>
      </c>
      <c r="T67" s="40">
        <v>0.5</v>
      </c>
      <c r="U67" s="40">
        <v>0.28999999999999998</v>
      </c>
      <c r="V67" s="12">
        <v>63</v>
      </c>
      <c r="W67" s="12">
        <v>8</v>
      </c>
      <c r="X67" s="66">
        <v>0</v>
      </c>
      <c r="Y67" s="66">
        <v>0.06</v>
      </c>
      <c r="Z67" s="66">
        <v>0.78</v>
      </c>
      <c r="AA67" s="66">
        <v>0.17</v>
      </c>
      <c r="AB67" s="66">
        <v>0.26</v>
      </c>
      <c r="AC67" s="66">
        <v>0.23</v>
      </c>
      <c r="AD67" s="66">
        <v>0.37</v>
      </c>
      <c r="AE67" s="12">
        <v>59</v>
      </c>
      <c r="AF67" s="12">
        <v>8</v>
      </c>
      <c r="AG67" s="66">
        <v>0</v>
      </c>
      <c r="AH67" s="66">
        <v>0.12</v>
      </c>
      <c r="AI67" s="66">
        <v>0.81</v>
      </c>
      <c r="AJ67" s="66">
        <v>0.08</v>
      </c>
      <c r="AK67" s="66">
        <v>0.43</v>
      </c>
      <c r="AL67" s="66">
        <v>0.39</v>
      </c>
      <c r="AM67" s="66">
        <v>0.15</v>
      </c>
      <c r="AN67" s="35">
        <v>60</v>
      </c>
      <c r="AO67" s="35">
        <v>7</v>
      </c>
      <c r="AP67" s="40">
        <v>0</v>
      </c>
      <c r="AQ67" s="40">
        <v>0.05</v>
      </c>
      <c r="AR67" s="40">
        <v>0.89</v>
      </c>
      <c r="AS67" s="40">
        <v>0.05</v>
      </c>
      <c r="AT67" s="40">
        <v>0.16</v>
      </c>
      <c r="AU67" s="40">
        <v>0.37</v>
      </c>
      <c r="AV67" s="40">
        <v>0.48</v>
      </c>
      <c r="AW67" s="247">
        <v>57</v>
      </c>
      <c r="AX67" s="247" t="s">
        <v>874</v>
      </c>
      <c r="AY67" s="247">
        <v>9</v>
      </c>
      <c r="AZ67" s="247" t="s">
        <v>874</v>
      </c>
      <c r="BA67" s="264">
        <v>0</v>
      </c>
      <c r="BB67" s="264">
        <v>0.21</v>
      </c>
      <c r="BC67" s="264">
        <v>0.74</v>
      </c>
      <c r="BD67" s="264">
        <v>0.06</v>
      </c>
      <c r="BE67" s="264">
        <v>0.21</v>
      </c>
      <c r="BF67" s="264">
        <v>0.43</v>
      </c>
      <c r="BG67" s="264">
        <v>0.37</v>
      </c>
      <c r="BH67" s="311">
        <v>60</v>
      </c>
      <c r="BI67" s="311" t="s">
        <v>874</v>
      </c>
      <c r="BJ67" s="311">
        <v>8</v>
      </c>
      <c r="BK67" s="311" t="s">
        <v>874</v>
      </c>
      <c r="BL67" s="466"/>
      <c r="BM67" s="466"/>
      <c r="BN67" s="466"/>
      <c r="BO67" s="329">
        <v>0</v>
      </c>
      <c r="BP67" s="329">
        <v>0.11</v>
      </c>
      <c r="BQ67" s="329">
        <v>0.79</v>
      </c>
      <c r="BR67" s="329">
        <v>0.11</v>
      </c>
      <c r="BS67" s="329">
        <v>0.35</v>
      </c>
      <c r="BT67" s="329">
        <v>0.41</v>
      </c>
      <c r="BU67" s="480"/>
      <c r="BV67" s="480"/>
      <c r="BW67" s="480"/>
      <c r="BX67" s="329">
        <v>0.26</v>
      </c>
      <c r="BY67" s="426">
        <v>60</v>
      </c>
      <c r="BZ67" s="426" t="s">
        <v>874</v>
      </c>
      <c r="CA67" s="426">
        <v>9</v>
      </c>
      <c r="CB67" s="426" t="s">
        <v>874</v>
      </c>
      <c r="CC67" s="430">
        <v>0</v>
      </c>
      <c r="CD67" s="430">
        <v>0.14000000000000001</v>
      </c>
      <c r="CE67" s="430">
        <v>0.69</v>
      </c>
      <c r="CF67" s="430">
        <v>0.17</v>
      </c>
      <c r="CG67" s="430">
        <v>0.56999999999999995</v>
      </c>
      <c r="CH67" s="430">
        <v>0.28999999999999998</v>
      </c>
      <c r="CI67" s="430">
        <v>0.39</v>
      </c>
      <c r="CJ67" s="466">
        <v>65</v>
      </c>
      <c r="CK67" s="466" t="s">
        <v>875</v>
      </c>
      <c r="CL67" s="466">
        <v>6</v>
      </c>
      <c r="CM67" s="466" t="s">
        <v>876</v>
      </c>
      <c r="CN67" s="480">
        <v>0</v>
      </c>
      <c r="CO67" s="480">
        <v>0</v>
      </c>
      <c r="CP67" s="480">
        <v>0.79</v>
      </c>
      <c r="CQ67" s="480">
        <v>0.21</v>
      </c>
      <c r="CR67" s="480">
        <v>0.35</v>
      </c>
      <c r="CS67" s="480">
        <v>0.34</v>
      </c>
      <c r="CT67" s="480">
        <v>0.24</v>
      </c>
    </row>
    <row r="68" spans="1:98" ht="24.95" customHeight="1" x14ac:dyDescent="0.2">
      <c r="A68" s="814" t="s">
        <v>59</v>
      </c>
      <c r="B68" s="1" t="s">
        <v>221</v>
      </c>
      <c r="C68" s="12">
        <v>1</v>
      </c>
      <c r="D68" s="12">
        <v>53</v>
      </c>
      <c r="E68" s="12">
        <v>6</v>
      </c>
      <c r="F68" s="66">
        <v>0</v>
      </c>
      <c r="G68" s="66">
        <v>0.5</v>
      </c>
      <c r="H68" s="66">
        <v>0.5</v>
      </c>
      <c r="I68" s="66">
        <v>0</v>
      </c>
      <c r="J68" s="66">
        <v>0.53</v>
      </c>
      <c r="K68" s="66">
        <v>0.43</v>
      </c>
      <c r="L68" s="66">
        <v>0.52</v>
      </c>
      <c r="M68" s="12">
        <v>49</v>
      </c>
      <c r="N68" s="12">
        <v>8</v>
      </c>
      <c r="O68" s="40">
        <v>0.03</v>
      </c>
      <c r="P68" s="40">
        <v>0.6</v>
      </c>
      <c r="Q68" s="40">
        <v>0.37</v>
      </c>
      <c r="R68" s="40">
        <v>0</v>
      </c>
      <c r="S68" s="40">
        <v>0.52</v>
      </c>
      <c r="T68" s="40">
        <v>0.61</v>
      </c>
      <c r="U68" s="40">
        <v>0.36</v>
      </c>
      <c r="V68" s="12">
        <v>49</v>
      </c>
      <c r="W68" s="12">
        <v>7</v>
      </c>
      <c r="X68" s="66">
        <v>0.05</v>
      </c>
      <c r="Y68" s="66">
        <v>0.59</v>
      </c>
      <c r="Z68" s="66">
        <v>0.36</v>
      </c>
      <c r="AA68" s="66">
        <v>0</v>
      </c>
      <c r="AB68" s="66">
        <v>0.52</v>
      </c>
      <c r="AC68" s="66">
        <v>0.42</v>
      </c>
      <c r="AD68" s="66">
        <v>0.61</v>
      </c>
      <c r="AE68" s="12">
        <v>53</v>
      </c>
      <c r="AF68" s="12">
        <v>9</v>
      </c>
      <c r="AG68" s="66">
        <v>0</v>
      </c>
      <c r="AH68" s="66">
        <v>0.46</v>
      </c>
      <c r="AI68" s="66">
        <v>0.5</v>
      </c>
      <c r="AJ68" s="66">
        <v>0.04</v>
      </c>
      <c r="AK68" s="66">
        <v>0.52</v>
      </c>
      <c r="AL68" s="66">
        <v>0.5</v>
      </c>
      <c r="AM68" s="66">
        <v>0.28999999999999998</v>
      </c>
      <c r="AN68" s="35">
        <v>47</v>
      </c>
      <c r="AO68" s="35">
        <v>7</v>
      </c>
      <c r="AP68" s="40">
        <v>0.04</v>
      </c>
      <c r="AQ68" s="40">
        <v>0.64</v>
      </c>
      <c r="AR68" s="40">
        <v>0.32</v>
      </c>
      <c r="AS68" s="40">
        <v>0</v>
      </c>
      <c r="AT68" s="40">
        <v>0.34</v>
      </c>
      <c r="AU68" s="40">
        <v>0.61</v>
      </c>
      <c r="AV68" s="40">
        <v>0.65</v>
      </c>
      <c r="AW68" s="247">
        <v>49</v>
      </c>
      <c r="AX68" s="247" t="s">
        <v>874</v>
      </c>
      <c r="AY68" s="247">
        <v>12</v>
      </c>
      <c r="AZ68" s="247" t="s">
        <v>874</v>
      </c>
      <c r="BA68" s="264">
        <v>0.11</v>
      </c>
      <c r="BB68" s="264">
        <v>0.52</v>
      </c>
      <c r="BC68" s="264">
        <v>0.33</v>
      </c>
      <c r="BD68" s="264">
        <v>0.04</v>
      </c>
      <c r="BE68" s="264">
        <v>0.32</v>
      </c>
      <c r="BF68" s="264">
        <v>0.56000000000000005</v>
      </c>
      <c r="BG68" s="264">
        <v>0.52</v>
      </c>
      <c r="BH68" s="311">
        <v>49</v>
      </c>
      <c r="BI68" s="311" t="s">
        <v>874</v>
      </c>
      <c r="BJ68" s="311">
        <v>9</v>
      </c>
      <c r="BK68" s="311" t="s">
        <v>874</v>
      </c>
      <c r="BL68" s="466"/>
      <c r="BM68" s="466"/>
      <c r="BN68" s="466"/>
      <c r="BO68" s="329">
        <v>0.11</v>
      </c>
      <c r="BP68" s="329">
        <v>0.43</v>
      </c>
      <c r="BQ68" s="329">
        <v>0.46</v>
      </c>
      <c r="BR68" s="329">
        <v>0</v>
      </c>
      <c r="BS68" s="329">
        <v>0.61</v>
      </c>
      <c r="BT68" s="329">
        <v>0.63</v>
      </c>
      <c r="BU68" s="480"/>
      <c r="BV68" s="480"/>
      <c r="BW68" s="480"/>
      <c r="BX68" s="329">
        <v>0.37</v>
      </c>
      <c r="BY68" s="426">
        <v>49</v>
      </c>
      <c r="BZ68" s="426" t="s">
        <v>874</v>
      </c>
      <c r="CA68" s="426">
        <v>11</v>
      </c>
      <c r="CB68" s="426" t="s">
        <v>874</v>
      </c>
      <c r="CC68" s="430">
        <v>0.14000000000000001</v>
      </c>
      <c r="CD68" s="430">
        <v>0.5</v>
      </c>
      <c r="CE68" s="430">
        <v>0.32</v>
      </c>
      <c r="CF68" s="430">
        <v>0.05</v>
      </c>
      <c r="CG68" s="430">
        <v>0.6</v>
      </c>
      <c r="CH68" s="430">
        <v>0.45</v>
      </c>
      <c r="CI68" s="430">
        <v>0.63</v>
      </c>
      <c r="CJ68" s="466">
        <v>49</v>
      </c>
      <c r="CK68" s="466" t="s">
        <v>874</v>
      </c>
      <c r="CL68" s="466">
        <v>10</v>
      </c>
      <c r="CM68" s="466" t="s">
        <v>874</v>
      </c>
      <c r="CN68" s="480">
        <v>0.06</v>
      </c>
      <c r="CO68" s="480">
        <v>0.44</v>
      </c>
      <c r="CP68" s="480">
        <v>0.5</v>
      </c>
      <c r="CQ68" s="480">
        <v>0</v>
      </c>
      <c r="CR68" s="480">
        <v>0.66</v>
      </c>
      <c r="CS68" s="480">
        <v>0.6</v>
      </c>
      <c r="CT68" s="480">
        <v>0.41</v>
      </c>
    </row>
    <row r="69" spans="1:98" ht="24.95" customHeight="1" x14ac:dyDescent="0.2">
      <c r="A69" s="814" t="s">
        <v>132</v>
      </c>
      <c r="B69" s="1" t="s">
        <v>221</v>
      </c>
      <c r="C69" s="12">
        <v>3</v>
      </c>
      <c r="D69" s="12">
        <v>58</v>
      </c>
      <c r="E69" s="12">
        <v>8</v>
      </c>
      <c r="F69" s="66">
        <v>0.03</v>
      </c>
      <c r="G69" s="66">
        <v>0.18</v>
      </c>
      <c r="H69" s="66">
        <v>0.76</v>
      </c>
      <c r="I69" s="66">
        <v>0.03</v>
      </c>
      <c r="J69" s="66">
        <v>0.49</v>
      </c>
      <c r="K69" s="66">
        <v>0.31</v>
      </c>
      <c r="L69" s="66">
        <v>0.4</v>
      </c>
      <c r="M69" s="12">
        <v>56</v>
      </c>
      <c r="N69" s="12">
        <v>9</v>
      </c>
      <c r="O69" s="40">
        <v>0</v>
      </c>
      <c r="P69" s="40">
        <v>0.32</v>
      </c>
      <c r="Q69" s="40">
        <v>0.61</v>
      </c>
      <c r="R69" s="40">
        <v>7.0000000000000007E-2</v>
      </c>
      <c r="S69" s="40">
        <v>0.4</v>
      </c>
      <c r="T69" s="40">
        <v>0.47</v>
      </c>
      <c r="U69" s="40">
        <v>0.28000000000000003</v>
      </c>
      <c r="V69" s="12">
        <v>56</v>
      </c>
      <c r="W69" s="12">
        <v>8</v>
      </c>
      <c r="X69" s="66">
        <v>0.02</v>
      </c>
      <c r="Y69" s="66">
        <v>0.24</v>
      </c>
      <c r="Z69" s="66">
        <v>0.71</v>
      </c>
      <c r="AA69" s="66">
        <v>0.03</v>
      </c>
      <c r="AB69" s="66">
        <v>0.41</v>
      </c>
      <c r="AC69" s="66">
        <v>0.31</v>
      </c>
      <c r="AD69" s="66">
        <v>0.48</v>
      </c>
      <c r="AE69" s="12">
        <v>56</v>
      </c>
      <c r="AF69" s="12">
        <v>8</v>
      </c>
      <c r="AG69" s="66">
        <v>0.02</v>
      </c>
      <c r="AH69" s="66">
        <v>0.24</v>
      </c>
      <c r="AI69" s="66">
        <v>0.75</v>
      </c>
      <c r="AJ69" s="66">
        <v>0</v>
      </c>
      <c r="AK69" s="66">
        <v>0.48</v>
      </c>
      <c r="AL69" s="66">
        <v>0.43</v>
      </c>
      <c r="AM69" s="66">
        <v>0.22</v>
      </c>
      <c r="AN69" s="35">
        <v>58</v>
      </c>
      <c r="AO69" s="35">
        <v>11</v>
      </c>
      <c r="AP69" s="40">
        <v>0.02</v>
      </c>
      <c r="AQ69" s="40">
        <v>0.2</v>
      </c>
      <c r="AR69" s="40">
        <v>0.71</v>
      </c>
      <c r="AS69" s="40">
        <v>0.06</v>
      </c>
      <c r="AT69" s="40">
        <v>0.19</v>
      </c>
      <c r="AU69" s="40">
        <v>0.42</v>
      </c>
      <c r="AV69" s="40">
        <v>0.44</v>
      </c>
      <c r="AW69" s="247">
        <v>56</v>
      </c>
      <c r="AX69" s="247" t="s">
        <v>874</v>
      </c>
      <c r="AY69" s="247">
        <v>9</v>
      </c>
      <c r="AZ69" s="247" t="s">
        <v>874</v>
      </c>
      <c r="BA69" s="264">
        <v>0</v>
      </c>
      <c r="BB69" s="264">
        <v>0.23</v>
      </c>
      <c r="BC69" s="264">
        <v>0.71</v>
      </c>
      <c r="BD69" s="264">
        <v>0.06</v>
      </c>
      <c r="BE69" s="264">
        <v>0.21</v>
      </c>
      <c r="BF69" s="264">
        <v>0.42</v>
      </c>
      <c r="BG69" s="264">
        <v>0.38</v>
      </c>
      <c r="BH69" s="311">
        <v>59</v>
      </c>
      <c r="BI69" s="311" t="s">
        <v>874</v>
      </c>
      <c r="BJ69" s="311">
        <v>8</v>
      </c>
      <c r="BK69" s="311" t="s">
        <v>874</v>
      </c>
      <c r="BL69" s="466"/>
      <c r="BM69" s="466"/>
      <c r="BN69" s="466"/>
      <c r="BO69" s="329">
        <v>0</v>
      </c>
      <c r="BP69" s="329">
        <v>0.14000000000000001</v>
      </c>
      <c r="BQ69" s="329">
        <v>0.86</v>
      </c>
      <c r="BR69" s="329">
        <v>0</v>
      </c>
      <c r="BS69" s="329">
        <v>0.4</v>
      </c>
      <c r="BT69" s="329">
        <v>0.48</v>
      </c>
      <c r="BU69" s="480"/>
      <c r="BV69" s="480"/>
      <c r="BW69" s="480"/>
      <c r="BX69" s="329">
        <v>0.36</v>
      </c>
      <c r="BY69" s="426">
        <v>61</v>
      </c>
      <c r="BZ69" s="426" t="s">
        <v>875</v>
      </c>
      <c r="CA69" s="426">
        <v>8</v>
      </c>
      <c r="CB69" s="426" t="s">
        <v>874</v>
      </c>
      <c r="CC69" s="430">
        <v>0</v>
      </c>
      <c r="CD69" s="430">
        <v>0.12</v>
      </c>
      <c r="CE69" s="430">
        <v>0.76</v>
      </c>
      <c r="CF69" s="430">
        <v>0.12</v>
      </c>
      <c r="CG69" s="430">
        <v>0.47</v>
      </c>
      <c r="CH69" s="430">
        <v>0.25</v>
      </c>
      <c r="CI69" s="430">
        <v>0.47</v>
      </c>
      <c r="CJ69" s="466">
        <v>63</v>
      </c>
      <c r="CK69" s="466" t="s">
        <v>875</v>
      </c>
      <c r="CL69" s="466">
        <v>9</v>
      </c>
      <c r="CM69" s="466" t="s">
        <v>874</v>
      </c>
      <c r="CN69" s="480">
        <v>0</v>
      </c>
      <c r="CO69" s="480">
        <v>0.12</v>
      </c>
      <c r="CP69" s="480">
        <v>0.73</v>
      </c>
      <c r="CQ69" s="480">
        <v>0.16</v>
      </c>
      <c r="CR69" s="480">
        <v>0.4</v>
      </c>
      <c r="CS69" s="480">
        <v>0.35</v>
      </c>
      <c r="CT69" s="480">
        <v>0.28999999999999998</v>
      </c>
    </row>
    <row r="70" spans="1:98" ht="24.95" customHeight="1" x14ac:dyDescent="0.2">
      <c r="A70" s="814" t="s">
        <v>178</v>
      </c>
      <c r="B70" s="1" t="s">
        <v>221</v>
      </c>
      <c r="C70" s="12">
        <v>5</v>
      </c>
      <c r="D70" s="12">
        <v>56</v>
      </c>
      <c r="E70" s="12">
        <v>7</v>
      </c>
      <c r="F70" s="66">
        <v>0.02</v>
      </c>
      <c r="G70" s="66">
        <v>0.2</v>
      </c>
      <c r="H70" s="66">
        <v>0.77</v>
      </c>
      <c r="I70" s="66">
        <v>0.01</v>
      </c>
      <c r="J70" s="66">
        <v>0.48</v>
      </c>
      <c r="K70" s="66">
        <v>0.4</v>
      </c>
      <c r="L70" s="66">
        <v>0.48</v>
      </c>
      <c r="M70" s="12">
        <v>56</v>
      </c>
      <c r="N70" s="12">
        <v>9</v>
      </c>
      <c r="O70" s="40">
        <v>0.02</v>
      </c>
      <c r="P70" s="40">
        <v>0.27</v>
      </c>
      <c r="Q70" s="40">
        <v>0.67</v>
      </c>
      <c r="R70" s="40">
        <v>0.04</v>
      </c>
      <c r="S70" s="40">
        <v>0.43</v>
      </c>
      <c r="T70" s="40">
        <v>0.48</v>
      </c>
      <c r="U70" s="40">
        <v>0.28000000000000003</v>
      </c>
      <c r="V70" s="12">
        <v>56</v>
      </c>
      <c r="W70" s="12">
        <v>10</v>
      </c>
      <c r="X70" s="66">
        <v>0</v>
      </c>
      <c r="Y70" s="66">
        <v>0.26</v>
      </c>
      <c r="Z70" s="66">
        <v>0.66</v>
      </c>
      <c r="AA70" s="66">
        <v>7.0000000000000007E-2</v>
      </c>
      <c r="AB70" s="66">
        <v>0.42</v>
      </c>
      <c r="AC70" s="66">
        <v>0.33</v>
      </c>
      <c r="AD70" s="66">
        <v>0.45</v>
      </c>
      <c r="AE70" s="12">
        <v>58</v>
      </c>
      <c r="AF70" s="12">
        <v>10</v>
      </c>
      <c r="AG70" s="66">
        <v>0.02</v>
      </c>
      <c r="AH70" s="66">
        <v>0.23</v>
      </c>
      <c r="AI70" s="66">
        <v>0.66</v>
      </c>
      <c r="AJ70" s="66">
        <v>0.1</v>
      </c>
      <c r="AK70" s="66">
        <v>0.44</v>
      </c>
      <c r="AL70" s="66">
        <v>0.36</v>
      </c>
      <c r="AM70" s="66">
        <v>0.22</v>
      </c>
      <c r="AN70" s="35">
        <v>56</v>
      </c>
      <c r="AO70" s="35">
        <v>7</v>
      </c>
      <c r="AP70" s="40">
        <v>0</v>
      </c>
      <c r="AQ70" s="40">
        <v>0.22</v>
      </c>
      <c r="AR70" s="40">
        <v>0.78</v>
      </c>
      <c r="AS70" s="40">
        <v>0</v>
      </c>
      <c r="AT70" s="40">
        <v>0.21</v>
      </c>
      <c r="AU70" s="40">
        <v>0.46</v>
      </c>
      <c r="AV70" s="40">
        <v>0.45</v>
      </c>
      <c r="AW70" s="247">
        <v>53</v>
      </c>
      <c r="AX70" s="247" t="s">
        <v>874</v>
      </c>
      <c r="AY70" s="247">
        <v>10</v>
      </c>
      <c r="AZ70" s="247" t="s">
        <v>874</v>
      </c>
      <c r="BA70" s="264">
        <v>0.04</v>
      </c>
      <c r="BB70" s="264">
        <v>0.39</v>
      </c>
      <c r="BC70" s="264">
        <v>0.54</v>
      </c>
      <c r="BD70" s="264">
        <v>0.03</v>
      </c>
      <c r="BE70" s="264">
        <v>0.27</v>
      </c>
      <c r="BF70" s="264">
        <v>0.49</v>
      </c>
      <c r="BG70" s="264">
        <v>0.44</v>
      </c>
      <c r="BH70" s="311">
        <v>54</v>
      </c>
      <c r="BI70" s="311" t="s">
        <v>874</v>
      </c>
      <c r="BJ70" s="311">
        <v>9</v>
      </c>
      <c r="BK70" s="311" t="s">
        <v>874</v>
      </c>
      <c r="BL70" s="466"/>
      <c r="BM70" s="466"/>
      <c r="BN70" s="466"/>
      <c r="BO70" s="329">
        <v>0.04</v>
      </c>
      <c r="BP70" s="329">
        <v>0.28000000000000003</v>
      </c>
      <c r="BQ70" s="329">
        <v>0.65</v>
      </c>
      <c r="BR70" s="329">
        <v>0.04</v>
      </c>
      <c r="BS70" s="329">
        <v>0.56000000000000005</v>
      </c>
      <c r="BT70" s="329">
        <v>0.55000000000000004</v>
      </c>
      <c r="BU70" s="480"/>
      <c r="BV70" s="480"/>
      <c r="BW70" s="480"/>
      <c r="BX70" s="329">
        <v>0.34</v>
      </c>
      <c r="BY70" s="426">
        <v>57</v>
      </c>
      <c r="BZ70" s="426" t="s">
        <v>874</v>
      </c>
      <c r="CA70" s="426">
        <v>10</v>
      </c>
      <c r="CB70" s="426" t="s">
        <v>874</v>
      </c>
      <c r="CC70" s="430">
        <v>0.02</v>
      </c>
      <c r="CD70" s="430">
        <v>0.27</v>
      </c>
      <c r="CE70" s="430">
        <v>0.6</v>
      </c>
      <c r="CF70" s="430">
        <v>0.1</v>
      </c>
      <c r="CG70" s="430">
        <v>0.59</v>
      </c>
      <c r="CH70" s="430">
        <v>0.28999999999999998</v>
      </c>
      <c r="CI70" s="430">
        <v>0.56000000000000005</v>
      </c>
      <c r="CJ70" s="466">
        <v>55</v>
      </c>
      <c r="CK70" s="466" t="s">
        <v>874</v>
      </c>
      <c r="CL70" s="466">
        <v>9</v>
      </c>
      <c r="CM70" s="466" t="s">
        <v>874</v>
      </c>
      <c r="CN70" s="480">
        <v>0</v>
      </c>
      <c r="CO70" s="480">
        <v>0.32</v>
      </c>
      <c r="CP70" s="480">
        <v>0.63</v>
      </c>
      <c r="CQ70" s="480">
        <v>0.05</v>
      </c>
      <c r="CR70" s="480">
        <v>0.56999999999999995</v>
      </c>
      <c r="CS70" s="480">
        <v>0.48</v>
      </c>
      <c r="CT70" s="480">
        <v>0.38</v>
      </c>
    </row>
    <row r="71" spans="1:98" ht="24.95" customHeight="1" x14ac:dyDescent="0.2">
      <c r="A71" s="814" t="s">
        <v>75</v>
      </c>
      <c r="B71" s="1" t="s">
        <v>221</v>
      </c>
      <c r="C71" s="12">
        <v>1</v>
      </c>
      <c r="D71" s="12">
        <v>48</v>
      </c>
      <c r="E71" s="12">
        <v>9</v>
      </c>
      <c r="F71" s="66">
        <v>0.06</v>
      </c>
      <c r="G71" s="66">
        <v>0.63</v>
      </c>
      <c r="H71" s="66">
        <v>0.31</v>
      </c>
      <c r="I71" s="66">
        <v>0</v>
      </c>
      <c r="J71" s="66">
        <v>0.56999999999999995</v>
      </c>
      <c r="K71" s="66">
        <v>0.53</v>
      </c>
      <c r="L71" s="66">
        <v>0.57999999999999996</v>
      </c>
      <c r="M71" s="12">
        <v>53</v>
      </c>
      <c r="N71" s="12">
        <v>9</v>
      </c>
      <c r="O71" s="40">
        <v>0.06</v>
      </c>
      <c r="P71" s="40">
        <v>0.31</v>
      </c>
      <c r="Q71" s="40">
        <v>0.64</v>
      </c>
      <c r="R71" s="40">
        <v>0</v>
      </c>
      <c r="S71" s="40">
        <v>0.49</v>
      </c>
      <c r="T71" s="40">
        <v>0.55000000000000004</v>
      </c>
      <c r="U71" s="40">
        <v>0.32</v>
      </c>
      <c r="V71" s="12">
        <v>53</v>
      </c>
      <c r="W71" s="12">
        <v>9</v>
      </c>
      <c r="X71" s="66">
        <v>7.0000000000000007E-2</v>
      </c>
      <c r="Y71" s="66">
        <v>0.28999999999999998</v>
      </c>
      <c r="Z71" s="66">
        <v>0.61</v>
      </c>
      <c r="AA71" s="66">
        <v>0.04</v>
      </c>
      <c r="AB71" s="66">
        <v>0.49</v>
      </c>
      <c r="AC71" s="66">
        <v>0.39</v>
      </c>
      <c r="AD71" s="66">
        <v>0.5</v>
      </c>
      <c r="AE71" s="12">
        <v>53</v>
      </c>
      <c r="AF71" s="12">
        <v>10</v>
      </c>
      <c r="AG71" s="66">
        <v>0.03</v>
      </c>
      <c r="AH71" s="66">
        <v>0.42</v>
      </c>
      <c r="AI71" s="66">
        <v>0.5</v>
      </c>
      <c r="AJ71" s="66">
        <v>0.06</v>
      </c>
      <c r="AK71" s="66">
        <v>0.54</v>
      </c>
      <c r="AL71" s="66">
        <v>0.49</v>
      </c>
      <c r="AM71" s="66">
        <v>0.25</v>
      </c>
      <c r="AN71" s="35">
        <v>55</v>
      </c>
      <c r="AO71" s="35">
        <v>9</v>
      </c>
      <c r="AP71" s="40">
        <v>0</v>
      </c>
      <c r="AQ71" s="40">
        <v>0.36</v>
      </c>
      <c r="AR71" s="40">
        <v>0.61</v>
      </c>
      <c r="AS71" s="40">
        <v>0.03</v>
      </c>
      <c r="AT71" s="40">
        <v>0.22</v>
      </c>
      <c r="AU71" s="40">
        <v>0.47</v>
      </c>
      <c r="AV71" s="40">
        <v>0.46</v>
      </c>
      <c r="AW71" s="247">
        <v>55</v>
      </c>
      <c r="AX71" s="247" t="s">
        <v>874</v>
      </c>
      <c r="AY71" s="247">
        <v>8</v>
      </c>
      <c r="AZ71" s="247" t="s">
        <v>874</v>
      </c>
      <c r="BA71" s="264">
        <v>0.03</v>
      </c>
      <c r="BB71" s="264">
        <v>0.31</v>
      </c>
      <c r="BC71" s="264">
        <v>0.66</v>
      </c>
      <c r="BD71" s="264">
        <v>0</v>
      </c>
      <c r="BE71" s="264">
        <v>0.23</v>
      </c>
      <c r="BF71" s="264">
        <v>0.47</v>
      </c>
      <c r="BG71" s="264">
        <v>0.42</v>
      </c>
      <c r="BH71" s="311">
        <v>49</v>
      </c>
      <c r="BI71" s="311" t="s">
        <v>874</v>
      </c>
      <c r="BJ71" s="311">
        <v>11</v>
      </c>
      <c r="BK71" s="311" t="s">
        <v>874</v>
      </c>
      <c r="BL71" s="466"/>
      <c r="BM71" s="466"/>
      <c r="BN71" s="466"/>
      <c r="BO71" s="329">
        <v>0.09</v>
      </c>
      <c r="BP71" s="329">
        <v>0.42</v>
      </c>
      <c r="BQ71" s="329">
        <v>0.48</v>
      </c>
      <c r="BR71" s="329">
        <v>0</v>
      </c>
      <c r="BS71" s="329">
        <v>0.56000000000000005</v>
      </c>
      <c r="BT71" s="329">
        <v>0.64</v>
      </c>
      <c r="BU71" s="480"/>
      <c r="BV71" s="480"/>
      <c r="BW71" s="480"/>
      <c r="BX71" s="329">
        <v>0.42</v>
      </c>
      <c r="BY71" s="426">
        <v>50</v>
      </c>
      <c r="BZ71" s="426" t="s">
        <v>874</v>
      </c>
      <c r="CA71" s="426">
        <v>8</v>
      </c>
      <c r="CB71" s="426" t="s">
        <v>874</v>
      </c>
      <c r="CC71" s="430">
        <v>0.03</v>
      </c>
      <c r="CD71" s="430">
        <v>0.55000000000000004</v>
      </c>
      <c r="CE71" s="430">
        <v>0.41</v>
      </c>
      <c r="CF71" s="430">
        <v>0</v>
      </c>
      <c r="CG71" s="430">
        <v>0.7</v>
      </c>
      <c r="CH71" s="430">
        <v>0.41</v>
      </c>
      <c r="CI71" s="430">
        <v>0.63</v>
      </c>
      <c r="CJ71" s="466">
        <v>55</v>
      </c>
      <c r="CK71" s="466" t="s">
        <v>874</v>
      </c>
      <c r="CL71" s="466">
        <v>10</v>
      </c>
      <c r="CM71" s="466" t="s">
        <v>874</v>
      </c>
      <c r="CN71" s="480">
        <v>0.05</v>
      </c>
      <c r="CO71" s="480">
        <v>0.2</v>
      </c>
      <c r="CP71" s="480">
        <v>0.68</v>
      </c>
      <c r="CQ71" s="480">
        <v>7.0000000000000007E-2</v>
      </c>
      <c r="CR71" s="480">
        <v>0.61</v>
      </c>
      <c r="CS71" s="480">
        <v>0.47</v>
      </c>
      <c r="CT71" s="480">
        <v>0.42</v>
      </c>
    </row>
    <row r="72" spans="1:98" ht="24.95" customHeight="1" x14ac:dyDescent="0.2">
      <c r="A72" s="814" t="s">
        <v>25</v>
      </c>
      <c r="B72" s="1" t="s">
        <v>221</v>
      </c>
      <c r="C72" s="12">
        <v>3</v>
      </c>
      <c r="D72" s="12">
        <v>55</v>
      </c>
      <c r="E72" s="12">
        <v>9</v>
      </c>
      <c r="F72" s="66">
        <v>0.04</v>
      </c>
      <c r="G72" s="66">
        <v>0.28999999999999998</v>
      </c>
      <c r="H72" s="66">
        <v>0.65</v>
      </c>
      <c r="I72" s="66">
        <v>0.02</v>
      </c>
      <c r="J72" s="66">
        <v>0.47</v>
      </c>
      <c r="K72" s="66">
        <v>0.43</v>
      </c>
      <c r="L72" s="66">
        <v>0.46</v>
      </c>
      <c r="M72" s="12">
        <v>54</v>
      </c>
      <c r="N72" s="12">
        <v>11</v>
      </c>
      <c r="O72" s="40">
        <v>0.04</v>
      </c>
      <c r="P72" s="40">
        <v>0.33</v>
      </c>
      <c r="Q72" s="40">
        <v>0.57999999999999996</v>
      </c>
      <c r="R72" s="40">
        <v>0.04</v>
      </c>
      <c r="S72" s="40">
        <v>0.46</v>
      </c>
      <c r="T72" s="40">
        <v>0.5</v>
      </c>
      <c r="U72" s="40">
        <v>0.31</v>
      </c>
      <c r="V72" s="12">
        <v>51</v>
      </c>
      <c r="W72" s="12">
        <v>9</v>
      </c>
      <c r="X72" s="66">
        <v>0</v>
      </c>
      <c r="Y72" s="66">
        <v>0.43</v>
      </c>
      <c r="Z72" s="66">
        <v>0.53</v>
      </c>
      <c r="AA72" s="66">
        <v>0.03</v>
      </c>
      <c r="AB72" s="66">
        <v>0.52</v>
      </c>
      <c r="AC72" s="66">
        <v>0.4</v>
      </c>
      <c r="AD72" s="66">
        <v>0.52</v>
      </c>
      <c r="AE72" s="12">
        <v>57</v>
      </c>
      <c r="AF72" s="12">
        <v>9</v>
      </c>
      <c r="AG72" s="66">
        <v>0</v>
      </c>
      <c r="AH72" s="66">
        <v>0.24</v>
      </c>
      <c r="AI72" s="66">
        <v>0.74</v>
      </c>
      <c r="AJ72" s="66">
        <v>0.03</v>
      </c>
      <c r="AK72" s="66">
        <v>0.49</v>
      </c>
      <c r="AL72" s="66">
        <v>0.41</v>
      </c>
      <c r="AM72" s="66">
        <v>0.23</v>
      </c>
      <c r="AN72" s="35">
        <v>55</v>
      </c>
      <c r="AO72" s="35">
        <v>9</v>
      </c>
      <c r="AP72" s="40">
        <v>0.03</v>
      </c>
      <c r="AQ72" s="40">
        <v>0.22</v>
      </c>
      <c r="AR72" s="40">
        <v>0.73</v>
      </c>
      <c r="AS72" s="40">
        <v>0.02</v>
      </c>
      <c r="AT72" s="40">
        <v>0.23</v>
      </c>
      <c r="AU72" s="40">
        <v>0.49</v>
      </c>
      <c r="AV72" s="40">
        <v>0.5</v>
      </c>
      <c r="AW72" s="247">
        <v>54</v>
      </c>
      <c r="AX72" s="247" t="s">
        <v>874</v>
      </c>
      <c r="AY72" s="247">
        <v>8</v>
      </c>
      <c r="AZ72" s="247" t="s">
        <v>874</v>
      </c>
      <c r="BA72" s="264">
        <v>0</v>
      </c>
      <c r="BB72" s="264">
        <v>0.36</v>
      </c>
      <c r="BC72" s="264">
        <v>0.57999999999999996</v>
      </c>
      <c r="BD72" s="264">
        <v>0.06</v>
      </c>
      <c r="BE72" s="264">
        <v>0.28000000000000003</v>
      </c>
      <c r="BF72" s="264">
        <v>0.45</v>
      </c>
      <c r="BG72" s="264">
        <v>0.42</v>
      </c>
      <c r="BH72" s="311">
        <v>55</v>
      </c>
      <c r="BI72" s="311" t="s">
        <v>874</v>
      </c>
      <c r="BJ72" s="311">
        <v>7</v>
      </c>
      <c r="BK72" s="311" t="s">
        <v>874</v>
      </c>
      <c r="BL72" s="466"/>
      <c r="BM72" s="466"/>
      <c r="BN72" s="466"/>
      <c r="BO72" s="329">
        <v>0</v>
      </c>
      <c r="BP72" s="329">
        <v>0.23</v>
      </c>
      <c r="BQ72" s="329">
        <v>0.75</v>
      </c>
      <c r="BR72" s="329">
        <v>0.02</v>
      </c>
      <c r="BS72" s="329">
        <v>0.47</v>
      </c>
      <c r="BT72" s="329">
        <v>0.59</v>
      </c>
      <c r="BU72" s="480"/>
      <c r="BV72" s="480"/>
      <c r="BW72" s="480"/>
      <c r="BX72" s="329">
        <v>0.33</v>
      </c>
      <c r="BY72" s="426">
        <v>54</v>
      </c>
      <c r="BZ72" s="426" t="s">
        <v>874</v>
      </c>
      <c r="CA72" s="426">
        <v>9</v>
      </c>
      <c r="CB72" s="426" t="s">
        <v>874</v>
      </c>
      <c r="CC72" s="430">
        <v>0.02</v>
      </c>
      <c r="CD72" s="430">
        <v>0.4</v>
      </c>
      <c r="CE72" s="430">
        <v>0.52</v>
      </c>
      <c r="CF72" s="430">
        <v>0.06</v>
      </c>
      <c r="CG72" s="430">
        <v>0.57999999999999996</v>
      </c>
      <c r="CH72" s="430">
        <v>0.31</v>
      </c>
      <c r="CI72" s="430">
        <v>0.56999999999999995</v>
      </c>
      <c r="CJ72" s="466">
        <v>57</v>
      </c>
      <c r="CK72" s="466" t="s">
        <v>874</v>
      </c>
      <c r="CL72" s="466">
        <v>8</v>
      </c>
      <c r="CM72" s="466" t="s">
        <v>874</v>
      </c>
      <c r="CN72" s="480">
        <v>0</v>
      </c>
      <c r="CO72" s="480">
        <v>0.25</v>
      </c>
      <c r="CP72" s="480">
        <v>0.69</v>
      </c>
      <c r="CQ72" s="480">
        <v>0.06</v>
      </c>
      <c r="CR72" s="480">
        <v>0.52</v>
      </c>
      <c r="CS72" s="480">
        <v>0.46</v>
      </c>
      <c r="CT72" s="480">
        <v>0.32</v>
      </c>
    </row>
    <row r="73" spans="1:98" ht="24.95" customHeight="1" x14ac:dyDescent="0.2">
      <c r="A73" s="814" t="s">
        <v>94</v>
      </c>
      <c r="B73" s="1" t="s">
        <v>221</v>
      </c>
      <c r="C73" s="12">
        <v>6</v>
      </c>
      <c r="D73" s="12">
        <v>57</v>
      </c>
      <c r="E73" s="12">
        <v>6</v>
      </c>
      <c r="F73" s="66">
        <v>0</v>
      </c>
      <c r="G73" s="66">
        <v>0.25</v>
      </c>
      <c r="H73" s="66">
        <v>0.75</v>
      </c>
      <c r="I73" s="66">
        <v>0</v>
      </c>
      <c r="J73" s="66">
        <v>0.43</v>
      </c>
      <c r="K73" s="66">
        <v>0.32</v>
      </c>
      <c r="L73" s="66">
        <v>0.46</v>
      </c>
      <c r="M73" s="12">
        <v>51</v>
      </c>
      <c r="N73" s="12">
        <v>12</v>
      </c>
      <c r="O73" s="40">
        <v>0.25</v>
      </c>
      <c r="P73" s="40">
        <v>0</v>
      </c>
      <c r="Q73" s="40">
        <v>0.75</v>
      </c>
      <c r="R73" s="40">
        <v>0</v>
      </c>
      <c r="S73" s="40">
        <v>0.46</v>
      </c>
      <c r="T73" s="40">
        <v>0.57999999999999996</v>
      </c>
      <c r="U73" s="40">
        <v>0.37</v>
      </c>
      <c r="V73" s="12" t="s">
        <v>224</v>
      </c>
      <c r="W73" s="12" t="s">
        <v>226</v>
      </c>
      <c r="X73" s="12"/>
      <c r="Y73" s="12"/>
      <c r="Z73" s="12"/>
      <c r="AA73" s="12"/>
      <c r="AB73" s="12"/>
      <c r="AC73" s="12"/>
      <c r="AD73" s="12"/>
      <c r="AE73" s="12">
        <v>51</v>
      </c>
      <c r="AF73" s="12">
        <v>18</v>
      </c>
      <c r="AG73" s="66">
        <v>0</v>
      </c>
      <c r="AH73" s="66">
        <v>0.5</v>
      </c>
      <c r="AI73" s="66">
        <v>0.5</v>
      </c>
      <c r="AJ73" s="66">
        <v>0</v>
      </c>
      <c r="AK73" s="66">
        <v>0.51</v>
      </c>
      <c r="AL73" s="66">
        <v>0.62</v>
      </c>
      <c r="AM73" s="66">
        <v>0.27</v>
      </c>
      <c r="AN73" s="35">
        <v>49</v>
      </c>
      <c r="AO73" s="35">
        <v>11</v>
      </c>
      <c r="AP73" s="40">
        <v>0</v>
      </c>
      <c r="AQ73" s="40">
        <v>0.63</v>
      </c>
      <c r="AR73" s="40">
        <v>0.25</v>
      </c>
      <c r="AS73" s="40">
        <v>0.13</v>
      </c>
      <c r="AT73" s="40">
        <v>0.34</v>
      </c>
      <c r="AU73" s="40">
        <v>0.48</v>
      </c>
      <c r="AV73" s="40">
        <v>0.68</v>
      </c>
      <c r="AW73" s="652"/>
      <c r="AX73" s="652"/>
      <c r="AY73" s="652"/>
      <c r="AZ73" s="652"/>
      <c r="BA73" s="652"/>
      <c r="BB73" s="652"/>
      <c r="BC73" s="652"/>
      <c r="BD73" s="652"/>
      <c r="BE73" s="652"/>
      <c r="BF73" s="652"/>
      <c r="BG73" s="652"/>
      <c r="BH73" s="655"/>
      <c r="BI73" s="655"/>
      <c r="BJ73" s="655"/>
      <c r="BK73" s="655"/>
      <c r="BL73" s="656"/>
      <c r="BM73" s="656"/>
      <c r="BN73" s="656"/>
      <c r="BO73" s="655"/>
      <c r="BP73" s="655"/>
      <c r="BQ73" s="655"/>
      <c r="BR73" s="655"/>
      <c r="BS73" s="655"/>
      <c r="BT73" s="655"/>
      <c r="BU73" s="656"/>
      <c r="BV73" s="656"/>
      <c r="BW73" s="656"/>
      <c r="BX73" s="655"/>
      <c r="BY73" s="426">
        <v>57</v>
      </c>
      <c r="BZ73" s="426" t="s">
        <v>874</v>
      </c>
      <c r="CA73" s="426">
        <v>10</v>
      </c>
      <c r="CB73" s="426" t="s">
        <v>874</v>
      </c>
      <c r="CC73" s="430">
        <v>0</v>
      </c>
      <c r="CD73" s="430">
        <v>0.2</v>
      </c>
      <c r="CE73" s="430">
        <v>0.8</v>
      </c>
      <c r="CF73" s="430">
        <v>0</v>
      </c>
      <c r="CG73" s="430">
        <v>0.56999999999999995</v>
      </c>
      <c r="CH73" s="430">
        <v>0.3</v>
      </c>
      <c r="CI73" s="430">
        <v>0.63</v>
      </c>
      <c r="CJ73" s="466">
        <v>52</v>
      </c>
      <c r="CK73" s="466" t="s">
        <v>874</v>
      </c>
      <c r="CL73" s="466">
        <v>11</v>
      </c>
      <c r="CM73" s="466" t="s">
        <v>874</v>
      </c>
      <c r="CN73" s="480">
        <v>0</v>
      </c>
      <c r="CO73" s="480">
        <v>0.5</v>
      </c>
      <c r="CP73" s="480">
        <v>0.5</v>
      </c>
      <c r="CQ73" s="480">
        <v>0</v>
      </c>
      <c r="CR73" s="480">
        <v>0.55000000000000004</v>
      </c>
      <c r="CS73" s="480">
        <v>0.46</v>
      </c>
      <c r="CT73" s="480">
        <v>0.39</v>
      </c>
    </row>
    <row r="74" spans="1:98" ht="24.95" customHeight="1" x14ac:dyDescent="0.2">
      <c r="A74" s="817" t="s">
        <v>878</v>
      </c>
      <c r="B74" s="1" t="s">
        <v>221</v>
      </c>
      <c r="C74" s="12">
        <v>6</v>
      </c>
      <c r="D74" s="612"/>
      <c r="E74" s="612"/>
      <c r="F74" s="612"/>
      <c r="G74" s="612"/>
      <c r="H74" s="612"/>
      <c r="I74" s="612"/>
      <c r="J74" s="612"/>
      <c r="K74" s="612"/>
      <c r="L74" s="612"/>
      <c r="M74" s="12"/>
      <c r="N74" s="12"/>
      <c r="O74" s="40"/>
      <c r="P74" s="40"/>
      <c r="Q74" s="40"/>
      <c r="R74" s="40"/>
      <c r="S74" s="40"/>
      <c r="T74" s="40"/>
      <c r="U74" s="40"/>
      <c r="V74" s="12"/>
      <c r="W74" s="12"/>
      <c r="X74" s="66"/>
      <c r="Y74" s="66"/>
      <c r="Z74" s="66"/>
      <c r="AA74" s="66"/>
      <c r="AB74" s="66"/>
      <c r="AC74" s="66"/>
      <c r="AD74" s="66"/>
      <c r="AE74" s="12"/>
      <c r="AF74" s="12"/>
      <c r="AG74" s="66"/>
      <c r="AH74" s="66"/>
      <c r="AI74" s="66"/>
      <c r="AJ74" s="66"/>
      <c r="AK74" s="66"/>
      <c r="AL74" s="66"/>
      <c r="AM74" s="66"/>
      <c r="AN74" s="35"/>
      <c r="AO74" s="35"/>
      <c r="AP74" s="40"/>
      <c r="AQ74" s="40"/>
      <c r="AR74" s="40"/>
      <c r="AS74" s="40"/>
      <c r="AT74" s="40"/>
      <c r="AU74" s="40"/>
      <c r="AV74" s="40"/>
      <c r="AW74" s="247">
        <v>51</v>
      </c>
      <c r="AX74" s="247" t="s">
        <v>874</v>
      </c>
      <c r="AY74" s="247">
        <v>7</v>
      </c>
      <c r="AZ74" s="247" t="s">
        <v>874</v>
      </c>
      <c r="BA74" s="264">
        <v>0.06</v>
      </c>
      <c r="BB74" s="264">
        <v>0.33</v>
      </c>
      <c r="BC74" s="264">
        <v>0.61</v>
      </c>
      <c r="BD74" s="264">
        <v>0</v>
      </c>
      <c r="BE74" s="264">
        <v>0.22</v>
      </c>
      <c r="BF74" s="264">
        <v>0.57999999999999996</v>
      </c>
      <c r="BG74" s="264">
        <v>0.52</v>
      </c>
      <c r="BH74" s="311">
        <v>49</v>
      </c>
      <c r="BI74" s="311" t="s">
        <v>874</v>
      </c>
      <c r="BJ74" s="311">
        <v>9</v>
      </c>
      <c r="BK74" s="311" t="s">
        <v>874</v>
      </c>
      <c r="BL74" s="466"/>
      <c r="BM74" s="466"/>
      <c r="BN74" s="466"/>
      <c r="BO74" s="329">
        <v>0.16</v>
      </c>
      <c r="BP74" s="329">
        <v>0.39</v>
      </c>
      <c r="BQ74" s="329">
        <v>0.45</v>
      </c>
      <c r="BR74" s="329">
        <v>0</v>
      </c>
      <c r="BS74" s="329">
        <v>0.56999999999999995</v>
      </c>
      <c r="BT74" s="329">
        <v>0.71</v>
      </c>
      <c r="BU74" s="480"/>
      <c r="BV74" s="480"/>
      <c r="BW74" s="480"/>
      <c r="BX74" s="329">
        <v>0.34</v>
      </c>
      <c r="BY74" s="426">
        <v>53</v>
      </c>
      <c r="BZ74" s="426" t="s">
        <v>874</v>
      </c>
      <c r="CA74" s="426">
        <v>10</v>
      </c>
      <c r="CB74" s="426" t="s">
        <v>874</v>
      </c>
      <c r="CC74" s="430">
        <v>0.1</v>
      </c>
      <c r="CD74" s="430">
        <v>0.21</v>
      </c>
      <c r="CE74" s="430">
        <v>0.69</v>
      </c>
      <c r="CF74" s="430">
        <v>0</v>
      </c>
      <c r="CG74" s="430">
        <v>0.63</v>
      </c>
      <c r="CH74" s="430">
        <v>0.36</v>
      </c>
      <c r="CI74" s="430">
        <v>0.56999999999999995</v>
      </c>
      <c r="CJ74" s="466">
        <v>56</v>
      </c>
      <c r="CK74" s="466" t="s">
        <v>874</v>
      </c>
      <c r="CL74" s="466">
        <v>10</v>
      </c>
      <c r="CM74" s="466" t="s">
        <v>874</v>
      </c>
      <c r="CN74" s="480">
        <v>7.0000000000000007E-2</v>
      </c>
      <c r="CO74" s="480">
        <v>0.11</v>
      </c>
      <c r="CP74" s="480">
        <v>0.78</v>
      </c>
      <c r="CQ74" s="480">
        <v>0.04</v>
      </c>
      <c r="CR74" s="480">
        <v>0.63</v>
      </c>
      <c r="CS74" s="480">
        <v>0.47</v>
      </c>
      <c r="CT74" s="480">
        <v>0.38</v>
      </c>
    </row>
    <row r="75" spans="1:98" ht="24.95" customHeight="1" x14ac:dyDescent="0.2">
      <c r="A75" s="818" t="s">
        <v>166</v>
      </c>
      <c r="B75" s="1" t="s">
        <v>221</v>
      </c>
      <c r="C75" s="255">
        <v>3</v>
      </c>
      <c r="D75" s="255">
        <v>46</v>
      </c>
      <c r="E75" s="255">
        <v>6</v>
      </c>
      <c r="F75" s="259">
        <v>0</v>
      </c>
      <c r="G75" s="259">
        <v>0.67</v>
      </c>
      <c r="H75" s="259">
        <v>0.33</v>
      </c>
      <c r="I75" s="259">
        <v>0</v>
      </c>
      <c r="J75" s="259">
        <v>0.6</v>
      </c>
      <c r="K75" s="259">
        <v>0.55000000000000004</v>
      </c>
      <c r="L75" s="259">
        <v>0.61</v>
      </c>
      <c r="M75" s="255">
        <v>50</v>
      </c>
      <c r="N75" s="255">
        <v>10</v>
      </c>
      <c r="O75" s="260">
        <v>0.04</v>
      </c>
      <c r="P75" s="260">
        <v>0.48</v>
      </c>
      <c r="Q75" s="260">
        <v>0.48</v>
      </c>
      <c r="R75" s="260">
        <v>0</v>
      </c>
      <c r="S75" s="260">
        <v>0.52</v>
      </c>
      <c r="T75" s="260">
        <v>0.56999999999999995</v>
      </c>
      <c r="U75" s="260">
        <v>0.39</v>
      </c>
      <c r="V75" s="255">
        <v>55</v>
      </c>
      <c r="W75" s="255">
        <v>13</v>
      </c>
      <c r="X75" s="259">
        <v>0.04</v>
      </c>
      <c r="Y75" s="259">
        <v>0.39</v>
      </c>
      <c r="Z75" s="259">
        <v>0.43</v>
      </c>
      <c r="AA75" s="259">
        <v>0.13</v>
      </c>
      <c r="AB75" s="259">
        <v>0.45</v>
      </c>
      <c r="AC75" s="259">
        <v>0.31</v>
      </c>
      <c r="AD75" s="259">
        <v>0.48</v>
      </c>
      <c r="AE75" s="255">
        <v>54</v>
      </c>
      <c r="AF75" s="255">
        <v>10</v>
      </c>
      <c r="AG75" s="259">
        <v>0.06</v>
      </c>
      <c r="AH75" s="259">
        <v>0.28000000000000003</v>
      </c>
      <c r="AI75" s="259">
        <v>0.67</v>
      </c>
      <c r="AJ75" s="259">
        <v>0</v>
      </c>
      <c r="AK75" s="259">
        <v>0.52</v>
      </c>
      <c r="AL75" s="259">
        <v>0.39</v>
      </c>
      <c r="AM75" s="259">
        <v>0.27</v>
      </c>
      <c r="AN75" s="251">
        <v>50</v>
      </c>
      <c r="AO75" s="251">
        <v>10</v>
      </c>
      <c r="AP75" s="260">
        <v>0</v>
      </c>
      <c r="AQ75" s="260">
        <v>0.5</v>
      </c>
      <c r="AR75" s="260">
        <v>0.5</v>
      </c>
      <c r="AS75" s="260">
        <v>0</v>
      </c>
      <c r="AT75" s="260">
        <v>0.35</v>
      </c>
      <c r="AU75" s="260">
        <v>0.5</v>
      </c>
      <c r="AV75" s="260">
        <v>0.53</v>
      </c>
      <c r="AW75" s="247">
        <v>49</v>
      </c>
      <c r="AX75" s="247" t="s">
        <v>874</v>
      </c>
      <c r="AY75" s="247">
        <v>10</v>
      </c>
      <c r="AZ75" s="247" t="s">
        <v>874</v>
      </c>
      <c r="BA75" s="264">
        <v>0.06</v>
      </c>
      <c r="BB75" s="264">
        <v>0.59</v>
      </c>
      <c r="BC75" s="264">
        <v>0.35</v>
      </c>
      <c r="BD75" s="264">
        <v>0</v>
      </c>
      <c r="BE75" s="264">
        <v>0.36</v>
      </c>
      <c r="BF75" s="264">
        <v>0.54</v>
      </c>
      <c r="BG75" s="264">
        <v>0.49</v>
      </c>
      <c r="BH75" s="311">
        <v>55</v>
      </c>
      <c r="BI75" s="311" t="s">
        <v>874</v>
      </c>
      <c r="BJ75" s="311">
        <v>12</v>
      </c>
      <c r="BK75" s="311" t="s">
        <v>874</v>
      </c>
      <c r="BL75" s="466"/>
      <c r="BM75" s="466"/>
      <c r="BN75" s="466"/>
      <c r="BO75" s="329">
        <v>0.04</v>
      </c>
      <c r="BP75" s="329">
        <v>0.38</v>
      </c>
      <c r="BQ75" s="329">
        <v>0.46</v>
      </c>
      <c r="BR75" s="329">
        <v>0.13</v>
      </c>
      <c r="BS75" s="329">
        <v>0.48</v>
      </c>
      <c r="BT75" s="329">
        <v>0.53</v>
      </c>
      <c r="BU75" s="480"/>
      <c r="BV75" s="480"/>
      <c r="BW75" s="480"/>
      <c r="BX75" s="329">
        <v>0.26</v>
      </c>
      <c r="BY75" s="426">
        <v>59</v>
      </c>
      <c r="BZ75" s="426" t="s">
        <v>874</v>
      </c>
      <c r="CA75" s="426">
        <v>12</v>
      </c>
      <c r="CB75" s="426" t="s">
        <v>874</v>
      </c>
      <c r="CC75" s="430">
        <v>0</v>
      </c>
      <c r="CD75" s="430">
        <v>0.28999999999999998</v>
      </c>
      <c r="CE75" s="430">
        <v>0.63</v>
      </c>
      <c r="CF75" s="430">
        <v>0.08</v>
      </c>
      <c r="CG75" s="430">
        <v>0.56999999999999995</v>
      </c>
      <c r="CH75" s="430">
        <v>0.32</v>
      </c>
      <c r="CI75" s="430">
        <v>0.43</v>
      </c>
      <c r="CJ75" s="466">
        <v>56</v>
      </c>
      <c r="CK75" s="466" t="s">
        <v>874</v>
      </c>
      <c r="CL75" s="466">
        <v>11</v>
      </c>
      <c r="CM75" s="466" t="s">
        <v>874</v>
      </c>
      <c r="CN75" s="480">
        <v>0</v>
      </c>
      <c r="CO75" s="480">
        <v>0.32</v>
      </c>
      <c r="CP75" s="480">
        <v>0.59</v>
      </c>
      <c r="CQ75" s="480">
        <v>0.09</v>
      </c>
      <c r="CR75" s="480">
        <v>0.47</v>
      </c>
      <c r="CS75" s="480">
        <v>0.47</v>
      </c>
      <c r="CT75" s="480">
        <v>0.3</v>
      </c>
    </row>
    <row r="76" spans="1:98" ht="24.95" customHeight="1" x14ac:dyDescent="0.2">
      <c r="A76" s="814" t="s">
        <v>203</v>
      </c>
      <c r="B76" s="1" t="s">
        <v>221</v>
      </c>
      <c r="C76" s="12">
        <v>1</v>
      </c>
      <c r="D76" s="12">
        <v>53</v>
      </c>
      <c r="E76" s="12">
        <v>8</v>
      </c>
      <c r="F76" s="66">
        <v>0</v>
      </c>
      <c r="G76" s="66">
        <v>0.41</v>
      </c>
      <c r="H76" s="66">
        <v>0.59</v>
      </c>
      <c r="I76" s="66">
        <v>0</v>
      </c>
      <c r="J76" s="66">
        <v>0.51</v>
      </c>
      <c r="K76" s="66">
        <v>0.45</v>
      </c>
      <c r="L76" s="66">
        <v>0.48</v>
      </c>
      <c r="M76" s="12">
        <v>50</v>
      </c>
      <c r="N76" s="12">
        <v>12</v>
      </c>
      <c r="O76" s="40">
        <v>0.11</v>
      </c>
      <c r="P76" s="40">
        <v>0.56000000000000005</v>
      </c>
      <c r="Q76" s="40">
        <v>0.22</v>
      </c>
      <c r="R76" s="40">
        <v>0.11</v>
      </c>
      <c r="S76" s="40">
        <v>0.49</v>
      </c>
      <c r="T76" s="40">
        <v>0.61</v>
      </c>
      <c r="U76" s="40">
        <v>0.38</v>
      </c>
      <c r="V76" s="12">
        <v>51</v>
      </c>
      <c r="W76" s="12">
        <v>11</v>
      </c>
      <c r="X76" s="66">
        <v>0.13</v>
      </c>
      <c r="Y76" s="66">
        <v>0.25</v>
      </c>
      <c r="Z76" s="66">
        <v>0.63</v>
      </c>
      <c r="AA76" s="66">
        <v>0</v>
      </c>
      <c r="AB76" s="66">
        <v>0.48</v>
      </c>
      <c r="AC76" s="66">
        <v>0.34</v>
      </c>
      <c r="AD76" s="66">
        <v>0.59</v>
      </c>
      <c r="AE76" s="12">
        <v>55</v>
      </c>
      <c r="AF76" s="12">
        <v>10</v>
      </c>
      <c r="AG76" s="66">
        <v>0</v>
      </c>
      <c r="AH76" s="66">
        <v>0.33</v>
      </c>
      <c r="AI76" s="66">
        <v>0.67</v>
      </c>
      <c r="AJ76" s="66">
        <v>0</v>
      </c>
      <c r="AK76" s="66">
        <v>0.51</v>
      </c>
      <c r="AL76" s="66">
        <v>0.39</v>
      </c>
      <c r="AM76" s="66">
        <v>0.3</v>
      </c>
      <c r="AN76" s="35">
        <v>52</v>
      </c>
      <c r="AO76" s="35">
        <v>12</v>
      </c>
      <c r="AP76" s="40">
        <v>0.13</v>
      </c>
      <c r="AQ76" s="40">
        <v>0.38</v>
      </c>
      <c r="AR76" s="40">
        <v>0.38</v>
      </c>
      <c r="AS76" s="40">
        <v>0.13</v>
      </c>
      <c r="AT76" s="40">
        <v>0.27</v>
      </c>
      <c r="AU76" s="40">
        <v>0.56000000000000005</v>
      </c>
      <c r="AV76" s="40">
        <v>0.45</v>
      </c>
      <c r="AW76" s="653">
        <v>54</v>
      </c>
      <c r="AX76" s="653" t="s">
        <v>874</v>
      </c>
      <c r="AY76" s="653">
        <v>8</v>
      </c>
      <c r="AZ76" s="653" t="s">
        <v>874</v>
      </c>
      <c r="BA76" s="654">
        <v>0.09</v>
      </c>
      <c r="BB76" s="654">
        <v>0.18</v>
      </c>
      <c r="BC76" s="654">
        <v>0.73</v>
      </c>
      <c r="BD76" s="654">
        <v>0</v>
      </c>
      <c r="BE76" s="654">
        <v>0.25</v>
      </c>
      <c r="BF76" s="654">
        <v>0.48</v>
      </c>
      <c r="BG76" s="654">
        <v>0.47</v>
      </c>
      <c r="BH76" s="74">
        <v>53</v>
      </c>
      <c r="BI76" s="74" t="s">
        <v>874</v>
      </c>
      <c r="BJ76" s="74">
        <v>11</v>
      </c>
      <c r="BK76" s="74" t="s">
        <v>874</v>
      </c>
      <c r="BL76" s="74"/>
      <c r="BM76" s="74"/>
      <c r="BN76" s="74"/>
      <c r="BO76" s="96">
        <v>0.04</v>
      </c>
      <c r="BP76" s="96">
        <v>0.39</v>
      </c>
      <c r="BQ76" s="96">
        <v>0.48</v>
      </c>
      <c r="BR76" s="96">
        <v>0.09</v>
      </c>
      <c r="BS76" s="96">
        <v>0.44</v>
      </c>
      <c r="BT76" s="96">
        <v>0.59</v>
      </c>
      <c r="BU76" s="96"/>
      <c r="BV76" s="96"/>
      <c r="BW76" s="96"/>
      <c r="BX76" s="96">
        <v>0.37</v>
      </c>
      <c r="BY76" s="426">
        <v>56</v>
      </c>
      <c r="BZ76" s="426" t="s">
        <v>874</v>
      </c>
      <c r="CA76" s="426">
        <v>10</v>
      </c>
      <c r="CB76" s="426" t="s">
        <v>874</v>
      </c>
      <c r="CC76" s="430">
        <v>0</v>
      </c>
      <c r="CD76" s="430">
        <v>0.41</v>
      </c>
      <c r="CE76" s="430">
        <v>0.5</v>
      </c>
      <c r="CF76" s="430">
        <v>0.09</v>
      </c>
      <c r="CG76" s="430">
        <v>0.61</v>
      </c>
      <c r="CH76" s="430">
        <v>0.24</v>
      </c>
      <c r="CI76" s="430">
        <v>0.55000000000000004</v>
      </c>
      <c r="CJ76" s="466">
        <v>59</v>
      </c>
      <c r="CK76" s="466" t="s">
        <v>874</v>
      </c>
      <c r="CL76" s="466">
        <v>8</v>
      </c>
      <c r="CM76" s="466" t="s">
        <v>874</v>
      </c>
      <c r="CN76" s="480">
        <v>0</v>
      </c>
      <c r="CO76" s="480">
        <v>0.16</v>
      </c>
      <c r="CP76" s="480">
        <v>0.74</v>
      </c>
      <c r="CQ76" s="480">
        <v>0.11</v>
      </c>
      <c r="CR76" s="480">
        <v>0.44</v>
      </c>
      <c r="CS76" s="480">
        <v>0.53</v>
      </c>
      <c r="CT76" s="480">
        <v>0.26</v>
      </c>
    </row>
    <row r="77" spans="1:98" ht="24.95" customHeight="1" x14ac:dyDescent="0.2">
      <c r="A77" s="814" t="s">
        <v>922</v>
      </c>
      <c r="B77" s="14" t="s">
        <v>221</v>
      </c>
      <c r="C77" s="12">
        <v>2</v>
      </c>
      <c r="D77" s="12"/>
      <c r="E77" s="12"/>
      <c r="F77" s="66"/>
      <c r="G77" s="66"/>
      <c r="H77" s="66"/>
      <c r="I77" s="66"/>
      <c r="J77" s="66"/>
      <c r="K77" s="66"/>
      <c r="L77" s="66"/>
      <c r="M77" s="12"/>
      <c r="N77" s="12"/>
      <c r="O77" s="40"/>
      <c r="P77" s="40"/>
      <c r="Q77" s="40"/>
      <c r="R77" s="40"/>
      <c r="S77" s="40"/>
      <c r="T77" s="40"/>
      <c r="U77" s="40"/>
      <c r="V77" s="12"/>
      <c r="W77" s="12"/>
      <c r="X77" s="66"/>
      <c r="Y77" s="66"/>
      <c r="Z77" s="66"/>
      <c r="AA77" s="66"/>
      <c r="AB77" s="66"/>
      <c r="AC77" s="66"/>
      <c r="AD77" s="66"/>
      <c r="AE77" s="12"/>
      <c r="AF77" s="12"/>
      <c r="AG77" s="66"/>
      <c r="AH77" s="66"/>
      <c r="AI77" s="66"/>
      <c r="AJ77" s="66"/>
      <c r="AK77" s="66"/>
      <c r="AL77" s="66"/>
      <c r="AM77" s="66"/>
      <c r="AN77" s="35"/>
      <c r="AO77" s="35"/>
      <c r="AP77" s="40"/>
      <c r="AQ77" s="40"/>
      <c r="AR77" s="40"/>
      <c r="AS77" s="40"/>
      <c r="AT77" s="40"/>
      <c r="AU77" s="40"/>
      <c r="AV77" s="40"/>
      <c r="AW77" s="247"/>
      <c r="AX77" s="247"/>
      <c r="AY77" s="247"/>
      <c r="AZ77" s="247"/>
      <c r="BA77" s="264"/>
      <c r="BB77" s="264"/>
      <c r="BC77" s="264"/>
      <c r="BD77" s="264"/>
      <c r="BE77" s="264"/>
      <c r="BF77" s="264"/>
      <c r="BG77" s="264"/>
      <c r="BH77" s="311">
        <v>52</v>
      </c>
      <c r="BI77" s="311" t="s">
        <v>874</v>
      </c>
      <c r="BJ77" s="311">
        <v>10</v>
      </c>
      <c r="BK77" s="311" t="s">
        <v>874</v>
      </c>
      <c r="BL77" s="466"/>
      <c r="BM77" s="466"/>
      <c r="BN77" s="466"/>
      <c r="BO77" s="329">
        <v>0</v>
      </c>
      <c r="BP77" s="329">
        <v>0.53</v>
      </c>
      <c r="BQ77" s="329">
        <v>0.4</v>
      </c>
      <c r="BR77" s="329">
        <v>7.0000000000000007E-2</v>
      </c>
      <c r="BS77" s="329">
        <v>0.47</v>
      </c>
      <c r="BT77" s="329">
        <v>0.59</v>
      </c>
      <c r="BU77" s="480"/>
      <c r="BV77" s="480"/>
      <c r="BW77" s="480"/>
      <c r="BX77" s="329">
        <v>0.32</v>
      </c>
      <c r="BY77" s="426">
        <v>52</v>
      </c>
      <c r="BZ77" s="426" t="s">
        <v>874</v>
      </c>
      <c r="CA77" s="426">
        <v>10</v>
      </c>
      <c r="CB77" s="426" t="s">
        <v>874</v>
      </c>
      <c r="CC77" s="430">
        <v>0.05</v>
      </c>
      <c r="CD77" s="430">
        <v>0.43</v>
      </c>
      <c r="CE77" s="430">
        <v>0.48</v>
      </c>
      <c r="CF77" s="430">
        <v>0.05</v>
      </c>
      <c r="CG77" s="430">
        <v>0.62</v>
      </c>
      <c r="CH77" s="430">
        <v>0.4</v>
      </c>
      <c r="CI77" s="430">
        <v>0.56999999999999995</v>
      </c>
      <c r="CJ77" s="466">
        <v>51</v>
      </c>
      <c r="CK77" s="466" t="s">
        <v>874</v>
      </c>
      <c r="CL77" s="466">
        <v>13</v>
      </c>
      <c r="CM77" s="466" t="s">
        <v>874</v>
      </c>
      <c r="CN77" s="480">
        <v>0.18</v>
      </c>
      <c r="CO77" s="480">
        <v>0.28999999999999998</v>
      </c>
      <c r="CP77" s="480">
        <v>0.54</v>
      </c>
      <c r="CQ77" s="480">
        <v>0</v>
      </c>
      <c r="CR77" s="480">
        <v>0.6</v>
      </c>
      <c r="CS77" s="480">
        <v>0.54</v>
      </c>
      <c r="CT77" s="480">
        <v>0.46</v>
      </c>
    </row>
    <row r="78" spans="1:98" ht="24.95" customHeight="1" x14ac:dyDescent="0.2">
      <c r="A78" s="814" t="s">
        <v>81</v>
      </c>
      <c r="B78" s="1" t="s">
        <v>221</v>
      </c>
      <c r="C78" s="12">
        <v>4</v>
      </c>
      <c r="D78" s="12">
        <v>45</v>
      </c>
      <c r="E78" s="12">
        <v>11</v>
      </c>
      <c r="F78" s="66">
        <v>0.24</v>
      </c>
      <c r="G78" s="66">
        <v>0.45</v>
      </c>
      <c r="H78" s="66">
        <v>0.31</v>
      </c>
      <c r="I78" s="66">
        <v>0</v>
      </c>
      <c r="J78" s="66">
        <v>0.59</v>
      </c>
      <c r="K78" s="66">
        <v>0.54</v>
      </c>
      <c r="L78" s="66">
        <v>0.6</v>
      </c>
      <c r="M78" s="12">
        <v>47</v>
      </c>
      <c r="N78" s="12">
        <v>10</v>
      </c>
      <c r="O78" s="40">
        <v>0.14000000000000001</v>
      </c>
      <c r="P78" s="40">
        <v>0.49</v>
      </c>
      <c r="Q78" s="40">
        <v>0.35</v>
      </c>
      <c r="R78" s="40">
        <v>0.02</v>
      </c>
      <c r="S78" s="40">
        <v>0.53</v>
      </c>
      <c r="T78" s="40">
        <v>0.62</v>
      </c>
      <c r="U78" s="40">
        <v>0.46</v>
      </c>
      <c r="V78" s="12">
        <v>51</v>
      </c>
      <c r="W78" s="12">
        <v>11</v>
      </c>
      <c r="X78" s="66">
        <v>0</v>
      </c>
      <c r="Y78" s="66">
        <v>0.57999999999999996</v>
      </c>
      <c r="Z78" s="66">
        <v>0.33</v>
      </c>
      <c r="AA78" s="66">
        <v>0.08</v>
      </c>
      <c r="AB78" s="66">
        <v>0.56000000000000005</v>
      </c>
      <c r="AC78" s="66">
        <v>0.36</v>
      </c>
      <c r="AD78" s="66">
        <v>0.48</v>
      </c>
      <c r="AE78" s="12">
        <v>45</v>
      </c>
      <c r="AF78" s="12">
        <v>9</v>
      </c>
      <c r="AG78" s="66">
        <v>0.13</v>
      </c>
      <c r="AH78" s="66">
        <v>0.56999999999999995</v>
      </c>
      <c r="AI78" s="66">
        <v>0.3</v>
      </c>
      <c r="AJ78" s="66">
        <v>0</v>
      </c>
      <c r="AK78" s="66">
        <v>0.63</v>
      </c>
      <c r="AL78" s="66">
        <v>0.56999999999999995</v>
      </c>
      <c r="AM78" s="66">
        <v>0.4</v>
      </c>
      <c r="AN78" s="41"/>
      <c r="AO78" s="41"/>
      <c r="AP78" s="41"/>
      <c r="AQ78" s="41"/>
      <c r="AR78" s="41"/>
      <c r="AS78" s="41"/>
      <c r="AT78" s="41"/>
      <c r="AU78" s="41"/>
      <c r="AV78" s="41"/>
      <c r="AW78" s="247">
        <v>39</v>
      </c>
      <c r="AX78" s="247" t="s">
        <v>876</v>
      </c>
      <c r="AY78" s="247">
        <v>0</v>
      </c>
      <c r="AZ78" s="247" t="s">
        <v>876</v>
      </c>
      <c r="BA78" s="264">
        <v>0</v>
      </c>
      <c r="BB78" s="264">
        <v>1</v>
      </c>
      <c r="BC78" s="264">
        <v>0</v>
      </c>
      <c r="BD78" s="264">
        <v>0</v>
      </c>
      <c r="BE78" s="264">
        <v>0.71</v>
      </c>
      <c r="BF78" s="264">
        <v>0.55000000000000004</v>
      </c>
      <c r="BG78" s="264">
        <v>0.7</v>
      </c>
      <c r="BH78" s="655"/>
      <c r="BI78" s="655"/>
      <c r="BJ78" s="655"/>
      <c r="BK78" s="655"/>
      <c r="BL78" s="656"/>
      <c r="BM78" s="656"/>
      <c r="BN78" s="656"/>
      <c r="BO78" s="655"/>
      <c r="BP78" s="655"/>
      <c r="BQ78" s="655"/>
      <c r="BR78" s="655"/>
      <c r="BS78" s="655"/>
      <c r="BT78" s="655"/>
      <c r="BU78" s="656"/>
      <c r="BV78" s="656"/>
      <c r="BW78" s="656"/>
      <c r="BX78" s="655"/>
      <c r="BY78" s="657"/>
      <c r="BZ78" s="657"/>
      <c r="CA78" s="657"/>
      <c r="CB78" s="657"/>
      <c r="CC78" s="657"/>
      <c r="CD78" s="657"/>
      <c r="CE78" s="657"/>
      <c r="CF78" s="657"/>
      <c r="CG78" s="657"/>
      <c r="CH78" s="657"/>
      <c r="CI78" s="657"/>
      <c r="CJ78" s="656"/>
      <c r="CK78" s="656"/>
      <c r="CL78" s="656"/>
      <c r="CM78" s="656"/>
      <c r="CN78" s="656"/>
      <c r="CO78" s="656"/>
      <c r="CP78" s="656"/>
      <c r="CQ78" s="656"/>
      <c r="CR78" s="656"/>
      <c r="CS78" s="656"/>
      <c r="CT78" s="656"/>
    </row>
    <row r="79" spans="1:98" ht="24.95" customHeight="1" x14ac:dyDescent="0.2">
      <c r="A79" s="815" t="s">
        <v>168</v>
      </c>
      <c r="B79" s="1" t="s">
        <v>221</v>
      </c>
      <c r="C79" s="330">
        <v>6</v>
      </c>
      <c r="D79" s="330">
        <v>47</v>
      </c>
      <c r="E79" s="330">
        <v>8</v>
      </c>
      <c r="F79" s="335">
        <v>7.0000000000000007E-2</v>
      </c>
      <c r="G79" s="335">
        <v>0.53</v>
      </c>
      <c r="H79" s="335">
        <v>0.4</v>
      </c>
      <c r="I79" s="335">
        <v>0</v>
      </c>
      <c r="J79" s="335">
        <v>0.57999999999999996</v>
      </c>
      <c r="K79" s="335">
        <v>0.54</v>
      </c>
      <c r="L79" s="335">
        <v>0.6</v>
      </c>
      <c r="M79" s="330">
        <v>46</v>
      </c>
      <c r="N79" s="330">
        <v>9</v>
      </c>
      <c r="O79" s="333">
        <v>0.14000000000000001</v>
      </c>
      <c r="P79" s="333">
        <v>0.56999999999999995</v>
      </c>
      <c r="Q79" s="333">
        <v>0.28999999999999998</v>
      </c>
      <c r="R79" s="333">
        <v>0</v>
      </c>
      <c r="S79" s="333">
        <v>0.55000000000000004</v>
      </c>
      <c r="T79" s="333">
        <v>0.54</v>
      </c>
      <c r="U79" s="333">
        <v>0.52</v>
      </c>
      <c r="V79" s="330">
        <v>48</v>
      </c>
      <c r="W79" s="330">
        <v>7</v>
      </c>
      <c r="X79" s="335">
        <v>0</v>
      </c>
      <c r="Y79" s="335">
        <v>0.63</v>
      </c>
      <c r="Z79" s="335">
        <v>0.38</v>
      </c>
      <c r="AA79" s="335">
        <v>0</v>
      </c>
      <c r="AB79" s="335">
        <v>0.57999999999999996</v>
      </c>
      <c r="AC79" s="335">
        <v>0.4</v>
      </c>
      <c r="AD79" s="335">
        <v>0.61</v>
      </c>
      <c r="AE79" s="330">
        <v>51</v>
      </c>
      <c r="AF79" s="330">
        <v>15</v>
      </c>
      <c r="AG79" s="335">
        <v>0.18</v>
      </c>
      <c r="AH79" s="335">
        <v>0.27</v>
      </c>
      <c r="AI79" s="335">
        <v>0.36</v>
      </c>
      <c r="AJ79" s="335">
        <v>0.18</v>
      </c>
      <c r="AK79" s="335">
        <v>0.5</v>
      </c>
      <c r="AL79" s="335">
        <v>0.51</v>
      </c>
      <c r="AM79" s="335">
        <v>0.37</v>
      </c>
      <c r="AN79" s="45">
        <v>45</v>
      </c>
      <c r="AO79" s="45">
        <v>10</v>
      </c>
      <c r="AP79" s="46">
        <v>0.18</v>
      </c>
      <c r="AQ79" s="46">
        <v>0.45</v>
      </c>
      <c r="AR79" s="46">
        <v>0.36</v>
      </c>
      <c r="AS79" s="46">
        <v>0</v>
      </c>
      <c r="AT79" s="46">
        <v>0.43</v>
      </c>
      <c r="AU79" s="46">
        <v>0.59</v>
      </c>
      <c r="AV79" s="46">
        <v>0.57999999999999996</v>
      </c>
      <c r="AW79" s="314">
        <v>48</v>
      </c>
      <c r="AX79" s="314" t="s">
        <v>874</v>
      </c>
      <c r="AY79" s="314">
        <v>7</v>
      </c>
      <c r="AZ79" s="314" t="s">
        <v>874</v>
      </c>
      <c r="BA79" s="334">
        <v>7.0000000000000007E-2</v>
      </c>
      <c r="BB79" s="334">
        <v>0.53</v>
      </c>
      <c r="BC79" s="334">
        <v>0.4</v>
      </c>
      <c r="BD79" s="334">
        <v>0</v>
      </c>
      <c r="BE79" s="334">
        <v>0.38</v>
      </c>
      <c r="BF79" s="334">
        <v>0.56999999999999995</v>
      </c>
      <c r="BG79" s="334">
        <v>0.55000000000000004</v>
      </c>
      <c r="BH79" s="311">
        <v>47</v>
      </c>
      <c r="BI79" s="311" t="s">
        <v>874</v>
      </c>
      <c r="BJ79" s="311">
        <v>12</v>
      </c>
      <c r="BK79" s="311" t="s">
        <v>874</v>
      </c>
      <c r="BL79" s="466"/>
      <c r="BM79" s="466"/>
      <c r="BN79" s="466"/>
      <c r="BO79" s="329">
        <v>0.2</v>
      </c>
      <c r="BP79" s="329">
        <v>0.3</v>
      </c>
      <c r="BQ79" s="329">
        <v>0.5</v>
      </c>
      <c r="BR79" s="329">
        <v>0</v>
      </c>
      <c r="BS79" s="329">
        <v>0.65</v>
      </c>
      <c r="BT79" s="329">
        <v>0.65</v>
      </c>
      <c r="BU79" s="480"/>
      <c r="BV79" s="480"/>
      <c r="BW79" s="480"/>
      <c r="BX79" s="329">
        <v>0.41</v>
      </c>
      <c r="BY79" s="426">
        <v>44</v>
      </c>
      <c r="BZ79" s="426" t="s">
        <v>876</v>
      </c>
      <c r="CA79" s="426">
        <v>9</v>
      </c>
      <c r="CB79" s="426" t="s">
        <v>874</v>
      </c>
      <c r="CC79" s="430">
        <v>7.0000000000000007E-2</v>
      </c>
      <c r="CD79" s="430">
        <v>0.73</v>
      </c>
      <c r="CE79" s="430">
        <v>0.2</v>
      </c>
      <c r="CF79" s="430">
        <v>0</v>
      </c>
      <c r="CG79" s="430">
        <v>0.78</v>
      </c>
      <c r="CH79" s="430">
        <v>0.53</v>
      </c>
      <c r="CI79" s="430">
        <v>0.63</v>
      </c>
      <c r="CJ79" s="466">
        <v>46</v>
      </c>
      <c r="CK79" s="466" t="s">
        <v>876</v>
      </c>
      <c r="CL79" s="466">
        <v>11</v>
      </c>
      <c r="CM79" s="466" t="s">
        <v>874</v>
      </c>
      <c r="CN79" s="480">
        <v>0.2</v>
      </c>
      <c r="CO79" s="480">
        <v>0.36</v>
      </c>
      <c r="CP79" s="480">
        <v>0.44</v>
      </c>
      <c r="CQ79" s="480">
        <v>0</v>
      </c>
      <c r="CR79" s="480">
        <v>0.66</v>
      </c>
      <c r="CS79" s="480">
        <v>0.65</v>
      </c>
      <c r="CT79" s="480">
        <v>0.48</v>
      </c>
    </row>
    <row r="80" spans="1:98" ht="24.95" customHeight="1" x14ac:dyDescent="0.2">
      <c r="A80" s="814" t="s">
        <v>230</v>
      </c>
      <c r="B80" s="1" t="s">
        <v>221</v>
      </c>
      <c r="C80" s="12">
        <v>2</v>
      </c>
      <c r="D80" s="12"/>
      <c r="E80" s="12"/>
      <c r="F80" s="12"/>
      <c r="G80" s="12"/>
      <c r="H80" s="12"/>
      <c r="I80" s="12"/>
      <c r="J80" s="12"/>
      <c r="K80" s="12"/>
      <c r="L80" s="12"/>
      <c r="M80" s="12">
        <v>56</v>
      </c>
      <c r="N80" s="12">
        <v>9</v>
      </c>
      <c r="O80" s="40">
        <v>0</v>
      </c>
      <c r="P80" s="40">
        <v>0.21</v>
      </c>
      <c r="Q80" s="40">
        <v>0.79</v>
      </c>
      <c r="R80" s="40">
        <v>0</v>
      </c>
      <c r="S80" s="40">
        <v>0.43</v>
      </c>
      <c r="T80" s="40">
        <v>0.49</v>
      </c>
      <c r="U80" s="40">
        <v>0.3</v>
      </c>
      <c r="V80" s="12">
        <v>58</v>
      </c>
      <c r="W80" s="12">
        <v>7</v>
      </c>
      <c r="X80" s="66">
        <v>0</v>
      </c>
      <c r="Y80" s="66">
        <v>0.14000000000000001</v>
      </c>
      <c r="Z80" s="66">
        <v>0.86</v>
      </c>
      <c r="AA80" s="66">
        <v>0</v>
      </c>
      <c r="AB80" s="66">
        <v>0.35</v>
      </c>
      <c r="AC80" s="66">
        <v>0.32</v>
      </c>
      <c r="AD80" s="66">
        <v>0.41</v>
      </c>
      <c r="AE80" s="12">
        <v>59</v>
      </c>
      <c r="AF80" s="12">
        <v>9</v>
      </c>
      <c r="AG80" s="66">
        <v>0</v>
      </c>
      <c r="AH80" s="66">
        <v>0.19</v>
      </c>
      <c r="AI80" s="66">
        <v>0.69</v>
      </c>
      <c r="AJ80" s="66">
        <v>0.13</v>
      </c>
      <c r="AK80" s="66">
        <v>0.47</v>
      </c>
      <c r="AL80" s="66">
        <v>0.36</v>
      </c>
      <c r="AM80" s="66">
        <v>0.15</v>
      </c>
      <c r="AN80" s="45">
        <v>63</v>
      </c>
      <c r="AO80" s="45">
        <v>9</v>
      </c>
      <c r="AP80" s="46">
        <v>0</v>
      </c>
      <c r="AQ80" s="46">
        <v>0.06</v>
      </c>
      <c r="AR80" s="46">
        <v>0.81</v>
      </c>
      <c r="AS80" s="46">
        <v>0.13</v>
      </c>
      <c r="AT80" s="46">
        <v>0.16</v>
      </c>
      <c r="AU80" s="46">
        <v>0.28999999999999998</v>
      </c>
      <c r="AV80" s="46">
        <v>0.42</v>
      </c>
      <c r="AW80" s="247">
        <v>65</v>
      </c>
      <c r="AX80" s="247" t="s">
        <v>875</v>
      </c>
      <c r="AY80" s="247">
        <v>7</v>
      </c>
      <c r="AZ80" s="247" t="s">
        <v>874</v>
      </c>
      <c r="BA80" s="264">
        <v>0</v>
      </c>
      <c r="BB80" s="264">
        <v>0.05</v>
      </c>
      <c r="BC80" s="264">
        <v>0.75</v>
      </c>
      <c r="BD80" s="264">
        <v>0.2</v>
      </c>
      <c r="BE80" s="264">
        <v>0.14000000000000001</v>
      </c>
      <c r="BF80" s="264">
        <v>0.24</v>
      </c>
      <c r="BG80" s="264">
        <v>0.25</v>
      </c>
      <c r="BH80" s="74">
        <v>64</v>
      </c>
      <c r="BI80" s="74" t="s">
        <v>875</v>
      </c>
      <c r="BJ80" s="74">
        <v>10</v>
      </c>
      <c r="BK80" s="74" t="s">
        <v>874</v>
      </c>
      <c r="BL80" s="74"/>
      <c r="BM80" s="74"/>
      <c r="BN80" s="74"/>
      <c r="BO80" s="96">
        <v>0</v>
      </c>
      <c r="BP80" s="96">
        <v>0.04</v>
      </c>
      <c r="BQ80" s="96">
        <v>0.81</v>
      </c>
      <c r="BR80" s="96">
        <v>0.15</v>
      </c>
      <c r="BS80" s="96">
        <v>0.31</v>
      </c>
      <c r="BT80" s="96">
        <v>0.34</v>
      </c>
      <c r="BU80" s="96"/>
      <c r="BV80" s="96"/>
      <c r="BW80" s="96"/>
      <c r="BX80" s="96">
        <v>0.24</v>
      </c>
      <c r="BY80" s="658">
        <v>64</v>
      </c>
      <c r="BZ80" s="658" t="s">
        <v>875</v>
      </c>
      <c r="CA80" s="658">
        <v>8</v>
      </c>
      <c r="CB80" s="658" t="s">
        <v>874</v>
      </c>
      <c r="CC80" s="659">
        <v>0</v>
      </c>
      <c r="CD80" s="659">
        <v>0.03</v>
      </c>
      <c r="CE80" s="659">
        <v>0.72</v>
      </c>
      <c r="CF80" s="659">
        <v>0.24</v>
      </c>
      <c r="CG80" s="659">
        <v>0.42</v>
      </c>
      <c r="CH80" s="659">
        <v>0.23</v>
      </c>
      <c r="CI80" s="659">
        <v>0.31</v>
      </c>
      <c r="CJ80" s="74">
        <v>68</v>
      </c>
      <c r="CK80" s="74" t="s">
        <v>875</v>
      </c>
      <c r="CL80" s="74">
        <v>5</v>
      </c>
      <c r="CM80" s="74" t="s">
        <v>876</v>
      </c>
      <c r="CN80" s="96">
        <v>0</v>
      </c>
      <c r="CO80" s="96">
        <v>0</v>
      </c>
      <c r="CP80" s="96">
        <v>0.63</v>
      </c>
      <c r="CQ80" s="96">
        <v>0.37</v>
      </c>
      <c r="CR80" s="96">
        <v>0.25</v>
      </c>
      <c r="CS80" s="96">
        <v>0.24</v>
      </c>
      <c r="CT80" s="96">
        <v>0.17</v>
      </c>
    </row>
    <row r="81" spans="1:98" ht="24.95" customHeight="1" x14ac:dyDescent="0.2">
      <c r="A81" s="814" t="s">
        <v>42</v>
      </c>
      <c r="B81" s="1" t="s">
        <v>221</v>
      </c>
      <c r="C81" s="12">
        <v>6</v>
      </c>
      <c r="D81" s="12">
        <v>57</v>
      </c>
      <c r="E81" s="12">
        <v>9</v>
      </c>
      <c r="F81" s="66">
        <v>0</v>
      </c>
      <c r="G81" s="66">
        <v>0.21</v>
      </c>
      <c r="H81" s="66">
        <v>0.76</v>
      </c>
      <c r="I81" s="66">
        <v>0.03</v>
      </c>
      <c r="J81" s="66">
        <v>0.47</v>
      </c>
      <c r="K81" s="66">
        <v>0.37</v>
      </c>
      <c r="L81" s="66">
        <v>0.46</v>
      </c>
      <c r="M81" s="12">
        <v>52</v>
      </c>
      <c r="N81" s="12">
        <v>11</v>
      </c>
      <c r="O81" s="40">
        <v>0.13</v>
      </c>
      <c r="P81" s="40">
        <v>0.25</v>
      </c>
      <c r="Q81" s="40">
        <v>0.54</v>
      </c>
      <c r="R81" s="40">
        <v>0.08</v>
      </c>
      <c r="S81" s="40">
        <v>0.48</v>
      </c>
      <c r="T81" s="40">
        <v>0.55000000000000004</v>
      </c>
      <c r="U81" s="40">
        <v>0.3</v>
      </c>
      <c r="V81" s="12">
        <v>56</v>
      </c>
      <c r="W81" s="12">
        <v>10</v>
      </c>
      <c r="X81" s="66">
        <v>0</v>
      </c>
      <c r="Y81" s="66">
        <v>0.31</v>
      </c>
      <c r="Z81" s="66">
        <v>0.67</v>
      </c>
      <c r="AA81" s="66">
        <v>0.03</v>
      </c>
      <c r="AB81" s="66">
        <v>0.44</v>
      </c>
      <c r="AC81" s="66">
        <v>0.32</v>
      </c>
      <c r="AD81" s="66">
        <v>0.43</v>
      </c>
      <c r="AE81" s="12">
        <v>57</v>
      </c>
      <c r="AF81" s="12">
        <v>10</v>
      </c>
      <c r="AG81" s="66">
        <v>0</v>
      </c>
      <c r="AH81" s="66">
        <v>0.27</v>
      </c>
      <c r="AI81" s="66">
        <v>0.63</v>
      </c>
      <c r="AJ81" s="66">
        <v>0.1</v>
      </c>
      <c r="AK81" s="66">
        <v>0.43</v>
      </c>
      <c r="AL81" s="66">
        <v>0.38</v>
      </c>
      <c r="AM81" s="66">
        <v>0.23</v>
      </c>
      <c r="AN81" s="35">
        <v>58</v>
      </c>
      <c r="AO81" s="35">
        <v>8</v>
      </c>
      <c r="AP81" s="40">
        <v>0</v>
      </c>
      <c r="AQ81" s="40">
        <v>0.19</v>
      </c>
      <c r="AR81" s="40">
        <v>0.77</v>
      </c>
      <c r="AS81" s="40">
        <v>0.04</v>
      </c>
      <c r="AT81" s="40">
        <v>0.2</v>
      </c>
      <c r="AU81" s="40">
        <v>0.39</v>
      </c>
      <c r="AV81" s="40">
        <v>0.44</v>
      </c>
      <c r="AW81" s="247">
        <v>57</v>
      </c>
      <c r="AX81" s="247" t="s">
        <v>874</v>
      </c>
      <c r="AY81" s="247">
        <v>9</v>
      </c>
      <c r="AZ81" s="247" t="s">
        <v>874</v>
      </c>
      <c r="BA81" s="264">
        <v>0</v>
      </c>
      <c r="BB81" s="264">
        <v>0.25</v>
      </c>
      <c r="BC81" s="264">
        <v>0.68</v>
      </c>
      <c r="BD81" s="264">
        <v>7.0000000000000007E-2</v>
      </c>
      <c r="BE81" s="264">
        <v>0.22</v>
      </c>
      <c r="BF81" s="264">
        <v>0.4</v>
      </c>
      <c r="BG81" s="264">
        <v>0.43</v>
      </c>
      <c r="BH81" s="311">
        <v>62</v>
      </c>
      <c r="BI81" s="311" t="s">
        <v>875</v>
      </c>
      <c r="BJ81" s="311">
        <v>8</v>
      </c>
      <c r="BK81" s="311" t="s">
        <v>874</v>
      </c>
      <c r="BL81" s="466"/>
      <c r="BM81" s="466"/>
      <c r="BN81" s="466"/>
      <c r="BO81" s="329">
        <v>0</v>
      </c>
      <c r="BP81" s="329">
        <v>7.0000000000000007E-2</v>
      </c>
      <c r="BQ81" s="329">
        <v>0.76</v>
      </c>
      <c r="BR81" s="329">
        <v>0.17</v>
      </c>
      <c r="BS81" s="329">
        <v>0.28000000000000003</v>
      </c>
      <c r="BT81" s="329">
        <v>0.41</v>
      </c>
      <c r="BU81" s="480"/>
      <c r="BV81" s="480"/>
      <c r="BW81" s="480"/>
      <c r="BX81" s="329">
        <v>0.25</v>
      </c>
      <c r="BY81" s="426">
        <v>62</v>
      </c>
      <c r="BZ81" s="426" t="s">
        <v>875</v>
      </c>
      <c r="CA81" s="426">
        <v>9</v>
      </c>
      <c r="CB81" s="426" t="s">
        <v>874</v>
      </c>
      <c r="CC81" s="430">
        <v>0</v>
      </c>
      <c r="CD81" s="430">
        <v>0.03</v>
      </c>
      <c r="CE81" s="430">
        <v>0.83</v>
      </c>
      <c r="CF81" s="430">
        <v>0.14000000000000001</v>
      </c>
      <c r="CG81" s="430">
        <v>0.53</v>
      </c>
      <c r="CH81" s="430">
        <v>0.26</v>
      </c>
      <c r="CI81" s="430">
        <v>0.41</v>
      </c>
      <c r="CJ81" s="466">
        <v>58</v>
      </c>
      <c r="CK81" s="466" t="s">
        <v>874</v>
      </c>
      <c r="CL81" s="466">
        <v>10</v>
      </c>
      <c r="CM81" s="466" t="s">
        <v>874</v>
      </c>
      <c r="CN81" s="480">
        <v>0</v>
      </c>
      <c r="CO81" s="480">
        <v>0.26</v>
      </c>
      <c r="CP81" s="480">
        <v>0.61</v>
      </c>
      <c r="CQ81" s="480">
        <v>0.13</v>
      </c>
      <c r="CR81" s="480">
        <v>0.44</v>
      </c>
      <c r="CS81" s="480">
        <v>0.42</v>
      </c>
      <c r="CT81" s="480">
        <v>0.31</v>
      </c>
    </row>
    <row r="82" spans="1:98" ht="24.95" customHeight="1" x14ac:dyDescent="0.2">
      <c r="A82" s="814" t="s">
        <v>924</v>
      </c>
      <c r="B82" s="14" t="s">
        <v>221</v>
      </c>
      <c r="C82" s="12">
        <v>3</v>
      </c>
      <c r="D82" s="12"/>
      <c r="E82" s="12"/>
      <c r="F82" s="66"/>
      <c r="G82" s="66"/>
      <c r="H82" s="66"/>
      <c r="I82" s="66"/>
      <c r="J82" s="66"/>
      <c r="K82" s="66"/>
      <c r="L82" s="66"/>
      <c r="M82" s="12"/>
      <c r="N82" s="12"/>
      <c r="O82" s="40"/>
      <c r="P82" s="40"/>
      <c r="Q82" s="40"/>
      <c r="R82" s="40"/>
      <c r="S82" s="40"/>
      <c r="T82" s="40"/>
      <c r="U82" s="40"/>
      <c r="V82" s="12"/>
      <c r="W82" s="12"/>
      <c r="X82" s="66"/>
      <c r="Y82" s="66"/>
      <c r="Z82" s="66"/>
      <c r="AA82" s="66"/>
      <c r="AB82" s="66"/>
      <c r="AC82" s="66"/>
      <c r="AD82" s="66"/>
      <c r="AE82" s="12"/>
      <c r="AF82" s="12"/>
      <c r="AG82" s="66"/>
      <c r="AH82" s="66"/>
      <c r="AI82" s="66"/>
      <c r="AJ82" s="66"/>
      <c r="AK82" s="66"/>
      <c r="AL82" s="66"/>
      <c r="AM82" s="66"/>
      <c r="AN82" s="35"/>
      <c r="AO82" s="35"/>
      <c r="AP82" s="40"/>
      <c r="AQ82" s="40"/>
      <c r="AR82" s="40"/>
      <c r="AS82" s="40"/>
      <c r="AT82" s="40"/>
      <c r="AU82" s="40"/>
      <c r="AV82" s="40"/>
      <c r="AW82" s="247"/>
      <c r="AX82" s="247"/>
      <c r="AY82" s="247"/>
      <c r="AZ82" s="247"/>
      <c r="BA82" s="264"/>
      <c r="BB82" s="264"/>
      <c r="BC82" s="264"/>
      <c r="BD82" s="264"/>
      <c r="BE82" s="264"/>
      <c r="BF82" s="264"/>
      <c r="BG82" s="264"/>
      <c r="BH82" s="311">
        <v>57</v>
      </c>
      <c r="BI82" s="311" t="s">
        <v>874</v>
      </c>
      <c r="BJ82" s="311">
        <v>11</v>
      </c>
      <c r="BK82" s="311" t="s">
        <v>874</v>
      </c>
      <c r="BL82" s="466"/>
      <c r="BM82" s="466"/>
      <c r="BN82" s="466"/>
      <c r="BO82" s="329">
        <v>0</v>
      </c>
      <c r="BP82" s="329">
        <v>0.28999999999999998</v>
      </c>
      <c r="BQ82" s="329">
        <v>0.5</v>
      </c>
      <c r="BR82" s="329">
        <v>0.21</v>
      </c>
      <c r="BS82" s="329">
        <v>0.39</v>
      </c>
      <c r="BT82" s="329">
        <v>0.41</v>
      </c>
      <c r="BU82" s="480"/>
      <c r="BV82" s="480"/>
      <c r="BW82" s="480"/>
      <c r="BX82" s="329">
        <v>0.18</v>
      </c>
      <c r="BY82" s="426">
        <v>50</v>
      </c>
      <c r="BZ82" s="426" t="s">
        <v>874</v>
      </c>
      <c r="CA82" s="426">
        <v>11</v>
      </c>
      <c r="CB82" s="426" t="s">
        <v>874</v>
      </c>
      <c r="CC82" s="430">
        <v>0.1</v>
      </c>
      <c r="CD82" s="430">
        <v>0.4</v>
      </c>
      <c r="CE82" s="430">
        <v>0.45</v>
      </c>
      <c r="CF82" s="430">
        <v>0.05</v>
      </c>
      <c r="CG82" s="430">
        <v>0.65</v>
      </c>
      <c r="CH82" s="430">
        <v>0.28999999999999998</v>
      </c>
      <c r="CI82" s="430">
        <v>0.57999999999999996</v>
      </c>
      <c r="CJ82" s="466">
        <v>54</v>
      </c>
      <c r="CK82" s="466" t="s">
        <v>874</v>
      </c>
      <c r="CL82" s="466">
        <v>10</v>
      </c>
      <c r="CM82" s="466" t="s">
        <v>874</v>
      </c>
      <c r="CN82" s="480">
        <v>0.05</v>
      </c>
      <c r="CO82" s="480">
        <v>0.35</v>
      </c>
      <c r="CP82" s="480">
        <v>0.6</v>
      </c>
      <c r="CQ82" s="480">
        <v>0</v>
      </c>
      <c r="CR82" s="480">
        <v>0.55000000000000004</v>
      </c>
      <c r="CS82" s="480">
        <v>0.51</v>
      </c>
      <c r="CT82" s="480">
        <v>0.44</v>
      </c>
    </row>
    <row r="83" spans="1:98" ht="24.95" customHeight="1" x14ac:dyDescent="0.2">
      <c r="A83" s="814" t="s">
        <v>1100</v>
      </c>
      <c r="B83" s="14" t="s">
        <v>221</v>
      </c>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3"/>
      <c r="BA83" s="823"/>
      <c r="BB83" s="823"/>
      <c r="BC83" s="823"/>
      <c r="BD83" s="823"/>
      <c r="BE83" s="823"/>
      <c r="BF83" s="823"/>
      <c r="BG83" s="823"/>
      <c r="BH83" s="823"/>
      <c r="BI83" s="823"/>
      <c r="BJ83" s="823"/>
      <c r="BK83" s="823"/>
      <c r="BL83" s="823"/>
      <c r="BM83" s="823"/>
      <c r="BN83" s="823"/>
      <c r="BO83" s="823"/>
      <c r="BP83" s="823"/>
      <c r="BQ83" s="823"/>
      <c r="BR83" s="823"/>
      <c r="BS83" s="823"/>
      <c r="BT83" s="823"/>
      <c r="BU83" s="823"/>
      <c r="BV83" s="823"/>
      <c r="BW83" s="823"/>
      <c r="BX83" s="823"/>
      <c r="BY83" s="823"/>
      <c r="BZ83" s="823"/>
      <c r="CA83" s="823"/>
      <c r="CB83" s="823"/>
      <c r="CC83" s="823"/>
      <c r="CD83" s="823"/>
      <c r="CE83" s="823"/>
      <c r="CF83" s="823"/>
      <c r="CG83" s="823"/>
      <c r="CH83" s="823"/>
      <c r="CI83" s="823"/>
      <c r="CJ83" s="823"/>
      <c r="CK83" s="823"/>
      <c r="CL83" s="823"/>
      <c r="CM83" s="823"/>
      <c r="CN83" s="823"/>
      <c r="CO83" s="823"/>
      <c r="CP83" s="823"/>
      <c r="CQ83" s="823"/>
      <c r="CR83" s="823"/>
      <c r="CS83" s="823"/>
      <c r="CT83" s="823"/>
    </row>
    <row r="84" spans="1:98" ht="24.95" customHeight="1" x14ac:dyDescent="0.2">
      <c r="A84" s="814" t="s">
        <v>108</v>
      </c>
      <c r="B84" s="1" t="s">
        <v>221</v>
      </c>
      <c r="C84" s="12">
        <v>6</v>
      </c>
      <c r="D84" s="12">
        <v>54</v>
      </c>
      <c r="E84" s="12">
        <v>6</v>
      </c>
      <c r="F84" s="66">
        <v>0</v>
      </c>
      <c r="G84" s="66">
        <v>0.4</v>
      </c>
      <c r="H84" s="66">
        <v>0.6</v>
      </c>
      <c r="I84" s="66">
        <v>0</v>
      </c>
      <c r="J84" s="66">
        <v>0.52</v>
      </c>
      <c r="K84" s="66">
        <v>0.44</v>
      </c>
      <c r="L84" s="66">
        <v>0.5</v>
      </c>
      <c r="M84" s="12">
        <v>49</v>
      </c>
      <c r="N84" s="12">
        <v>8</v>
      </c>
      <c r="O84" s="40">
        <v>0</v>
      </c>
      <c r="P84" s="40">
        <v>0.59</v>
      </c>
      <c r="Q84" s="40">
        <v>0.41</v>
      </c>
      <c r="R84" s="40">
        <v>0</v>
      </c>
      <c r="S84" s="40">
        <v>0.51</v>
      </c>
      <c r="T84" s="40">
        <v>0.6</v>
      </c>
      <c r="U84" s="40">
        <v>0.38</v>
      </c>
      <c r="V84" s="12">
        <v>51</v>
      </c>
      <c r="W84" s="12">
        <v>6</v>
      </c>
      <c r="X84" s="66">
        <v>0</v>
      </c>
      <c r="Y84" s="66">
        <v>0.45</v>
      </c>
      <c r="Z84" s="66">
        <v>0.55000000000000004</v>
      </c>
      <c r="AA84" s="66">
        <v>0</v>
      </c>
      <c r="AB84" s="66">
        <v>0.48</v>
      </c>
      <c r="AC84" s="66">
        <v>0.43</v>
      </c>
      <c r="AD84" s="66">
        <v>0.5</v>
      </c>
      <c r="AE84" s="12">
        <v>56</v>
      </c>
      <c r="AF84" s="12">
        <v>8</v>
      </c>
      <c r="AG84" s="66">
        <v>0</v>
      </c>
      <c r="AH84" s="66">
        <v>0.31</v>
      </c>
      <c r="AI84" s="66">
        <v>0.69</v>
      </c>
      <c r="AJ84" s="66">
        <v>0</v>
      </c>
      <c r="AK84" s="66">
        <v>0.47</v>
      </c>
      <c r="AL84" s="66">
        <v>0.41</v>
      </c>
      <c r="AM84" s="66">
        <v>0.24</v>
      </c>
      <c r="AN84" s="35">
        <v>53</v>
      </c>
      <c r="AO84" s="35">
        <v>11</v>
      </c>
      <c r="AP84" s="40">
        <v>0</v>
      </c>
      <c r="AQ84" s="40">
        <v>0.47</v>
      </c>
      <c r="AR84" s="40">
        <v>0.53</v>
      </c>
      <c r="AS84" s="40">
        <v>0</v>
      </c>
      <c r="AT84" s="40">
        <v>0.33</v>
      </c>
      <c r="AU84" s="40">
        <v>0.48</v>
      </c>
      <c r="AV84" s="40">
        <v>0.44</v>
      </c>
      <c r="AW84" s="247">
        <v>54</v>
      </c>
      <c r="AX84" s="247" t="s">
        <v>874</v>
      </c>
      <c r="AY84" s="247">
        <v>9</v>
      </c>
      <c r="AZ84" s="247" t="s">
        <v>874</v>
      </c>
      <c r="BA84" s="264">
        <v>0</v>
      </c>
      <c r="BB84" s="264">
        <v>0.23</v>
      </c>
      <c r="BC84" s="264">
        <v>0.69</v>
      </c>
      <c r="BD84" s="264">
        <v>0.08</v>
      </c>
      <c r="BE84" s="264">
        <v>0.24</v>
      </c>
      <c r="BF84" s="264">
        <v>0.45</v>
      </c>
      <c r="BG84" s="264">
        <v>0.51</v>
      </c>
      <c r="BH84" s="311">
        <v>51</v>
      </c>
      <c r="BI84" s="311" t="s">
        <v>874</v>
      </c>
      <c r="BJ84" s="311">
        <v>10</v>
      </c>
      <c r="BK84" s="311" t="s">
        <v>874</v>
      </c>
      <c r="BL84" s="466"/>
      <c r="BM84" s="466"/>
      <c r="BN84" s="466"/>
      <c r="BO84" s="329">
        <v>0</v>
      </c>
      <c r="BP84" s="329">
        <v>0.7</v>
      </c>
      <c r="BQ84" s="329">
        <v>0.2</v>
      </c>
      <c r="BR84" s="329">
        <v>0.1</v>
      </c>
      <c r="BS84" s="329">
        <v>0.53</v>
      </c>
      <c r="BT84" s="329">
        <v>0.56999999999999995</v>
      </c>
      <c r="BU84" s="480"/>
      <c r="BV84" s="480"/>
      <c r="BW84" s="480"/>
      <c r="BX84" s="329">
        <v>0.43</v>
      </c>
      <c r="BY84" s="426">
        <v>59</v>
      </c>
      <c r="BZ84" s="426" t="s">
        <v>874</v>
      </c>
      <c r="CA84" s="426">
        <v>7</v>
      </c>
      <c r="CB84" s="426" t="s">
        <v>874</v>
      </c>
      <c r="CC84" s="430">
        <v>0</v>
      </c>
      <c r="CD84" s="430">
        <v>0.22</v>
      </c>
      <c r="CE84" s="430">
        <v>0.78</v>
      </c>
      <c r="CF84" s="430">
        <v>0</v>
      </c>
      <c r="CG84" s="430">
        <v>0.57999999999999996</v>
      </c>
      <c r="CH84" s="430">
        <v>0.25</v>
      </c>
      <c r="CI84" s="430">
        <v>0.53</v>
      </c>
      <c r="CJ84" s="647"/>
      <c r="CK84" s="647"/>
      <c r="CL84" s="647"/>
      <c r="CM84" s="647"/>
      <c r="CN84" s="648"/>
      <c r="CO84" s="648"/>
      <c r="CP84" s="648"/>
      <c r="CQ84" s="648"/>
      <c r="CR84" s="648"/>
      <c r="CS84" s="648"/>
      <c r="CT84" s="648"/>
    </row>
    <row r="85" spans="1:98" ht="24.95" customHeight="1" x14ac:dyDescent="0.2">
      <c r="A85" s="815" t="s">
        <v>1081</v>
      </c>
      <c r="B85" s="1" t="s">
        <v>221</v>
      </c>
      <c r="C85" s="330">
        <v>5</v>
      </c>
      <c r="D85" s="330"/>
      <c r="E85" s="330"/>
      <c r="F85" s="335"/>
      <c r="G85" s="335"/>
      <c r="H85" s="335"/>
      <c r="I85" s="335"/>
      <c r="J85" s="335"/>
      <c r="K85" s="335"/>
      <c r="L85" s="335"/>
      <c r="M85" s="330"/>
      <c r="N85" s="330"/>
      <c r="O85" s="333"/>
      <c r="P85" s="333"/>
      <c r="Q85" s="333"/>
      <c r="R85" s="333"/>
      <c r="S85" s="333"/>
      <c r="T85" s="333"/>
      <c r="U85" s="333"/>
      <c r="V85" s="330"/>
      <c r="W85" s="330"/>
      <c r="X85" s="335"/>
      <c r="Y85" s="335"/>
      <c r="Z85" s="335"/>
      <c r="AA85" s="335"/>
      <c r="AB85" s="335"/>
      <c r="AC85" s="335"/>
      <c r="AD85" s="335"/>
      <c r="AE85" s="330"/>
      <c r="AF85" s="330"/>
      <c r="AG85" s="335"/>
      <c r="AH85" s="335"/>
      <c r="AI85" s="335"/>
      <c r="AJ85" s="335"/>
      <c r="AK85" s="335"/>
      <c r="AL85" s="335"/>
      <c r="AM85" s="335"/>
      <c r="AN85" s="313"/>
      <c r="AO85" s="313"/>
      <c r="AP85" s="333"/>
      <c r="AQ85" s="333"/>
      <c r="AR85" s="333"/>
      <c r="AS85" s="333"/>
      <c r="AT85" s="333"/>
      <c r="AU85" s="333"/>
      <c r="AV85" s="333"/>
      <c r="AW85" s="314"/>
      <c r="AX85" s="314"/>
      <c r="AY85" s="314"/>
      <c r="AZ85" s="314"/>
      <c r="BA85" s="334"/>
      <c r="BB85" s="334"/>
      <c r="BC85" s="334"/>
      <c r="BD85" s="334"/>
      <c r="BE85" s="334"/>
      <c r="BF85" s="334"/>
      <c r="BG85" s="334"/>
      <c r="BH85" s="311"/>
      <c r="BI85" s="311"/>
      <c r="BJ85" s="311"/>
      <c r="BK85" s="311"/>
      <c r="BL85" s="466"/>
      <c r="BM85" s="466"/>
      <c r="BN85" s="466"/>
      <c r="BO85" s="329"/>
      <c r="BP85" s="329"/>
      <c r="BQ85" s="329"/>
      <c r="BR85" s="329"/>
      <c r="BS85" s="329"/>
      <c r="BT85" s="329"/>
      <c r="BU85" s="480"/>
      <c r="BV85" s="480"/>
      <c r="BW85" s="480"/>
      <c r="BX85" s="329"/>
      <c r="BY85" s="426"/>
      <c r="BZ85" s="426"/>
      <c r="CA85" s="426"/>
      <c r="CB85" s="426"/>
      <c r="CC85" s="430"/>
      <c r="CD85" s="430"/>
      <c r="CE85" s="430"/>
      <c r="CF85" s="430"/>
      <c r="CG85" s="430"/>
      <c r="CH85" s="430"/>
      <c r="CI85" s="430"/>
      <c r="CJ85" s="647">
        <v>49</v>
      </c>
      <c r="CK85" s="647" t="s">
        <v>874</v>
      </c>
      <c r="CL85" s="647">
        <v>12</v>
      </c>
      <c r="CM85" s="647" t="s">
        <v>874</v>
      </c>
      <c r="CN85" s="648">
        <v>0</v>
      </c>
      <c r="CO85" s="648">
        <v>0.67</v>
      </c>
      <c r="CP85" s="648">
        <v>0.33</v>
      </c>
      <c r="CQ85" s="648">
        <v>0</v>
      </c>
      <c r="CR85" s="480">
        <v>0.71</v>
      </c>
      <c r="CS85" s="480">
        <v>0.57999999999999996</v>
      </c>
      <c r="CT85" s="480">
        <v>0.57999999999999996</v>
      </c>
    </row>
    <row r="86" spans="1:98" ht="24.95" customHeight="1" x14ac:dyDescent="0.2">
      <c r="A86" s="814" t="s">
        <v>38</v>
      </c>
      <c r="B86" s="1" t="s">
        <v>221</v>
      </c>
      <c r="C86" s="12">
        <v>6</v>
      </c>
      <c r="D86" s="12">
        <v>56</v>
      </c>
      <c r="E86" s="12">
        <v>10</v>
      </c>
      <c r="F86" s="66">
        <v>0.03</v>
      </c>
      <c r="G86" s="66">
        <v>0.24</v>
      </c>
      <c r="H86" s="66">
        <v>0.7</v>
      </c>
      <c r="I86" s="66">
        <v>0.03</v>
      </c>
      <c r="J86" s="66">
        <v>0.46</v>
      </c>
      <c r="K86" s="66">
        <v>0.42</v>
      </c>
      <c r="L86" s="66">
        <v>0.47</v>
      </c>
      <c r="M86" s="12">
        <v>48</v>
      </c>
      <c r="N86" s="12">
        <v>10</v>
      </c>
      <c r="O86" s="40">
        <v>0.06</v>
      </c>
      <c r="P86" s="40">
        <v>0.55000000000000004</v>
      </c>
      <c r="Q86" s="40">
        <v>0.39</v>
      </c>
      <c r="R86" s="40">
        <v>0</v>
      </c>
      <c r="S86" s="40">
        <v>0.5</v>
      </c>
      <c r="T86" s="40">
        <v>0.61</v>
      </c>
      <c r="U86" s="40">
        <v>0.42</v>
      </c>
      <c r="V86" s="12">
        <v>53</v>
      </c>
      <c r="W86" s="12">
        <v>9</v>
      </c>
      <c r="X86" s="66">
        <v>0.04</v>
      </c>
      <c r="Y86" s="66">
        <v>0.38</v>
      </c>
      <c r="Z86" s="66">
        <v>0.53</v>
      </c>
      <c r="AA86" s="66">
        <v>0.04</v>
      </c>
      <c r="AB86" s="66">
        <v>0.45</v>
      </c>
      <c r="AC86" s="66">
        <v>0.36</v>
      </c>
      <c r="AD86" s="66">
        <v>0.49</v>
      </c>
      <c r="AE86" s="12">
        <v>56</v>
      </c>
      <c r="AF86" s="12">
        <v>11</v>
      </c>
      <c r="AG86" s="66">
        <v>0.11</v>
      </c>
      <c r="AH86" s="66">
        <v>0.21</v>
      </c>
      <c r="AI86" s="66">
        <v>0.63</v>
      </c>
      <c r="AJ86" s="66">
        <v>0.05</v>
      </c>
      <c r="AK86" s="66">
        <v>0.47</v>
      </c>
      <c r="AL86" s="66">
        <v>0.38</v>
      </c>
      <c r="AM86" s="66">
        <v>0.26</v>
      </c>
      <c r="AN86" s="35">
        <v>52</v>
      </c>
      <c r="AO86" s="35">
        <v>8</v>
      </c>
      <c r="AP86" s="40">
        <v>0.03</v>
      </c>
      <c r="AQ86" s="40">
        <v>0.39</v>
      </c>
      <c r="AR86" s="40">
        <v>0.59</v>
      </c>
      <c r="AS86" s="40">
        <v>0</v>
      </c>
      <c r="AT86" s="40">
        <v>0.3</v>
      </c>
      <c r="AU86" s="40">
        <v>0.53</v>
      </c>
      <c r="AV86" s="40">
        <v>0.52</v>
      </c>
      <c r="AW86" s="247">
        <v>50</v>
      </c>
      <c r="AX86" s="247" t="s">
        <v>874</v>
      </c>
      <c r="AY86" s="247">
        <v>9</v>
      </c>
      <c r="AZ86" s="247" t="s">
        <v>874</v>
      </c>
      <c r="BA86" s="264">
        <v>0.09</v>
      </c>
      <c r="BB86" s="264">
        <v>0.39</v>
      </c>
      <c r="BC86" s="264">
        <v>0.51</v>
      </c>
      <c r="BD86" s="264">
        <v>0.01</v>
      </c>
      <c r="BE86" s="264">
        <v>0.28999999999999998</v>
      </c>
      <c r="BF86" s="264">
        <v>0.54</v>
      </c>
      <c r="BG86" s="264">
        <v>0.5</v>
      </c>
      <c r="BH86" s="311">
        <v>52</v>
      </c>
      <c r="BI86" s="311" t="s">
        <v>874</v>
      </c>
      <c r="BJ86" s="311">
        <v>8</v>
      </c>
      <c r="BK86" s="311" t="s">
        <v>874</v>
      </c>
      <c r="BL86" s="466"/>
      <c r="BM86" s="466"/>
      <c r="BN86" s="466"/>
      <c r="BO86" s="329">
        <v>0.03</v>
      </c>
      <c r="BP86" s="329">
        <v>0.37</v>
      </c>
      <c r="BQ86" s="329">
        <v>0.6</v>
      </c>
      <c r="BR86" s="329">
        <v>0</v>
      </c>
      <c r="BS86" s="329">
        <v>0.54</v>
      </c>
      <c r="BT86" s="329">
        <v>0.6</v>
      </c>
      <c r="BU86" s="480"/>
      <c r="BV86" s="480"/>
      <c r="BW86" s="480"/>
      <c r="BX86" s="329">
        <v>0.38</v>
      </c>
      <c r="BY86" s="426">
        <v>51</v>
      </c>
      <c r="BZ86" s="426" t="s">
        <v>874</v>
      </c>
      <c r="CA86" s="426">
        <v>11</v>
      </c>
      <c r="CB86" s="426" t="s">
        <v>874</v>
      </c>
      <c r="CC86" s="430">
        <v>7.0000000000000007E-2</v>
      </c>
      <c r="CD86" s="430">
        <v>0.36</v>
      </c>
      <c r="CE86" s="430">
        <v>0.55000000000000004</v>
      </c>
      <c r="CF86" s="430">
        <v>0.02</v>
      </c>
      <c r="CG86" s="430">
        <v>0.63</v>
      </c>
      <c r="CH86" s="430">
        <v>0.37</v>
      </c>
      <c r="CI86" s="430">
        <v>0.57999999999999996</v>
      </c>
      <c r="CJ86" s="660">
        <v>51</v>
      </c>
      <c r="CK86" s="660" t="s">
        <v>874</v>
      </c>
      <c r="CL86" s="660">
        <v>9</v>
      </c>
      <c r="CM86" s="660" t="s">
        <v>874</v>
      </c>
      <c r="CN86" s="661">
        <v>0.02</v>
      </c>
      <c r="CO86" s="661">
        <v>0.51</v>
      </c>
      <c r="CP86" s="661">
        <v>0.47</v>
      </c>
      <c r="CQ86" s="661">
        <v>0</v>
      </c>
      <c r="CR86" s="661">
        <v>0.57999999999999996</v>
      </c>
      <c r="CS86" s="661">
        <v>0.57999999999999996</v>
      </c>
      <c r="CT86" s="661">
        <v>0.45</v>
      </c>
    </row>
    <row r="87" spans="1:98" ht="24.95" customHeight="1" x14ac:dyDescent="0.2">
      <c r="A87" s="814" t="s">
        <v>183</v>
      </c>
      <c r="B87" s="1" t="s">
        <v>221</v>
      </c>
      <c r="C87" s="12">
        <v>3</v>
      </c>
      <c r="D87" s="12">
        <v>51</v>
      </c>
      <c r="E87" s="12">
        <v>11</v>
      </c>
      <c r="F87" s="66">
        <v>0.13</v>
      </c>
      <c r="G87" s="66">
        <v>0.3</v>
      </c>
      <c r="H87" s="66">
        <v>0.56999999999999995</v>
      </c>
      <c r="I87" s="66">
        <v>0</v>
      </c>
      <c r="J87" s="66">
        <v>0.52</v>
      </c>
      <c r="K87" s="66">
        <v>0.48</v>
      </c>
      <c r="L87" s="66">
        <v>0.53</v>
      </c>
      <c r="M87" s="12">
        <v>51</v>
      </c>
      <c r="N87" s="12">
        <v>10</v>
      </c>
      <c r="O87" s="40">
        <v>0</v>
      </c>
      <c r="P87" s="40">
        <v>0.5</v>
      </c>
      <c r="Q87" s="40">
        <v>0.46</v>
      </c>
      <c r="R87" s="40">
        <v>0.04</v>
      </c>
      <c r="S87" s="40">
        <v>0.5</v>
      </c>
      <c r="T87" s="40">
        <v>0.56000000000000005</v>
      </c>
      <c r="U87" s="40">
        <v>0.34</v>
      </c>
      <c r="V87" s="12">
        <v>50</v>
      </c>
      <c r="W87" s="12">
        <v>10</v>
      </c>
      <c r="X87" s="66">
        <v>0.06</v>
      </c>
      <c r="Y87" s="66">
        <v>0.44</v>
      </c>
      <c r="Z87" s="66">
        <v>0.44</v>
      </c>
      <c r="AA87" s="66">
        <v>0.06</v>
      </c>
      <c r="AB87" s="66">
        <v>0.52</v>
      </c>
      <c r="AC87" s="66">
        <v>0.38</v>
      </c>
      <c r="AD87" s="66">
        <v>0.61</v>
      </c>
      <c r="AE87" s="12">
        <v>48</v>
      </c>
      <c r="AF87" s="12">
        <v>9</v>
      </c>
      <c r="AG87" s="66">
        <v>0.06</v>
      </c>
      <c r="AH87" s="66">
        <v>0.61</v>
      </c>
      <c r="AI87" s="66">
        <v>0.33</v>
      </c>
      <c r="AJ87" s="66">
        <v>0</v>
      </c>
      <c r="AK87" s="66">
        <v>0.57999999999999996</v>
      </c>
      <c r="AL87" s="66">
        <v>0.6</v>
      </c>
      <c r="AM87" s="66">
        <v>0.32</v>
      </c>
      <c r="AN87" s="35">
        <v>56</v>
      </c>
      <c r="AO87" s="35">
        <v>10</v>
      </c>
      <c r="AP87" s="40">
        <v>0</v>
      </c>
      <c r="AQ87" s="40">
        <v>0.4</v>
      </c>
      <c r="AR87" s="40">
        <v>0.5</v>
      </c>
      <c r="AS87" s="40">
        <v>0.1</v>
      </c>
      <c r="AT87" s="40">
        <v>0.22</v>
      </c>
      <c r="AU87" s="40">
        <v>0.47</v>
      </c>
      <c r="AV87" s="40">
        <v>0.44</v>
      </c>
      <c r="AW87" s="247">
        <v>49</v>
      </c>
      <c r="AX87" s="247" t="s">
        <v>874</v>
      </c>
      <c r="AY87" s="247">
        <v>10</v>
      </c>
      <c r="AZ87" s="247" t="s">
        <v>874</v>
      </c>
      <c r="BA87" s="264">
        <v>0.13</v>
      </c>
      <c r="BB87" s="264">
        <v>0.38</v>
      </c>
      <c r="BC87" s="264">
        <v>0.5</v>
      </c>
      <c r="BD87" s="264">
        <v>0</v>
      </c>
      <c r="BE87" s="264">
        <v>0.34</v>
      </c>
      <c r="BF87" s="264">
        <v>0.55000000000000004</v>
      </c>
      <c r="BG87" s="264">
        <v>0.5</v>
      </c>
      <c r="BH87" s="311">
        <v>48</v>
      </c>
      <c r="BI87" s="311" t="s">
        <v>874</v>
      </c>
      <c r="BJ87" s="311">
        <v>12</v>
      </c>
      <c r="BK87" s="311" t="s">
        <v>874</v>
      </c>
      <c r="BL87" s="466"/>
      <c r="BM87" s="466"/>
      <c r="BN87" s="466"/>
      <c r="BO87" s="329">
        <v>0.19</v>
      </c>
      <c r="BP87" s="329">
        <v>0.19</v>
      </c>
      <c r="BQ87" s="329">
        <v>0.56000000000000005</v>
      </c>
      <c r="BR87" s="329">
        <v>0.06</v>
      </c>
      <c r="BS87" s="329">
        <v>0.56000000000000005</v>
      </c>
      <c r="BT87" s="329">
        <v>0.61</v>
      </c>
      <c r="BU87" s="480"/>
      <c r="BV87" s="480"/>
      <c r="BW87" s="480"/>
      <c r="BX87" s="329">
        <v>0.31</v>
      </c>
      <c r="BY87" s="426">
        <v>48</v>
      </c>
      <c r="BZ87" s="426" t="s">
        <v>874</v>
      </c>
      <c r="CA87" s="426">
        <v>10</v>
      </c>
      <c r="CB87" s="426" t="s">
        <v>874</v>
      </c>
      <c r="CC87" s="430">
        <v>0.15</v>
      </c>
      <c r="CD87" s="430">
        <v>0.38</v>
      </c>
      <c r="CE87" s="430">
        <v>0.46</v>
      </c>
      <c r="CF87" s="430">
        <v>0</v>
      </c>
      <c r="CG87" s="430">
        <v>0.73</v>
      </c>
      <c r="CH87" s="430">
        <v>0.42</v>
      </c>
      <c r="CI87" s="430">
        <v>0.64</v>
      </c>
      <c r="CJ87" s="466">
        <v>50</v>
      </c>
      <c r="CK87" s="466" t="s">
        <v>874</v>
      </c>
      <c r="CL87" s="466">
        <v>12</v>
      </c>
      <c r="CM87" s="466" t="s">
        <v>874</v>
      </c>
      <c r="CN87" s="480">
        <v>0.14000000000000001</v>
      </c>
      <c r="CO87" s="480">
        <v>0.33</v>
      </c>
      <c r="CP87" s="480">
        <v>0.48</v>
      </c>
      <c r="CQ87" s="480">
        <v>0.05</v>
      </c>
      <c r="CR87" s="480">
        <v>0.6</v>
      </c>
      <c r="CS87" s="480">
        <v>0.52</v>
      </c>
      <c r="CT87" s="480">
        <v>0.49</v>
      </c>
    </row>
    <row r="88" spans="1:98" ht="24.95" customHeight="1" x14ac:dyDescent="0.2">
      <c r="A88" s="814" t="s">
        <v>110</v>
      </c>
      <c r="B88" s="1" t="s">
        <v>221</v>
      </c>
      <c r="C88" s="12">
        <v>2</v>
      </c>
      <c r="D88" s="12">
        <v>58</v>
      </c>
      <c r="E88" s="12">
        <v>8</v>
      </c>
      <c r="F88" s="66">
        <v>0</v>
      </c>
      <c r="G88" s="66">
        <v>0.12</v>
      </c>
      <c r="H88" s="66">
        <v>0.81</v>
      </c>
      <c r="I88" s="66">
        <v>7.0000000000000007E-2</v>
      </c>
      <c r="J88" s="66">
        <v>0.44</v>
      </c>
      <c r="K88" s="66">
        <v>0.39</v>
      </c>
      <c r="L88" s="66">
        <v>0.45</v>
      </c>
      <c r="M88" s="12">
        <v>57</v>
      </c>
      <c r="N88" s="12">
        <v>8</v>
      </c>
      <c r="O88" s="40">
        <v>0</v>
      </c>
      <c r="P88" s="40">
        <v>0.19</v>
      </c>
      <c r="Q88" s="40">
        <v>0.74</v>
      </c>
      <c r="R88" s="40">
        <v>0.06</v>
      </c>
      <c r="S88" s="40">
        <v>0.41</v>
      </c>
      <c r="T88" s="40">
        <v>0.48</v>
      </c>
      <c r="U88" s="40">
        <v>0.25</v>
      </c>
      <c r="V88" s="12">
        <v>58</v>
      </c>
      <c r="W88" s="12">
        <v>7</v>
      </c>
      <c r="X88" s="66">
        <v>0</v>
      </c>
      <c r="Y88" s="66">
        <v>0.12</v>
      </c>
      <c r="Z88" s="66">
        <v>0.84</v>
      </c>
      <c r="AA88" s="66">
        <v>0.04</v>
      </c>
      <c r="AB88" s="66">
        <v>0.39</v>
      </c>
      <c r="AC88" s="66">
        <v>0.3</v>
      </c>
      <c r="AD88" s="66">
        <v>0.39</v>
      </c>
      <c r="AE88" s="12">
        <v>61</v>
      </c>
      <c r="AF88" s="12">
        <v>8</v>
      </c>
      <c r="AG88" s="66">
        <v>0</v>
      </c>
      <c r="AH88" s="66">
        <v>0.08</v>
      </c>
      <c r="AI88" s="66">
        <v>0.83</v>
      </c>
      <c r="AJ88" s="66">
        <v>0.1</v>
      </c>
      <c r="AK88" s="66">
        <v>0.37</v>
      </c>
      <c r="AL88" s="66">
        <v>0.32</v>
      </c>
      <c r="AM88" s="66">
        <v>0.18</v>
      </c>
      <c r="AN88" s="35">
        <v>62</v>
      </c>
      <c r="AO88" s="35">
        <v>6</v>
      </c>
      <c r="AP88" s="40">
        <v>0</v>
      </c>
      <c r="AQ88" s="40">
        <v>0.02</v>
      </c>
      <c r="AR88" s="40">
        <v>0.88</v>
      </c>
      <c r="AS88" s="40">
        <v>0.1</v>
      </c>
      <c r="AT88" s="40">
        <v>0.12</v>
      </c>
      <c r="AU88" s="40">
        <v>0.35</v>
      </c>
      <c r="AV88" s="40">
        <v>0.32</v>
      </c>
      <c r="AW88" s="247">
        <v>58</v>
      </c>
      <c r="AX88" s="247" t="s">
        <v>874</v>
      </c>
      <c r="AY88" s="247">
        <v>8</v>
      </c>
      <c r="AZ88" s="247" t="s">
        <v>874</v>
      </c>
      <c r="BA88" s="264">
        <v>0</v>
      </c>
      <c r="BB88" s="264">
        <v>0.24</v>
      </c>
      <c r="BC88" s="264">
        <v>0.68</v>
      </c>
      <c r="BD88" s="264">
        <v>0.08</v>
      </c>
      <c r="BE88" s="264">
        <v>0.22</v>
      </c>
      <c r="BF88" s="264">
        <v>0.41</v>
      </c>
      <c r="BG88" s="264">
        <v>0.34</v>
      </c>
      <c r="BH88" s="311">
        <v>63</v>
      </c>
      <c r="BI88" s="311" t="s">
        <v>875</v>
      </c>
      <c r="BJ88" s="311">
        <v>7</v>
      </c>
      <c r="BK88" s="311" t="s">
        <v>874</v>
      </c>
      <c r="BL88" s="466"/>
      <c r="BM88" s="466"/>
      <c r="BN88" s="466"/>
      <c r="BO88" s="329">
        <v>0</v>
      </c>
      <c r="BP88" s="329">
        <v>0.09</v>
      </c>
      <c r="BQ88" s="329">
        <v>0.78</v>
      </c>
      <c r="BR88" s="329">
        <v>0.13</v>
      </c>
      <c r="BS88" s="329">
        <v>0.32</v>
      </c>
      <c r="BT88" s="329">
        <v>0.34</v>
      </c>
      <c r="BU88" s="480"/>
      <c r="BV88" s="480"/>
      <c r="BW88" s="480"/>
      <c r="BX88" s="329">
        <v>0.2</v>
      </c>
      <c r="BY88" s="426">
        <v>66</v>
      </c>
      <c r="BZ88" s="426" t="s">
        <v>875</v>
      </c>
      <c r="CA88" s="426">
        <v>8</v>
      </c>
      <c r="CB88" s="426" t="s">
        <v>874</v>
      </c>
      <c r="CC88" s="430">
        <v>0</v>
      </c>
      <c r="CD88" s="430">
        <v>0.12</v>
      </c>
      <c r="CE88" s="430">
        <v>0.59</v>
      </c>
      <c r="CF88" s="430">
        <v>0.28999999999999998</v>
      </c>
      <c r="CG88" s="430">
        <v>0.49</v>
      </c>
      <c r="CH88" s="430">
        <v>0.18</v>
      </c>
      <c r="CI88" s="430">
        <v>0.26</v>
      </c>
      <c r="CJ88" s="466">
        <v>62</v>
      </c>
      <c r="CK88" s="466" t="s">
        <v>875</v>
      </c>
      <c r="CL88" s="466">
        <v>9</v>
      </c>
      <c r="CM88" s="466" t="s">
        <v>874</v>
      </c>
      <c r="CN88" s="480">
        <v>0.04</v>
      </c>
      <c r="CO88" s="480">
        <v>0</v>
      </c>
      <c r="CP88" s="480">
        <v>0.82</v>
      </c>
      <c r="CQ88" s="480">
        <v>0.14000000000000001</v>
      </c>
      <c r="CR88" s="480">
        <v>0.36</v>
      </c>
      <c r="CS88" s="480">
        <v>0.34</v>
      </c>
      <c r="CT88" s="480">
        <v>0.26</v>
      </c>
    </row>
    <row r="89" spans="1:98" ht="24.95" customHeight="1" x14ac:dyDescent="0.2">
      <c r="A89" s="814" t="s">
        <v>926</v>
      </c>
      <c r="B89" s="14" t="s">
        <v>221</v>
      </c>
      <c r="C89" s="12">
        <v>6</v>
      </c>
      <c r="D89" s="12"/>
      <c r="E89" s="12"/>
      <c r="F89" s="66"/>
      <c r="G89" s="66"/>
      <c r="H89" s="66"/>
      <c r="I89" s="66"/>
      <c r="J89" s="66"/>
      <c r="K89" s="66"/>
      <c r="L89" s="66"/>
      <c r="M89" s="12"/>
      <c r="N89" s="12"/>
      <c r="O89" s="40"/>
      <c r="P89" s="40"/>
      <c r="Q89" s="40"/>
      <c r="R89" s="40"/>
      <c r="S89" s="40"/>
      <c r="T89" s="40"/>
      <c r="U89" s="40"/>
      <c r="V89" s="12"/>
      <c r="W89" s="12"/>
      <c r="X89" s="66"/>
      <c r="Y89" s="66"/>
      <c r="Z89" s="66"/>
      <c r="AA89" s="66"/>
      <c r="AB89" s="66"/>
      <c r="AC89" s="66"/>
      <c r="AD89" s="66"/>
      <c r="AE89" s="12"/>
      <c r="AF89" s="12"/>
      <c r="AG89" s="66"/>
      <c r="AH89" s="66"/>
      <c r="AI89" s="66"/>
      <c r="AJ89" s="66"/>
      <c r="AK89" s="66"/>
      <c r="AL89" s="66"/>
      <c r="AM89" s="66"/>
      <c r="AN89" s="35"/>
      <c r="AO89" s="35"/>
      <c r="AP89" s="40"/>
      <c r="AQ89" s="40"/>
      <c r="AR89" s="40"/>
      <c r="AS89" s="40"/>
      <c r="AT89" s="40"/>
      <c r="AU89" s="40"/>
      <c r="AV89" s="40"/>
      <c r="AW89" s="247"/>
      <c r="AX89" s="247"/>
      <c r="AY89" s="247"/>
      <c r="AZ89" s="247"/>
      <c r="BA89" s="264"/>
      <c r="BB89" s="264"/>
      <c r="BC89" s="264"/>
      <c r="BD89" s="264"/>
      <c r="BE89" s="264"/>
      <c r="BF89" s="264"/>
      <c r="BG89" s="264"/>
      <c r="BH89" s="311">
        <v>43</v>
      </c>
      <c r="BI89" s="311" t="s">
        <v>876</v>
      </c>
      <c r="BJ89" s="311">
        <v>11</v>
      </c>
      <c r="BK89" s="311" t="s">
        <v>874</v>
      </c>
      <c r="BL89" s="466"/>
      <c r="BM89" s="466"/>
      <c r="BN89" s="466"/>
      <c r="BO89" s="329">
        <v>0.24</v>
      </c>
      <c r="BP89" s="329">
        <v>0.47</v>
      </c>
      <c r="BQ89" s="329">
        <v>0.28999999999999998</v>
      </c>
      <c r="BR89" s="329">
        <v>0</v>
      </c>
      <c r="BS89" s="329">
        <v>0.64</v>
      </c>
      <c r="BT89" s="329">
        <v>0.74</v>
      </c>
      <c r="BU89" s="480"/>
      <c r="BV89" s="480"/>
      <c r="BW89" s="480"/>
      <c r="BX89" s="329">
        <v>0.5</v>
      </c>
      <c r="BY89" s="426">
        <v>52</v>
      </c>
      <c r="BZ89" s="426" t="s">
        <v>874</v>
      </c>
      <c r="CA89" s="426">
        <v>0</v>
      </c>
      <c r="CB89" s="426" t="s">
        <v>876</v>
      </c>
      <c r="CC89" s="430">
        <v>0</v>
      </c>
      <c r="CD89" s="430">
        <v>0</v>
      </c>
      <c r="CE89" s="430">
        <v>1</v>
      </c>
      <c r="CF89" s="430">
        <v>0</v>
      </c>
      <c r="CG89" s="430">
        <v>0.4</v>
      </c>
      <c r="CH89" s="430">
        <v>0.25</v>
      </c>
      <c r="CI89" s="430">
        <v>0.75</v>
      </c>
      <c r="CJ89" s="647"/>
      <c r="CK89" s="647"/>
      <c r="CL89" s="647"/>
      <c r="CM89" s="647"/>
      <c r="CN89" s="648"/>
      <c r="CO89" s="648"/>
      <c r="CP89" s="648"/>
      <c r="CQ89" s="648"/>
      <c r="CR89" s="648"/>
      <c r="CS89" s="648"/>
      <c r="CT89" s="648"/>
    </row>
    <row r="90" spans="1:98" ht="24.95" customHeight="1" x14ac:dyDescent="0.2">
      <c r="A90" s="819" t="s">
        <v>266</v>
      </c>
      <c r="B90" s="1" t="s">
        <v>221</v>
      </c>
      <c r="C90" s="330">
        <v>3</v>
      </c>
      <c r="D90" s="330"/>
      <c r="E90" s="330"/>
      <c r="F90" s="330"/>
      <c r="G90" s="330"/>
      <c r="H90" s="330"/>
      <c r="I90" s="330"/>
      <c r="J90" s="330"/>
      <c r="K90" s="330"/>
      <c r="L90" s="330"/>
      <c r="M90" s="330" t="s">
        <v>224</v>
      </c>
      <c r="N90" s="330" t="s">
        <v>224</v>
      </c>
      <c r="O90" s="333"/>
      <c r="P90" s="333"/>
      <c r="Q90" s="333"/>
      <c r="R90" s="333"/>
      <c r="S90" s="333"/>
      <c r="T90" s="333"/>
      <c r="U90" s="333"/>
      <c r="V90" s="330" t="s">
        <v>224</v>
      </c>
      <c r="W90" s="330" t="s">
        <v>224</v>
      </c>
      <c r="X90" s="330"/>
      <c r="Y90" s="330"/>
      <c r="Z90" s="330"/>
      <c r="AA90" s="330"/>
      <c r="AB90" s="330"/>
      <c r="AC90" s="330"/>
      <c r="AD90" s="330"/>
      <c r="AE90" s="330" t="s">
        <v>224</v>
      </c>
      <c r="AF90" s="330" t="s">
        <v>224</v>
      </c>
      <c r="AG90" s="330"/>
      <c r="AH90" s="330"/>
      <c r="AI90" s="330"/>
      <c r="AJ90" s="330"/>
      <c r="AK90" s="330"/>
      <c r="AL90" s="330"/>
      <c r="AM90" s="330"/>
      <c r="AN90" s="313">
        <v>61</v>
      </c>
      <c r="AO90" s="313">
        <v>3</v>
      </c>
      <c r="AP90" s="333">
        <v>0</v>
      </c>
      <c r="AQ90" s="333">
        <v>0</v>
      </c>
      <c r="AR90" s="333">
        <v>1</v>
      </c>
      <c r="AS90" s="333">
        <v>0</v>
      </c>
      <c r="AT90" s="333">
        <v>0.19</v>
      </c>
      <c r="AU90" s="333">
        <v>0.33</v>
      </c>
      <c r="AV90" s="333">
        <v>0.35</v>
      </c>
      <c r="AW90" s="314">
        <v>61</v>
      </c>
      <c r="AX90" s="314" t="s">
        <v>875</v>
      </c>
      <c r="AY90" s="314">
        <v>5</v>
      </c>
      <c r="AZ90" s="314" t="s">
        <v>876</v>
      </c>
      <c r="BA90" s="334">
        <v>0</v>
      </c>
      <c r="BB90" s="334">
        <v>0</v>
      </c>
      <c r="BC90" s="334">
        <v>1</v>
      </c>
      <c r="BD90" s="334">
        <v>0</v>
      </c>
      <c r="BE90" s="334">
        <v>0.17</v>
      </c>
      <c r="BF90" s="334">
        <v>0.35</v>
      </c>
      <c r="BG90" s="334">
        <v>0.32</v>
      </c>
      <c r="BH90" s="311">
        <v>57</v>
      </c>
      <c r="BI90" s="311" t="s">
        <v>874</v>
      </c>
      <c r="BJ90" s="311">
        <v>10</v>
      </c>
      <c r="BK90" s="311" t="s">
        <v>874</v>
      </c>
      <c r="BL90" s="466"/>
      <c r="BM90" s="466"/>
      <c r="BN90" s="466"/>
      <c r="BO90" s="329">
        <v>0.06</v>
      </c>
      <c r="BP90" s="329">
        <v>0.11</v>
      </c>
      <c r="BQ90" s="329">
        <v>0.78</v>
      </c>
      <c r="BR90" s="329">
        <v>0.06</v>
      </c>
      <c r="BS90" s="329">
        <v>0.45</v>
      </c>
      <c r="BT90" s="329">
        <v>0.46</v>
      </c>
      <c r="BU90" s="480"/>
      <c r="BV90" s="480"/>
      <c r="BW90" s="480"/>
      <c r="BX90" s="329">
        <v>0.28999999999999998</v>
      </c>
      <c r="BY90" s="426">
        <v>60</v>
      </c>
      <c r="BZ90" s="426" t="s">
        <v>874</v>
      </c>
      <c r="CA90" s="426">
        <v>12</v>
      </c>
      <c r="CB90" s="426" t="s">
        <v>874</v>
      </c>
      <c r="CC90" s="430">
        <v>0.1</v>
      </c>
      <c r="CD90" s="430">
        <v>0</v>
      </c>
      <c r="CE90" s="430">
        <v>0.8</v>
      </c>
      <c r="CF90" s="430">
        <v>0.1</v>
      </c>
      <c r="CG90" s="430">
        <v>0.44</v>
      </c>
      <c r="CH90" s="430">
        <v>0.23</v>
      </c>
      <c r="CI90" s="430">
        <v>0.45</v>
      </c>
      <c r="CJ90" s="660">
        <v>59</v>
      </c>
      <c r="CK90" s="660" t="s">
        <v>874</v>
      </c>
      <c r="CL90" s="660">
        <v>9</v>
      </c>
      <c r="CM90" s="660" t="s">
        <v>874</v>
      </c>
      <c r="CN90" s="661">
        <v>0</v>
      </c>
      <c r="CO90" s="661">
        <v>0.22</v>
      </c>
      <c r="CP90" s="661">
        <v>0.67</v>
      </c>
      <c r="CQ90" s="661">
        <v>0.11</v>
      </c>
      <c r="CR90" s="661">
        <v>0.49</v>
      </c>
      <c r="CS90" s="661">
        <v>0.39</v>
      </c>
      <c r="CT90" s="661">
        <v>0.33</v>
      </c>
    </row>
    <row r="91" spans="1:98" ht="24.95" customHeight="1" x14ac:dyDescent="0.2">
      <c r="A91" s="814" t="s">
        <v>232</v>
      </c>
      <c r="B91" s="1" t="s">
        <v>221</v>
      </c>
      <c r="C91" s="12">
        <v>5</v>
      </c>
      <c r="D91" s="12"/>
      <c r="E91" s="12"/>
      <c r="F91" s="12"/>
      <c r="G91" s="12"/>
      <c r="H91" s="12"/>
      <c r="I91" s="12"/>
      <c r="J91" s="12"/>
      <c r="K91" s="12"/>
      <c r="L91" s="12"/>
      <c r="M91" s="12" t="s">
        <v>224</v>
      </c>
      <c r="N91" s="12" t="s">
        <v>224</v>
      </c>
      <c r="O91" s="40"/>
      <c r="P91" s="40"/>
      <c r="Q91" s="40"/>
      <c r="R91" s="40"/>
      <c r="S91" s="40"/>
      <c r="T91" s="40"/>
      <c r="U91" s="40"/>
      <c r="V91" s="12" t="s">
        <v>224</v>
      </c>
      <c r="W91" s="12" t="s">
        <v>224</v>
      </c>
      <c r="X91" s="12"/>
      <c r="Y91" s="12"/>
      <c r="Z91" s="12"/>
      <c r="AA91" s="12"/>
      <c r="AB91" s="12"/>
      <c r="AC91" s="12"/>
      <c r="AD91" s="12"/>
      <c r="AE91" s="12">
        <v>48</v>
      </c>
      <c r="AF91" s="12">
        <v>8</v>
      </c>
      <c r="AG91" s="66">
        <v>0.08</v>
      </c>
      <c r="AH91" s="66">
        <v>0.5</v>
      </c>
      <c r="AI91" s="66">
        <v>0.42</v>
      </c>
      <c r="AJ91" s="66">
        <v>0</v>
      </c>
      <c r="AK91" s="66">
        <v>0.6</v>
      </c>
      <c r="AL91" s="66">
        <v>0.54</v>
      </c>
      <c r="AM91" s="66">
        <v>0.39</v>
      </c>
      <c r="AN91" s="41"/>
      <c r="AO91" s="41"/>
      <c r="AP91" s="41"/>
      <c r="AQ91" s="41"/>
      <c r="AR91" s="41"/>
      <c r="AS91" s="41"/>
      <c r="AT91" s="41"/>
      <c r="AU91" s="41"/>
      <c r="AV91" s="41"/>
      <c r="AW91" s="652"/>
      <c r="AX91" s="652"/>
      <c r="AY91" s="652"/>
      <c r="AZ91" s="652"/>
      <c r="BA91" s="652"/>
      <c r="BB91" s="652"/>
      <c r="BC91" s="652"/>
      <c r="BD91" s="652"/>
      <c r="BE91" s="652"/>
      <c r="BF91" s="652"/>
      <c r="BG91" s="652"/>
      <c r="BH91" s="655"/>
      <c r="BI91" s="655"/>
      <c r="BJ91" s="655"/>
      <c r="BK91" s="655"/>
      <c r="BL91" s="656"/>
      <c r="BM91" s="656"/>
      <c r="BN91" s="656"/>
      <c r="BO91" s="655"/>
      <c r="BP91" s="655"/>
      <c r="BQ91" s="655"/>
      <c r="BR91" s="655"/>
      <c r="BS91" s="655"/>
      <c r="BT91" s="655"/>
      <c r="BU91" s="656"/>
      <c r="BV91" s="656"/>
      <c r="BW91" s="656"/>
      <c r="BX91" s="655"/>
      <c r="BY91" s="657"/>
      <c r="BZ91" s="657"/>
      <c r="CA91" s="657"/>
      <c r="CB91" s="657"/>
      <c r="CC91" s="657"/>
      <c r="CD91" s="657"/>
      <c r="CE91" s="657"/>
      <c r="CF91" s="657"/>
      <c r="CG91" s="657"/>
      <c r="CH91" s="657"/>
      <c r="CI91" s="657"/>
      <c r="CJ91" s="656"/>
      <c r="CK91" s="656"/>
      <c r="CL91" s="656"/>
      <c r="CM91" s="656"/>
      <c r="CN91" s="656"/>
      <c r="CO91" s="656"/>
      <c r="CP91" s="656"/>
      <c r="CQ91" s="656"/>
      <c r="CR91" s="656"/>
      <c r="CS91" s="656"/>
      <c r="CT91" s="656"/>
    </row>
    <row r="92" spans="1:98" ht="24.95" customHeight="1" x14ac:dyDescent="0.2">
      <c r="A92" s="820" t="s">
        <v>153</v>
      </c>
      <c r="B92" s="1" t="s">
        <v>221</v>
      </c>
      <c r="C92" s="12">
        <v>2</v>
      </c>
      <c r="D92" s="12">
        <v>58</v>
      </c>
      <c r="E92" s="12">
        <v>9</v>
      </c>
      <c r="F92" s="66">
        <v>0</v>
      </c>
      <c r="G92" s="66">
        <v>0.24</v>
      </c>
      <c r="H92" s="66">
        <v>0.69</v>
      </c>
      <c r="I92" s="66">
        <v>7.0000000000000007E-2</v>
      </c>
      <c r="J92" s="66">
        <v>0.44</v>
      </c>
      <c r="K92" s="66">
        <v>0.34</v>
      </c>
      <c r="L92" s="66">
        <v>0.43</v>
      </c>
      <c r="M92" s="12">
        <v>56</v>
      </c>
      <c r="N92" s="12">
        <v>9</v>
      </c>
      <c r="O92" s="40">
        <v>0.03</v>
      </c>
      <c r="P92" s="40">
        <v>0.2</v>
      </c>
      <c r="Q92" s="40">
        <v>0.73</v>
      </c>
      <c r="R92" s="40">
        <v>0.03</v>
      </c>
      <c r="S92" s="40">
        <v>0.42</v>
      </c>
      <c r="T92" s="40">
        <v>0.48</v>
      </c>
      <c r="U92" s="40">
        <v>0.31</v>
      </c>
      <c r="V92" s="12">
        <v>54</v>
      </c>
      <c r="W92" s="12">
        <v>9</v>
      </c>
      <c r="X92" s="66">
        <v>0.06</v>
      </c>
      <c r="Y92" s="66">
        <v>0.26</v>
      </c>
      <c r="Z92" s="66">
        <v>0.68</v>
      </c>
      <c r="AA92" s="66">
        <v>0</v>
      </c>
      <c r="AB92" s="66">
        <v>0.43</v>
      </c>
      <c r="AC92" s="66">
        <v>0.37</v>
      </c>
      <c r="AD92" s="66">
        <v>0.49</v>
      </c>
      <c r="AE92" s="12">
        <v>57</v>
      </c>
      <c r="AF92" s="12">
        <v>9</v>
      </c>
      <c r="AG92" s="66">
        <v>0</v>
      </c>
      <c r="AH92" s="66">
        <v>0.19</v>
      </c>
      <c r="AI92" s="66">
        <v>0.74</v>
      </c>
      <c r="AJ92" s="66">
        <v>7.0000000000000007E-2</v>
      </c>
      <c r="AK92" s="66">
        <v>0.46</v>
      </c>
      <c r="AL92" s="66">
        <v>0.38</v>
      </c>
      <c r="AM92" s="66">
        <v>0.22</v>
      </c>
      <c r="AN92" s="45">
        <v>55</v>
      </c>
      <c r="AO92" s="45">
        <v>9</v>
      </c>
      <c r="AP92" s="46">
        <v>0.06</v>
      </c>
      <c r="AQ92" s="46">
        <v>0.26</v>
      </c>
      <c r="AR92" s="46">
        <v>0.66</v>
      </c>
      <c r="AS92" s="46">
        <v>0.03</v>
      </c>
      <c r="AT92" s="46">
        <v>0.24</v>
      </c>
      <c r="AU92" s="46">
        <v>0.47</v>
      </c>
      <c r="AV92" s="46">
        <v>0.47</v>
      </c>
      <c r="AW92" s="653">
        <v>53</v>
      </c>
      <c r="AX92" s="653" t="s">
        <v>874</v>
      </c>
      <c r="AY92" s="653">
        <v>9</v>
      </c>
      <c r="AZ92" s="653" t="s">
        <v>874</v>
      </c>
      <c r="BA92" s="654">
        <v>0.02</v>
      </c>
      <c r="BB92" s="654">
        <v>0.42</v>
      </c>
      <c r="BC92" s="654">
        <v>0.56999999999999995</v>
      </c>
      <c r="BD92" s="654">
        <v>0</v>
      </c>
      <c r="BE92" s="654">
        <v>0.27</v>
      </c>
      <c r="BF92" s="654">
        <v>0.5</v>
      </c>
      <c r="BG92" s="654">
        <v>0.44</v>
      </c>
      <c r="BH92" s="74">
        <v>54</v>
      </c>
      <c r="BI92" s="74" t="s">
        <v>874</v>
      </c>
      <c r="BJ92" s="74">
        <v>8</v>
      </c>
      <c r="BK92" s="74" t="s">
        <v>874</v>
      </c>
      <c r="BL92" s="74"/>
      <c r="BM92" s="74"/>
      <c r="BN92" s="74"/>
      <c r="BO92" s="96">
        <v>0.02</v>
      </c>
      <c r="BP92" s="96">
        <v>0.33</v>
      </c>
      <c r="BQ92" s="96">
        <v>0.65</v>
      </c>
      <c r="BR92" s="96">
        <v>0</v>
      </c>
      <c r="BS92" s="96">
        <v>0.55000000000000004</v>
      </c>
      <c r="BT92" s="96">
        <v>0.56000000000000005</v>
      </c>
      <c r="BU92" s="96"/>
      <c r="BV92" s="96"/>
      <c r="BW92" s="96"/>
      <c r="BX92" s="96">
        <v>0.35</v>
      </c>
      <c r="BY92" s="658">
        <v>56</v>
      </c>
      <c r="BZ92" s="658" t="s">
        <v>874</v>
      </c>
      <c r="CA92" s="658">
        <v>8</v>
      </c>
      <c r="CB92" s="658" t="s">
        <v>874</v>
      </c>
      <c r="CC92" s="659">
        <v>0</v>
      </c>
      <c r="CD92" s="659">
        <v>0.21</v>
      </c>
      <c r="CE92" s="659">
        <v>0.79</v>
      </c>
      <c r="CF92" s="659">
        <v>0</v>
      </c>
      <c r="CG92" s="659">
        <v>0.56999999999999995</v>
      </c>
      <c r="CH92" s="659">
        <v>0.26</v>
      </c>
      <c r="CI92" s="659">
        <v>0.55000000000000004</v>
      </c>
      <c r="CJ92" s="74">
        <v>53</v>
      </c>
      <c r="CK92" s="74" t="s">
        <v>874</v>
      </c>
      <c r="CL92" s="74">
        <v>8</v>
      </c>
      <c r="CM92" s="74" t="s">
        <v>874</v>
      </c>
      <c r="CN92" s="96">
        <v>0.03</v>
      </c>
      <c r="CO92" s="96">
        <v>0.37</v>
      </c>
      <c r="CP92" s="96">
        <v>0.6</v>
      </c>
      <c r="CQ92" s="96">
        <v>0</v>
      </c>
      <c r="CR92" s="96">
        <v>0.56000000000000005</v>
      </c>
      <c r="CS92" s="96">
        <v>0.52</v>
      </c>
      <c r="CT92" s="96">
        <v>0.37</v>
      </c>
    </row>
    <row r="93" spans="1:98" ht="24.95" customHeight="1" x14ac:dyDescent="0.2">
      <c r="A93" s="814" t="s">
        <v>136</v>
      </c>
      <c r="B93" s="1" t="s">
        <v>221</v>
      </c>
      <c r="C93" s="12">
        <v>4</v>
      </c>
      <c r="D93" s="12">
        <v>50</v>
      </c>
      <c r="E93" s="12">
        <v>7</v>
      </c>
      <c r="F93" s="66">
        <v>0</v>
      </c>
      <c r="G93" s="66">
        <v>0.54</v>
      </c>
      <c r="H93" s="66">
        <v>0.46</v>
      </c>
      <c r="I93" s="66">
        <v>0</v>
      </c>
      <c r="J93" s="66">
        <v>0.56000000000000005</v>
      </c>
      <c r="K93" s="66">
        <v>0.45</v>
      </c>
      <c r="L93" s="66">
        <v>0.56000000000000005</v>
      </c>
      <c r="M93" s="12">
        <v>54</v>
      </c>
      <c r="N93" s="12">
        <v>10</v>
      </c>
      <c r="O93" s="40">
        <v>0.06</v>
      </c>
      <c r="P93" s="40">
        <v>0.31</v>
      </c>
      <c r="Q93" s="40">
        <v>0.57999999999999996</v>
      </c>
      <c r="R93" s="40">
        <v>0.06</v>
      </c>
      <c r="S93" s="40">
        <v>0.39</v>
      </c>
      <c r="T93" s="40">
        <v>0.5</v>
      </c>
      <c r="U93" s="40">
        <v>0.35</v>
      </c>
      <c r="V93" s="12">
        <v>52</v>
      </c>
      <c r="W93" s="12">
        <v>9</v>
      </c>
      <c r="X93" s="66">
        <v>0.03</v>
      </c>
      <c r="Y93" s="66">
        <v>0.47</v>
      </c>
      <c r="Z93" s="66">
        <v>0.5</v>
      </c>
      <c r="AA93" s="66">
        <v>0</v>
      </c>
      <c r="AB93" s="66">
        <v>0.51</v>
      </c>
      <c r="AC93" s="66">
        <v>0.41</v>
      </c>
      <c r="AD93" s="66">
        <v>0.48</v>
      </c>
      <c r="AE93" s="12">
        <v>51</v>
      </c>
      <c r="AF93" s="12">
        <v>9</v>
      </c>
      <c r="AG93" s="66">
        <v>0.06</v>
      </c>
      <c r="AH93" s="66">
        <v>0.36</v>
      </c>
      <c r="AI93" s="66">
        <v>0.56000000000000005</v>
      </c>
      <c r="AJ93" s="66">
        <v>0.02</v>
      </c>
      <c r="AK93" s="66">
        <v>0.56000000000000005</v>
      </c>
      <c r="AL93" s="66">
        <v>0.49</v>
      </c>
      <c r="AM93" s="66">
        <v>0.28999999999999998</v>
      </c>
      <c r="AN93" s="35">
        <v>55</v>
      </c>
      <c r="AO93" s="35">
        <v>9</v>
      </c>
      <c r="AP93" s="40">
        <v>0.03</v>
      </c>
      <c r="AQ93" s="40">
        <v>0.26</v>
      </c>
      <c r="AR93" s="40">
        <v>0.69</v>
      </c>
      <c r="AS93" s="40">
        <v>0.03</v>
      </c>
      <c r="AT93" s="40">
        <v>0.25</v>
      </c>
      <c r="AU93" s="40">
        <v>0.46</v>
      </c>
      <c r="AV93" s="40">
        <v>0.47</v>
      </c>
      <c r="AW93" s="247">
        <v>52</v>
      </c>
      <c r="AX93" s="247" t="s">
        <v>874</v>
      </c>
      <c r="AY93" s="247">
        <v>10</v>
      </c>
      <c r="AZ93" s="247" t="s">
        <v>874</v>
      </c>
      <c r="BA93" s="264">
        <v>7.0000000000000007E-2</v>
      </c>
      <c r="BB93" s="264">
        <v>0.33</v>
      </c>
      <c r="BC93" s="264">
        <v>0.57999999999999996</v>
      </c>
      <c r="BD93" s="264">
        <v>0.02</v>
      </c>
      <c r="BE93" s="264">
        <v>0.28000000000000003</v>
      </c>
      <c r="BF93" s="264">
        <v>0.51</v>
      </c>
      <c r="BG93" s="264">
        <v>0.49</v>
      </c>
      <c r="BH93" s="311">
        <v>55</v>
      </c>
      <c r="BI93" s="311" t="s">
        <v>874</v>
      </c>
      <c r="BJ93" s="311">
        <v>10</v>
      </c>
      <c r="BK93" s="311" t="s">
        <v>874</v>
      </c>
      <c r="BL93" s="466"/>
      <c r="BM93" s="466"/>
      <c r="BN93" s="466"/>
      <c r="BO93" s="329">
        <v>0</v>
      </c>
      <c r="BP93" s="329">
        <v>0.31</v>
      </c>
      <c r="BQ93" s="329">
        <v>0.62</v>
      </c>
      <c r="BR93" s="329">
        <v>0.08</v>
      </c>
      <c r="BS93" s="329">
        <v>0.46</v>
      </c>
      <c r="BT93" s="329">
        <v>0.56000000000000005</v>
      </c>
      <c r="BU93" s="480"/>
      <c r="BV93" s="480"/>
      <c r="BW93" s="480"/>
      <c r="BX93" s="329">
        <v>0.32</v>
      </c>
      <c r="BY93" s="426">
        <v>51</v>
      </c>
      <c r="BZ93" s="426" t="s">
        <v>874</v>
      </c>
      <c r="CA93" s="426">
        <v>11</v>
      </c>
      <c r="CB93" s="426" t="s">
        <v>874</v>
      </c>
      <c r="CC93" s="430">
        <v>7.0000000000000007E-2</v>
      </c>
      <c r="CD93" s="430">
        <v>0.47</v>
      </c>
      <c r="CE93" s="430">
        <v>0.43</v>
      </c>
      <c r="CF93" s="430">
        <v>0.04</v>
      </c>
      <c r="CG93" s="430">
        <v>0.64</v>
      </c>
      <c r="CH93" s="430">
        <v>0.39</v>
      </c>
      <c r="CI93" s="430">
        <v>0.59</v>
      </c>
      <c r="CJ93" s="466">
        <v>56</v>
      </c>
      <c r="CK93" s="466" t="s">
        <v>874</v>
      </c>
      <c r="CL93" s="466">
        <v>11</v>
      </c>
      <c r="CM93" s="466" t="s">
        <v>874</v>
      </c>
      <c r="CN93" s="480">
        <v>0.06</v>
      </c>
      <c r="CO93" s="480">
        <v>0.28999999999999998</v>
      </c>
      <c r="CP93" s="480">
        <v>0.57999999999999996</v>
      </c>
      <c r="CQ93" s="480">
        <v>0.08</v>
      </c>
      <c r="CR93" s="480">
        <v>0.52</v>
      </c>
      <c r="CS93" s="480">
        <v>0.47</v>
      </c>
      <c r="CT93" s="480">
        <v>0.43</v>
      </c>
    </row>
    <row r="94" spans="1:98" ht="24.95" customHeight="1" x14ac:dyDescent="0.2">
      <c r="A94" s="814" t="s">
        <v>97</v>
      </c>
      <c r="B94" s="1" t="s">
        <v>221</v>
      </c>
      <c r="C94" s="12">
        <v>2</v>
      </c>
      <c r="D94" s="12">
        <v>59</v>
      </c>
      <c r="E94" s="12">
        <v>8</v>
      </c>
      <c r="F94" s="66">
        <v>0</v>
      </c>
      <c r="G94" s="66">
        <v>0.14000000000000001</v>
      </c>
      <c r="H94" s="66">
        <v>0.86</v>
      </c>
      <c r="I94" s="66">
        <v>0</v>
      </c>
      <c r="J94" s="66">
        <v>0.43</v>
      </c>
      <c r="K94" s="66">
        <v>0.32</v>
      </c>
      <c r="L94" s="66">
        <v>0.45</v>
      </c>
      <c r="M94" s="12">
        <v>44</v>
      </c>
      <c r="N94" s="12">
        <v>12</v>
      </c>
      <c r="O94" s="40">
        <v>0.22</v>
      </c>
      <c r="P94" s="40">
        <v>0.44</v>
      </c>
      <c r="Q94" s="40">
        <v>0.22</v>
      </c>
      <c r="R94" s="40">
        <v>0.11</v>
      </c>
      <c r="S94" s="40">
        <v>0.56999999999999995</v>
      </c>
      <c r="T94" s="40">
        <v>0.57999999999999996</v>
      </c>
      <c r="U94" s="40">
        <v>0.56000000000000005</v>
      </c>
      <c r="V94" s="12">
        <v>46</v>
      </c>
      <c r="W94" s="12">
        <v>8</v>
      </c>
      <c r="X94" s="66">
        <v>0.17</v>
      </c>
      <c r="Y94" s="66">
        <v>0.5</v>
      </c>
      <c r="Z94" s="66">
        <v>0.33</v>
      </c>
      <c r="AA94" s="66">
        <v>0</v>
      </c>
      <c r="AB94" s="66">
        <v>0.6</v>
      </c>
      <c r="AC94" s="66">
        <v>0.5</v>
      </c>
      <c r="AD94" s="66">
        <v>0.63</v>
      </c>
      <c r="AE94" s="12">
        <v>50</v>
      </c>
      <c r="AF94" s="12">
        <v>8</v>
      </c>
      <c r="AG94" s="66">
        <v>0</v>
      </c>
      <c r="AH94" s="66">
        <v>0.67</v>
      </c>
      <c r="AI94" s="66">
        <v>0.33</v>
      </c>
      <c r="AJ94" s="66">
        <v>0</v>
      </c>
      <c r="AK94" s="66">
        <v>0.59</v>
      </c>
      <c r="AL94" s="66">
        <v>0.51</v>
      </c>
      <c r="AM94" s="66">
        <v>0.33</v>
      </c>
      <c r="AN94" s="35">
        <v>46</v>
      </c>
      <c r="AO94" s="35">
        <v>9</v>
      </c>
      <c r="AP94" s="40">
        <v>0.18</v>
      </c>
      <c r="AQ94" s="40">
        <v>0.45</v>
      </c>
      <c r="AR94" s="40">
        <v>0.36</v>
      </c>
      <c r="AS94" s="40">
        <v>0</v>
      </c>
      <c r="AT94" s="40">
        <v>0.41</v>
      </c>
      <c r="AU94" s="40">
        <v>0.56999999999999995</v>
      </c>
      <c r="AV94" s="40">
        <v>0.59</v>
      </c>
      <c r="AW94" s="247">
        <v>52</v>
      </c>
      <c r="AX94" s="247" t="s">
        <v>874</v>
      </c>
      <c r="AY94" s="247">
        <v>5</v>
      </c>
      <c r="AZ94" s="247" t="s">
        <v>876</v>
      </c>
      <c r="BA94" s="264">
        <v>0</v>
      </c>
      <c r="BB94" s="264">
        <v>0.5</v>
      </c>
      <c r="BC94" s="264">
        <v>0.5</v>
      </c>
      <c r="BD94" s="264">
        <v>0</v>
      </c>
      <c r="BE94" s="264">
        <v>0.26</v>
      </c>
      <c r="BF94" s="264">
        <v>0.52</v>
      </c>
      <c r="BG94" s="264">
        <v>0.51</v>
      </c>
      <c r="BH94" s="311">
        <v>51</v>
      </c>
      <c r="BI94" s="311" t="s">
        <v>874</v>
      </c>
      <c r="BJ94" s="311">
        <v>17</v>
      </c>
      <c r="BK94" s="311" t="s">
        <v>875</v>
      </c>
      <c r="BL94" s="466"/>
      <c r="BM94" s="466"/>
      <c r="BN94" s="466"/>
      <c r="BO94" s="329">
        <v>0.33</v>
      </c>
      <c r="BP94" s="329">
        <v>0</v>
      </c>
      <c r="BQ94" s="329">
        <v>0.67</v>
      </c>
      <c r="BR94" s="329">
        <v>0</v>
      </c>
      <c r="BS94" s="329">
        <v>0.36</v>
      </c>
      <c r="BT94" s="329">
        <v>0.64</v>
      </c>
      <c r="BU94" s="480"/>
      <c r="BV94" s="480"/>
      <c r="BW94" s="480"/>
      <c r="BX94" s="329">
        <v>0.25</v>
      </c>
      <c r="BY94" s="426">
        <v>54</v>
      </c>
      <c r="BZ94" s="426" t="s">
        <v>874</v>
      </c>
      <c r="CA94" s="426">
        <v>9</v>
      </c>
      <c r="CB94" s="426" t="s">
        <v>874</v>
      </c>
      <c r="CC94" s="430">
        <v>0</v>
      </c>
      <c r="CD94" s="430">
        <v>0.25</v>
      </c>
      <c r="CE94" s="430">
        <v>0.75</v>
      </c>
      <c r="CF94" s="430">
        <v>0</v>
      </c>
      <c r="CG94" s="430">
        <v>0.56000000000000005</v>
      </c>
      <c r="CH94" s="430">
        <v>0.47</v>
      </c>
      <c r="CI94" s="430">
        <v>0.48</v>
      </c>
      <c r="CJ94" s="466">
        <v>57</v>
      </c>
      <c r="CK94" s="466" t="s">
        <v>874</v>
      </c>
      <c r="CL94" s="466">
        <v>6</v>
      </c>
      <c r="CM94" s="466" t="s">
        <v>876</v>
      </c>
      <c r="CN94" s="480">
        <v>0</v>
      </c>
      <c r="CO94" s="480">
        <v>0.17</v>
      </c>
      <c r="CP94" s="480">
        <v>0.83</v>
      </c>
      <c r="CQ94" s="480">
        <v>0</v>
      </c>
      <c r="CR94" s="480">
        <v>0.54</v>
      </c>
      <c r="CS94" s="480">
        <v>0.52</v>
      </c>
      <c r="CT94" s="480">
        <v>0.42</v>
      </c>
    </row>
    <row r="95" spans="1:98" ht="24.95" customHeight="1" x14ac:dyDescent="0.2">
      <c r="A95" s="814" t="s">
        <v>180</v>
      </c>
      <c r="B95" s="1" t="s">
        <v>221</v>
      </c>
      <c r="C95" s="12">
        <v>3</v>
      </c>
      <c r="D95" s="12">
        <v>59</v>
      </c>
      <c r="E95" s="12">
        <v>7</v>
      </c>
      <c r="F95" s="66">
        <v>0</v>
      </c>
      <c r="G95" s="66">
        <v>7.0000000000000007E-2</v>
      </c>
      <c r="H95" s="66">
        <v>0.9</v>
      </c>
      <c r="I95" s="66">
        <v>0.03</v>
      </c>
      <c r="J95" s="66">
        <v>0.41</v>
      </c>
      <c r="K95" s="66">
        <v>0.39</v>
      </c>
      <c r="L95" s="66">
        <v>0.46</v>
      </c>
      <c r="M95" s="12">
        <v>59</v>
      </c>
      <c r="N95" s="12">
        <v>9</v>
      </c>
      <c r="O95" s="40">
        <v>0</v>
      </c>
      <c r="P95" s="40">
        <v>0.19</v>
      </c>
      <c r="Q95" s="40">
        <v>0.69</v>
      </c>
      <c r="R95" s="40">
        <v>0.13</v>
      </c>
      <c r="S95" s="40">
        <v>0.42</v>
      </c>
      <c r="T95" s="40">
        <v>0.44</v>
      </c>
      <c r="U95" s="40">
        <v>0.22</v>
      </c>
      <c r="V95" s="12">
        <v>58</v>
      </c>
      <c r="W95" s="12">
        <v>9</v>
      </c>
      <c r="X95" s="66">
        <v>0</v>
      </c>
      <c r="Y95" s="66">
        <v>0.25</v>
      </c>
      <c r="Z95" s="66">
        <v>0.69</v>
      </c>
      <c r="AA95" s="66">
        <v>0.06</v>
      </c>
      <c r="AB95" s="66">
        <v>0.39</v>
      </c>
      <c r="AC95" s="66">
        <v>0.32</v>
      </c>
      <c r="AD95" s="66">
        <v>0.41</v>
      </c>
      <c r="AE95" s="12">
        <v>54</v>
      </c>
      <c r="AF95" s="12">
        <v>9</v>
      </c>
      <c r="AG95" s="66">
        <v>0.04</v>
      </c>
      <c r="AH95" s="66">
        <v>0.27</v>
      </c>
      <c r="AI95" s="66">
        <v>0.63</v>
      </c>
      <c r="AJ95" s="66">
        <v>0.06</v>
      </c>
      <c r="AK95" s="66">
        <v>0.49</v>
      </c>
      <c r="AL95" s="66">
        <v>0.46</v>
      </c>
      <c r="AM95" s="66">
        <v>0.25</v>
      </c>
      <c r="AN95" s="35">
        <v>55</v>
      </c>
      <c r="AO95" s="35">
        <v>9</v>
      </c>
      <c r="AP95" s="40">
        <v>0</v>
      </c>
      <c r="AQ95" s="40">
        <v>0.33</v>
      </c>
      <c r="AR95" s="40">
        <v>0.62</v>
      </c>
      <c r="AS95" s="40">
        <v>0.05</v>
      </c>
      <c r="AT95" s="40">
        <v>0.23</v>
      </c>
      <c r="AU95" s="40">
        <v>0.45</v>
      </c>
      <c r="AV95" s="40">
        <v>0.49</v>
      </c>
      <c r="AW95" s="247">
        <v>56</v>
      </c>
      <c r="AX95" s="247" t="s">
        <v>874</v>
      </c>
      <c r="AY95" s="247">
        <v>8</v>
      </c>
      <c r="AZ95" s="247" t="s">
        <v>874</v>
      </c>
      <c r="BA95" s="264">
        <v>0.03</v>
      </c>
      <c r="BB95" s="264">
        <v>0.12</v>
      </c>
      <c r="BC95" s="264">
        <v>0.78</v>
      </c>
      <c r="BD95" s="264">
        <v>7.0000000000000007E-2</v>
      </c>
      <c r="BE95" s="264">
        <v>0.23</v>
      </c>
      <c r="BF95" s="264">
        <v>0.43</v>
      </c>
      <c r="BG95" s="264">
        <v>0.41</v>
      </c>
      <c r="BH95" s="311">
        <v>53</v>
      </c>
      <c r="BI95" s="311" t="s">
        <v>874</v>
      </c>
      <c r="BJ95" s="311">
        <v>10</v>
      </c>
      <c r="BK95" s="311" t="s">
        <v>874</v>
      </c>
      <c r="BL95" s="466"/>
      <c r="BM95" s="466"/>
      <c r="BN95" s="466"/>
      <c r="BO95" s="329">
        <v>7.0000000000000007E-2</v>
      </c>
      <c r="BP95" s="329">
        <v>0.27</v>
      </c>
      <c r="BQ95" s="329">
        <v>0.67</v>
      </c>
      <c r="BR95" s="329">
        <v>0</v>
      </c>
      <c r="BS95" s="329">
        <v>0.5</v>
      </c>
      <c r="BT95" s="329">
        <v>0.6</v>
      </c>
      <c r="BU95" s="480"/>
      <c r="BV95" s="480"/>
      <c r="BW95" s="480"/>
      <c r="BX95" s="329">
        <v>0.41</v>
      </c>
      <c r="BY95" s="426">
        <v>56</v>
      </c>
      <c r="BZ95" s="426" t="s">
        <v>874</v>
      </c>
      <c r="CA95" s="426">
        <v>8</v>
      </c>
      <c r="CB95" s="426" t="s">
        <v>874</v>
      </c>
      <c r="CC95" s="430">
        <v>0.01</v>
      </c>
      <c r="CD95" s="430">
        <v>0.19</v>
      </c>
      <c r="CE95" s="430">
        <v>0.76</v>
      </c>
      <c r="CF95" s="430">
        <v>0.04</v>
      </c>
      <c r="CG95" s="430">
        <v>0.61</v>
      </c>
      <c r="CH95" s="430">
        <v>0.32</v>
      </c>
      <c r="CI95" s="430">
        <v>0.52</v>
      </c>
      <c r="CJ95" s="466">
        <v>55</v>
      </c>
      <c r="CK95" s="466" t="s">
        <v>874</v>
      </c>
      <c r="CL95" s="466">
        <v>9</v>
      </c>
      <c r="CM95" s="466" t="s">
        <v>874</v>
      </c>
      <c r="CN95" s="480">
        <v>0.03</v>
      </c>
      <c r="CO95" s="480">
        <v>0.24</v>
      </c>
      <c r="CP95" s="480">
        <v>0.72</v>
      </c>
      <c r="CQ95" s="480">
        <v>0.01</v>
      </c>
      <c r="CR95" s="480">
        <v>0.56000000000000005</v>
      </c>
      <c r="CS95" s="480">
        <v>0.46</v>
      </c>
      <c r="CT95" s="480">
        <v>0.39</v>
      </c>
    </row>
    <row r="96" spans="1:98" ht="24.95" customHeight="1" x14ac:dyDescent="0.2">
      <c r="A96" s="814" t="s">
        <v>170</v>
      </c>
      <c r="B96" s="1" t="s">
        <v>221</v>
      </c>
      <c r="C96" s="12">
        <v>2</v>
      </c>
      <c r="D96" s="12">
        <v>55</v>
      </c>
      <c r="E96" s="12">
        <v>9</v>
      </c>
      <c r="F96" s="66">
        <v>0.05</v>
      </c>
      <c r="G96" s="66">
        <v>0.27</v>
      </c>
      <c r="H96" s="66">
        <v>0.66</v>
      </c>
      <c r="I96" s="66">
        <v>0.02</v>
      </c>
      <c r="J96" s="66">
        <v>0.5</v>
      </c>
      <c r="K96" s="66">
        <v>0.51</v>
      </c>
      <c r="L96" s="66">
        <v>0.48</v>
      </c>
      <c r="M96" s="12">
        <v>54</v>
      </c>
      <c r="N96" s="12">
        <v>8</v>
      </c>
      <c r="O96" s="40">
        <v>0</v>
      </c>
      <c r="P96" s="40">
        <v>0.31</v>
      </c>
      <c r="Q96" s="40">
        <v>0.64</v>
      </c>
      <c r="R96" s="40">
        <v>0.06</v>
      </c>
      <c r="S96" s="40">
        <v>0.4</v>
      </c>
      <c r="T96" s="40">
        <v>0.54</v>
      </c>
      <c r="U96" s="40">
        <v>0.34</v>
      </c>
      <c r="V96" s="12">
        <v>54</v>
      </c>
      <c r="W96" s="12">
        <v>8</v>
      </c>
      <c r="X96" s="66">
        <v>0</v>
      </c>
      <c r="Y96" s="66">
        <v>0.33</v>
      </c>
      <c r="Z96" s="66">
        <v>0.64</v>
      </c>
      <c r="AA96" s="66">
        <v>0.03</v>
      </c>
      <c r="AB96" s="66">
        <v>0.43</v>
      </c>
      <c r="AC96" s="66">
        <v>0.36</v>
      </c>
      <c r="AD96" s="66">
        <v>0.51</v>
      </c>
      <c r="AE96" s="12">
        <v>53</v>
      </c>
      <c r="AF96" s="12">
        <v>9</v>
      </c>
      <c r="AG96" s="66">
        <v>0.03</v>
      </c>
      <c r="AH96" s="66">
        <v>0.3</v>
      </c>
      <c r="AI96" s="66">
        <v>0.65</v>
      </c>
      <c r="AJ96" s="66">
        <v>0.03</v>
      </c>
      <c r="AK96" s="66">
        <v>0.53</v>
      </c>
      <c r="AL96" s="66">
        <v>0.47</v>
      </c>
      <c r="AM96" s="66">
        <v>0.27</v>
      </c>
      <c r="AN96" s="35">
        <v>55</v>
      </c>
      <c r="AO96" s="35">
        <v>10</v>
      </c>
      <c r="AP96" s="40">
        <v>0.03</v>
      </c>
      <c r="AQ96" s="40">
        <v>0.28999999999999998</v>
      </c>
      <c r="AR96" s="40">
        <v>0.64</v>
      </c>
      <c r="AS96" s="40">
        <v>0.03</v>
      </c>
      <c r="AT96" s="40">
        <v>0.22</v>
      </c>
      <c r="AU96" s="40">
        <v>0.44</v>
      </c>
      <c r="AV96" s="40">
        <v>0.49</v>
      </c>
      <c r="AW96" s="247">
        <v>56</v>
      </c>
      <c r="AX96" s="247" t="s">
        <v>874</v>
      </c>
      <c r="AY96" s="247">
        <v>10</v>
      </c>
      <c r="AZ96" s="247" t="s">
        <v>874</v>
      </c>
      <c r="BA96" s="264">
        <v>0.04</v>
      </c>
      <c r="BB96" s="264">
        <v>0.23</v>
      </c>
      <c r="BC96" s="264">
        <v>0.68</v>
      </c>
      <c r="BD96" s="264">
        <v>0.06</v>
      </c>
      <c r="BE96" s="264">
        <v>0.23</v>
      </c>
      <c r="BF96" s="264">
        <v>0.46</v>
      </c>
      <c r="BG96" s="264">
        <v>0.38</v>
      </c>
      <c r="BH96" s="311">
        <v>56</v>
      </c>
      <c r="BI96" s="311" t="s">
        <v>874</v>
      </c>
      <c r="BJ96" s="311">
        <v>11</v>
      </c>
      <c r="BK96" s="311" t="s">
        <v>874</v>
      </c>
      <c r="BL96" s="466"/>
      <c r="BM96" s="466"/>
      <c r="BN96" s="466"/>
      <c r="BO96" s="329">
        <v>0.03</v>
      </c>
      <c r="BP96" s="329">
        <v>0.3</v>
      </c>
      <c r="BQ96" s="329">
        <v>0.59</v>
      </c>
      <c r="BR96" s="329">
        <v>0.08</v>
      </c>
      <c r="BS96" s="329">
        <v>0.49</v>
      </c>
      <c r="BT96" s="329">
        <v>0.49</v>
      </c>
      <c r="BU96" s="480"/>
      <c r="BV96" s="480"/>
      <c r="BW96" s="480"/>
      <c r="BX96" s="329">
        <v>0.39</v>
      </c>
      <c r="BY96" s="426">
        <v>55</v>
      </c>
      <c r="BZ96" s="426" t="s">
        <v>874</v>
      </c>
      <c r="CA96" s="426">
        <v>11</v>
      </c>
      <c r="CB96" s="426" t="s">
        <v>874</v>
      </c>
      <c r="CC96" s="430">
        <v>0.03</v>
      </c>
      <c r="CD96" s="430">
        <v>0.38</v>
      </c>
      <c r="CE96" s="430">
        <v>0.53</v>
      </c>
      <c r="CF96" s="430">
        <v>0.06</v>
      </c>
      <c r="CG96" s="430">
        <v>0.59</v>
      </c>
      <c r="CH96" s="430">
        <v>0.28000000000000003</v>
      </c>
      <c r="CI96" s="430">
        <v>0.54</v>
      </c>
      <c r="CJ96" s="466">
        <v>54</v>
      </c>
      <c r="CK96" s="466" t="s">
        <v>874</v>
      </c>
      <c r="CL96" s="466">
        <v>8</v>
      </c>
      <c r="CM96" s="466" t="s">
        <v>874</v>
      </c>
      <c r="CN96" s="480">
        <v>0</v>
      </c>
      <c r="CO96" s="480">
        <v>0.31</v>
      </c>
      <c r="CP96" s="480">
        <v>0.64</v>
      </c>
      <c r="CQ96" s="480">
        <v>0.06</v>
      </c>
      <c r="CR96" s="480">
        <v>0.56000000000000005</v>
      </c>
      <c r="CS96" s="480">
        <v>0.52</v>
      </c>
      <c r="CT96" s="480">
        <v>0.41</v>
      </c>
    </row>
    <row r="97" spans="1:98" ht="24.95" customHeight="1" x14ac:dyDescent="0.2">
      <c r="A97" s="814" t="s">
        <v>77</v>
      </c>
      <c r="B97" s="1" t="s">
        <v>221</v>
      </c>
      <c r="C97" s="12">
        <v>2</v>
      </c>
      <c r="D97" s="12">
        <v>49</v>
      </c>
      <c r="E97" s="12">
        <v>11</v>
      </c>
      <c r="F97" s="66">
        <v>0.12</v>
      </c>
      <c r="G97" s="66">
        <v>0.47</v>
      </c>
      <c r="H97" s="66">
        <v>0.41</v>
      </c>
      <c r="I97" s="66">
        <v>0</v>
      </c>
      <c r="J97" s="66">
        <v>0.6</v>
      </c>
      <c r="K97" s="66">
        <v>0.44</v>
      </c>
      <c r="L97" s="66">
        <v>0.54</v>
      </c>
      <c r="M97" s="12">
        <v>44</v>
      </c>
      <c r="N97" s="12">
        <v>9</v>
      </c>
      <c r="O97" s="40">
        <v>0.24</v>
      </c>
      <c r="P97" s="40">
        <v>0.59</v>
      </c>
      <c r="Q97" s="40">
        <v>0.18</v>
      </c>
      <c r="R97" s="40">
        <v>0</v>
      </c>
      <c r="S97" s="40">
        <v>0.56999999999999995</v>
      </c>
      <c r="T97" s="40">
        <v>0.69</v>
      </c>
      <c r="U97" s="40">
        <v>0.51</v>
      </c>
      <c r="V97" s="12">
        <v>49</v>
      </c>
      <c r="W97" s="12">
        <v>10</v>
      </c>
      <c r="X97" s="66">
        <v>7.0000000000000007E-2</v>
      </c>
      <c r="Y97" s="66">
        <v>0.47</v>
      </c>
      <c r="Z97" s="66">
        <v>0.47</v>
      </c>
      <c r="AA97" s="66">
        <v>0</v>
      </c>
      <c r="AB97" s="66">
        <v>0.54</v>
      </c>
      <c r="AC97" s="66">
        <v>0.45</v>
      </c>
      <c r="AD97" s="66">
        <v>0.55000000000000004</v>
      </c>
      <c r="AE97" s="12">
        <v>50</v>
      </c>
      <c r="AF97" s="12">
        <v>10</v>
      </c>
      <c r="AG97" s="66">
        <v>0</v>
      </c>
      <c r="AH97" s="66">
        <v>0.45</v>
      </c>
      <c r="AI97" s="66">
        <v>0.55000000000000004</v>
      </c>
      <c r="AJ97" s="66">
        <v>0</v>
      </c>
      <c r="AK97" s="66">
        <v>0.56999999999999995</v>
      </c>
      <c r="AL97" s="66">
        <v>0.47</v>
      </c>
      <c r="AM97" s="66">
        <v>0.33</v>
      </c>
      <c r="AN97" s="35">
        <v>54</v>
      </c>
      <c r="AO97" s="35">
        <v>8</v>
      </c>
      <c r="AP97" s="40">
        <v>0</v>
      </c>
      <c r="AQ97" s="40">
        <v>0.28999999999999998</v>
      </c>
      <c r="AR97" s="40">
        <v>0.64</v>
      </c>
      <c r="AS97" s="40">
        <v>7.0000000000000007E-2</v>
      </c>
      <c r="AT97" s="40">
        <v>0.23</v>
      </c>
      <c r="AU97" s="40">
        <v>0.49</v>
      </c>
      <c r="AV97" s="40">
        <v>0.54</v>
      </c>
      <c r="AW97" s="247">
        <v>49</v>
      </c>
      <c r="AX97" s="247" t="s">
        <v>874</v>
      </c>
      <c r="AY97" s="247">
        <v>9</v>
      </c>
      <c r="AZ97" s="247" t="s">
        <v>874</v>
      </c>
      <c r="BA97" s="264">
        <v>0.14000000000000001</v>
      </c>
      <c r="BB97" s="264">
        <v>0.43</v>
      </c>
      <c r="BC97" s="264">
        <v>0.43</v>
      </c>
      <c r="BD97" s="264">
        <v>0</v>
      </c>
      <c r="BE97" s="264">
        <v>0.33</v>
      </c>
      <c r="BF97" s="264">
        <v>0.56999999999999995</v>
      </c>
      <c r="BG97" s="264">
        <v>0.49</v>
      </c>
      <c r="BH97" s="311">
        <v>53</v>
      </c>
      <c r="BI97" s="311" t="s">
        <v>874</v>
      </c>
      <c r="BJ97" s="311">
        <v>12</v>
      </c>
      <c r="BK97" s="311" t="s">
        <v>874</v>
      </c>
      <c r="BL97" s="466"/>
      <c r="BM97" s="466"/>
      <c r="BN97" s="466"/>
      <c r="BO97" s="329">
        <v>0</v>
      </c>
      <c r="BP97" s="329">
        <v>0.4</v>
      </c>
      <c r="BQ97" s="329">
        <v>0.5</v>
      </c>
      <c r="BR97" s="329">
        <v>0.1</v>
      </c>
      <c r="BS97" s="329">
        <v>0.52</v>
      </c>
      <c r="BT97" s="329">
        <v>0.6</v>
      </c>
      <c r="BU97" s="480"/>
      <c r="BV97" s="480"/>
      <c r="BW97" s="480"/>
      <c r="BX97" s="329">
        <v>0.35</v>
      </c>
      <c r="BY97" s="426">
        <v>49</v>
      </c>
      <c r="BZ97" s="426" t="s">
        <v>874</v>
      </c>
      <c r="CA97" s="426">
        <v>11</v>
      </c>
      <c r="CB97" s="426" t="s">
        <v>874</v>
      </c>
      <c r="CC97" s="430">
        <v>0.17</v>
      </c>
      <c r="CD97" s="430">
        <v>0.5</v>
      </c>
      <c r="CE97" s="430">
        <v>0.33</v>
      </c>
      <c r="CF97" s="430">
        <v>0</v>
      </c>
      <c r="CG97" s="430">
        <v>0.56999999999999995</v>
      </c>
      <c r="CH97" s="430">
        <v>0.57999999999999996</v>
      </c>
      <c r="CI97" s="430">
        <v>0.63</v>
      </c>
      <c r="CJ97" s="466">
        <v>54</v>
      </c>
      <c r="CK97" s="466" t="s">
        <v>874</v>
      </c>
      <c r="CL97" s="466">
        <v>10</v>
      </c>
      <c r="CM97" s="466" t="s">
        <v>874</v>
      </c>
      <c r="CN97" s="480">
        <v>0</v>
      </c>
      <c r="CO97" s="480">
        <v>0.28999999999999998</v>
      </c>
      <c r="CP97" s="480">
        <v>0.71</v>
      </c>
      <c r="CQ97" s="480">
        <v>0</v>
      </c>
      <c r="CR97" s="480">
        <v>0.55000000000000004</v>
      </c>
      <c r="CS97" s="480">
        <v>0.38</v>
      </c>
      <c r="CT97" s="480">
        <v>0.39</v>
      </c>
    </row>
    <row r="98" spans="1:98" ht="24.95" customHeight="1" x14ac:dyDescent="0.2">
      <c r="A98" s="814" t="s">
        <v>36</v>
      </c>
      <c r="B98" s="1" t="s">
        <v>219</v>
      </c>
      <c r="C98" s="12" t="s">
        <v>220</v>
      </c>
      <c r="D98" s="12">
        <v>52</v>
      </c>
      <c r="E98" s="12">
        <v>9</v>
      </c>
      <c r="F98" s="66">
        <v>0.05</v>
      </c>
      <c r="G98" s="66">
        <v>0.37</v>
      </c>
      <c r="H98" s="66">
        <v>0.56000000000000005</v>
      </c>
      <c r="I98" s="66">
        <v>0.02</v>
      </c>
      <c r="J98" s="66">
        <v>0.56000000000000005</v>
      </c>
      <c r="K98" s="66">
        <v>0.48</v>
      </c>
      <c r="L98" s="66">
        <v>0.52</v>
      </c>
      <c r="M98" s="12">
        <v>50</v>
      </c>
      <c r="N98" s="12">
        <v>9</v>
      </c>
      <c r="O98" s="40">
        <v>7.0000000000000007E-2</v>
      </c>
      <c r="P98" s="40">
        <v>0.48</v>
      </c>
      <c r="Q98" s="40">
        <v>0.45</v>
      </c>
      <c r="R98" s="40">
        <v>0</v>
      </c>
      <c r="S98" s="40">
        <v>0.53</v>
      </c>
      <c r="T98" s="40">
        <v>0.56999999999999995</v>
      </c>
      <c r="U98" s="40">
        <v>0.41</v>
      </c>
      <c r="V98" s="12">
        <v>53</v>
      </c>
      <c r="W98" s="12">
        <v>9</v>
      </c>
      <c r="X98" s="66">
        <v>0</v>
      </c>
      <c r="Y98" s="66">
        <v>0.47</v>
      </c>
      <c r="Z98" s="66">
        <v>0.47</v>
      </c>
      <c r="AA98" s="66">
        <v>0.06</v>
      </c>
      <c r="AB98" s="66">
        <v>0.47</v>
      </c>
      <c r="AC98" s="66">
        <v>0.36</v>
      </c>
      <c r="AD98" s="66">
        <v>0.54</v>
      </c>
      <c r="AE98" s="12">
        <v>54</v>
      </c>
      <c r="AF98" s="12">
        <v>9</v>
      </c>
      <c r="AG98" s="66">
        <v>0.02</v>
      </c>
      <c r="AH98" s="66">
        <v>0.27</v>
      </c>
      <c r="AI98" s="66">
        <v>0.69</v>
      </c>
      <c r="AJ98" s="66">
        <v>0.02</v>
      </c>
      <c r="AK98" s="66">
        <v>0.5</v>
      </c>
      <c r="AL98" s="66">
        <v>0.45</v>
      </c>
      <c r="AM98" s="66">
        <v>0.27</v>
      </c>
      <c r="AN98" s="35">
        <v>53</v>
      </c>
      <c r="AO98" s="35">
        <v>12</v>
      </c>
      <c r="AP98" s="40">
        <v>0.05</v>
      </c>
      <c r="AQ98" s="40">
        <v>0.39</v>
      </c>
      <c r="AR98" s="40">
        <v>0.45</v>
      </c>
      <c r="AS98" s="40">
        <v>0.11</v>
      </c>
      <c r="AT98" s="40">
        <v>0.26</v>
      </c>
      <c r="AU98" s="40">
        <v>0.47</v>
      </c>
      <c r="AV98" s="40">
        <v>0.5</v>
      </c>
      <c r="AW98" s="247">
        <v>52</v>
      </c>
      <c r="AX98" s="247" t="s">
        <v>874</v>
      </c>
      <c r="AY98" s="247">
        <v>10</v>
      </c>
      <c r="AZ98" s="247" t="s">
        <v>874</v>
      </c>
      <c r="BA98" s="264">
        <v>0.02</v>
      </c>
      <c r="BB98" s="264">
        <v>0.39</v>
      </c>
      <c r="BC98" s="264">
        <v>0.59</v>
      </c>
      <c r="BD98" s="264">
        <v>0</v>
      </c>
      <c r="BE98" s="264">
        <v>0.27</v>
      </c>
      <c r="BF98" s="264">
        <v>0.51</v>
      </c>
      <c r="BG98" s="264">
        <v>0.47</v>
      </c>
      <c r="BH98" s="311">
        <v>51</v>
      </c>
      <c r="BI98" s="311" t="s">
        <v>874</v>
      </c>
      <c r="BJ98" s="311">
        <v>11</v>
      </c>
      <c r="BK98" s="311" t="s">
        <v>874</v>
      </c>
      <c r="BL98" s="466"/>
      <c r="BM98" s="466"/>
      <c r="BN98" s="466"/>
      <c r="BO98" s="329">
        <v>0.05</v>
      </c>
      <c r="BP98" s="329">
        <v>0.45</v>
      </c>
      <c r="BQ98" s="329">
        <v>0.48</v>
      </c>
      <c r="BR98" s="329">
        <v>0.03</v>
      </c>
      <c r="BS98" s="329">
        <v>0.52</v>
      </c>
      <c r="BT98" s="329">
        <v>0.6</v>
      </c>
      <c r="BU98" s="480"/>
      <c r="BV98" s="480"/>
      <c r="BW98" s="480"/>
      <c r="BX98" s="329">
        <v>0.38</v>
      </c>
      <c r="BY98" s="426">
        <v>50</v>
      </c>
      <c r="BZ98" s="426" t="s">
        <v>874</v>
      </c>
      <c r="CA98" s="426">
        <v>11</v>
      </c>
      <c r="CB98" s="426" t="s">
        <v>874</v>
      </c>
      <c r="CC98" s="430">
        <v>0.08</v>
      </c>
      <c r="CD98" s="430">
        <v>0.4</v>
      </c>
      <c r="CE98" s="430">
        <v>0.52</v>
      </c>
      <c r="CF98" s="430">
        <v>0</v>
      </c>
      <c r="CG98" s="430">
        <v>0.62</v>
      </c>
      <c r="CH98" s="430">
        <v>0.45</v>
      </c>
      <c r="CI98" s="430">
        <v>0.61</v>
      </c>
      <c r="CJ98" s="466">
        <v>51</v>
      </c>
      <c r="CK98" s="466" t="s">
        <v>874</v>
      </c>
      <c r="CL98" s="466">
        <v>10</v>
      </c>
      <c r="CM98" s="466" t="s">
        <v>874</v>
      </c>
      <c r="CN98" s="480">
        <v>0.04</v>
      </c>
      <c r="CO98" s="480">
        <v>0.47</v>
      </c>
      <c r="CP98" s="480">
        <v>0.47</v>
      </c>
      <c r="CQ98" s="480">
        <v>0.02</v>
      </c>
      <c r="CR98" s="480">
        <v>0.62</v>
      </c>
      <c r="CS98" s="480">
        <v>0.56000000000000005</v>
      </c>
      <c r="CT98" s="480">
        <v>0.41</v>
      </c>
    </row>
    <row r="99" spans="1:98" ht="24.95" customHeight="1" x14ac:dyDescent="0.2">
      <c r="A99" s="814" t="s">
        <v>225</v>
      </c>
      <c r="B99" s="1" t="s">
        <v>221</v>
      </c>
      <c r="C99" s="12">
        <v>4</v>
      </c>
      <c r="D99" s="12"/>
      <c r="E99" s="12"/>
      <c r="F99" s="12"/>
      <c r="G99" s="12"/>
      <c r="H99" s="12"/>
      <c r="I99" s="12"/>
      <c r="J99" s="12"/>
      <c r="K99" s="12"/>
      <c r="L99" s="12"/>
      <c r="M99" s="12">
        <v>66</v>
      </c>
      <c r="N99" s="12">
        <v>0</v>
      </c>
      <c r="O99" s="40">
        <v>0</v>
      </c>
      <c r="P99" s="40">
        <v>0</v>
      </c>
      <c r="Q99" s="40">
        <v>1</v>
      </c>
      <c r="R99" s="40">
        <v>0</v>
      </c>
      <c r="S99" s="40">
        <v>0.5</v>
      </c>
      <c r="T99" s="40">
        <v>0.39</v>
      </c>
      <c r="U99" s="40">
        <v>0</v>
      </c>
      <c r="V99" s="12" t="s">
        <v>224</v>
      </c>
      <c r="W99" s="12" t="s">
        <v>224</v>
      </c>
      <c r="X99" s="12"/>
      <c r="Y99" s="12"/>
      <c r="Z99" s="12"/>
      <c r="AA99" s="12"/>
      <c r="AB99" s="12"/>
      <c r="AC99" s="12"/>
      <c r="AD99" s="12"/>
      <c r="AE99" s="12" t="s">
        <v>224</v>
      </c>
      <c r="AF99" s="12" t="s">
        <v>224</v>
      </c>
      <c r="AG99" s="12"/>
      <c r="AH99" s="12"/>
      <c r="AI99" s="12"/>
      <c r="AJ99" s="12"/>
      <c r="AK99" s="12"/>
      <c r="AL99" s="12"/>
      <c r="AM99" s="12"/>
      <c r="AN99" s="41"/>
      <c r="AO99" s="41"/>
      <c r="AP99" s="41"/>
      <c r="AQ99" s="41"/>
      <c r="AR99" s="41"/>
      <c r="AS99" s="41"/>
      <c r="AT99" s="41"/>
      <c r="AU99" s="41"/>
      <c r="AV99" s="41"/>
      <c r="AW99" s="652"/>
      <c r="AX99" s="652"/>
      <c r="AY99" s="652"/>
      <c r="AZ99" s="652"/>
      <c r="BA99" s="652"/>
      <c r="BB99" s="652"/>
      <c r="BC99" s="652"/>
      <c r="BD99" s="652"/>
      <c r="BE99" s="652"/>
      <c r="BF99" s="652"/>
      <c r="BG99" s="652"/>
      <c r="BH99" s="655"/>
      <c r="BI99" s="655"/>
      <c r="BJ99" s="655"/>
      <c r="BK99" s="655"/>
      <c r="BL99" s="656"/>
      <c r="BM99" s="656"/>
      <c r="BN99" s="656"/>
      <c r="BO99" s="655"/>
      <c r="BP99" s="655"/>
      <c r="BQ99" s="655"/>
      <c r="BR99" s="655"/>
      <c r="BS99" s="655"/>
      <c r="BT99" s="655"/>
      <c r="BU99" s="656"/>
      <c r="BV99" s="656"/>
      <c r="BW99" s="656"/>
      <c r="BX99" s="655"/>
      <c r="BY99" s="657"/>
      <c r="BZ99" s="657"/>
      <c r="CA99" s="657"/>
      <c r="CB99" s="657"/>
      <c r="CC99" s="657"/>
      <c r="CD99" s="657"/>
      <c r="CE99" s="657"/>
      <c r="CF99" s="657"/>
      <c r="CG99" s="657"/>
      <c r="CH99" s="657"/>
      <c r="CI99" s="657"/>
      <c r="CJ99" s="656"/>
      <c r="CK99" s="656"/>
      <c r="CL99" s="656"/>
      <c r="CM99" s="656"/>
      <c r="CN99" s="656"/>
      <c r="CO99" s="656"/>
      <c r="CP99" s="656"/>
      <c r="CQ99" s="656"/>
      <c r="CR99" s="648"/>
      <c r="CS99" s="656"/>
      <c r="CT99" s="656"/>
    </row>
    <row r="100" spans="1:98" ht="24.95" customHeight="1" x14ac:dyDescent="0.2">
      <c r="A100" s="814" t="s">
        <v>92</v>
      </c>
      <c r="B100" s="1" t="s">
        <v>219</v>
      </c>
      <c r="C100" s="12">
        <v>1</v>
      </c>
      <c r="D100" s="12">
        <v>51</v>
      </c>
      <c r="E100" s="12">
        <v>10</v>
      </c>
      <c r="F100" s="66">
        <v>7.0000000000000007E-2</v>
      </c>
      <c r="G100" s="66">
        <v>0.44</v>
      </c>
      <c r="H100" s="66">
        <v>0.48</v>
      </c>
      <c r="I100" s="66">
        <v>0.01</v>
      </c>
      <c r="J100" s="66">
        <v>0.55000000000000004</v>
      </c>
      <c r="K100" s="66">
        <v>0.46</v>
      </c>
      <c r="L100" s="66">
        <v>0.55000000000000004</v>
      </c>
      <c r="M100" s="12">
        <v>52</v>
      </c>
      <c r="N100" s="12">
        <v>9</v>
      </c>
      <c r="O100" s="40">
        <v>0.03</v>
      </c>
      <c r="P100" s="40">
        <v>0.38</v>
      </c>
      <c r="Q100" s="40">
        <v>0.56999999999999995</v>
      </c>
      <c r="R100" s="40">
        <v>0.01</v>
      </c>
      <c r="S100" s="40">
        <v>0.46</v>
      </c>
      <c r="T100" s="40">
        <v>0.56000000000000005</v>
      </c>
      <c r="U100" s="40">
        <v>0.36</v>
      </c>
      <c r="V100" s="12">
        <v>52</v>
      </c>
      <c r="W100" s="12">
        <v>9</v>
      </c>
      <c r="X100" s="66">
        <v>0.04</v>
      </c>
      <c r="Y100" s="66">
        <v>0.38</v>
      </c>
      <c r="Z100" s="66">
        <v>0.57999999999999996</v>
      </c>
      <c r="AA100" s="66">
        <v>0.01</v>
      </c>
      <c r="AB100" s="66">
        <v>0.48</v>
      </c>
      <c r="AC100" s="66">
        <v>0.37</v>
      </c>
      <c r="AD100" s="66">
        <v>0.53</v>
      </c>
      <c r="AE100" s="12">
        <v>52</v>
      </c>
      <c r="AF100" s="12">
        <v>10</v>
      </c>
      <c r="AG100" s="66">
        <v>0.05</v>
      </c>
      <c r="AH100" s="66">
        <v>0.36</v>
      </c>
      <c r="AI100" s="66">
        <v>0.57999999999999996</v>
      </c>
      <c r="AJ100" s="66">
        <v>0.02</v>
      </c>
      <c r="AK100" s="66">
        <v>0.53</v>
      </c>
      <c r="AL100" s="66">
        <v>0.48</v>
      </c>
      <c r="AM100" s="66">
        <v>0.28999999999999998</v>
      </c>
      <c r="AN100" s="45">
        <v>52</v>
      </c>
      <c r="AO100" s="45">
        <v>10</v>
      </c>
      <c r="AP100" s="46">
        <v>0.06</v>
      </c>
      <c r="AQ100" s="46">
        <v>0.38</v>
      </c>
      <c r="AR100" s="46">
        <v>0.53</v>
      </c>
      <c r="AS100" s="46">
        <v>0.04</v>
      </c>
      <c r="AT100" s="46">
        <v>0.28000000000000003</v>
      </c>
      <c r="AU100" s="46">
        <v>0.51</v>
      </c>
      <c r="AV100" s="46">
        <v>0.53</v>
      </c>
      <c r="AW100" s="653">
        <v>52</v>
      </c>
      <c r="AX100" s="653" t="s">
        <v>874</v>
      </c>
      <c r="AY100" s="653">
        <v>8</v>
      </c>
      <c r="AZ100" s="653" t="s">
        <v>874</v>
      </c>
      <c r="BA100" s="654">
        <v>0.02</v>
      </c>
      <c r="BB100" s="654">
        <v>0.41</v>
      </c>
      <c r="BC100" s="654">
        <v>0.56000000000000005</v>
      </c>
      <c r="BD100" s="654">
        <v>0.01</v>
      </c>
      <c r="BE100" s="654">
        <v>0.28999999999999998</v>
      </c>
      <c r="BF100" s="654">
        <v>0.51</v>
      </c>
      <c r="BG100" s="654">
        <v>0.48</v>
      </c>
      <c r="BH100" s="74">
        <v>50</v>
      </c>
      <c r="BI100" s="74" t="s">
        <v>874</v>
      </c>
      <c r="BJ100" s="74">
        <v>9</v>
      </c>
      <c r="BK100" s="74" t="s">
        <v>874</v>
      </c>
      <c r="BL100" s="74"/>
      <c r="BM100" s="74"/>
      <c r="BN100" s="74"/>
      <c r="BO100" s="96">
        <v>0.05</v>
      </c>
      <c r="BP100" s="96">
        <v>0.42</v>
      </c>
      <c r="BQ100" s="96">
        <v>0.52</v>
      </c>
      <c r="BR100" s="96">
        <v>0.01</v>
      </c>
      <c r="BS100" s="96">
        <v>0.56000000000000005</v>
      </c>
      <c r="BT100" s="96">
        <v>0.61</v>
      </c>
      <c r="BU100" s="96"/>
      <c r="BV100" s="96"/>
      <c r="BW100" s="96"/>
      <c r="BX100" s="96">
        <v>0.42</v>
      </c>
      <c r="BY100" s="658">
        <v>50</v>
      </c>
      <c r="BZ100" s="658" t="s">
        <v>874</v>
      </c>
      <c r="CA100" s="658">
        <v>10</v>
      </c>
      <c r="CB100" s="658" t="s">
        <v>874</v>
      </c>
      <c r="CC100" s="659">
        <v>0.08</v>
      </c>
      <c r="CD100" s="659">
        <v>0.45</v>
      </c>
      <c r="CE100" s="659">
        <v>0.45</v>
      </c>
      <c r="CF100" s="659">
        <v>0.02</v>
      </c>
      <c r="CG100" s="659">
        <v>0.64</v>
      </c>
      <c r="CH100" s="659">
        <v>0.43</v>
      </c>
      <c r="CI100" s="659">
        <v>0.62</v>
      </c>
      <c r="CJ100" s="74">
        <v>52</v>
      </c>
      <c r="CK100" s="74" t="s">
        <v>874</v>
      </c>
      <c r="CL100" s="74">
        <v>11</v>
      </c>
      <c r="CM100" s="74" t="s">
        <v>874</v>
      </c>
      <c r="CN100" s="96">
        <v>0.06</v>
      </c>
      <c r="CO100" s="96">
        <v>0.41</v>
      </c>
      <c r="CP100" s="96">
        <v>0.46</v>
      </c>
      <c r="CQ100" s="96">
        <v>0.06</v>
      </c>
      <c r="CR100" s="661">
        <v>0.55000000000000004</v>
      </c>
      <c r="CS100" s="96">
        <v>0.54</v>
      </c>
      <c r="CT100" s="96">
        <v>0.44</v>
      </c>
    </row>
    <row r="101" spans="1:98" ht="24.95" customHeight="1" x14ac:dyDescent="0.2">
      <c r="A101" s="814" t="s">
        <v>27</v>
      </c>
      <c r="B101" s="1" t="s">
        <v>219</v>
      </c>
      <c r="C101" s="12">
        <v>6</v>
      </c>
      <c r="D101" s="12">
        <v>51</v>
      </c>
      <c r="E101" s="12">
        <v>9</v>
      </c>
      <c r="F101" s="66">
        <v>0.02</v>
      </c>
      <c r="G101" s="66">
        <v>0.52</v>
      </c>
      <c r="H101" s="66">
        <v>0.46</v>
      </c>
      <c r="I101" s="66">
        <v>0</v>
      </c>
      <c r="J101" s="66">
        <v>0.53</v>
      </c>
      <c r="K101" s="66">
        <v>0.49</v>
      </c>
      <c r="L101" s="66">
        <v>0.53</v>
      </c>
      <c r="M101" s="12">
        <v>50</v>
      </c>
      <c r="N101" s="12">
        <v>10</v>
      </c>
      <c r="O101" s="40">
        <v>0.08</v>
      </c>
      <c r="P101" s="40">
        <v>0.43</v>
      </c>
      <c r="Q101" s="40">
        <v>0.48</v>
      </c>
      <c r="R101" s="40">
        <v>0.01</v>
      </c>
      <c r="S101" s="40">
        <v>0.49</v>
      </c>
      <c r="T101" s="40">
        <v>0.57999999999999996</v>
      </c>
      <c r="U101" s="40">
        <v>0.38</v>
      </c>
      <c r="V101" s="12">
        <v>49</v>
      </c>
      <c r="W101" s="12">
        <v>9</v>
      </c>
      <c r="X101" s="66">
        <v>0.06</v>
      </c>
      <c r="Y101" s="66">
        <v>0.54</v>
      </c>
      <c r="Z101" s="66">
        <v>0.41</v>
      </c>
      <c r="AA101" s="66">
        <v>0</v>
      </c>
      <c r="AB101" s="66">
        <v>0.54</v>
      </c>
      <c r="AC101" s="66">
        <v>0.41</v>
      </c>
      <c r="AD101" s="66">
        <v>0.56999999999999995</v>
      </c>
      <c r="AE101" s="12">
        <v>51</v>
      </c>
      <c r="AF101" s="12">
        <v>10</v>
      </c>
      <c r="AG101" s="66">
        <v>0.05</v>
      </c>
      <c r="AH101" s="66">
        <v>0.41</v>
      </c>
      <c r="AI101" s="66">
        <v>0.53</v>
      </c>
      <c r="AJ101" s="66">
        <v>0.02</v>
      </c>
      <c r="AK101" s="66">
        <v>0.54</v>
      </c>
      <c r="AL101" s="66">
        <v>0.49</v>
      </c>
      <c r="AM101" s="66">
        <v>0.31</v>
      </c>
      <c r="AN101" s="35">
        <v>52</v>
      </c>
      <c r="AO101" s="35">
        <v>9</v>
      </c>
      <c r="AP101" s="40">
        <v>0.03</v>
      </c>
      <c r="AQ101" s="40">
        <v>0.39</v>
      </c>
      <c r="AR101" s="40">
        <v>0.56000000000000005</v>
      </c>
      <c r="AS101" s="40">
        <v>0.02</v>
      </c>
      <c r="AT101" s="40">
        <v>0.28000000000000003</v>
      </c>
      <c r="AU101" s="40">
        <v>0.49</v>
      </c>
      <c r="AV101" s="40">
        <v>0.54</v>
      </c>
      <c r="AW101" s="247">
        <v>50</v>
      </c>
      <c r="AX101" s="247" t="s">
        <v>874</v>
      </c>
      <c r="AY101" s="247">
        <v>9</v>
      </c>
      <c r="AZ101" s="247" t="s">
        <v>874</v>
      </c>
      <c r="BA101" s="264">
        <v>0.05</v>
      </c>
      <c r="BB101" s="264">
        <v>0.52</v>
      </c>
      <c r="BC101" s="264">
        <v>0.42</v>
      </c>
      <c r="BD101" s="264">
        <v>0.02</v>
      </c>
      <c r="BE101" s="264">
        <v>0.32</v>
      </c>
      <c r="BF101" s="264">
        <v>0.54</v>
      </c>
      <c r="BG101" s="264">
        <v>0.51</v>
      </c>
      <c r="BH101" s="311">
        <v>50</v>
      </c>
      <c r="BI101" s="311" t="s">
        <v>874</v>
      </c>
      <c r="BJ101" s="311">
        <v>10</v>
      </c>
      <c r="BK101" s="311" t="s">
        <v>874</v>
      </c>
      <c r="BL101" s="466"/>
      <c r="BM101" s="466"/>
      <c r="BN101" s="466"/>
      <c r="BO101" s="329">
        <v>0.08</v>
      </c>
      <c r="BP101" s="329">
        <v>0.49</v>
      </c>
      <c r="BQ101" s="329">
        <v>0.43</v>
      </c>
      <c r="BR101" s="329">
        <v>0.01</v>
      </c>
      <c r="BS101" s="329">
        <v>0.55000000000000004</v>
      </c>
      <c r="BT101" s="329">
        <v>0.59</v>
      </c>
      <c r="BU101" s="480"/>
      <c r="BV101" s="480"/>
      <c r="BW101" s="480"/>
      <c r="BX101" s="329">
        <v>0.42</v>
      </c>
      <c r="BY101" s="426">
        <v>50</v>
      </c>
      <c r="BZ101" s="426" t="s">
        <v>874</v>
      </c>
      <c r="CA101" s="426">
        <v>10</v>
      </c>
      <c r="CB101" s="426" t="s">
        <v>874</v>
      </c>
      <c r="CC101" s="430">
        <v>0.08</v>
      </c>
      <c r="CD101" s="430">
        <v>0.49</v>
      </c>
      <c r="CE101" s="430">
        <v>0.4</v>
      </c>
      <c r="CF101" s="430">
        <v>0.04</v>
      </c>
      <c r="CG101" s="430">
        <v>0.67</v>
      </c>
      <c r="CH101" s="430">
        <v>0.44</v>
      </c>
      <c r="CI101" s="430">
        <v>0.6</v>
      </c>
      <c r="CJ101" s="466">
        <v>51</v>
      </c>
      <c r="CK101" s="466" t="s">
        <v>874</v>
      </c>
      <c r="CL101" s="466">
        <v>10</v>
      </c>
      <c r="CM101" s="466" t="s">
        <v>874</v>
      </c>
      <c r="CN101" s="480">
        <v>0.06</v>
      </c>
      <c r="CO101" s="480">
        <v>0.41</v>
      </c>
      <c r="CP101" s="480">
        <v>0.49</v>
      </c>
      <c r="CQ101" s="480">
        <v>0.03</v>
      </c>
      <c r="CR101" s="480">
        <v>0.62</v>
      </c>
      <c r="CS101" s="480">
        <v>0.57999999999999996</v>
      </c>
      <c r="CT101" s="480">
        <v>0.41</v>
      </c>
    </row>
    <row r="102" spans="1:98" ht="24.95" customHeight="1" x14ac:dyDescent="0.2">
      <c r="A102" s="814" t="s">
        <v>147</v>
      </c>
      <c r="B102" s="1" t="s">
        <v>219</v>
      </c>
      <c r="C102" s="12">
        <v>5</v>
      </c>
      <c r="D102" s="12">
        <v>53</v>
      </c>
      <c r="E102" s="12">
        <v>9</v>
      </c>
      <c r="F102" s="66">
        <v>0.03</v>
      </c>
      <c r="G102" s="66">
        <v>0.35</v>
      </c>
      <c r="H102" s="66">
        <v>0.6</v>
      </c>
      <c r="I102" s="66">
        <v>0.01</v>
      </c>
      <c r="J102" s="66">
        <v>0.51</v>
      </c>
      <c r="K102" s="66">
        <v>0.41</v>
      </c>
      <c r="L102" s="66">
        <v>0.5</v>
      </c>
      <c r="M102" s="12">
        <v>53</v>
      </c>
      <c r="N102" s="12">
        <v>10</v>
      </c>
      <c r="O102" s="40">
        <v>0.05</v>
      </c>
      <c r="P102" s="40">
        <v>0.34</v>
      </c>
      <c r="Q102" s="40">
        <v>0.57999999999999996</v>
      </c>
      <c r="R102" s="40">
        <v>0.03</v>
      </c>
      <c r="S102" s="40">
        <v>0.46</v>
      </c>
      <c r="T102" s="40">
        <v>0.53</v>
      </c>
      <c r="U102" s="40">
        <v>0.34</v>
      </c>
      <c r="V102" s="12">
        <v>51</v>
      </c>
      <c r="W102" s="12">
        <v>9</v>
      </c>
      <c r="X102" s="66">
        <v>0.05</v>
      </c>
      <c r="Y102" s="66">
        <v>0.45</v>
      </c>
      <c r="Z102" s="66">
        <v>0.49</v>
      </c>
      <c r="AA102" s="66">
        <v>0.02</v>
      </c>
      <c r="AB102" s="66">
        <v>0.51</v>
      </c>
      <c r="AC102" s="66">
        <v>0.38</v>
      </c>
      <c r="AD102" s="66">
        <v>0.52</v>
      </c>
      <c r="AE102" s="12">
        <v>54</v>
      </c>
      <c r="AF102" s="12">
        <v>9</v>
      </c>
      <c r="AG102" s="66">
        <v>0.02</v>
      </c>
      <c r="AH102" s="66">
        <v>0.35</v>
      </c>
      <c r="AI102" s="66">
        <v>0.6</v>
      </c>
      <c r="AJ102" s="66">
        <v>0.04</v>
      </c>
      <c r="AK102" s="66">
        <v>0.51</v>
      </c>
      <c r="AL102" s="66">
        <v>0.44</v>
      </c>
      <c r="AM102" s="66">
        <v>0.28000000000000003</v>
      </c>
      <c r="AN102" s="35">
        <v>53</v>
      </c>
      <c r="AO102" s="35">
        <v>8</v>
      </c>
      <c r="AP102" s="40">
        <v>0.02</v>
      </c>
      <c r="AQ102" s="40">
        <v>0.38</v>
      </c>
      <c r="AR102" s="40">
        <v>0.59</v>
      </c>
      <c r="AS102" s="40">
        <v>0.01</v>
      </c>
      <c r="AT102" s="40">
        <v>0.28000000000000003</v>
      </c>
      <c r="AU102" s="40">
        <v>0.5</v>
      </c>
      <c r="AV102" s="40">
        <v>0.5</v>
      </c>
      <c r="AW102" s="247">
        <v>51</v>
      </c>
      <c r="AX102" s="247" t="s">
        <v>874</v>
      </c>
      <c r="AY102" s="247">
        <v>10</v>
      </c>
      <c r="AZ102" s="247" t="s">
        <v>874</v>
      </c>
      <c r="BA102" s="264">
        <v>0.05</v>
      </c>
      <c r="BB102" s="264">
        <v>0.4</v>
      </c>
      <c r="BC102" s="264">
        <v>0.5</v>
      </c>
      <c r="BD102" s="264">
        <v>0.04</v>
      </c>
      <c r="BE102" s="264">
        <v>0.28000000000000003</v>
      </c>
      <c r="BF102" s="264">
        <v>0.51</v>
      </c>
      <c r="BG102" s="264">
        <v>0.47</v>
      </c>
      <c r="BH102" s="311">
        <v>52</v>
      </c>
      <c r="BI102" s="311" t="s">
        <v>874</v>
      </c>
      <c r="BJ102" s="311">
        <v>10</v>
      </c>
      <c r="BK102" s="311" t="s">
        <v>874</v>
      </c>
      <c r="BL102" s="466"/>
      <c r="BM102" s="466"/>
      <c r="BN102" s="466"/>
      <c r="BO102" s="329">
        <v>0.05</v>
      </c>
      <c r="BP102" s="329">
        <v>0.38</v>
      </c>
      <c r="BQ102" s="329">
        <v>0.56000000000000005</v>
      </c>
      <c r="BR102" s="329">
        <v>0.01</v>
      </c>
      <c r="BS102" s="329">
        <v>0.56000000000000005</v>
      </c>
      <c r="BT102" s="329">
        <v>0.57999999999999996</v>
      </c>
      <c r="BU102" s="480"/>
      <c r="BV102" s="480"/>
      <c r="BW102" s="480"/>
      <c r="BX102" s="329">
        <v>0.41</v>
      </c>
      <c r="BY102" s="426">
        <v>53</v>
      </c>
      <c r="BZ102" s="426" t="s">
        <v>874</v>
      </c>
      <c r="CA102" s="426">
        <v>10</v>
      </c>
      <c r="CB102" s="426" t="s">
        <v>874</v>
      </c>
      <c r="CC102" s="430">
        <v>7.0000000000000007E-2</v>
      </c>
      <c r="CD102" s="430">
        <v>0.31</v>
      </c>
      <c r="CE102" s="430">
        <v>0.56999999999999995</v>
      </c>
      <c r="CF102" s="430">
        <v>0.04</v>
      </c>
      <c r="CG102" s="430">
        <v>0.62</v>
      </c>
      <c r="CH102" s="430">
        <v>0.38</v>
      </c>
      <c r="CI102" s="430">
        <v>0.57999999999999996</v>
      </c>
      <c r="CJ102" s="466">
        <v>55</v>
      </c>
      <c r="CK102" s="466" t="s">
        <v>874</v>
      </c>
      <c r="CL102" s="466">
        <v>11</v>
      </c>
      <c r="CM102" s="466" t="s">
        <v>874</v>
      </c>
      <c r="CN102" s="480">
        <v>0.05</v>
      </c>
      <c r="CO102" s="480">
        <v>0.23</v>
      </c>
      <c r="CP102" s="480">
        <v>0.65</v>
      </c>
      <c r="CQ102" s="480">
        <v>0.08</v>
      </c>
      <c r="CR102" s="480">
        <v>0.51</v>
      </c>
      <c r="CS102" s="480">
        <v>0.46</v>
      </c>
      <c r="CT102" s="480">
        <v>0.38</v>
      </c>
    </row>
    <row r="103" spans="1:98" ht="24.95" customHeight="1" x14ac:dyDescent="0.2">
      <c r="A103" s="814" t="s">
        <v>112</v>
      </c>
      <c r="B103" s="1" t="s">
        <v>219</v>
      </c>
      <c r="C103" s="12">
        <v>4</v>
      </c>
      <c r="D103" s="12">
        <v>47</v>
      </c>
      <c r="E103" s="12">
        <v>9</v>
      </c>
      <c r="F103" s="66">
        <v>0.11</v>
      </c>
      <c r="G103" s="66">
        <v>0.56999999999999995</v>
      </c>
      <c r="H103" s="66">
        <v>0.3</v>
      </c>
      <c r="I103" s="66">
        <v>0.01</v>
      </c>
      <c r="J103" s="66">
        <v>0.61</v>
      </c>
      <c r="K103" s="66">
        <v>0.59</v>
      </c>
      <c r="L103" s="66">
        <v>0.57999999999999996</v>
      </c>
      <c r="M103" s="12">
        <v>50</v>
      </c>
      <c r="N103" s="12">
        <v>10</v>
      </c>
      <c r="O103" s="40">
        <v>7.0000000000000007E-2</v>
      </c>
      <c r="P103" s="40">
        <v>0.5</v>
      </c>
      <c r="Q103" s="40">
        <v>0.41</v>
      </c>
      <c r="R103" s="40">
        <v>0.02</v>
      </c>
      <c r="S103" s="40">
        <v>0.49</v>
      </c>
      <c r="T103" s="40">
        <v>0.56999999999999995</v>
      </c>
      <c r="U103" s="40">
        <v>0.4</v>
      </c>
      <c r="V103" s="12">
        <v>49</v>
      </c>
      <c r="W103" s="12">
        <v>11</v>
      </c>
      <c r="X103" s="66">
        <v>0.14000000000000001</v>
      </c>
      <c r="Y103" s="66">
        <v>0.39</v>
      </c>
      <c r="Z103" s="66">
        <v>0.45</v>
      </c>
      <c r="AA103" s="66">
        <v>0.03</v>
      </c>
      <c r="AB103" s="66">
        <v>0.52</v>
      </c>
      <c r="AC103" s="66">
        <v>0.43</v>
      </c>
      <c r="AD103" s="66">
        <v>0.56000000000000005</v>
      </c>
      <c r="AE103" s="12">
        <v>46</v>
      </c>
      <c r="AF103" s="12">
        <v>10</v>
      </c>
      <c r="AG103" s="66">
        <v>0.13</v>
      </c>
      <c r="AH103" s="66">
        <v>0.6</v>
      </c>
      <c r="AI103" s="66">
        <v>0.25</v>
      </c>
      <c r="AJ103" s="66">
        <v>0.02</v>
      </c>
      <c r="AK103" s="66">
        <v>0.62</v>
      </c>
      <c r="AL103" s="66">
        <v>0.56000000000000005</v>
      </c>
      <c r="AM103" s="66">
        <v>0.37</v>
      </c>
      <c r="AN103" s="35">
        <v>47</v>
      </c>
      <c r="AO103" s="35">
        <v>9</v>
      </c>
      <c r="AP103" s="40">
        <v>0.08</v>
      </c>
      <c r="AQ103" s="40">
        <v>0.52</v>
      </c>
      <c r="AR103" s="40">
        <v>0.4</v>
      </c>
      <c r="AS103" s="40">
        <v>0</v>
      </c>
      <c r="AT103" s="40">
        <v>0.36</v>
      </c>
      <c r="AU103" s="40">
        <v>0.59</v>
      </c>
      <c r="AV103" s="40">
        <v>0.6</v>
      </c>
      <c r="AW103" s="247">
        <v>45</v>
      </c>
      <c r="AX103" s="247" t="s">
        <v>874</v>
      </c>
      <c r="AY103" s="247">
        <v>10</v>
      </c>
      <c r="AZ103" s="247" t="s">
        <v>874</v>
      </c>
      <c r="BA103" s="264">
        <v>0.18</v>
      </c>
      <c r="BB103" s="264">
        <v>0.54</v>
      </c>
      <c r="BC103" s="264">
        <v>0.27</v>
      </c>
      <c r="BD103" s="264">
        <v>0.01</v>
      </c>
      <c r="BE103" s="264">
        <v>0.41</v>
      </c>
      <c r="BF103" s="264">
        <v>0.6</v>
      </c>
      <c r="BG103" s="264">
        <v>0.55000000000000004</v>
      </c>
      <c r="BH103" s="311">
        <v>47</v>
      </c>
      <c r="BI103" s="311" t="s">
        <v>874</v>
      </c>
      <c r="BJ103" s="311">
        <v>10</v>
      </c>
      <c r="BK103" s="311" t="s">
        <v>874</v>
      </c>
      <c r="BL103" s="466"/>
      <c r="BM103" s="466"/>
      <c r="BN103" s="466"/>
      <c r="BO103" s="329">
        <v>0.09</v>
      </c>
      <c r="BP103" s="329">
        <v>0.52</v>
      </c>
      <c r="BQ103" s="329">
        <v>0.38</v>
      </c>
      <c r="BR103" s="329">
        <v>0.01</v>
      </c>
      <c r="BS103" s="329">
        <v>0.59</v>
      </c>
      <c r="BT103" s="329">
        <v>0.69</v>
      </c>
      <c r="BU103" s="480"/>
      <c r="BV103" s="480"/>
      <c r="BW103" s="480"/>
      <c r="BX103" s="329">
        <v>0.48</v>
      </c>
      <c r="BY103" s="426">
        <v>47</v>
      </c>
      <c r="BZ103" s="426" t="s">
        <v>874</v>
      </c>
      <c r="CA103" s="426">
        <v>10</v>
      </c>
      <c r="CB103" s="426" t="s">
        <v>874</v>
      </c>
      <c r="CC103" s="430">
        <v>0.14000000000000001</v>
      </c>
      <c r="CD103" s="430">
        <v>0.52</v>
      </c>
      <c r="CE103" s="430">
        <v>0.32</v>
      </c>
      <c r="CF103" s="430">
        <v>0.02</v>
      </c>
      <c r="CG103" s="430">
        <v>0.68</v>
      </c>
      <c r="CH103" s="430">
        <v>0.46</v>
      </c>
      <c r="CI103" s="430">
        <v>0.59</v>
      </c>
      <c r="CJ103" s="466">
        <v>48</v>
      </c>
      <c r="CK103" s="466" t="s">
        <v>874</v>
      </c>
      <c r="CL103" s="466">
        <v>10</v>
      </c>
      <c r="CM103" s="466" t="s">
        <v>874</v>
      </c>
      <c r="CN103" s="480">
        <v>0.17</v>
      </c>
      <c r="CO103" s="480">
        <v>0.43</v>
      </c>
      <c r="CP103" s="480">
        <v>0.41</v>
      </c>
      <c r="CQ103" s="480">
        <v>0</v>
      </c>
      <c r="CR103" s="480">
        <v>0.63</v>
      </c>
      <c r="CS103" s="480">
        <v>0.59</v>
      </c>
      <c r="CT103" s="480">
        <v>0.49</v>
      </c>
    </row>
    <row r="104" spans="1:98" ht="24.95" customHeight="1" x14ac:dyDescent="0.2">
      <c r="A104" s="814" t="s">
        <v>48</v>
      </c>
      <c r="B104" s="1" t="s">
        <v>219</v>
      </c>
      <c r="C104" s="12">
        <v>4</v>
      </c>
      <c r="D104" s="12">
        <v>48</v>
      </c>
      <c r="E104" s="12">
        <v>8</v>
      </c>
      <c r="F104" s="66">
        <v>0</v>
      </c>
      <c r="G104" s="66">
        <v>0.65</v>
      </c>
      <c r="H104" s="66">
        <v>0.35</v>
      </c>
      <c r="I104" s="66">
        <v>0</v>
      </c>
      <c r="J104" s="66">
        <v>0.6</v>
      </c>
      <c r="K104" s="66">
        <v>0.48</v>
      </c>
      <c r="L104" s="66">
        <v>0.65</v>
      </c>
      <c r="M104" s="12">
        <v>47</v>
      </c>
      <c r="N104" s="12">
        <v>10</v>
      </c>
      <c r="O104" s="40">
        <v>0.14000000000000001</v>
      </c>
      <c r="P104" s="40">
        <v>0.45</v>
      </c>
      <c r="Q104" s="40">
        <v>0.41</v>
      </c>
      <c r="R104" s="40">
        <v>0</v>
      </c>
      <c r="S104" s="40">
        <v>0.52</v>
      </c>
      <c r="T104" s="40">
        <v>0.6</v>
      </c>
      <c r="U104" s="40">
        <v>0.42</v>
      </c>
      <c r="V104" s="12">
        <v>50</v>
      </c>
      <c r="W104" s="12">
        <v>10</v>
      </c>
      <c r="X104" s="66">
        <v>0.1</v>
      </c>
      <c r="Y104" s="66">
        <v>0.41</v>
      </c>
      <c r="Z104" s="66">
        <v>0.48</v>
      </c>
      <c r="AA104" s="66">
        <v>0</v>
      </c>
      <c r="AB104" s="66">
        <v>0.51</v>
      </c>
      <c r="AC104" s="66">
        <v>0.41</v>
      </c>
      <c r="AD104" s="66">
        <v>0.55000000000000004</v>
      </c>
      <c r="AE104" s="12">
        <v>48</v>
      </c>
      <c r="AF104" s="12">
        <v>7</v>
      </c>
      <c r="AG104" s="66">
        <v>0.03</v>
      </c>
      <c r="AH104" s="66">
        <v>0.57999999999999996</v>
      </c>
      <c r="AI104" s="66">
        <v>0.39</v>
      </c>
      <c r="AJ104" s="66">
        <v>0</v>
      </c>
      <c r="AK104" s="66">
        <v>0.63</v>
      </c>
      <c r="AL104" s="66">
        <v>0.51</v>
      </c>
      <c r="AM104" s="66">
        <v>0.35</v>
      </c>
      <c r="AN104" s="35">
        <v>47</v>
      </c>
      <c r="AO104" s="35">
        <v>8</v>
      </c>
      <c r="AP104" s="40">
        <v>0.12</v>
      </c>
      <c r="AQ104" s="40">
        <v>0.52</v>
      </c>
      <c r="AR104" s="40">
        <v>0.36</v>
      </c>
      <c r="AS104" s="40">
        <v>0</v>
      </c>
      <c r="AT104" s="40">
        <v>0.36</v>
      </c>
      <c r="AU104" s="40">
        <v>0.57999999999999996</v>
      </c>
      <c r="AV104" s="40">
        <v>0.56000000000000005</v>
      </c>
      <c r="AW104" s="247">
        <v>47</v>
      </c>
      <c r="AX104" s="247" t="s">
        <v>874</v>
      </c>
      <c r="AY104" s="247">
        <v>8</v>
      </c>
      <c r="AZ104" s="247" t="s">
        <v>874</v>
      </c>
      <c r="BA104" s="264">
        <v>0.09</v>
      </c>
      <c r="BB104" s="264">
        <v>0.47</v>
      </c>
      <c r="BC104" s="264">
        <v>0.44</v>
      </c>
      <c r="BD104" s="264">
        <v>0</v>
      </c>
      <c r="BE104" s="264">
        <v>0.33</v>
      </c>
      <c r="BF104" s="264">
        <v>0.57999999999999996</v>
      </c>
      <c r="BG104" s="264">
        <v>0.56000000000000005</v>
      </c>
      <c r="BH104" s="311">
        <v>49</v>
      </c>
      <c r="BI104" s="311" t="s">
        <v>874</v>
      </c>
      <c r="BJ104" s="311">
        <v>9</v>
      </c>
      <c r="BK104" s="311" t="s">
        <v>874</v>
      </c>
      <c r="BL104" s="466"/>
      <c r="BM104" s="466"/>
      <c r="BN104" s="466"/>
      <c r="BO104" s="329">
        <v>0.06</v>
      </c>
      <c r="BP104" s="329">
        <v>0.52</v>
      </c>
      <c r="BQ104" s="329">
        <v>0.39</v>
      </c>
      <c r="BR104" s="329">
        <v>0.03</v>
      </c>
      <c r="BS104" s="329">
        <v>0.59</v>
      </c>
      <c r="BT104" s="329">
        <v>0.63</v>
      </c>
      <c r="BU104" s="480"/>
      <c r="BV104" s="480"/>
      <c r="BW104" s="480"/>
      <c r="BX104" s="329">
        <v>0.45</v>
      </c>
      <c r="BY104" s="426">
        <v>48</v>
      </c>
      <c r="BZ104" s="426" t="s">
        <v>874</v>
      </c>
      <c r="CA104" s="426">
        <v>10</v>
      </c>
      <c r="CB104" s="426" t="s">
        <v>874</v>
      </c>
      <c r="CC104" s="430">
        <v>7.0000000000000007E-2</v>
      </c>
      <c r="CD104" s="430">
        <v>0.54</v>
      </c>
      <c r="CE104" s="430">
        <v>0.36</v>
      </c>
      <c r="CF104" s="430">
        <v>0.04</v>
      </c>
      <c r="CG104" s="430">
        <v>0.66</v>
      </c>
      <c r="CH104" s="430">
        <v>0.42</v>
      </c>
      <c r="CI104" s="430">
        <v>0.67</v>
      </c>
      <c r="CJ104" s="466">
        <v>50</v>
      </c>
      <c r="CK104" s="466" t="s">
        <v>874</v>
      </c>
      <c r="CL104" s="466">
        <v>12</v>
      </c>
      <c r="CM104" s="466" t="s">
        <v>874</v>
      </c>
      <c r="CN104" s="480">
        <v>0.15</v>
      </c>
      <c r="CO104" s="480">
        <v>0.32</v>
      </c>
      <c r="CP104" s="480">
        <v>0.47</v>
      </c>
      <c r="CQ104" s="480">
        <v>0.06</v>
      </c>
      <c r="CR104" s="480">
        <v>0.61</v>
      </c>
      <c r="CS104" s="480">
        <v>0.56000000000000005</v>
      </c>
      <c r="CT104" s="480">
        <v>0.44</v>
      </c>
    </row>
    <row r="105" spans="1:98" ht="24.95" customHeight="1" x14ac:dyDescent="0.2">
      <c r="A105" s="814" t="s">
        <v>890</v>
      </c>
      <c r="B105" s="1" t="s">
        <v>219</v>
      </c>
      <c r="C105" s="12">
        <v>3</v>
      </c>
      <c r="D105" s="12">
        <v>52</v>
      </c>
      <c r="E105" s="12">
        <v>8</v>
      </c>
      <c r="F105" s="66">
        <v>0.02</v>
      </c>
      <c r="G105" s="66">
        <v>0.43</v>
      </c>
      <c r="H105" s="66">
        <v>0.54</v>
      </c>
      <c r="I105" s="66">
        <v>0.01</v>
      </c>
      <c r="J105" s="66">
        <v>0.48</v>
      </c>
      <c r="K105" s="66">
        <v>0.55000000000000004</v>
      </c>
      <c r="L105" s="66">
        <v>0.56000000000000005</v>
      </c>
      <c r="M105" s="12">
        <v>51</v>
      </c>
      <c r="N105" s="12">
        <v>9</v>
      </c>
      <c r="O105" s="40">
        <v>0.05</v>
      </c>
      <c r="P105" s="40">
        <v>0.38</v>
      </c>
      <c r="Q105" s="40">
        <v>0.56000000000000005</v>
      </c>
      <c r="R105" s="40">
        <v>0</v>
      </c>
      <c r="S105" s="40">
        <v>0.48</v>
      </c>
      <c r="T105" s="40">
        <v>0.57999999999999996</v>
      </c>
      <c r="U105" s="40">
        <v>0.38</v>
      </c>
      <c r="V105" s="12">
        <v>52</v>
      </c>
      <c r="W105" s="12">
        <v>9</v>
      </c>
      <c r="X105" s="66">
        <v>0.03</v>
      </c>
      <c r="Y105" s="66">
        <v>0.36</v>
      </c>
      <c r="Z105" s="66">
        <v>0.6</v>
      </c>
      <c r="AA105" s="66">
        <v>0.01</v>
      </c>
      <c r="AB105" s="66">
        <v>0.5</v>
      </c>
      <c r="AC105" s="66">
        <v>0.39</v>
      </c>
      <c r="AD105" s="66">
        <v>0.52</v>
      </c>
      <c r="AE105" s="12">
        <v>51</v>
      </c>
      <c r="AF105" s="12">
        <v>10</v>
      </c>
      <c r="AG105" s="66">
        <v>7.0000000000000007E-2</v>
      </c>
      <c r="AH105" s="66">
        <v>0.41</v>
      </c>
      <c r="AI105" s="66">
        <v>0.51</v>
      </c>
      <c r="AJ105" s="66">
        <v>0.01</v>
      </c>
      <c r="AK105" s="66">
        <v>0.54</v>
      </c>
      <c r="AL105" s="66">
        <v>0.49</v>
      </c>
      <c r="AM105" s="66">
        <v>0.32</v>
      </c>
      <c r="AN105" s="35">
        <v>53</v>
      </c>
      <c r="AO105" s="35">
        <v>9</v>
      </c>
      <c r="AP105" s="40">
        <v>0.03</v>
      </c>
      <c r="AQ105" s="40">
        <v>0.33</v>
      </c>
      <c r="AR105" s="40">
        <v>0.6</v>
      </c>
      <c r="AS105" s="40">
        <v>0.04</v>
      </c>
      <c r="AT105" s="40">
        <v>0.27</v>
      </c>
      <c r="AU105" s="40">
        <v>0.5</v>
      </c>
      <c r="AV105" s="40">
        <v>0.52</v>
      </c>
      <c r="AW105" s="247">
        <v>51</v>
      </c>
      <c r="AX105" s="247" t="s">
        <v>874</v>
      </c>
      <c r="AY105" s="247">
        <v>9</v>
      </c>
      <c r="AZ105" s="247" t="s">
        <v>874</v>
      </c>
      <c r="BA105" s="264">
        <v>0.05</v>
      </c>
      <c r="BB105" s="264">
        <v>0.43</v>
      </c>
      <c r="BC105" s="264">
        <v>0.51</v>
      </c>
      <c r="BD105" s="264">
        <v>0.01</v>
      </c>
      <c r="BE105" s="264">
        <v>0.31</v>
      </c>
      <c r="BF105" s="264">
        <v>0.52</v>
      </c>
      <c r="BG105" s="264">
        <v>0.49</v>
      </c>
      <c r="BH105" s="311">
        <v>54</v>
      </c>
      <c r="BI105" s="311" t="s">
        <v>874</v>
      </c>
      <c r="BJ105" s="311">
        <v>10</v>
      </c>
      <c r="BK105" s="311" t="s">
        <v>874</v>
      </c>
      <c r="BL105" s="466"/>
      <c r="BM105" s="466"/>
      <c r="BN105" s="466"/>
      <c r="BO105" s="329">
        <v>0.03</v>
      </c>
      <c r="BP105" s="329">
        <v>0.28999999999999998</v>
      </c>
      <c r="BQ105" s="329">
        <v>0.63</v>
      </c>
      <c r="BR105" s="329">
        <v>0.05</v>
      </c>
      <c r="BS105" s="329">
        <v>0.49</v>
      </c>
      <c r="BT105" s="329">
        <v>0.57999999999999996</v>
      </c>
      <c r="BU105" s="480"/>
      <c r="BV105" s="480"/>
      <c r="BW105" s="480"/>
      <c r="BX105" s="329">
        <v>0.36</v>
      </c>
      <c r="BY105" s="426">
        <v>53</v>
      </c>
      <c r="BZ105" s="426" t="s">
        <v>874</v>
      </c>
      <c r="CA105" s="426">
        <v>11</v>
      </c>
      <c r="CB105" s="426" t="s">
        <v>874</v>
      </c>
      <c r="CC105" s="430">
        <v>7.0000000000000007E-2</v>
      </c>
      <c r="CD105" s="430">
        <v>0.34</v>
      </c>
      <c r="CE105" s="430">
        <v>0.54</v>
      </c>
      <c r="CF105" s="430">
        <v>0.05</v>
      </c>
      <c r="CG105" s="430">
        <v>0.57999999999999996</v>
      </c>
      <c r="CH105" s="430">
        <v>0.38</v>
      </c>
      <c r="CI105" s="430">
        <v>0.59</v>
      </c>
      <c r="CJ105" s="466">
        <v>55</v>
      </c>
      <c r="CK105" s="466" t="s">
        <v>874</v>
      </c>
      <c r="CL105" s="466">
        <v>10</v>
      </c>
      <c r="CM105" s="466" t="s">
        <v>874</v>
      </c>
      <c r="CN105" s="480">
        <v>0.02</v>
      </c>
      <c r="CO105" s="480">
        <v>0.33</v>
      </c>
      <c r="CP105" s="480">
        <v>0.57999999999999996</v>
      </c>
      <c r="CQ105" s="480">
        <v>0.06</v>
      </c>
      <c r="CR105" s="480">
        <v>0.53</v>
      </c>
      <c r="CS105" s="480">
        <v>0.5</v>
      </c>
      <c r="CT105" s="480">
        <v>0.38</v>
      </c>
    </row>
    <row r="106" spans="1:98" ht="24.95" customHeight="1" x14ac:dyDescent="0.2">
      <c r="A106" s="814" t="s">
        <v>138</v>
      </c>
      <c r="B106" s="1" t="s">
        <v>219</v>
      </c>
      <c r="C106" s="12">
        <v>1</v>
      </c>
      <c r="D106" s="12">
        <v>53</v>
      </c>
      <c r="E106" s="12">
        <v>10</v>
      </c>
      <c r="F106" s="66">
        <v>0.04</v>
      </c>
      <c r="G106" s="66">
        <v>0.36</v>
      </c>
      <c r="H106" s="66">
        <v>0.56000000000000005</v>
      </c>
      <c r="I106" s="66">
        <v>0.05</v>
      </c>
      <c r="J106" s="66">
        <v>0.54</v>
      </c>
      <c r="K106" s="66">
        <v>0.51</v>
      </c>
      <c r="L106" s="66">
        <v>0.56999999999999995</v>
      </c>
      <c r="M106" s="12">
        <v>50</v>
      </c>
      <c r="N106" s="12">
        <v>9</v>
      </c>
      <c r="O106" s="40">
        <v>0.04</v>
      </c>
      <c r="P106" s="40">
        <v>0.47</v>
      </c>
      <c r="Q106" s="40">
        <v>0.46</v>
      </c>
      <c r="R106" s="40">
        <v>0.03</v>
      </c>
      <c r="S106" s="40">
        <v>0.51</v>
      </c>
      <c r="T106" s="40">
        <v>0.57999999999999996</v>
      </c>
      <c r="U106" s="40">
        <v>0.37</v>
      </c>
      <c r="V106" s="12">
        <v>49</v>
      </c>
      <c r="W106" s="12">
        <v>9</v>
      </c>
      <c r="X106" s="66">
        <v>0.04</v>
      </c>
      <c r="Y106" s="66">
        <v>0.49</v>
      </c>
      <c r="Z106" s="66">
        <v>0.46</v>
      </c>
      <c r="AA106" s="66">
        <v>0.01</v>
      </c>
      <c r="AB106" s="66">
        <v>0.54</v>
      </c>
      <c r="AC106" s="66">
        <v>0.4</v>
      </c>
      <c r="AD106" s="66">
        <v>0.57999999999999996</v>
      </c>
      <c r="AE106" s="12">
        <v>52</v>
      </c>
      <c r="AF106" s="12">
        <v>9</v>
      </c>
      <c r="AG106" s="66">
        <v>0.04</v>
      </c>
      <c r="AH106" s="66">
        <v>0.35</v>
      </c>
      <c r="AI106" s="66">
        <v>0.61</v>
      </c>
      <c r="AJ106" s="66">
        <v>0.01</v>
      </c>
      <c r="AK106" s="66">
        <v>0.55000000000000004</v>
      </c>
      <c r="AL106" s="66">
        <v>0.45</v>
      </c>
      <c r="AM106" s="66">
        <v>0.28999999999999998</v>
      </c>
      <c r="AN106" s="35">
        <v>51</v>
      </c>
      <c r="AO106" s="35">
        <v>9</v>
      </c>
      <c r="AP106" s="40">
        <v>0.05</v>
      </c>
      <c r="AQ106" s="40">
        <v>0.38</v>
      </c>
      <c r="AR106" s="40">
        <v>0.55000000000000004</v>
      </c>
      <c r="AS106" s="40">
        <v>0.02</v>
      </c>
      <c r="AT106" s="40">
        <v>0.3</v>
      </c>
      <c r="AU106" s="40">
        <v>0.51</v>
      </c>
      <c r="AV106" s="40">
        <v>0.54</v>
      </c>
      <c r="AW106" s="247">
        <v>51</v>
      </c>
      <c r="AX106" s="247" t="s">
        <v>874</v>
      </c>
      <c r="AY106" s="247">
        <v>8</v>
      </c>
      <c r="AZ106" s="247" t="s">
        <v>874</v>
      </c>
      <c r="BA106" s="264">
        <v>0.03</v>
      </c>
      <c r="BB106" s="264">
        <v>0.42</v>
      </c>
      <c r="BC106" s="264">
        <v>0.55000000000000004</v>
      </c>
      <c r="BD106" s="264">
        <v>0</v>
      </c>
      <c r="BE106" s="264">
        <v>0.28999999999999998</v>
      </c>
      <c r="BF106" s="264">
        <v>0.54</v>
      </c>
      <c r="BG106" s="264">
        <v>0.49</v>
      </c>
      <c r="BH106" s="311">
        <v>50</v>
      </c>
      <c r="BI106" s="311" t="s">
        <v>874</v>
      </c>
      <c r="BJ106" s="311">
        <v>9</v>
      </c>
      <c r="BK106" s="311" t="s">
        <v>874</v>
      </c>
      <c r="BL106" s="466"/>
      <c r="BM106" s="466"/>
      <c r="BN106" s="466"/>
      <c r="BO106" s="329">
        <v>0.06</v>
      </c>
      <c r="BP106" s="329">
        <v>0.39</v>
      </c>
      <c r="BQ106" s="329">
        <v>0.55000000000000004</v>
      </c>
      <c r="BR106" s="329">
        <v>0</v>
      </c>
      <c r="BS106" s="329">
        <v>0.54</v>
      </c>
      <c r="BT106" s="329">
        <v>0.64</v>
      </c>
      <c r="BU106" s="480"/>
      <c r="BV106" s="480"/>
      <c r="BW106" s="480"/>
      <c r="BX106" s="329">
        <v>0.43</v>
      </c>
      <c r="BY106" s="426">
        <v>52</v>
      </c>
      <c r="BZ106" s="426" t="s">
        <v>874</v>
      </c>
      <c r="CA106" s="426">
        <v>10</v>
      </c>
      <c r="CB106" s="426" t="s">
        <v>874</v>
      </c>
      <c r="CC106" s="430">
        <v>7.0000000000000007E-2</v>
      </c>
      <c r="CD106" s="430">
        <v>0.36</v>
      </c>
      <c r="CE106" s="430">
        <v>0.55000000000000004</v>
      </c>
      <c r="CF106" s="430">
        <v>0.02</v>
      </c>
      <c r="CG106" s="430">
        <v>0.59</v>
      </c>
      <c r="CH106" s="430">
        <v>0.35</v>
      </c>
      <c r="CI106" s="430">
        <v>0.59</v>
      </c>
      <c r="CJ106" s="466">
        <v>52</v>
      </c>
      <c r="CK106" s="466" t="s">
        <v>874</v>
      </c>
      <c r="CL106" s="466">
        <v>10</v>
      </c>
      <c r="CM106" s="466" t="s">
        <v>874</v>
      </c>
      <c r="CN106" s="480">
        <v>0.04</v>
      </c>
      <c r="CO106" s="480">
        <v>0.42</v>
      </c>
      <c r="CP106" s="480">
        <v>0.5</v>
      </c>
      <c r="CQ106" s="480">
        <v>0.05</v>
      </c>
      <c r="CR106" s="480">
        <v>0.56999999999999995</v>
      </c>
      <c r="CS106" s="480">
        <v>0.53</v>
      </c>
      <c r="CT106" s="480">
        <v>0.39</v>
      </c>
    </row>
    <row r="107" spans="1:98" ht="24.95" customHeight="1" x14ac:dyDescent="0.2">
      <c r="A107" s="820" t="s">
        <v>287</v>
      </c>
      <c r="B107" s="14" t="s">
        <v>219</v>
      </c>
      <c r="C107" s="12">
        <v>3</v>
      </c>
      <c r="D107" s="12">
        <v>50</v>
      </c>
      <c r="E107" s="12">
        <v>9</v>
      </c>
      <c r="F107" s="66">
        <v>0.04</v>
      </c>
      <c r="G107" s="66">
        <v>0.53</v>
      </c>
      <c r="H107" s="66">
        <v>0.42</v>
      </c>
      <c r="I107" s="66">
        <v>0.01</v>
      </c>
      <c r="J107" s="66">
        <v>0.56999999999999995</v>
      </c>
      <c r="K107" s="66">
        <v>0.51</v>
      </c>
      <c r="L107" s="66">
        <v>0.59</v>
      </c>
      <c r="M107" s="12">
        <v>50</v>
      </c>
      <c r="N107" s="12">
        <v>9</v>
      </c>
      <c r="O107" s="40">
        <v>0.06</v>
      </c>
      <c r="P107" s="40">
        <v>0.43</v>
      </c>
      <c r="Q107" s="40">
        <v>0.5</v>
      </c>
      <c r="R107" s="40">
        <v>0.01</v>
      </c>
      <c r="S107" s="40">
        <v>0.5</v>
      </c>
      <c r="T107" s="40">
        <v>0.59</v>
      </c>
      <c r="U107" s="40">
        <v>0.39</v>
      </c>
      <c r="V107" s="12">
        <v>51</v>
      </c>
      <c r="W107" s="12">
        <v>10</v>
      </c>
      <c r="X107" s="66">
        <v>0.05</v>
      </c>
      <c r="Y107" s="66">
        <v>0.45</v>
      </c>
      <c r="Z107" s="66">
        <v>0.48</v>
      </c>
      <c r="AA107" s="66">
        <v>0.01</v>
      </c>
      <c r="AB107" s="66">
        <v>0.52</v>
      </c>
      <c r="AC107" s="66">
        <v>0.4</v>
      </c>
      <c r="AD107" s="66">
        <v>0.53</v>
      </c>
      <c r="AE107" s="12">
        <v>51</v>
      </c>
      <c r="AF107" s="12">
        <v>9</v>
      </c>
      <c r="AG107" s="66">
        <v>0.06</v>
      </c>
      <c r="AH107" s="66">
        <v>0.41</v>
      </c>
      <c r="AI107" s="66">
        <v>0.53</v>
      </c>
      <c r="AJ107" s="66">
        <v>0.01</v>
      </c>
      <c r="AK107" s="66">
        <v>0.56999999999999995</v>
      </c>
      <c r="AL107" s="66">
        <v>0.48</v>
      </c>
      <c r="AM107" s="66">
        <v>0.31</v>
      </c>
      <c r="AN107" s="35">
        <v>54</v>
      </c>
      <c r="AO107" s="35">
        <v>9</v>
      </c>
      <c r="AP107" s="40">
        <v>0.02</v>
      </c>
      <c r="AQ107" s="40">
        <v>0.3</v>
      </c>
      <c r="AR107" s="40">
        <v>0.65</v>
      </c>
      <c r="AS107" s="40">
        <v>0.02</v>
      </c>
      <c r="AT107" s="40">
        <v>0.24</v>
      </c>
      <c r="AU107" s="40">
        <v>0.49</v>
      </c>
      <c r="AV107" s="40">
        <v>0.48</v>
      </c>
      <c r="AW107" s="247">
        <v>52</v>
      </c>
      <c r="AX107" s="247" t="s">
        <v>874</v>
      </c>
      <c r="AY107" s="247">
        <v>9</v>
      </c>
      <c r="AZ107" s="247" t="s">
        <v>874</v>
      </c>
      <c r="BA107" s="264">
        <v>0.03</v>
      </c>
      <c r="BB107" s="264">
        <v>0.39</v>
      </c>
      <c r="BC107" s="264">
        <v>0.55000000000000004</v>
      </c>
      <c r="BD107" s="264">
        <v>0.02</v>
      </c>
      <c r="BE107" s="264">
        <v>0.27</v>
      </c>
      <c r="BF107" s="264">
        <v>0.51</v>
      </c>
      <c r="BG107" s="264">
        <v>0.46</v>
      </c>
      <c r="BH107" s="311">
        <v>54</v>
      </c>
      <c r="BI107" s="311" t="s">
        <v>874</v>
      </c>
      <c r="BJ107" s="311">
        <v>9</v>
      </c>
      <c r="BK107" s="311" t="s">
        <v>874</v>
      </c>
      <c r="BL107" s="466"/>
      <c r="BM107" s="466"/>
      <c r="BN107" s="466"/>
      <c r="BO107" s="329">
        <v>0.04</v>
      </c>
      <c r="BP107" s="329">
        <v>0.3</v>
      </c>
      <c r="BQ107" s="329">
        <v>0.63</v>
      </c>
      <c r="BR107" s="329">
        <v>0.03</v>
      </c>
      <c r="BS107" s="329">
        <v>0.5</v>
      </c>
      <c r="BT107" s="329">
        <v>0.57999999999999996</v>
      </c>
      <c r="BU107" s="480"/>
      <c r="BV107" s="480"/>
      <c r="BW107" s="480"/>
      <c r="BX107" s="329">
        <v>0.37</v>
      </c>
      <c r="BY107" s="426">
        <v>53</v>
      </c>
      <c r="BZ107" s="426" t="s">
        <v>874</v>
      </c>
      <c r="CA107" s="426">
        <v>10</v>
      </c>
      <c r="CB107" s="426" t="s">
        <v>874</v>
      </c>
      <c r="CC107" s="430">
        <v>0.04</v>
      </c>
      <c r="CD107" s="430">
        <v>0.37</v>
      </c>
      <c r="CE107" s="430">
        <v>0.53</v>
      </c>
      <c r="CF107" s="430">
        <v>0.06</v>
      </c>
      <c r="CG107" s="430">
        <v>0.59</v>
      </c>
      <c r="CH107" s="430">
        <v>0.36</v>
      </c>
      <c r="CI107" s="430">
        <v>0.57999999999999996</v>
      </c>
      <c r="CJ107" s="466">
        <v>55</v>
      </c>
      <c r="CK107" s="466" t="s">
        <v>874</v>
      </c>
      <c r="CL107" s="466">
        <v>10</v>
      </c>
      <c r="CM107" s="466" t="s">
        <v>874</v>
      </c>
      <c r="CN107" s="480">
        <v>0.02</v>
      </c>
      <c r="CO107" s="480">
        <v>0.31</v>
      </c>
      <c r="CP107" s="480">
        <v>0.6</v>
      </c>
      <c r="CQ107" s="480">
        <v>7.0000000000000007E-2</v>
      </c>
      <c r="CR107" s="480">
        <v>0.54</v>
      </c>
      <c r="CS107" s="480">
        <v>0.48</v>
      </c>
      <c r="CT107" s="480">
        <v>0.39</v>
      </c>
    </row>
    <row r="108" spans="1:98" ht="24.95" customHeight="1" x14ac:dyDescent="0.2">
      <c r="A108" s="814" t="s">
        <v>103</v>
      </c>
      <c r="B108" s="1" t="s">
        <v>219</v>
      </c>
      <c r="C108" s="12">
        <v>4</v>
      </c>
      <c r="D108" s="12">
        <v>48</v>
      </c>
      <c r="E108" s="12">
        <v>10</v>
      </c>
      <c r="F108" s="66">
        <v>0.13</v>
      </c>
      <c r="G108" s="66">
        <v>0.46</v>
      </c>
      <c r="H108" s="66">
        <v>0.42</v>
      </c>
      <c r="I108" s="66">
        <v>0</v>
      </c>
      <c r="J108" s="66">
        <v>0.56999999999999995</v>
      </c>
      <c r="K108" s="66">
        <v>0.47</v>
      </c>
      <c r="L108" s="66">
        <v>0.57999999999999996</v>
      </c>
      <c r="M108" s="12">
        <v>48</v>
      </c>
      <c r="N108" s="12">
        <v>10</v>
      </c>
      <c r="O108" s="40">
        <v>0.12</v>
      </c>
      <c r="P108" s="40">
        <v>0.5</v>
      </c>
      <c r="Q108" s="40">
        <v>0.37</v>
      </c>
      <c r="R108" s="40">
        <v>0.01</v>
      </c>
      <c r="S108" s="40">
        <v>0.53</v>
      </c>
      <c r="T108" s="40">
        <v>0.61</v>
      </c>
      <c r="U108" s="40">
        <v>0.43</v>
      </c>
      <c r="V108" s="12">
        <v>48</v>
      </c>
      <c r="W108" s="12">
        <v>10</v>
      </c>
      <c r="X108" s="66">
        <v>0.09</v>
      </c>
      <c r="Y108" s="66">
        <v>0.5</v>
      </c>
      <c r="Z108" s="66">
        <v>0.4</v>
      </c>
      <c r="AA108" s="66">
        <v>0.01</v>
      </c>
      <c r="AB108" s="66">
        <v>0.54</v>
      </c>
      <c r="AC108" s="66">
        <v>0.43</v>
      </c>
      <c r="AD108" s="66">
        <v>0.56999999999999995</v>
      </c>
      <c r="AE108" s="12">
        <v>46</v>
      </c>
      <c r="AF108" s="12">
        <v>10</v>
      </c>
      <c r="AG108" s="66">
        <v>0.13</v>
      </c>
      <c r="AH108" s="66">
        <v>0.52</v>
      </c>
      <c r="AI108" s="66">
        <v>0.34</v>
      </c>
      <c r="AJ108" s="66">
        <v>0.01</v>
      </c>
      <c r="AK108" s="66">
        <v>0.6</v>
      </c>
      <c r="AL108" s="66">
        <v>0.56999999999999995</v>
      </c>
      <c r="AM108" s="66">
        <v>0.39</v>
      </c>
      <c r="AN108" s="35">
        <v>49</v>
      </c>
      <c r="AO108" s="35">
        <v>9</v>
      </c>
      <c r="AP108" s="40">
        <v>0.1</v>
      </c>
      <c r="AQ108" s="40">
        <v>0.43</v>
      </c>
      <c r="AR108" s="40">
        <v>0.47</v>
      </c>
      <c r="AS108" s="40">
        <v>0.01</v>
      </c>
      <c r="AT108" s="40">
        <v>0.33</v>
      </c>
      <c r="AU108" s="40">
        <v>0.55000000000000004</v>
      </c>
      <c r="AV108" s="40">
        <v>0.56000000000000005</v>
      </c>
      <c r="AW108" s="247">
        <v>46</v>
      </c>
      <c r="AX108" s="247" t="s">
        <v>874</v>
      </c>
      <c r="AY108" s="247">
        <v>10</v>
      </c>
      <c r="AZ108" s="247" t="s">
        <v>874</v>
      </c>
      <c r="BA108" s="264">
        <v>0.16</v>
      </c>
      <c r="BB108" s="264">
        <v>0.46</v>
      </c>
      <c r="BC108" s="264">
        <v>0.37</v>
      </c>
      <c r="BD108" s="264">
        <v>0</v>
      </c>
      <c r="BE108" s="264">
        <v>0.38</v>
      </c>
      <c r="BF108" s="264">
        <v>0.59</v>
      </c>
      <c r="BG108" s="264">
        <v>0.52</v>
      </c>
      <c r="BH108" s="311">
        <v>48</v>
      </c>
      <c r="BI108" s="311" t="s">
        <v>874</v>
      </c>
      <c r="BJ108" s="311">
        <v>10</v>
      </c>
      <c r="BK108" s="311" t="s">
        <v>874</v>
      </c>
      <c r="BL108" s="466"/>
      <c r="BM108" s="466"/>
      <c r="BN108" s="466"/>
      <c r="BO108" s="329">
        <v>0.13</v>
      </c>
      <c r="BP108" s="329">
        <v>0.5</v>
      </c>
      <c r="BQ108" s="329">
        <v>0.35</v>
      </c>
      <c r="BR108" s="329">
        <v>0.02</v>
      </c>
      <c r="BS108" s="329">
        <v>0.57999999999999996</v>
      </c>
      <c r="BT108" s="329">
        <v>0.66</v>
      </c>
      <c r="BU108" s="480"/>
      <c r="BV108" s="480"/>
      <c r="BW108" s="480"/>
      <c r="BX108" s="329">
        <v>0.43</v>
      </c>
      <c r="BY108" s="426">
        <v>47</v>
      </c>
      <c r="BZ108" s="426" t="s">
        <v>874</v>
      </c>
      <c r="CA108" s="426">
        <v>11</v>
      </c>
      <c r="CB108" s="426" t="s">
        <v>874</v>
      </c>
      <c r="CC108" s="430">
        <v>0.16</v>
      </c>
      <c r="CD108" s="430">
        <v>0.47</v>
      </c>
      <c r="CE108" s="430">
        <v>0.36</v>
      </c>
      <c r="CF108" s="430">
        <v>0.01</v>
      </c>
      <c r="CG108" s="430">
        <v>0.66</v>
      </c>
      <c r="CH108" s="430">
        <v>0.49</v>
      </c>
      <c r="CI108" s="430">
        <v>0.65</v>
      </c>
      <c r="CJ108" s="466">
        <v>47</v>
      </c>
      <c r="CK108" s="466" t="s">
        <v>874</v>
      </c>
      <c r="CL108" s="466">
        <v>12</v>
      </c>
      <c r="CM108" s="466" t="s">
        <v>874</v>
      </c>
      <c r="CN108" s="480">
        <v>0.16</v>
      </c>
      <c r="CO108" s="480">
        <v>0.45</v>
      </c>
      <c r="CP108" s="480">
        <v>0.37</v>
      </c>
      <c r="CQ108" s="480">
        <v>0.03</v>
      </c>
      <c r="CR108" s="480">
        <v>0.62</v>
      </c>
      <c r="CS108" s="480">
        <v>0.6</v>
      </c>
      <c r="CT108" s="480">
        <v>0.49</v>
      </c>
    </row>
    <row r="109" spans="1:98" ht="24.95" customHeight="1" x14ac:dyDescent="0.2">
      <c r="A109" s="814" t="s">
        <v>86</v>
      </c>
      <c r="B109" s="1" t="s">
        <v>219</v>
      </c>
      <c r="C109" s="12">
        <v>1</v>
      </c>
      <c r="D109" s="12">
        <v>52</v>
      </c>
      <c r="E109" s="12">
        <v>9</v>
      </c>
      <c r="F109" s="66">
        <v>0.03</v>
      </c>
      <c r="G109" s="66">
        <v>0.42</v>
      </c>
      <c r="H109" s="66">
        <v>0.55000000000000004</v>
      </c>
      <c r="I109" s="66">
        <v>0</v>
      </c>
      <c r="J109" s="66">
        <v>0.54</v>
      </c>
      <c r="K109" s="66">
        <v>0.43</v>
      </c>
      <c r="L109" s="66">
        <v>0.55000000000000004</v>
      </c>
      <c r="M109" s="12">
        <v>49</v>
      </c>
      <c r="N109" s="12">
        <v>9</v>
      </c>
      <c r="O109" s="40">
        <v>7.0000000000000007E-2</v>
      </c>
      <c r="P109" s="40">
        <v>0.47</v>
      </c>
      <c r="Q109" s="40">
        <v>0.46</v>
      </c>
      <c r="R109" s="40">
        <v>0</v>
      </c>
      <c r="S109" s="40">
        <v>0.53</v>
      </c>
      <c r="T109" s="40">
        <v>0.59</v>
      </c>
      <c r="U109" s="40">
        <v>0.39</v>
      </c>
      <c r="V109" s="12">
        <v>51</v>
      </c>
      <c r="W109" s="12">
        <v>9</v>
      </c>
      <c r="X109" s="66">
        <v>0.05</v>
      </c>
      <c r="Y109" s="66">
        <v>0.47</v>
      </c>
      <c r="Z109" s="66">
        <v>0.45</v>
      </c>
      <c r="AA109" s="66">
        <v>0.02</v>
      </c>
      <c r="AB109" s="66">
        <v>0.51</v>
      </c>
      <c r="AC109" s="66">
        <v>0.4</v>
      </c>
      <c r="AD109" s="66">
        <v>0.54</v>
      </c>
      <c r="AE109" s="12">
        <v>51</v>
      </c>
      <c r="AF109" s="12">
        <v>9</v>
      </c>
      <c r="AG109" s="66">
        <v>0.04</v>
      </c>
      <c r="AH109" s="66">
        <v>0.41</v>
      </c>
      <c r="AI109" s="66">
        <v>0.51</v>
      </c>
      <c r="AJ109" s="66">
        <v>0.03</v>
      </c>
      <c r="AK109" s="66">
        <v>0.56000000000000005</v>
      </c>
      <c r="AL109" s="66">
        <v>0.5</v>
      </c>
      <c r="AM109" s="66">
        <v>0.31</v>
      </c>
      <c r="AN109" s="35">
        <v>51</v>
      </c>
      <c r="AO109" s="35">
        <v>9</v>
      </c>
      <c r="AP109" s="40">
        <v>0.06</v>
      </c>
      <c r="AQ109" s="40">
        <v>0.42</v>
      </c>
      <c r="AR109" s="40">
        <v>0.51</v>
      </c>
      <c r="AS109" s="40">
        <v>0.01</v>
      </c>
      <c r="AT109" s="40">
        <v>0.31</v>
      </c>
      <c r="AU109" s="40">
        <v>0.53</v>
      </c>
      <c r="AV109" s="40">
        <v>0.55000000000000004</v>
      </c>
      <c r="AW109" s="247">
        <v>50</v>
      </c>
      <c r="AX109" s="247" t="s">
        <v>874</v>
      </c>
      <c r="AY109" s="247">
        <v>10</v>
      </c>
      <c r="AZ109" s="247" t="s">
        <v>874</v>
      </c>
      <c r="BA109" s="264">
        <v>0.09</v>
      </c>
      <c r="BB109" s="264">
        <v>0.41</v>
      </c>
      <c r="BC109" s="264">
        <v>0.48</v>
      </c>
      <c r="BD109" s="264">
        <v>0.01</v>
      </c>
      <c r="BE109" s="264">
        <v>0.31</v>
      </c>
      <c r="BF109" s="264">
        <v>0.54</v>
      </c>
      <c r="BG109" s="264">
        <v>0.49</v>
      </c>
      <c r="BH109" s="311">
        <v>51</v>
      </c>
      <c r="BI109" s="311" t="s">
        <v>874</v>
      </c>
      <c r="BJ109" s="311">
        <v>9</v>
      </c>
      <c r="BK109" s="311" t="s">
        <v>874</v>
      </c>
      <c r="BL109" s="466"/>
      <c r="BM109" s="466"/>
      <c r="BN109" s="466"/>
      <c r="BO109" s="329">
        <v>0.05</v>
      </c>
      <c r="BP109" s="329">
        <v>0.41</v>
      </c>
      <c r="BQ109" s="329">
        <v>0.53</v>
      </c>
      <c r="BR109" s="329">
        <v>0.02</v>
      </c>
      <c r="BS109" s="329">
        <v>0.54</v>
      </c>
      <c r="BT109" s="329">
        <v>0.6</v>
      </c>
      <c r="BU109" s="480"/>
      <c r="BV109" s="480"/>
      <c r="BW109" s="480"/>
      <c r="BX109" s="329">
        <v>0.42</v>
      </c>
      <c r="BY109" s="426">
        <v>52</v>
      </c>
      <c r="BZ109" s="426" t="s">
        <v>874</v>
      </c>
      <c r="CA109" s="426">
        <v>10</v>
      </c>
      <c r="CB109" s="426" t="s">
        <v>874</v>
      </c>
      <c r="CC109" s="430">
        <v>0.04</v>
      </c>
      <c r="CD109" s="430">
        <v>0.38</v>
      </c>
      <c r="CE109" s="430">
        <v>0.56999999999999995</v>
      </c>
      <c r="CF109" s="430">
        <v>0.02</v>
      </c>
      <c r="CG109" s="430">
        <v>0.61</v>
      </c>
      <c r="CH109" s="430">
        <v>0.42</v>
      </c>
      <c r="CI109" s="430">
        <v>0.56999999999999995</v>
      </c>
      <c r="CJ109" s="466">
        <v>53</v>
      </c>
      <c r="CK109" s="466" t="s">
        <v>874</v>
      </c>
      <c r="CL109" s="466">
        <v>10</v>
      </c>
      <c r="CM109" s="466" t="s">
        <v>874</v>
      </c>
      <c r="CN109" s="480">
        <v>0.05</v>
      </c>
      <c r="CO109" s="480">
        <v>0.36</v>
      </c>
      <c r="CP109" s="480">
        <v>0.55000000000000004</v>
      </c>
      <c r="CQ109" s="480">
        <v>0.04</v>
      </c>
      <c r="CR109" s="480">
        <v>0.56999999999999995</v>
      </c>
      <c r="CS109" s="480">
        <v>0.51</v>
      </c>
      <c r="CT109" s="480">
        <v>0.4</v>
      </c>
    </row>
    <row r="110" spans="1:98" ht="24.95" customHeight="1" x14ac:dyDescent="0.2">
      <c r="A110" s="814" t="s">
        <v>46</v>
      </c>
      <c r="B110" s="1" t="s">
        <v>221</v>
      </c>
      <c r="C110" s="12">
        <v>5</v>
      </c>
      <c r="D110" s="12">
        <v>56</v>
      </c>
      <c r="E110" s="12">
        <v>8</v>
      </c>
      <c r="F110" s="66">
        <v>0</v>
      </c>
      <c r="G110" s="66">
        <v>0.28000000000000003</v>
      </c>
      <c r="H110" s="66">
        <v>0.69</v>
      </c>
      <c r="I110" s="66">
        <v>0.03</v>
      </c>
      <c r="J110" s="66">
        <v>0.47</v>
      </c>
      <c r="K110" s="66">
        <v>0.42</v>
      </c>
      <c r="L110" s="66">
        <v>0.49</v>
      </c>
      <c r="M110" s="12">
        <v>49</v>
      </c>
      <c r="N110" s="12">
        <v>9</v>
      </c>
      <c r="O110" s="40">
        <v>0.02</v>
      </c>
      <c r="P110" s="40">
        <v>0.61</v>
      </c>
      <c r="Q110" s="40">
        <v>0.34</v>
      </c>
      <c r="R110" s="40">
        <v>0.02</v>
      </c>
      <c r="S110" s="40">
        <v>0.54</v>
      </c>
      <c r="T110" s="40">
        <v>0.59</v>
      </c>
      <c r="U110" s="40">
        <v>0.39</v>
      </c>
      <c r="V110" s="12">
        <v>50</v>
      </c>
      <c r="W110" s="12">
        <v>11</v>
      </c>
      <c r="X110" s="66">
        <v>0.05</v>
      </c>
      <c r="Y110" s="66">
        <v>0.48</v>
      </c>
      <c r="Z110" s="66">
        <v>0.48</v>
      </c>
      <c r="AA110" s="66">
        <v>0</v>
      </c>
      <c r="AB110" s="66">
        <v>0.51</v>
      </c>
      <c r="AC110" s="66">
        <v>0.42</v>
      </c>
      <c r="AD110" s="66">
        <v>0.49</v>
      </c>
      <c r="AE110" s="12">
        <v>53</v>
      </c>
      <c r="AF110" s="12">
        <v>8</v>
      </c>
      <c r="AG110" s="66">
        <v>0.03</v>
      </c>
      <c r="AH110" s="66">
        <v>0.31</v>
      </c>
      <c r="AI110" s="66">
        <v>0.66</v>
      </c>
      <c r="AJ110" s="66">
        <v>0</v>
      </c>
      <c r="AK110" s="66">
        <v>0.53</v>
      </c>
      <c r="AL110" s="66">
        <v>0.41</v>
      </c>
      <c r="AM110" s="66">
        <v>0.27</v>
      </c>
      <c r="AN110" s="35">
        <v>54</v>
      </c>
      <c r="AO110" s="35">
        <v>8</v>
      </c>
      <c r="AP110" s="40">
        <v>0</v>
      </c>
      <c r="AQ110" s="40">
        <v>0.37</v>
      </c>
      <c r="AR110" s="40">
        <v>0.63</v>
      </c>
      <c r="AS110" s="40">
        <v>0</v>
      </c>
      <c r="AT110" s="40">
        <v>0.24</v>
      </c>
      <c r="AU110" s="40">
        <v>0.51</v>
      </c>
      <c r="AV110" s="40">
        <v>0.47</v>
      </c>
      <c r="AW110" s="247">
        <v>52</v>
      </c>
      <c r="AX110" s="247" t="s">
        <v>874</v>
      </c>
      <c r="AY110" s="247">
        <v>9</v>
      </c>
      <c r="AZ110" s="247" t="s">
        <v>874</v>
      </c>
      <c r="BA110" s="264">
        <v>0.06</v>
      </c>
      <c r="BB110" s="264">
        <v>0.44</v>
      </c>
      <c r="BC110" s="264">
        <v>0.5</v>
      </c>
      <c r="BD110" s="264">
        <v>0</v>
      </c>
      <c r="BE110" s="264">
        <v>0.33</v>
      </c>
      <c r="BF110" s="264">
        <v>0.49</v>
      </c>
      <c r="BG110" s="264">
        <v>0.47</v>
      </c>
      <c r="BH110" s="655"/>
      <c r="BI110" s="655"/>
      <c r="BJ110" s="655"/>
      <c r="BK110" s="655"/>
      <c r="BL110" s="656"/>
      <c r="BM110" s="656"/>
      <c r="BN110" s="656"/>
      <c r="BO110" s="655"/>
      <c r="BP110" s="655"/>
      <c r="BQ110" s="655"/>
      <c r="BR110" s="655"/>
      <c r="BS110" s="655"/>
      <c r="BT110" s="655"/>
      <c r="BU110" s="656"/>
      <c r="BV110" s="656"/>
      <c r="BW110" s="656"/>
      <c r="BX110" s="655"/>
      <c r="BY110" s="657"/>
      <c r="BZ110" s="657"/>
      <c r="CA110" s="657"/>
      <c r="CB110" s="657"/>
      <c r="CC110" s="657"/>
      <c r="CD110" s="657"/>
      <c r="CE110" s="657"/>
      <c r="CF110" s="657"/>
      <c r="CG110" s="657"/>
      <c r="CH110" s="657"/>
      <c r="CI110" s="657"/>
      <c r="CJ110" s="656"/>
      <c r="CK110" s="656"/>
      <c r="CL110" s="656"/>
      <c r="CM110" s="656"/>
      <c r="CN110" s="656"/>
      <c r="CO110" s="656"/>
      <c r="CP110" s="656"/>
      <c r="CQ110" s="656"/>
      <c r="CR110" s="656"/>
      <c r="CS110" s="656"/>
      <c r="CT110" s="656"/>
    </row>
    <row r="111" spans="1:98" ht="24.95" customHeight="1" x14ac:dyDescent="0.2">
      <c r="A111" s="814" t="s">
        <v>61</v>
      </c>
      <c r="B111" s="1" t="s">
        <v>219</v>
      </c>
      <c r="C111" s="12">
        <v>6</v>
      </c>
      <c r="D111" s="12">
        <v>51</v>
      </c>
      <c r="E111" s="12">
        <v>10</v>
      </c>
      <c r="F111" s="66">
        <v>0.06</v>
      </c>
      <c r="G111" s="66">
        <v>0.42</v>
      </c>
      <c r="H111" s="66">
        <v>0.51</v>
      </c>
      <c r="I111" s="66">
        <v>0.01</v>
      </c>
      <c r="J111" s="66">
        <v>0.51</v>
      </c>
      <c r="K111" s="66">
        <v>0.37</v>
      </c>
      <c r="L111" s="66">
        <v>0.56000000000000005</v>
      </c>
      <c r="M111" s="12">
        <v>51</v>
      </c>
      <c r="N111" s="12">
        <v>10</v>
      </c>
      <c r="O111" s="40">
        <v>0.06</v>
      </c>
      <c r="P111" s="40">
        <v>0.42</v>
      </c>
      <c r="Q111" s="40">
        <v>0.5</v>
      </c>
      <c r="R111" s="40">
        <v>0.02</v>
      </c>
      <c r="S111" s="40">
        <v>0.5</v>
      </c>
      <c r="T111" s="40">
        <v>0.56999999999999995</v>
      </c>
      <c r="U111" s="40">
        <v>0.35</v>
      </c>
      <c r="V111" s="12">
        <v>50</v>
      </c>
      <c r="W111" s="12">
        <v>9</v>
      </c>
      <c r="X111" s="66">
        <v>0.05</v>
      </c>
      <c r="Y111" s="66">
        <v>0.49</v>
      </c>
      <c r="Z111" s="66">
        <v>0.45</v>
      </c>
      <c r="AA111" s="66">
        <v>0.01</v>
      </c>
      <c r="AB111" s="66">
        <v>0.51</v>
      </c>
      <c r="AC111" s="66">
        <v>0.4</v>
      </c>
      <c r="AD111" s="66">
        <v>0.56999999999999995</v>
      </c>
      <c r="AE111" s="12">
        <v>52</v>
      </c>
      <c r="AF111" s="12">
        <v>8</v>
      </c>
      <c r="AG111" s="66">
        <v>0.05</v>
      </c>
      <c r="AH111" s="66">
        <v>0.34</v>
      </c>
      <c r="AI111" s="66">
        <v>0.62</v>
      </c>
      <c r="AJ111" s="66">
        <v>0</v>
      </c>
      <c r="AK111" s="66">
        <v>0.55000000000000004</v>
      </c>
      <c r="AL111" s="66">
        <v>0.47</v>
      </c>
      <c r="AM111" s="66">
        <v>0.3</v>
      </c>
      <c r="AN111" s="35">
        <v>53</v>
      </c>
      <c r="AO111" s="35">
        <v>9</v>
      </c>
      <c r="AP111" s="40">
        <v>0.02</v>
      </c>
      <c r="AQ111" s="40">
        <v>0.42</v>
      </c>
      <c r="AR111" s="40">
        <v>0.5</v>
      </c>
      <c r="AS111" s="40">
        <v>0.06</v>
      </c>
      <c r="AT111" s="40">
        <v>0.24</v>
      </c>
      <c r="AU111" s="40">
        <v>0.52</v>
      </c>
      <c r="AV111" s="40">
        <v>0.51</v>
      </c>
      <c r="AW111" s="247">
        <v>51</v>
      </c>
      <c r="AX111" s="247" t="s">
        <v>874</v>
      </c>
      <c r="AY111" s="247">
        <v>9</v>
      </c>
      <c r="AZ111" s="247" t="s">
        <v>874</v>
      </c>
      <c r="BA111" s="264">
        <v>0.04</v>
      </c>
      <c r="BB111" s="264">
        <v>0.45</v>
      </c>
      <c r="BC111" s="264">
        <v>0.49</v>
      </c>
      <c r="BD111" s="264">
        <v>0.03</v>
      </c>
      <c r="BE111" s="264">
        <v>0.31</v>
      </c>
      <c r="BF111" s="264">
        <v>0.51</v>
      </c>
      <c r="BG111" s="264">
        <v>0.5</v>
      </c>
      <c r="BH111" s="74">
        <v>54</v>
      </c>
      <c r="BI111" s="74" t="s">
        <v>874</v>
      </c>
      <c r="BJ111" s="74">
        <v>11</v>
      </c>
      <c r="BK111" s="74" t="s">
        <v>874</v>
      </c>
      <c r="BL111" s="74"/>
      <c r="BM111" s="74"/>
      <c r="BN111" s="74"/>
      <c r="BO111" s="96">
        <v>0.06</v>
      </c>
      <c r="BP111" s="96">
        <v>0.3</v>
      </c>
      <c r="BQ111" s="96">
        <v>0.6</v>
      </c>
      <c r="BR111" s="96">
        <v>0.03</v>
      </c>
      <c r="BS111" s="96">
        <v>0.47</v>
      </c>
      <c r="BT111" s="96">
        <v>0.57999999999999996</v>
      </c>
      <c r="BU111" s="96"/>
      <c r="BV111" s="96"/>
      <c r="BW111" s="96"/>
      <c r="BX111" s="96">
        <v>0.32</v>
      </c>
      <c r="BY111" s="658">
        <v>53</v>
      </c>
      <c r="BZ111" s="658" t="s">
        <v>874</v>
      </c>
      <c r="CA111" s="658">
        <v>11</v>
      </c>
      <c r="CB111" s="658" t="s">
        <v>874</v>
      </c>
      <c r="CC111" s="659">
        <v>0.05</v>
      </c>
      <c r="CD111" s="659">
        <v>0.33</v>
      </c>
      <c r="CE111" s="659">
        <v>0.56999999999999995</v>
      </c>
      <c r="CF111" s="659">
        <v>0.05</v>
      </c>
      <c r="CG111" s="659">
        <v>0.6</v>
      </c>
      <c r="CH111" s="659">
        <v>0.33</v>
      </c>
      <c r="CI111" s="659">
        <v>0.56000000000000005</v>
      </c>
      <c r="CJ111" s="74">
        <v>52</v>
      </c>
      <c r="CK111" s="74" t="s">
        <v>874</v>
      </c>
      <c r="CL111" s="74">
        <v>9</v>
      </c>
      <c r="CM111" s="74" t="s">
        <v>874</v>
      </c>
      <c r="CN111" s="96">
        <v>0.04</v>
      </c>
      <c r="CO111" s="96">
        <v>0.38</v>
      </c>
      <c r="CP111" s="96">
        <v>0.56999999999999995</v>
      </c>
      <c r="CQ111" s="96">
        <v>0.01</v>
      </c>
      <c r="CR111" s="96">
        <v>0.59</v>
      </c>
      <c r="CS111" s="96">
        <v>0.48</v>
      </c>
      <c r="CT111" s="96">
        <v>0.43</v>
      </c>
    </row>
    <row r="112" spans="1:98" ht="24.95" customHeight="1" x14ac:dyDescent="0.2">
      <c r="A112" s="814" t="s">
        <v>21</v>
      </c>
      <c r="B112" s="1" t="s">
        <v>219</v>
      </c>
      <c r="C112" s="12">
        <v>5</v>
      </c>
      <c r="D112" s="12">
        <v>51</v>
      </c>
      <c r="E112" s="12">
        <v>9</v>
      </c>
      <c r="F112" s="66">
        <v>0.06</v>
      </c>
      <c r="G112" s="66">
        <v>0.44</v>
      </c>
      <c r="H112" s="66">
        <v>0.48</v>
      </c>
      <c r="I112" s="66">
        <v>0.02</v>
      </c>
      <c r="J112" s="66">
        <v>0.55000000000000004</v>
      </c>
      <c r="K112" s="66">
        <v>0.55000000000000004</v>
      </c>
      <c r="L112" s="66">
        <v>0.54</v>
      </c>
      <c r="M112" s="12">
        <v>50</v>
      </c>
      <c r="N112" s="12">
        <v>9</v>
      </c>
      <c r="O112" s="40">
        <v>0.09</v>
      </c>
      <c r="P112" s="40">
        <v>0.43</v>
      </c>
      <c r="Q112" s="40">
        <v>0.46</v>
      </c>
      <c r="R112" s="40">
        <v>0.01</v>
      </c>
      <c r="S112" s="40">
        <v>0.5</v>
      </c>
      <c r="T112" s="40">
        <v>0.59</v>
      </c>
      <c r="U112" s="40">
        <v>0.4</v>
      </c>
      <c r="V112" s="12">
        <v>50</v>
      </c>
      <c r="W112" s="12">
        <v>8</v>
      </c>
      <c r="X112" s="66">
        <v>0.04</v>
      </c>
      <c r="Y112" s="66">
        <v>0.48</v>
      </c>
      <c r="Z112" s="66">
        <v>0.47</v>
      </c>
      <c r="AA112" s="66">
        <v>0.01</v>
      </c>
      <c r="AB112" s="66">
        <v>0.54</v>
      </c>
      <c r="AC112" s="66">
        <v>0.4</v>
      </c>
      <c r="AD112" s="66">
        <v>0.55000000000000004</v>
      </c>
      <c r="AE112" s="12">
        <v>50</v>
      </c>
      <c r="AF112" s="12">
        <v>9</v>
      </c>
      <c r="AG112" s="66">
        <v>0.06</v>
      </c>
      <c r="AH112" s="66">
        <v>0.46</v>
      </c>
      <c r="AI112" s="66">
        <v>0.46</v>
      </c>
      <c r="AJ112" s="66">
        <v>0.01</v>
      </c>
      <c r="AK112" s="66">
        <v>0.56999999999999995</v>
      </c>
      <c r="AL112" s="66">
        <v>0.52</v>
      </c>
      <c r="AM112" s="66">
        <v>0.32</v>
      </c>
      <c r="AN112" s="35">
        <v>51</v>
      </c>
      <c r="AO112" s="35">
        <v>9</v>
      </c>
      <c r="AP112" s="40">
        <v>0.05</v>
      </c>
      <c r="AQ112" s="40">
        <v>0.4</v>
      </c>
      <c r="AR112" s="40">
        <v>0.53</v>
      </c>
      <c r="AS112" s="40">
        <v>0.02</v>
      </c>
      <c r="AT112" s="40">
        <v>0.3</v>
      </c>
      <c r="AU112" s="40">
        <v>0.53</v>
      </c>
      <c r="AV112" s="40">
        <v>0.53</v>
      </c>
      <c r="AW112" s="247">
        <v>50</v>
      </c>
      <c r="AX112" s="247" t="s">
        <v>874</v>
      </c>
      <c r="AY112" s="247">
        <v>9</v>
      </c>
      <c r="AZ112" s="247" t="s">
        <v>874</v>
      </c>
      <c r="BA112" s="264">
        <v>0.06</v>
      </c>
      <c r="BB112" s="264">
        <v>0.46</v>
      </c>
      <c r="BC112" s="264">
        <v>0.47</v>
      </c>
      <c r="BD112" s="264">
        <v>0.01</v>
      </c>
      <c r="BE112" s="264">
        <v>0.31</v>
      </c>
      <c r="BF112" s="264">
        <v>0.54</v>
      </c>
      <c r="BG112" s="264">
        <v>0.51</v>
      </c>
      <c r="BH112" s="311">
        <v>53</v>
      </c>
      <c r="BI112" s="311" t="s">
        <v>874</v>
      </c>
      <c r="BJ112" s="311">
        <v>9</v>
      </c>
      <c r="BK112" s="311" t="s">
        <v>874</v>
      </c>
      <c r="BL112" s="466"/>
      <c r="BM112" s="466"/>
      <c r="BN112" s="466"/>
      <c r="BO112" s="329">
        <v>0.04</v>
      </c>
      <c r="BP112" s="329">
        <v>0.31</v>
      </c>
      <c r="BQ112" s="329">
        <v>0.65</v>
      </c>
      <c r="BR112" s="329">
        <v>0.01</v>
      </c>
      <c r="BS112" s="329">
        <v>0.53</v>
      </c>
      <c r="BT112" s="329">
        <v>0.56999999999999995</v>
      </c>
      <c r="BU112" s="480"/>
      <c r="BV112" s="480"/>
      <c r="BW112" s="480"/>
      <c r="BX112" s="329">
        <v>0.37</v>
      </c>
      <c r="BY112" s="426">
        <v>50</v>
      </c>
      <c r="BZ112" s="426" t="s">
        <v>874</v>
      </c>
      <c r="CA112" s="426">
        <v>11</v>
      </c>
      <c r="CB112" s="426" t="s">
        <v>874</v>
      </c>
      <c r="CC112" s="430">
        <v>0.08</v>
      </c>
      <c r="CD112" s="430">
        <v>0.45</v>
      </c>
      <c r="CE112" s="430">
        <v>0.44</v>
      </c>
      <c r="CF112" s="430">
        <v>0.03</v>
      </c>
      <c r="CG112" s="430">
        <v>0.64</v>
      </c>
      <c r="CH112" s="430">
        <v>0.44</v>
      </c>
      <c r="CI112" s="430">
        <v>0.61</v>
      </c>
      <c r="CJ112" s="466">
        <v>53</v>
      </c>
      <c r="CK112" s="466" t="s">
        <v>874</v>
      </c>
      <c r="CL112" s="466">
        <v>9</v>
      </c>
      <c r="CM112" s="466" t="s">
        <v>874</v>
      </c>
      <c r="CN112" s="480">
        <v>0.04</v>
      </c>
      <c r="CO112" s="480">
        <v>0.34</v>
      </c>
      <c r="CP112" s="480">
        <v>0.59</v>
      </c>
      <c r="CQ112" s="480">
        <v>0.04</v>
      </c>
      <c r="CR112" s="480">
        <v>0.6</v>
      </c>
      <c r="CS112" s="480">
        <v>0.53</v>
      </c>
      <c r="CT112" s="480">
        <v>0.41</v>
      </c>
    </row>
    <row r="113" spans="1:98" ht="24.95" customHeight="1" x14ac:dyDescent="0.2">
      <c r="A113" s="814" t="s">
        <v>124</v>
      </c>
      <c r="B113" s="1" t="s">
        <v>219</v>
      </c>
      <c r="C113" s="12">
        <v>4</v>
      </c>
      <c r="D113" s="12">
        <v>44</v>
      </c>
      <c r="E113" s="12">
        <v>9</v>
      </c>
      <c r="F113" s="66">
        <v>0.12</v>
      </c>
      <c r="G113" s="66">
        <v>0.67</v>
      </c>
      <c r="H113" s="66">
        <v>0.2</v>
      </c>
      <c r="I113" s="66">
        <v>0</v>
      </c>
      <c r="J113" s="66">
        <v>0.66</v>
      </c>
      <c r="K113" s="66">
        <v>0.48</v>
      </c>
      <c r="L113" s="66">
        <v>0.68</v>
      </c>
      <c r="M113" s="12">
        <v>43</v>
      </c>
      <c r="N113" s="12">
        <v>8</v>
      </c>
      <c r="O113" s="40">
        <v>0.17</v>
      </c>
      <c r="P113" s="40">
        <v>0.67</v>
      </c>
      <c r="Q113" s="40">
        <v>0.17</v>
      </c>
      <c r="R113" s="40">
        <v>0</v>
      </c>
      <c r="S113" s="40">
        <v>0.6</v>
      </c>
      <c r="T113" s="40">
        <v>0.68</v>
      </c>
      <c r="U113" s="40">
        <v>0.5</v>
      </c>
      <c r="V113" s="12">
        <v>44</v>
      </c>
      <c r="W113" s="12">
        <v>9</v>
      </c>
      <c r="X113" s="66">
        <v>0.19</v>
      </c>
      <c r="Y113" s="66">
        <v>0.56999999999999995</v>
      </c>
      <c r="Z113" s="66">
        <v>0.23</v>
      </c>
      <c r="AA113" s="66">
        <v>0</v>
      </c>
      <c r="AB113" s="66">
        <v>0.62</v>
      </c>
      <c r="AC113" s="66">
        <v>0.48</v>
      </c>
      <c r="AD113" s="66">
        <v>0.63</v>
      </c>
      <c r="AE113" s="12">
        <v>46</v>
      </c>
      <c r="AF113" s="12">
        <v>10</v>
      </c>
      <c r="AG113" s="66">
        <v>0.15</v>
      </c>
      <c r="AH113" s="66">
        <v>0.56000000000000005</v>
      </c>
      <c r="AI113" s="66">
        <v>0.28999999999999998</v>
      </c>
      <c r="AJ113" s="66">
        <v>0</v>
      </c>
      <c r="AK113" s="66">
        <v>0.61</v>
      </c>
      <c r="AL113" s="66">
        <v>0.56000000000000005</v>
      </c>
      <c r="AM113" s="66">
        <v>0.42</v>
      </c>
      <c r="AN113" s="35">
        <v>47</v>
      </c>
      <c r="AO113" s="35">
        <v>9</v>
      </c>
      <c r="AP113" s="40">
        <v>7.0000000000000007E-2</v>
      </c>
      <c r="AQ113" s="40">
        <v>0.55000000000000004</v>
      </c>
      <c r="AR113" s="40">
        <v>0.39</v>
      </c>
      <c r="AS113" s="40">
        <v>0</v>
      </c>
      <c r="AT113" s="40">
        <v>0.37</v>
      </c>
      <c r="AU113" s="40">
        <v>0.56999999999999995</v>
      </c>
      <c r="AV113" s="40">
        <v>0.57999999999999996</v>
      </c>
      <c r="AW113" s="247">
        <v>47</v>
      </c>
      <c r="AX113" s="247" t="s">
        <v>874</v>
      </c>
      <c r="AY113" s="247">
        <v>8</v>
      </c>
      <c r="AZ113" s="247" t="s">
        <v>874</v>
      </c>
      <c r="BA113" s="264">
        <v>0.04</v>
      </c>
      <c r="BB113" s="264">
        <v>0.62</v>
      </c>
      <c r="BC113" s="264">
        <v>0.33</v>
      </c>
      <c r="BD113" s="264">
        <v>0</v>
      </c>
      <c r="BE113" s="264">
        <v>0.37</v>
      </c>
      <c r="BF113" s="264">
        <v>0.57999999999999996</v>
      </c>
      <c r="BG113" s="264">
        <v>0.56000000000000005</v>
      </c>
      <c r="BH113" s="311">
        <v>48</v>
      </c>
      <c r="BI113" s="311" t="s">
        <v>874</v>
      </c>
      <c r="BJ113" s="311">
        <v>11</v>
      </c>
      <c r="BK113" s="311" t="s">
        <v>874</v>
      </c>
      <c r="BL113" s="466"/>
      <c r="BM113" s="466"/>
      <c r="BN113" s="466"/>
      <c r="BO113" s="329">
        <v>0.13</v>
      </c>
      <c r="BP113" s="329">
        <v>0.47</v>
      </c>
      <c r="BQ113" s="329">
        <v>0.36</v>
      </c>
      <c r="BR113" s="329">
        <v>0.04</v>
      </c>
      <c r="BS113" s="329">
        <v>0.63</v>
      </c>
      <c r="BT113" s="329">
        <v>0.62</v>
      </c>
      <c r="BU113" s="480"/>
      <c r="BV113" s="480"/>
      <c r="BW113" s="480"/>
      <c r="BX113" s="329">
        <v>0.49</v>
      </c>
      <c r="BY113" s="426">
        <v>49</v>
      </c>
      <c r="BZ113" s="426" t="s">
        <v>874</v>
      </c>
      <c r="CA113" s="426">
        <v>10</v>
      </c>
      <c r="CB113" s="426" t="s">
        <v>874</v>
      </c>
      <c r="CC113" s="430">
        <v>0.08</v>
      </c>
      <c r="CD113" s="430">
        <v>0.5</v>
      </c>
      <c r="CE113" s="430">
        <v>0.4</v>
      </c>
      <c r="CF113" s="430">
        <v>0.02</v>
      </c>
      <c r="CG113" s="430">
        <v>0.66</v>
      </c>
      <c r="CH113" s="430">
        <v>0.41</v>
      </c>
      <c r="CI113" s="430">
        <v>0.65</v>
      </c>
      <c r="CJ113" s="466">
        <v>47</v>
      </c>
      <c r="CK113" s="466" t="s">
        <v>874</v>
      </c>
      <c r="CL113" s="466">
        <v>11</v>
      </c>
      <c r="CM113" s="466" t="s">
        <v>874</v>
      </c>
      <c r="CN113" s="480">
        <v>0.11</v>
      </c>
      <c r="CO113" s="480">
        <v>0.53</v>
      </c>
      <c r="CP113" s="480">
        <v>0.35</v>
      </c>
      <c r="CQ113" s="480">
        <v>0.02</v>
      </c>
      <c r="CR113" s="480">
        <v>0.69</v>
      </c>
      <c r="CS113" s="480">
        <v>0.6</v>
      </c>
      <c r="CT113" s="480">
        <v>0.46</v>
      </c>
    </row>
    <row r="114" spans="1:98" ht="24.95" customHeight="1" x14ac:dyDescent="0.2">
      <c r="A114" s="814" t="s">
        <v>23</v>
      </c>
      <c r="B114" s="1" t="s">
        <v>219</v>
      </c>
      <c r="C114" s="12">
        <v>2</v>
      </c>
      <c r="D114" s="12">
        <v>53</v>
      </c>
      <c r="E114" s="12">
        <v>9</v>
      </c>
      <c r="F114" s="66">
        <v>0.02</v>
      </c>
      <c r="G114" s="66">
        <v>0.39</v>
      </c>
      <c r="H114" s="66">
        <v>0.56000000000000005</v>
      </c>
      <c r="I114" s="66">
        <v>0.04</v>
      </c>
      <c r="J114" s="66">
        <v>0.53</v>
      </c>
      <c r="K114" s="66">
        <v>0.45</v>
      </c>
      <c r="L114" s="66">
        <v>0.51</v>
      </c>
      <c r="M114" s="12">
        <v>52</v>
      </c>
      <c r="N114" s="12">
        <v>10</v>
      </c>
      <c r="O114" s="40">
        <v>0.06</v>
      </c>
      <c r="P114" s="40">
        <v>0.34</v>
      </c>
      <c r="Q114" s="40">
        <v>0.57999999999999996</v>
      </c>
      <c r="R114" s="40">
        <v>0.02</v>
      </c>
      <c r="S114" s="40">
        <v>0.47</v>
      </c>
      <c r="T114" s="40">
        <v>0.54</v>
      </c>
      <c r="U114" s="40">
        <v>0.36</v>
      </c>
      <c r="V114" s="12">
        <v>53</v>
      </c>
      <c r="W114" s="12">
        <v>9</v>
      </c>
      <c r="X114" s="66">
        <v>0.03</v>
      </c>
      <c r="Y114" s="66">
        <v>0.39</v>
      </c>
      <c r="Z114" s="66">
        <v>0.55000000000000004</v>
      </c>
      <c r="AA114" s="66">
        <v>0.03</v>
      </c>
      <c r="AB114" s="66">
        <v>0.48</v>
      </c>
      <c r="AC114" s="66">
        <v>0.37</v>
      </c>
      <c r="AD114" s="66">
        <v>0.49</v>
      </c>
      <c r="AE114" s="12">
        <v>52</v>
      </c>
      <c r="AF114" s="12">
        <v>10</v>
      </c>
      <c r="AG114" s="66">
        <v>0.06</v>
      </c>
      <c r="AH114" s="66">
        <v>0.37</v>
      </c>
      <c r="AI114" s="66">
        <v>0.55000000000000004</v>
      </c>
      <c r="AJ114" s="66">
        <v>0.03</v>
      </c>
      <c r="AK114" s="66">
        <v>0.53</v>
      </c>
      <c r="AL114" s="66">
        <v>0.49</v>
      </c>
      <c r="AM114" s="66">
        <v>0.3</v>
      </c>
      <c r="AN114" s="35">
        <v>53</v>
      </c>
      <c r="AO114" s="35">
        <v>10</v>
      </c>
      <c r="AP114" s="40">
        <v>0.03</v>
      </c>
      <c r="AQ114" s="40">
        <v>0.38</v>
      </c>
      <c r="AR114" s="40">
        <v>0.56000000000000005</v>
      </c>
      <c r="AS114" s="40">
        <v>0.04</v>
      </c>
      <c r="AT114" s="40">
        <v>0.28999999999999998</v>
      </c>
      <c r="AU114" s="40">
        <v>0.5</v>
      </c>
      <c r="AV114" s="40">
        <v>0.51</v>
      </c>
      <c r="AW114" s="247">
        <v>51</v>
      </c>
      <c r="AX114" s="247" t="s">
        <v>874</v>
      </c>
      <c r="AY114" s="247">
        <v>10</v>
      </c>
      <c r="AZ114" s="247" t="s">
        <v>874</v>
      </c>
      <c r="BA114" s="264">
        <v>0.06</v>
      </c>
      <c r="BB114" s="264">
        <v>0.44</v>
      </c>
      <c r="BC114" s="264">
        <v>0.49</v>
      </c>
      <c r="BD114" s="264">
        <v>0.01</v>
      </c>
      <c r="BE114" s="264">
        <v>0.31</v>
      </c>
      <c r="BF114" s="264">
        <v>0.53</v>
      </c>
      <c r="BG114" s="264">
        <v>0.49</v>
      </c>
      <c r="BH114" s="311">
        <v>52</v>
      </c>
      <c r="BI114" s="311" t="s">
        <v>874</v>
      </c>
      <c r="BJ114" s="311">
        <v>10</v>
      </c>
      <c r="BK114" s="311" t="s">
        <v>874</v>
      </c>
      <c r="BL114" s="466"/>
      <c r="BM114" s="466"/>
      <c r="BN114" s="466"/>
      <c r="BO114" s="329">
        <v>0.05</v>
      </c>
      <c r="BP114" s="329">
        <v>0.36</v>
      </c>
      <c r="BQ114" s="329">
        <v>0.57999999999999996</v>
      </c>
      <c r="BR114" s="329">
        <v>0.02</v>
      </c>
      <c r="BS114" s="329">
        <v>0.53</v>
      </c>
      <c r="BT114" s="329">
        <v>0.59</v>
      </c>
      <c r="BU114" s="480"/>
      <c r="BV114" s="480"/>
      <c r="BW114" s="480"/>
      <c r="BX114" s="329">
        <v>0.4</v>
      </c>
      <c r="BY114" s="426">
        <v>53</v>
      </c>
      <c r="BZ114" s="426" t="s">
        <v>874</v>
      </c>
      <c r="CA114" s="426">
        <v>10</v>
      </c>
      <c r="CB114" s="426" t="s">
        <v>874</v>
      </c>
      <c r="CC114" s="430">
        <v>0.03</v>
      </c>
      <c r="CD114" s="430">
        <v>0.36</v>
      </c>
      <c r="CE114" s="430">
        <v>0.56999999999999995</v>
      </c>
      <c r="CF114" s="430">
        <v>0.04</v>
      </c>
      <c r="CG114" s="430">
        <v>0.62</v>
      </c>
      <c r="CH114" s="430">
        <v>0.36</v>
      </c>
      <c r="CI114" s="430">
        <v>0.55000000000000004</v>
      </c>
      <c r="CJ114" s="466">
        <v>53</v>
      </c>
      <c r="CK114" s="466" t="s">
        <v>874</v>
      </c>
      <c r="CL114" s="466">
        <v>11</v>
      </c>
      <c r="CM114" s="466" t="s">
        <v>874</v>
      </c>
      <c r="CN114" s="480">
        <v>0.04</v>
      </c>
      <c r="CO114" s="480">
        <v>0.35</v>
      </c>
      <c r="CP114" s="480">
        <v>0.57999999999999996</v>
      </c>
      <c r="CQ114" s="480">
        <v>0.04</v>
      </c>
      <c r="CR114" s="480">
        <v>0.56000000000000005</v>
      </c>
      <c r="CS114" s="480">
        <v>0.53</v>
      </c>
      <c r="CT114" s="480">
        <v>0.41</v>
      </c>
    </row>
    <row r="115" spans="1:98" ht="24.95" customHeight="1" x14ac:dyDescent="0.2">
      <c r="A115" s="814" t="s">
        <v>222</v>
      </c>
      <c r="B115" s="1" t="s">
        <v>221</v>
      </c>
      <c r="C115" s="12">
        <v>1</v>
      </c>
      <c r="D115" s="12">
        <v>50</v>
      </c>
      <c r="E115" s="12">
        <v>9</v>
      </c>
      <c r="F115" s="66">
        <v>0.04</v>
      </c>
      <c r="G115" s="66">
        <v>0.5</v>
      </c>
      <c r="H115" s="66">
        <v>0.43</v>
      </c>
      <c r="I115" s="66">
        <v>0.02</v>
      </c>
      <c r="J115" s="66">
        <v>0.56999999999999995</v>
      </c>
      <c r="K115" s="66">
        <v>0.54</v>
      </c>
      <c r="L115" s="66">
        <v>0.54</v>
      </c>
      <c r="M115" s="12">
        <v>55</v>
      </c>
      <c r="N115" s="12">
        <v>8</v>
      </c>
      <c r="O115" s="40">
        <v>0</v>
      </c>
      <c r="P115" s="40">
        <v>0.23</v>
      </c>
      <c r="Q115" s="40">
        <v>0.74</v>
      </c>
      <c r="R115" s="40">
        <v>0.03</v>
      </c>
      <c r="S115" s="40">
        <v>0.44</v>
      </c>
      <c r="T115" s="40">
        <v>0.51</v>
      </c>
      <c r="U115" s="40">
        <v>0.28999999999999998</v>
      </c>
      <c r="V115" s="12">
        <v>56</v>
      </c>
      <c r="W115" s="12">
        <v>8</v>
      </c>
      <c r="X115" s="66">
        <v>0</v>
      </c>
      <c r="Y115" s="66">
        <v>0.32</v>
      </c>
      <c r="Z115" s="66">
        <v>0.63</v>
      </c>
      <c r="AA115" s="66">
        <v>0.05</v>
      </c>
      <c r="AB115" s="66">
        <v>0.45</v>
      </c>
      <c r="AC115" s="66">
        <v>0.34</v>
      </c>
      <c r="AD115" s="66">
        <v>0.44</v>
      </c>
      <c r="AE115" s="12">
        <v>58</v>
      </c>
      <c r="AF115" s="12">
        <v>9</v>
      </c>
      <c r="AG115" s="66">
        <v>0</v>
      </c>
      <c r="AH115" s="66">
        <v>0.14000000000000001</v>
      </c>
      <c r="AI115" s="66">
        <v>0.73</v>
      </c>
      <c r="AJ115" s="66">
        <v>0.14000000000000001</v>
      </c>
      <c r="AK115" s="66">
        <v>0.47</v>
      </c>
      <c r="AL115" s="66">
        <v>0.36</v>
      </c>
      <c r="AM115" s="66">
        <v>0.21</v>
      </c>
      <c r="AN115" s="35">
        <v>57</v>
      </c>
      <c r="AO115" s="35">
        <v>8</v>
      </c>
      <c r="AP115" s="40">
        <v>0</v>
      </c>
      <c r="AQ115" s="40">
        <v>0.18</v>
      </c>
      <c r="AR115" s="40">
        <v>0.78</v>
      </c>
      <c r="AS115" s="40">
        <v>0.04</v>
      </c>
      <c r="AT115" s="40">
        <v>0.21</v>
      </c>
      <c r="AU115" s="40">
        <v>0.41</v>
      </c>
      <c r="AV115" s="40">
        <v>0.45</v>
      </c>
      <c r="AW115" s="247">
        <v>55</v>
      </c>
      <c r="AX115" s="247" t="s">
        <v>874</v>
      </c>
      <c r="AY115" s="247">
        <v>9</v>
      </c>
      <c r="AZ115" s="247" t="s">
        <v>874</v>
      </c>
      <c r="BA115" s="264">
        <v>0.02</v>
      </c>
      <c r="BB115" s="264">
        <v>0.28999999999999998</v>
      </c>
      <c r="BC115" s="264">
        <v>0.64</v>
      </c>
      <c r="BD115" s="264">
        <v>0.05</v>
      </c>
      <c r="BE115" s="264">
        <v>0.25</v>
      </c>
      <c r="BF115" s="264">
        <v>0.45</v>
      </c>
      <c r="BG115" s="264">
        <v>0.42</v>
      </c>
      <c r="BH115" s="311">
        <v>56</v>
      </c>
      <c r="BI115" s="311" t="s">
        <v>874</v>
      </c>
      <c r="BJ115" s="311">
        <v>10</v>
      </c>
      <c r="BK115" s="311" t="s">
        <v>874</v>
      </c>
      <c r="BL115" s="466"/>
      <c r="BM115" s="466"/>
      <c r="BN115" s="466"/>
      <c r="BO115" s="329">
        <v>0</v>
      </c>
      <c r="BP115" s="329">
        <v>0.32</v>
      </c>
      <c r="BQ115" s="329">
        <v>0.62</v>
      </c>
      <c r="BR115" s="329">
        <v>0.06</v>
      </c>
      <c r="BS115" s="329">
        <v>0.44</v>
      </c>
      <c r="BT115" s="329">
        <v>0.56999999999999995</v>
      </c>
      <c r="BU115" s="480"/>
      <c r="BV115" s="480"/>
      <c r="BW115" s="480"/>
      <c r="BX115" s="329">
        <v>0.32</v>
      </c>
      <c r="BY115" s="426">
        <v>59</v>
      </c>
      <c r="BZ115" s="426" t="s">
        <v>874</v>
      </c>
      <c r="CA115" s="426">
        <v>10</v>
      </c>
      <c r="CB115" s="426" t="s">
        <v>874</v>
      </c>
      <c r="CC115" s="430">
        <v>0.02</v>
      </c>
      <c r="CD115" s="430">
        <v>0.2</v>
      </c>
      <c r="CE115" s="430">
        <v>0.61</v>
      </c>
      <c r="CF115" s="430">
        <v>0.17</v>
      </c>
      <c r="CG115" s="430">
        <v>0.5</v>
      </c>
      <c r="CH115" s="430">
        <v>0.3</v>
      </c>
      <c r="CI115" s="430">
        <v>0.44</v>
      </c>
      <c r="CJ115" s="466">
        <v>56</v>
      </c>
      <c r="CK115" s="466" t="s">
        <v>874</v>
      </c>
      <c r="CL115" s="466">
        <v>9</v>
      </c>
      <c r="CM115" s="466" t="s">
        <v>874</v>
      </c>
      <c r="CN115" s="480">
        <v>0.02</v>
      </c>
      <c r="CO115" s="480">
        <v>0.25</v>
      </c>
      <c r="CP115" s="480">
        <v>0.68</v>
      </c>
      <c r="CQ115" s="480">
        <v>0.06</v>
      </c>
      <c r="CR115" s="480">
        <v>0.53</v>
      </c>
      <c r="CS115" s="480">
        <v>0.48</v>
      </c>
      <c r="CT115" s="480">
        <v>0.38</v>
      </c>
    </row>
    <row r="116" spans="1:98" ht="24.95" customHeight="1" x14ac:dyDescent="0.2">
      <c r="A116" s="814" t="s">
        <v>88</v>
      </c>
      <c r="B116" s="1" t="s">
        <v>219</v>
      </c>
      <c r="C116" s="12">
        <v>2</v>
      </c>
      <c r="D116" s="12">
        <v>51</v>
      </c>
      <c r="E116" s="12">
        <v>8</v>
      </c>
      <c r="F116" s="66">
        <v>0.03</v>
      </c>
      <c r="G116" s="66">
        <v>0.49</v>
      </c>
      <c r="H116" s="66">
        <v>0.48</v>
      </c>
      <c r="I116" s="66">
        <v>0.01</v>
      </c>
      <c r="J116" s="66">
        <v>0.56000000000000005</v>
      </c>
      <c r="K116" s="66">
        <v>0.51</v>
      </c>
      <c r="L116" s="66">
        <v>0.55000000000000004</v>
      </c>
      <c r="M116" s="12">
        <v>50</v>
      </c>
      <c r="N116" s="12">
        <v>10</v>
      </c>
      <c r="O116" s="40">
        <v>0.05</v>
      </c>
      <c r="P116" s="40">
        <v>0.46</v>
      </c>
      <c r="Q116" s="40">
        <v>0.47</v>
      </c>
      <c r="R116" s="40">
        <v>0.02</v>
      </c>
      <c r="S116" s="40">
        <v>0.49</v>
      </c>
      <c r="T116" s="40">
        <v>0.56999999999999995</v>
      </c>
      <c r="U116" s="40">
        <v>0.39</v>
      </c>
      <c r="V116" s="12">
        <v>52</v>
      </c>
      <c r="W116" s="12">
        <v>10</v>
      </c>
      <c r="X116" s="66">
        <v>7.0000000000000007E-2</v>
      </c>
      <c r="Y116" s="66">
        <v>0.37</v>
      </c>
      <c r="Z116" s="66">
        <v>0.54</v>
      </c>
      <c r="AA116" s="66">
        <v>0.02</v>
      </c>
      <c r="AB116" s="66">
        <v>0.5</v>
      </c>
      <c r="AC116" s="66">
        <v>0.37</v>
      </c>
      <c r="AD116" s="66">
        <v>0.53</v>
      </c>
      <c r="AE116" s="12">
        <v>52</v>
      </c>
      <c r="AF116" s="12">
        <v>10</v>
      </c>
      <c r="AG116" s="66">
        <v>0.04</v>
      </c>
      <c r="AH116" s="66">
        <v>0.4</v>
      </c>
      <c r="AI116" s="66">
        <v>0.54</v>
      </c>
      <c r="AJ116" s="66">
        <v>0.03</v>
      </c>
      <c r="AK116" s="66">
        <v>0.53</v>
      </c>
      <c r="AL116" s="66">
        <v>0.46</v>
      </c>
      <c r="AM116" s="66">
        <v>0.3</v>
      </c>
      <c r="AN116" s="35">
        <v>52</v>
      </c>
      <c r="AO116" s="35">
        <v>8</v>
      </c>
      <c r="AP116" s="40">
        <v>0.02</v>
      </c>
      <c r="AQ116" s="40">
        <v>0.35</v>
      </c>
      <c r="AR116" s="40">
        <v>0.61</v>
      </c>
      <c r="AS116" s="40">
        <v>0.01</v>
      </c>
      <c r="AT116" s="40">
        <v>0.28000000000000003</v>
      </c>
      <c r="AU116" s="40">
        <v>0.52</v>
      </c>
      <c r="AV116" s="40">
        <v>0.51</v>
      </c>
      <c r="AW116" s="247">
        <v>49</v>
      </c>
      <c r="AX116" s="247" t="s">
        <v>874</v>
      </c>
      <c r="AY116" s="247">
        <v>8</v>
      </c>
      <c r="AZ116" s="247" t="s">
        <v>874</v>
      </c>
      <c r="BA116" s="264">
        <v>0.06</v>
      </c>
      <c r="BB116" s="264">
        <v>0.43</v>
      </c>
      <c r="BC116" s="264">
        <v>0.51</v>
      </c>
      <c r="BD116" s="264">
        <v>0</v>
      </c>
      <c r="BE116" s="264">
        <v>0.32</v>
      </c>
      <c r="BF116" s="264">
        <v>0.55000000000000004</v>
      </c>
      <c r="BG116" s="264">
        <v>0.51</v>
      </c>
      <c r="BH116" s="311">
        <v>50</v>
      </c>
      <c r="BI116" s="311" t="s">
        <v>874</v>
      </c>
      <c r="BJ116" s="311">
        <v>10</v>
      </c>
      <c r="BK116" s="311" t="s">
        <v>874</v>
      </c>
      <c r="BL116" s="466"/>
      <c r="BM116" s="466"/>
      <c r="BN116" s="466"/>
      <c r="BO116" s="329">
        <v>0.09</v>
      </c>
      <c r="BP116" s="329">
        <v>0.43</v>
      </c>
      <c r="BQ116" s="329">
        <v>0.46</v>
      </c>
      <c r="BR116" s="329">
        <v>0.02</v>
      </c>
      <c r="BS116" s="329">
        <v>0.59</v>
      </c>
      <c r="BT116" s="329">
        <v>0.63</v>
      </c>
      <c r="BU116" s="480"/>
      <c r="BV116" s="480"/>
      <c r="BW116" s="480"/>
      <c r="BX116" s="329">
        <v>0.46</v>
      </c>
      <c r="BY116" s="426">
        <v>52</v>
      </c>
      <c r="BZ116" s="426" t="s">
        <v>874</v>
      </c>
      <c r="CA116" s="426">
        <v>9</v>
      </c>
      <c r="CB116" s="426" t="s">
        <v>874</v>
      </c>
      <c r="CC116" s="430">
        <v>0.05</v>
      </c>
      <c r="CD116" s="430">
        <v>0.43</v>
      </c>
      <c r="CE116" s="430">
        <v>0.5</v>
      </c>
      <c r="CF116" s="430">
        <v>0.02</v>
      </c>
      <c r="CG116" s="430">
        <v>0.63</v>
      </c>
      <c r="CH116" s="430">
        <v>0.39</v>
      </c>
      <c r="CI116" s="430">
        <v>0.61</v>
      </c>
      <c r="CJ116" s="466">
        <v>54</v>
      </c>
      <c r="CK116" s="466" t="s">
        <v>874</v>
      </c>
      <c r="CL116" s="466">
        <v>10</v>
      </c>
      <c r="CM116" s="466" t="s">
        <v>874</v>
      </c>
      <c r="CN116" s="480">
        <v>0.03</v>
      </c>
      <c r="CO116" s="480">
        <v>0.34</v>
      </c>
      <c r="CP116" s="480">
        <v>0.6</v>
      </c>
      <c r="CQ116" s="480">
        <v>0.03</v>
      </c>
      <c r="CR116" s="480">
        <v>0.55000000000000004</v>
      </c>
      <c r="CS116" s="480">
        <v>0.51</v>
      </c>
      <c r="CT116" s="480">
        <v>0.41</v>
      </c>
    </row>
    <row r="117" spans="1:98" ht="24.95" customHeight="1" x14ac:dyDescent="0.2">
      <c r="A117" s="814" t="s">
        <v>1096</v>
      </c>
      <c r="B117" s="1" t="s">
        <v>219</v>
      </c>
      <c r="C117" s="12">
        <v>4</v>
      </c>
      <c r="D117" s="12">
        <v>52</v>
      </c>
      <c r="E117" s="12">
        <v>10</v>
      </c>
      <c r="F117" s="66">
        <v>0.04</v>
      </c>
      <c r="G117" s="66">
        <v>0.4</v>
      </c>
      <c r="H117" s="66">
        <v>0.52</v>
      </c>
      <c r="I117" s="66">
        <v>0.03</v>
      </c>
      <c r="J117" s="66">
        <v>0.52</v>
      </c>
      <c r="K117" s="66">
        <v>0.46</v>
      </c>
      <c r="L117" s="66">
        <v>0.5</v>
      </c>
      <c r="M117" s="12">
        <v>52</v>
      </c>
      <c r="N117" s="12">
        <v>11</v>
      </c>
      <c r="O117" s="40">
        <v>0.04</v>
      </c>
      <c r="P117" s="40">
        <v>0.39</v>
      </c>
      <c r="Q117" s="40">
        <v>0.53</v>
      </c>
      <c r="R117" s="40">
        <v>0.04</v>
      </c>
      <c r="S117" s="40">
        <v>0.48</v>
      </c>
      <c r="T117" s="40">
        <v>0.54</v>
      </c>
      <c r="U117" s="40">
        <v>0.35</v>
      </c>
      <c r="V117" s="12">
        <v>50</v>
      </c>
      <c r="W117" s="12">
        <v>9</v>
      </c>
      <c r="X117" s="66">
        <v>0.05</v>
      </c>
      <c r="Y117" s="66">
        <v>0.46</v>
      </c>
      <c r="Z117" s="66">
        <v>0.48</v>
      </c>
      <c r="AA117" s="66">
        <v>0.01</v>
      </c>
      <c r="AB117" s="66">
        <v>0.53</v>
      </c>
      <c r="AC117" s="66">
        <v>0.41</v>
      </c>
      <c r="AD117" s="66">
        <v>0.54</v>
      </c>
      <c r="AE117" s="12">
        <v>49</v>
      </c>
      <c r="AF117" s="12">
        <v>9</v>
      </c>
      <c r="AG117" s="66">
        <v>0.06</v>
      </c>
      <c r="AH117" s="66">
        <v>0.52</v>
      </c>
      <c r="AI117" s="66">
        <v>0.4</v>
      </c>
      <c r="AJ117" s="66">
        <v>0.01</v>
      </c>
      <c r="AK117" s="66">
        <v>0.57999999999999996</v>
      </c>
      <c r="AL117" s="66">
        <v>0.52</v>
      </c>
      <c r="AM117" s="66">
        <v>0.34</v>
      </c>
      <c r="AN117" s="35">
        <v>50</v>
      </c>
      <c r="AO117" s="35">
        <v>10</v>
      </c>
      <c r="AP117" s="40">
        <v>0.06</v>
      </c>
      <c r="AQ117" s="40">
        <v>0.4</v>
      </c>
      <c r="AR117" s="40">
        <v>0.53</v>
      </c>
      <c r="AS117" s="40">
        <v>0.01</v>
      </c>
      <c r="AT117" s="40">
        <v>0.32</v>
      </c>
      <c r="AU117" s="40">
        <v>0.52</v>
      </c>
      <c r="AV117" s="40">
        <v>0.53</v>
      </c>
      <c r="AW117" s="247">
        <v>49</v>
      </c>
      <c r="AX117" s="247" t="s">
        <v>874</v>
      </c>
      <c r="AY117" s="247">
        <v>9</v>
      </c>
      <c r="AZ117" s="247" t="s">
        <v>874</v>
      </c>
      <c r="BA117" s="264">
        <v>7.0000000000000007E-2</v>
      </c>
      <c r="BB117" s="264">
        <v>0.48</v>
      </c>
      <c r="BC117" s="264">
        <v>0.43</v>
      </c>
      <c r="BD117" s="264">
        <v>0.01</v>
      </c>
      <c r="BE117" s="264">
        <v>0.32</v>
      </c>
      <c r="BF117" s="264">
        <v>0.55000000000000004</v>
      </c>
      <c r="BG117" s="264">
        <v>0.51</v>
      </c>
      <c r="BH117" s="311">
        <v>50</v>
      </c>
      <c r="BI117" s="311" t="s">
        <v>874</v>
      </c>
      <c r="BJ117" s="311">
        <v>10</v>
      </c>
      <c r="BK117" s="311" t="s">
        <v>874</v>
      </c>
      <c r="BL117" s="466"/>
      <c r="BM117" s="466"/>
      <c r="BN117" s="466"/>
      <c r="BO117" s="329">
        <v>0.06</v>
      </c>
      <c r="BP117" s="329">
        <v>0.45</v>
      </c>
      <c r="BQ117" s="329">
        <v>0.47</v>
      </c>
      <c r="BR117" s="329">
        <v>0.01</v>
      </c>
      <c r="BS117" s="329">
        <v>0.55000000000000004</v>
      </c>
      <c r="BT117" s="329">
        <v>0.64</v>
      </c>
      <c r="BU117" s="480"/>
      <c r="BV117" s="480"/>
      <c r="BW117" s="480"/>
      <c r="BX117" s="329">
        <v>0.44</v>
      </c>
      <c r="BY117" s="426">
        <v>51</v>
      </c>
      <c r="BZ117" s="426" t="s">
        <v>874</v>
      </c>
      <c r="CA117" s="426">
        <v>11</v>
      </c>
      <c r="CB117" s="426" t="s">
        <v>874</v>
      </c>
      <c r="CC117" s="430">
        <v>0.09</v>
      </c>
      <c r="CD117" s="430">
        <v>0.41</v>
      </c>
      <c r="CE117" s="430">
        <v>0.49</v>
      </c>
      <c r="CF117" s="430">
        <v>0.01</v>
      </c>
      <c r="CG117" s="430">
        <v>0.64</v>
      </c>
      <c r="CH117" s="430">
        <v>0.41</v>
      </c>
      <c r="CI117" s="430">
        <v>0.61</v>
      </c>
      <c r="CJ117" s="466">
        <v>51</v>
      </c>
      <c r="CK117" s="466" t="s">
        <v>874</v>
      </c>
      <c r="CL117" s="466">
        <v>11</v>
      </c>
      <c r="CM117" s="466" t="s">
        <v>874</v>
      </c>
      <c r="CN117" s="480">
        <v>0.1</v>
      </c>
      <c r="CO117" s="480">
        <v>0.37</v>
      </c>
      <c r="CP117" s="480">
        <v>0.52</v>
      </c>
      <c r="CQ117" s="480">
        <v>0.01</v>
      </c>
      <c r="CR117" s="480">
        <v>0.59</v>
      </c>
      <c r="CS117" s="480">
        <v>0.56999999999999995</v>
      </c>
      <c r="CT117" s="480">
        <v>0.46</v>
      </c>
    </row>
    <row r="118" spans="1:98" ht="24.95" customHeight="1" x14ac:dyDescent="0.2">
      <c r="A118" s="814" t="s">
        <v>1097</v>
      </c>
      <c r="B118" s="1" t="s">
        <v>221</v>
      </c>
      <c r="C118" s="12">
        <v>1</v>
      </c>
      <c r="D118" s="12">
        <v>48</v>
      </c>
      <c r="E118" s="12">
        <v>10</v>
      </c>
      <c r="F118" s="66">
        <v>0.12</v>
      </c>
      <c r="G118" s="66">
        <v>0.5</v>
      </c>
      <c r="H118" s="66">
        <v>0.38</v>
      </c>
      <c r="I118" s="66">
        <v>0</v>
      </c>
      <c r="J118" s="66">
        <v>0.61</v>
      </c>
      <c r="K118" s="66">
        <v>0.51</v>
      </c>
      <c r="L118" s="66">
        <v>0.63</v>
      </c>
      <c r="M118" s="12">
        <v>45</v>
      </c>
      <c r="N118" s="12">
        <v>9</v>
      </c>
      <c r="O118" s="40">
        <v>0.18</v>
      </c>
      <c r="P118" s="40">
        <v>0.53</v>
      </c>
      <c r="Q118" s="40">
        <v>0.28999999999999998</v>
      </c>
      <c r="R118" s="40">
        <v>0</v>
      </c>
      <c r="S118" s="40">
        <v>0.6</v>
      </c>
      <c r="T118" s="40">
        <v>0.66</v>
      </c>
      <c r="U118" s="40">
        <v>0.46</v>
      </c>
      <c r="V118" s="12">
        <v>46</v>
      </c>
      <c r="W118" s="12">
        <v>9</v>
      </c>
      <c r="X118" s="66">
        <v>0.14000000000000001</v>
      </c>
      <c r="Y118" s="66">
        <v>0.56999999999999995</v>
      </c>
      <c r="Z118" s="66">
        <v>0.28999999999999998</v>
      </c>
      <c r="AA118" s="66">
        <v>0</v>
      </c>
      <c r="AB118" s="66">
        <v>0.6</v>
      </c>
      <c r="AC118" s="66">
        <v>0.49</v>
      </c>
      <c r="AD118" s="66">
        <v>0.59</v>
      </c>
      <c r="AE118" s="12">
        <v>47</v>
      </c>
      <c r="AF118" s="12">
        <v>9</v>
      </c>
      <c r="AG118" s="66">
        <v>0.04</v>
      </c>
      <c r="AH118" s="66">
        <v>0.61</v>
      </c>
      <c r="AI118" s="66">
        <v>0.35</v>
      </c>
      <c r="AJ118" s="66">
        <v>0</v>
      </c>
      <c r="AK118" s="66">
        <v>0.57999999999999996</v>
      </c>
      <c r="AL118" s="66">
        <v>0.53</v>
      </c>
      <c r="AM118" s="66">
        <v>0.38</v>
      </c>
      <c r="AN118" s="35">
        <v>53</v>
      </c>
      <c r="AO118" s="35">
        <v>8</v>
      </c>
      <c r="AP118" s="40">
        <v>0</v>
      </c>
      <c r="AQ118" s="40">
        <v>0.38</v>
      </c>
      <c r="AR118" s="40">
        <v>0.57999999999999996</v>
      </c>
      <c r="AS118" s="40">
        <v>0.04</v>
      </c>
      <c r="AT118" s="40">
        <v>0.23</v>
      </c>
      <c r="AU118" s="40">
        <v>0.52</v>
      </c>
      <c r="AV118" s="40">
        <v>0.51</v>
      </c>
      <c r="AW118" s="247">
        <v>50</v>
      </c>
      <c r="AX118" s="247" t="s">
        <v>874</v>
      </c>
      <c r="AY118" s="247">
        <v>10</v>
      </c>
      <c r="AZ118" s="247" t="s">
        <v>874</v>
      </c>
      <c r="BA118" s="264">
        <v>0.1</v>
      </c>
      <c r="BB118" s="264">
        <v>0.33</v>
      </c>
      <c r="BC118" s="264">
        <v>0.56999999999999995</v>
      </c>
      <c r="BD118" s="264">
        <v>0</v>
      </c>
      <c r="BE118" s="264">
        <v>0.3</v>
      </c>
      <c r="BF118" s="264">
        <v>0.55000000000000004</v>
      </c>
      <c r="BG118" s="264">
        <v>0.48</v>
      </c>
      <c r="BH118" s="311">
        <v>54</v>
      </c>
      <c r="BI118" s="311" t="s">
        <v>874</v>
      </c>
      <c r="BJ118" s="311">
        <v>8</v>
      </c>
      <c r="BK118" s="311" t="s">
        <v>874</v>
      </c>
      <c r="BL118" s="466"/>
      <c r="BM118" s="466"/>
      <c r="BN118" s="466"/>
      <c r="BO118" s="329">
        <v>0</v>
      </c>
      <c r="BP118" s="329">
        <v>0.38</v>
      </c>
      <c r="BQ118" s="329">
        <v>0.62</v>
      </c>
      <c r="BR118" s="329">
        <v>0</v>
      </c>
      <c r="BS118" s="329">
        <v>0.49</v>
      </c>
      <c r="BT118" s="329">
        <v>0.54</v>
      </c>
      <c r="BU118" s="480"/>
      <c r="BV118" s="480"/>
      <c r="BW118" s="480"/>
      <c r="BX118" s="329">
        <v>0.42</v>
      </c>
      <c r="BY118" s="426">
        <v>54</v>
      </c>
      <c r="BZ118" s="426" t="s">
        <v>874</v>
      </c>
      <c r="CA118" s="426">
        <v>9</v>
      </c>
      <c r="CB118" s="426" t="s">
        <v>874</v>
      </c>
      <c r="CC118" s="430">
        <v>0</v>
      </c>
      <c r="CD118" s="430">
        <v>0.36</v>
      </c>
      <c r="CE118" s="430">
        <v>0.6</v>
      </c>
      <c r="CF118" s="430">
        <v>0.04</v>
      </c>
      <c r="CG118" s="430">
        <v>0.65</v>
      </c>
      <c r="CH118" s="430">
        <v>0.34</v>
      </c>
      <c r="CI118" s="430">
        <v>0.46</v>
      </c>
      <c r="CJ118" s="466">
        <v>59</v>
      </c>
      <c r="CK118" s="466" t="s">
        <v>874</v>
      </c>
      <c r="CL118" s="466">
        <v>8</v>
      </c>
      <c r="CM118" s="466" t="s">
        <v>874</v>
      </c>
      <c r="CN118" s="480">
        <v>0</v>
      </c>
      <c r="CO118" s="480">
        <v>0.16</v>
      </c>
      <c r="CP118" s="480">
        <v>0.74</v>
      </c>
      <c r="CQ118" s="480">
        <v>0.11</v>
      </c>
      <c r="CR118" s="480">
        <v>0.41</v>
      </c>
      <c r="CS118" s="480">
        <v>0.4</v>
      </c>
      <c r="CT118" s="480">
        <v>0.25</v>
      </c>
    </row>
    <row r="119" spans="1:98" ht="24.95" customHeight="1" x14ac:dyDescent="0.2">
      <c r="A119" s="814" t="s">
        <v>172</v>
      </c>
      <c r="B119" s="1" t="s">
        <v>219</v>
      </c>
      <c r="C119" s="12">
        <v>3</v>
      </c>
      <c r="D119" s="12">
        <v>50</v>
      </c>
      <c r="E119" s="12">
        <v>9</v>
      </c>
      <c r="F119" s="66">
        <v>0.06</v>
      </c>
      <c r="G119" s="66">
        <v>0.5</v>
      </c>
      <c r="H119" s="66">
        <v>0.43</v>
      </c>
      <c r="I119" s="66">
        <v>0.01</v>
      </c>
      <c r="J119" s="66">
        <v>0.56999999999999995</v>
      </c>
      <c r="K119" s="66">
        <v>0.51</v>
      </c>
      <c r="L119" s="66">
        <v>0.59</v>
      </c>
      <c r="M119" s="12">
        <v>50</v>
      </c>
      <c r="N119" s="12">
        <v>9</v>
      </c>
      <c r="O119" s="40">
        <v>7.0000000000000007E-2</v>
      </c>
      <c r="P119" s="40">
        <v>0.45</v>
      </c>
      <c r="Q119" s="40">
        <v>0.48</v>
      </c>
      <c r="R119" s="40">
        <v>0.01</v>
      </c>
      <c r="S119" s="40">
        <v>0.5</v>
      </c>
      <c r="T119" s="40">
        <v>0.59</v>
      </c>
      <c r="U119" s="40">
        <v>0.39</v>
      </c>
      <c r="V119" s="12">
        <v>50</v>
      </c>
      <c r="W119" s="12">
        <v>10</v>
      </c>
      <c r="X119" s="66">
        <v>7.0000000000000007E-2</v>
      </c>
      <c r="Y119" s="66">
        <v>0.45</v>
      </c>
      <c r="Z119" s="66">
        <v>0.47</v>
      </c>
      <c r="AA119" s="66">
        <v>0.01</v>
      </c>
      <c r="AB119" s="66">
        <v>0.52</v>
      </c>
      <c r="AC119" s="66">
        <v>0.4</v>
      </c>
      <c r="AD119" s="66">
        <v>0.53</v>
      </c>
      <c r="AE119" s="12">
        <v>51</v>
      </c>
      <c r="AF119" s="12">
        <v>9</v>
      </c>
      <c r="AG119" s="66">
        <v>0.05</v>
      </c>
      <c r="AH119" s="66">
        <v>0.44</v>
      </c>
      <c r="AI119" s="66">
        <v>0.5</v>
      </c>
      <c r="AJ119" s="66">
        <v>0.01</v>
      </c>
      <c r="AK119" s="66">
        <v>0.56999999999999995</v>
      </c>
      <c r="AL119" s="66">
        <v>0.48</v>
      </c>
      <c r="AM119" s="66">
        <v>0.31</v>
      </c>
      <c r="AN119" s="35">
        <v>49</v>
      </c>
      <c r="AO119" s="35">
        <v>9</v>
      </c>
      <c r="AP119" s="40">
        <v>0.08</v>
      </c>
      <c r="AQ119" s="40">
        <v>0.45</v>
      </c>
      <c r="AR119" s="40">
        <v>0.47</v>
      </c>
      <c r="AS119" s="40">
        <v>0.01</v>
      </c>
      <c r="AT119" s="40">
        <v>0.35</v>
      </c>
      <c r="AU119" s="40">
        <v>0.55000000000000004</v>
      </c>
      <c r="AV119" s="40">
        <v>0.55000000000000004</v>
      </c>
      <c r="AW119" s="247">
        <v>49</v>
      </c>
      <c r="AX119" s="247" t="s">
        <v>874</v>
      </c>
      <c r="AY119" s="247">
        <v>8</v>
      </c>
      <c r="AZ119" s="247" t="s">
        <v>874</v>
      </c>
      <c r="BA119" s="264">
        <v>0.06</v>
      </c>
      <c r="BB119" s="264">
        <v>0.46</v>
      </c>
      <c r="BC119" s="264">
        <v>0.47</v>
      </c>
      <c r="BD119" s="264">
        <v>0.01</v>
      </c>
      <c r="BE119" s="264">
        <v>0.31</v>
      </c>
      <c r="BF119" s="264">
        <v>0.56000000000000005</v>
      </c>
      <c r="BG119" s="264">
        <v>0.52</v>
      </c>
      <c r="BH119" s="311">
        <v>50</v>
      </c>
      <c r="BI119" s="311" t="s">
        <v>874</v>
      </c>
      <c r="BJ119" s="311">
        <v>9</v>
      </c>
      <c r="BK119" s="311" t="s">
        <v>874</v>
      </c>
      <c r="BL119" s="466"/>
      <c r="BM119" s="466"/>
      <c r="BN119" s="466"/>
      <c r="BO119" s="329">
        <v>0.04</v>
      </c>
      <c r="BP119" s="329">
        <v>0.48</v>
      </c>
      <c r="BQ119" s="329">
        <v>0.47</v>
      </c>
      <c r="BR119" s="329">
        <v>0.01</v>
      </c>
      <c r="BS119" s="329">
        <v>0.55000000000000004</v>
      </c>
      <c r="BT119" s="329">
        <v>0.62</v>
      </c>
      <c r="BU119" s="480"/>
      <c r="BV119" s="480"/>
      <c r="BW119" s="480"/>
      <c r="BX119" s="329">
        <v>0.42</v>
      </c>
      <c r="BY119" s="426">
        <v>50</v>
      </c>
      <c r="BZ119" s="426" t="s">
        <v>874</v>
      </c>
      <c r="CA119" s="426">
        <v>9</v>
      </c>
      <c r="CB119" s="426" t="s">
        <v>874</v>
      </c>
      <c r="CC119" s="430">
        <v>7.0000000000000007E-2</v>
      </c>
      <c r="CD119" s="430">
        <v>0.45</v>
      </c>
      <c r="CE119" s="430">
        <v>0.48</v>
      </c>
      <c r="CF119" s="430">
        <v>0.01</v>
      </c>
      <c r="CG119" s="430">
        <v>0.63</v>
      </c>
      <c r="CH119" s="430">
        <v>0.39</v>
      </c>
      <c r="CI119" s="430">
        <v>0.63</v>
      </c>
      <c r="CJ119" s="466">
        <v>51</v>
      </c>
      <c r="CK119" s="466" t="s">
        <v>874</v>
      </c>
      <c r="CL119" s="466">
        <v>11</v>
      </c>
      <c r="CM119" s="466" t="s">
        <v>874</v>
      </c>
      <c r="CN119" s="480">
        <v>0.11</v>
      </c>
      <c r="CO119" s="480">
        <v>0.33</v>
      </c>
      <c r="CP119" s="480">
        <v>0.55000000000000004</v>
      </c>
      <c r="CQ119" s="480">
        <v>0.01</v>
      </c>
      <c r="CR119" s="480">
        <v>0.65</v>
      </c>
      <c r="CS119" s="480">
        <v>0.53</v>
      </c>
      <c r="CT119" s="480">
        <v>0.45</v>
      </c>
    </row>
    <row r="120" spans="1:98" ht="24.95" customHeight="1" x14ac:dyDescent="0.2">
      <c r="A120" s="814" t="s">
        <v>33</v>
      </c>
      <c r="B120" s="1" t="s">
        <v>219</v>
      </c>
      <c r="C120" s="12">
        <v>6</v>
      </c>
      <c r="D120" s="12">
        <v>51</v>
      </c>
      <c r="E120" s="12">
        <v>9</v>
      </c>
      <c r="F120" s="66">
        <v>0.02</v>
      </c>
      <c r="G120" s="66">
        <v>0.52</v>
      </c>
      <c r="H120" s="66">
        <v>0.44</v>
      </c>
      <c r="I120" s="66">
        <v>0.02</v>
      </c>
      <c r="J120" s="66">
        <v>0.54</v>
      </c>
      <c r="K120" s="66">
        <v>0.51</v>
      </c>
      <c r="L120" s="66">
        <v>0.54</v>
      </c>
      <c r="M120" s="12">
        <v>53</v>
      </c>
      <c r="N120" s="12">
        <v>8</v>
      </c>
      <c r="O120" s="40">
        <v>0.01</v>
      </c>
      <c r="P120" s="40">
        <v>0.38</v>
      </c>
      <c r="Q120" s="40">
        <v>0.59</v>
      </c>
      <c r="R120" s="40">
        <v>0.03</v>
      </c>
      <c r="S120" s="40">
        <v>0.48</v>
      </c>
      <c r="T120" s="40">
        <v>0.54</v>
      </c>
      <c r="U120" s="40">
        <v>0.33</v>
      </c>
      <c r="V120" s="12">
        <v>54</v>
      </c>
      <c r="W120" s="12">
        <v>10</v>
      </c>
      <c r="X120" s="66">
        <v>0.04</v>
      </c>
      <c r="Y120" s="66">
        <v>0.28000000000000003</v>
      </c>
      <c r="Z120" s="66">
        <v>0.64</v>
      </c>
      <c r="AA120" s="66">
        <v>0.04</v>
      </c>
      <c r="AB120" s="66">
        <v>0.46</v>
      </c>
      <c r="AC120" s="66">
        <v>0.34</v>
      </c>
      <c r="AD120" s="66">
        <v>0.47</v>
      </c>
      <c r="AE120" s="12">
        <v>53</v>
      </c>
      <c r="AF120" s="12">
        <v>10</v>
      </c>
      <c r="AG120" s="66">
        <v>0.05</v>
      </c>
      <c r="AH120" s="66">
        <v>0.34</v>
      </c>
      <c r="AI120" s="66">
        <v>0.6</v>
      </c>
      <c r="AJ120" s="66">
        <v>0.02</v>
      </c>
      <c r="AK120" s="66">
        <v>0.52</v>
      </c>
      <c r="AL120" s="66">
        <v>0.46</v>
      </c>
      <c r="AM120" s="66">
        <v>0.3</v>
      </c>
      <c r="AN120" s="35">
        <v>53</v>
      </c>
      <c r="AO120" s="35">
        <v>9</v>
      </c>
      <c r="AP120" s="40">
        <v>0.01</v>
      </c>
      <c r="AQ120" s="40">
        <v>0.34</v>
      </c>
      <c r="AR120" s="40">
        <v>0.62</v>
      </c>
      <c r="AS120" s="40">
        <v>0.03</v>
      </c>
      <c r="AT120" s="40">
        <v>0.28000000000000003</v>
      </c>
      <c r="AU120" s="40">
        <v>0.5</v>
      </c>
      <c r="AV120" s="40">
        <v>0.49</v>
      </c>
      <c r="AW120" s="247">
        <v>50</v>
      </c>
      <c r="AX120" s="247" t="s">
        <v>874</v>
      </c>
      <c r="AY120" s="247">
        <v>8</v>
      </c>
      <c r="AZ120" s="247" t="s">
        <v>874</v>
      </c>
      <c r="BA120" s="264">
        <v>0.06</v>
      </c>
      <c r="BB120" s="264">
        <v>0.45</v>
      </c>
      <c r="BC120" s="264">
        <v>0.48</v>
      </c>
      <c r="BD120" s="264">
        <v>0.01</v>
      </c>
      <c r="BE120" s="264">
        <v>0.32</v>
      </c>
      <c r="BF120" s="264">
        <v>0.55000000000000004</v>
      </c>
      <c r="BG120" s="264">
        <v>0.5</v>
      </c>
      <c r="BH120" s="311">
        <v>50</v>
      </c>
      <c r="BI120" s="311" t="s">
        <v>874</v>
      </c>
      <c r="BJ120" s="311">
        <v>11</v>
      </c>
      <c r="BK120" s="311" t="s">
        <v>874</v>
      </c>
      <c r="BL120" s="466"/>
      <c r="BM120" s="466"/>
      <c r="BN120" s="466"/>
      <c r="BO120" s="329">
        <v>0.12</v>
      </c>
      <c r="BP120" s="329">
        <v>0.35</v>
      </c>
      <c r="BQ120" s="329">
        <v>0.52</v>
      </c>
      <c r="BR120" s="329">
        <v>0</v>
      </c>
      <c r="BS120" s="329">
        <v>0.53</v>
      </c>
      <c r="BT120" s="329">
        <v>0.62</v>
      </c>
      <c r="BU120" s="480"/>
      <c r="BV120" s="480"/>
      <c r="BW120" s="480"/>
      <c r="BX120" s="329">
        <v>0.42</v>
      </c>
      <c r="BY120" s="426">
        <v>50</v>
      </c>
      <c r="BZ120" s="426" t="s">
        <v>874</v>
      </c>
      <c r="CA120" s="426">
        <v>11</v>
      </c>
      <c r="CB120" s="426" t="s">
        <v>874</v>
      </c>
      <c r="CC120" s="430">
        <v>0.1</v>
      </c>
      <c r="CD120" s="430">
        <v>0.41</v>
      </c>
      <c r="CE120" s="430">
        <v>0.47</v>
      </c>
      <c r="CF120" s="430">
        <v>0.03</v>
      </c>
      <c r="CG120" s="430">
        <v>0.62</v>
      </c>
      <c r="CH120" s="430">
        <v>0.43</v>
      </c>
      <c r="CI120" s="430">
        <v>0.61</v>
      </c>
      <c r="CJ120" s="466">
        <v>49</v>
      </c>
      <c r="CK120" s="466" t="s">
        <v>874</v>
      </c>
      <c r="CL120" s="466">
        <v>12</v>
      </c>
      <c r="CM120" s="466" t="s">
        <v>874</v>
      </c>
      <c r="CN120" s="480">
        <v>0.11</v>
      </c>
      <c r="CO120" s="480">
        <v>0.46</v>
      </c>
      <c r="CP120" s="480">
        <v>0.39</v>
      </c>
      <c r="CQ120" s="480">
        <v>0.04</v>
      </c>
      <c r="CR120" s="480">
        <v>0.62</v>
      </c>
      <c r="CS120" s="480">
        <v>0.56999999999999995</v>
      </c>
      <c r="CT120" s="480">
        <v>0.48</v>
      </c>
    </row>
    <row r="121" spans="1:98" ht="24.95" customHeight="1" x14ac:dyDescent="0.2">
      <c r="A121" s="814" t="s">
        <v>65</v>
      </c>
      <c r="B121" s="1" t="s">
        <v>219</v>
      </c>
      <c r="C121" s="12">
        <v>3</v>
      </c>
      <c r="D121" s="12">
        <v>52</v>
      </c>
      <c r="E121" s="12">
        <v>8</v>
      </c>
      <c r="F121" s="66">
        <v>0.02</v>
      </c>
      <c r="G121" s="66">
        <v>0.43</v>
      </c>
      <c r="H121" s="66">
        <v>0.54</v>
      </c>
      <c r="I121" s="66">
        <v>0.01</v>
      </c>
      <c r="J121" s="66">
        <v>0.55000000000000004</v>
      </c>
      <c r="K121" s="66">
        <v>0.48</v>
      </c>
      <c r="L121" s="66">
        <v>0.56000000000000005</v>
      </c>
      <c r="M121" s="12">
        <v>50</v>
      </c>
      <c r="N121" s="12">
        <v>9</v>
      </c>
      <c r="O121" s="40">
        <v>0.06</v>
      </c>
      <c r="P121" s="40">
        <v>0.43</v>
      </c>
      <c r="Q121" s="40">
        <v>0.5</v>
      </c>
      <c r="R121" s="40">
        <v>0.01</v>
      </c>
      <c r="S121" s="40">
        <v>0.48</v>
      </c>
      <c r="T121" s="40">
        <v>0.57999999999999996</v>
      </c>
      <c r="U121" s="40">
        <v>0.38</v>
      </c>
      <c r="V121" s="12">
        <v>51</v>
      </c>
      <c r="W121" s="12">
        <v>9</v>
      </c>
      <c r="X121" s="66">
        <v>0.04</v>
      </c>
      <c r="Y121" s="66">
        <v>0.42</v>
      </c>
      <c r="Z121" s="66">
        <v>0.54</v>
      </c>
      <c r="AA121" s="66">
        <v>0.01</v>
      </c>
      <c r="AB121" s="66">
        <v>0.5</v>
      </c>
      <c r="AC121" s="66">
        <v>0.39</v>
      </c>
      <c r="AD121" s="66">
        <v>0.52</v>
      </c>
      <c r="AE121" s="12">
        <v>51</v>
      </c>
      <c r="AF121" s="12">
        <v>10</v>
      </c>
      <c r="AG121" s="66">
        <v>0.05</v>
      </c>
      <c r="AH121" s="66">
        <v>0.4</v>
      </c>
      <c r="AI121" s="66">
        <v>0.53</v>
      </c>
      <c r="AJ121" s="66">
        <v>0.02</v>
      </c>
      <c r="AK121" s="66">
        <v>0.54</v>
      </c>
      <c r="AL121" s="66">
        <v>0.49</v>
      </c>
      <c r="AM121" s="66">
        <v>0.32</v>
      </c>
      <c r="AN121" s="35">
        <v>52</v>
      </c>
      <c r="AO121" s="35">
        <v>9</v>
      </c>
      <c r="AP121" s="40">
        <v>0.04</v>
      </c>
      <c r="AQ121" s="40">
        <v>0.37</v>
      </c>
      <c r="AR121" s="40">
        <v>0.56999999999999995</v>
      </c>
      <c r="AS121" s="40">
        <v>0.02</v>
      </c>
      <c r="AT121" s="40">
        <v>0.27</v>
      </c>
      <c r="AU121" s="40">
        <v>0.5</v>
      </c>
      <c r="AV121" s="40">
        <v>0.52</v>
      </c>
      <c r="AW121" s="247">
        <v>49</v>
      </c>
      <c r="AX121" s="247" t="s">
        <v>874</v>
      </c>
      <c r="AY121" s="247">
        <v>8</v>
      </c>
      <c r="AZ121" s="247" t="s">
        <v>874</v>
      </c>
      <c r="BA121" s="264">
        <v>0.06</v>
      </c>
      <c r="BB121" s="264">
        <v>0.5</v>
      </c>
      <c r="BC121" s="264">
        <v>0.43</v>
      </c>
      <c r="BD121" s="264">
        <v>0</v>
      </c>
      <c r="BE121" s="264">
        <v>0.31</v>
      </c>
      <c r="BF121" s="264">
        <v>0.55000000000000004</v>
      </c>
      <c r="BG121" s="264">
        <v>0.53</v>
      </c>
      <c r="BH121" s="311">
        <v>51</v>
      </c>
      <c r="BI121" s="311" t="s">
        <v>874</v>
      </c>
      <c r="BJ121" s="311">
        <v>9</v>
      </c>
      <c r="BK121" s="311" t="s">
        <v>874</v>
      </c>
      <c r="BL121" s="466"/>
      <c r="BM121" s="466"/>
      <c r="BN121" s="466"/>
      <c r="BO121" s="329">
        <v>7.0000000000000007E-2</v>
      </c>
      <c r="BP121" s="329">
        <v>0.42</v>
      </c>
      <c r="BQ121" s="329">
        <v>0.49</v>
      </c>
      <c r="BR121" s="329">
        <v>0.02</v>
      </c>
      <c r="BS121" s="329">
        <v>0.55000000000000004</v>
      </c>
      <c r="BT121" s="329">
        <v>0.63</v>
      </c>
      <c r="BU121" s="480"/>
      <c r="BV121" s="480"/>
      <c r="BW121" s="480"/>
      <c r="BX121" s="329">
        <v>0.43</v>
      </c>
      <c r="BY121" s="426">
        <v>48</v>
      </c>
      <c r="BZ121" s="426" t="s">
        <v>874</v>
      </c>
      <c r="CA121" s="426">
        <v>9</v>
      </c>
      <c r="CB121" s="426" t="s">
        <v>874</v>
      </c>
      <c r="CC121" s="430">
        <v>0.08</v>
      </c>
      <c r="CD121" s="430">
        <v>0.53</v>
      </c>
      <c r="CE121" s="430">
        <v>0.38</v>
      </c>
      <c r="CF121" s="430">
        <v>0.01</v>
      </c>
      <c r="CG121" s="430">
        <v>0.68</v>
      </c>
      <c r="CH121" s="430">
        <v>0.42</v>
      </c>
      <c r="CI121" s="430">
        <v>0.67</v>
      </c>
      <c r="CJ121" s="466">
        <v>51</v>
      </c>
      <c r="CK121" s="466" t="s">
        <v>874</v>
      </c>
      <c r="CL121" s="466">
        <v>11</v>
      </c>
      <c r="CM121" s="466" t="s">
        <v>874</v>
      </c>
      <c r="CN121" s="480">
        <v>0.05</v>
      </c>
      <c r="CO121" s="480">
        <v>0.43</v>
      </c>
      <c r="CP121" s="480">
        <v>0.5</v>
      </c>
      <c r="CQ121" s="480">
        <v>0.03</v>
      </c>
      <c r="CR121" s="480">
        <v>0.61</v>
      </c>
      <c r="CS121" s="480">
        <v>0.55000000000000004</v>
      </c>
      <c r="CT121" s="480">
        <v>0.44</v>
      </c>
    </row>
    <row r="122" spans="1:98" ht="24.95" customHeight="1" x14ac:dyDescent="0.2">
      <c r="A122" s="814" t="s">
        <v>106</v>
      </c>
      <c r="B122" s="1" t="s">
        <v>221</v>
      </c>
      <c r="C122" s="12">
        <v>1</v>
      </c>
      <c r="D122" s="12">
        <v>56</v>
      </c>
      <c r="E122" s="12">
        <v>10</v>
      </c>
      <c r="F122" s="66">
        <v>0.1</v>
      </c>
      <c r="G122" s="66">
        <v>0.19</v>
      </c>
      <c r="H122" s="66">
        <v>0.71</v>
      </c>
      <c r="I122" s="66">
        <v>0</v>
      </c>
      <c r="J122" s="66">
        <v>0.46</v>
      </c>
      <c r="K122" s="66">
        <v>0.38</v>
      </c>
      <c r="L122" s="66">
        <v>0.44</v>
      </c>
      <c r="M122" s="12">
        <v>55</v>
      </c>
      <c r="N122" s="12">
        <v>8</v>
      </c>
      <c r="O122" s="40">
        <v>0.03</v>
      </c>
      <c r="P122" s="40">
        <v>0.26</v>
      </c>
      <c r="Q122" s="40">
        <v>0.68</v>
      </c>
      <c r="R122" s="40">
        <v>0.03</v>
      </c>
      <c r="S122" s="40">
        <v>0.46</v>
      </c>
      <c r="T122" s="40">
        <v>0.51</v>
      </c>
      <c r="U122" s="40">
        <v>0.28999999999999998</v>
      </c>
      <c r="V122" s="12">
        <v>53</v>
      </c>
      <c r="W122" s="12">
        <v>9</v>
      </c>
      <c r="X122" s="66">
        <v>0</v>
      </c>
      <c r="Y122" s="66">
        <v>0.43</v>
      </c>
      <c r="Z122" s="66">
        <v>0.56999999999999995</v>
      </c>
      <c r="AA122" s="66">
        <v>0</v>
      </c>
      <c r="AB122" s="66">
        <v>0.46</v>
      </c>
      <c r="AC122" s="66">
        <v>0.34</v>
      </c>
      <c r="AD122" s="66">
        <v>0.5</v>
      </c>
      <c r="AE122" s="12">
        <v>53</v>
      </c>
      <c r="AF122" s="12">
        <v>11</v>
      </c>
      <c r="AG122" s="66">
        <v>0.08</v>
      </c>
      <c r="AH122" s="66">
        <v>0.32</v>
      </c>
      <c r="AI122" s="66">
        <v>0.59</v>
      </c>
      <c r="AJ122" s="66">
        <v>0</v>
      </c>
      <c r="AK122" s="66">
        <v>0.53</v>
      </c>
      <c r="AL122" s="66">
        <v>0.43</v>
      </c>
      <c r="AM122" s="66">
        <v>0.28000000000000003</v>
      </c>
      <c r="AN122" s="35">
        <v>55</v>
      </c>
      <c r="AO122" s="35">
        <v>11</v>
      </c>
      <c r="AP122" s="40">
        <v>0.05</v>
      </c>
      <c r="AQ122" s="40">
        <v>0.36</v>
      </c>
      <c r="AR122" s="40">
        <v>0.59</v>
      </c>
      <c r="AS122" s="40">
        <v>0</v>
      </c>
      <c r="AT122" s="40">
        <v>0.3</v>
      </c>
      <c r="AU122" s="40">
        <v>0.43</v>
      </c>
      <c r="AV122" s="40">
        <v>0.43</v>
      </c>
      <c r="AW122" s="247">
        <v>51</v>
      </c>
      <c r="AX122" s="247" t="s">
        <v>874</v>
      </c>
      <c r="AY122" s="247">
        <v>9</v>
      </c>
      <c r="AZ122" s="247" t="s">
        <v>874</v>
      </c>
      <c r="BA122" s="264">
        <v>0.03</v>
      </c>
      <c r="BB122" s="264">
        <v>0.35</v>
      </c>
      <c r="BC122" s="264">
        <v>0.62</v>
      </c>
      <c r="BD122" s="264">
        <v>0</v>
      </c>
      <c r="BE122" s="264">
        <v>0.26</v>
      </c>
      <c r="BF122" s="264">
        <v>0.53</v>
      </c>
      <c r="BG122" s="264">
        <v>0.49</v>
      </c>
      <c r="BH122" s="311">
        <v>58</v>
      </c>
      <c r="BI122" s="311" t="s">
        <v>874</v>
      </c>
      <c r="BJ122" s="311">
        <v>9</v>
      </c>
      <c r="BK122" s="311" t="s">
        <v>874</v>
      </c>
      <c r="BL122" s="466"/>
      <c r="BM122" s="466"/>
      <c r="BN122" s="466"/>
      <c r="BO122" s="329">
        <v>0</v>
      </c>
      <c r="BP122" s="329">
        <v>0.21</v>
      </c>
      <c r="BQ122" s="329">
        <v>0.71</v>
      </c>
      <c r="BR122" s="329">
        <v>0.09</v>
      </c>
      <c r="BS122" s="329">
        <v>0.44</v>
      </c>
      <c r="BT122" s="329">
        <v>0.52</v>
      </c>
      <c r="BU122" s="480"/>
      <c r="BV122" s="480"/>
      <c r="BW122" s="480"/>
      <c r="BX122" s="329">
        <v>0.33</v>
      </c>
      <c r="BY122" s="426">
        <v>57</v>
      </c>
      <c r="BZ122" s="426" t="s">
        <v>874</v>
      </c>
      <c r="CA122" s="426">
        <v>9</v>
      </c>
      <c r="CB122" s="426" t="s">
        <v>874</v>
      </c>
      <c r="CC122" s="430">
        <v>0.03</v>
      </c>
      <c r="CD122" s="430">
        <v>0.17</v>
      </c>
      <c r="CE122" s="430">
        <v>0.69</v>
      </c>
      <c r="CF122" s="430">
        <v>0.1</v>
      </c>
      <c r="CG122" s="430">
        <v>0.54</v>
      </c>
      <c r="CH122" s="430">
        <v>0.31</v>
      </c>
      <c r="CI122" s="430">
        <v>0.56000000000000005</v>
      </c>
      <c r="CJ122" s="466">
        <v>57</v>
      </c>
      <c r="CK122" s="466" t="s">
        <v>874</v>
      </c>
      <c r="CL122" s="466">
        <v>11</v>
      </c>
      <c r="CM122" s="466" t="s">
        <v>874</v>
      </c>
      <c r="CN122" s="480">
        <v>0</v>
      </c>
      <c r="CO122" s="480">
        <v>0.31</v>
      </c>
      <c r="CP122" s="480">
        <v>0.54</v>
      </c>
      <c r="CQ122" s="480">
        <v>0.15</v>
      </c>
      <c r="CR122" s="480">
        <v>0.5</v>
      </c>
      <c r="CS122" s="480">
        <v>0.5</v>
      </c>
      <c r="CT122" s="480">
        <v>0.35</v>
      </c>
    </row>
    <row r="123" spans="1:98" ht="24.95" customHeight="1" x14ac:dyDescent="0.2">
      <c r="A123" s="814" t="s">
        <v>187</v>
      </c>
      <c r="B123" s="1" t="s">
        <v>219</v>
      </c>
      <c r="C123" s="12">
        <v>4</v>
      </c>
      <c r="D123" s="12">
        <v>44</v>
      </c>
      <c r="E123" s="12">
        <v>9</v>
      </c>
      <c r="F123" s="66">
        <v>0.2</v>
      </c>
      <c r="G123" s="66">
        <v>0.51</v>
      </c>
      <c r="H123" s="66">
        <v>0.28999999999999998</v>
      </c>
      <c r="I123" s="66">
        <v>0</v>
      </c>
      <c r="J123" s="66">
        <v>0.62</v>
      </c>
      <c r="K123" s="66">
        <v>0.61</v>
      </c>
      <c r="L123" s="66">
        <v>0.65</v>
      </c>
      <c r="M123" s="12">
        <v>45</v>
      </c>
      <c r="N123" s="12">
        <v>10</v>
      </c>
      <c r="O123" s="40">
        <v>0.15</v>
      </c>
      <c r="P123" s="40">
        <v>0.59</v>
      </c>
      <c r="Q123" s="40">
        <v>0.26</v>
      </c>
      <c r="R123" s="40">
        <v>0</v>
      </c>
      <c r="S123" s="40">
        <v>0.54</v>
      </c>
      <c r="T123" s="40">
        <v>0.67</v>
      </c>
      <c r="U123" s="40">
        <v>0.49</v>
      </c>
      <c r="V123" s="12">
        <v>42</v>
      </c>
      <c r="W123" s="12">
        <v>8</v>
      </c>
      <c r="X123" s="66">
        <v>0.24</v>
      </c>
      <c r="Y123" s="66">
        <v>0.55000000000000004</v>
      </c>
      <c r="Z123" s="66">
        <v>0.21</v>
      </c>
      <c r="AA123" s="66">
        <v>0</v>
      </c>
      <c r="AB123" s="66">
        <v>0.65</v>
      </c>
      <c r="AC123" s="66">
        <v>0.48</v>
      </c>
      <c r="AD123" s="66">
        <v>0.65</v>
      </c>
      <c r="AE123" s="12">
        <v>47</v>
      </c>
      <c r="AF123" s="12">
        <v>10</v>
      </c>
      <c r="AG123" s="66">
        <v>0.1</v>
      </c>
      <c r="AH123" s="66">
        <v>0.59</v>
      </c>
      <c r="AI123" s="66">
        <v>0.32</v>
      </c>
      <c r="AJ123" s="66">
        <v>0</v>
      </c>
      <c r="AK123" s="66">
        <v>0.6</v>
      </c>
      <c r="AL123" s="66">
        <v>0.52</v>
      </c>
      <c r="AM123" s="66">
        <v>0.39</v>
      </c>
      <c r="AN123" s="35">
        <v>44</v>
      </c>
      <c r="AO123" s="35">
        <v>10</v>
      </c>
      <c r="AP123" s="40">
        <v>0.22</v>
      </c>
      <c r="AQ123" s="40">
        <v>0.47</v>
      </c>
      <c r="AR123" s="40">
        <v>0.31</v>
      </c>
      <c r="AS123" s="40">
        <v>0</v>
      </c>
      <c r="AT123" s="40">
        <v>0.41</v>
      </c>
      <c r="AU123" s="40">
        <v>0.65</v>
      </c>
      <c r="AV123" s="40">
        <v>0.61</v>
      </c>
      <c r="AW123" s="247">
        <v>49</v>
      </c>
      <c r="AX123" s="247" t="s">
        <v>874</v>
      </c>
      <c r="AY123" s="247">
        <v>9</v>
      </c>
      <c r="AZ123" s="247" t="s">
        <v>874</v>
      </c>
      <c r="BA123" s="264">
        <v>0.1</v>
      </c>
      <c r="BB123" s="264">
        <v>0.4</v>
      </c>
      <c r="BC123" s="264">
        <v>0.5</v>
      </c>
      <c r="BD123" s="264">
        <v>0</v>
      </c>
      <c r="BE123" s="264">
        <v>0.35</v>
      </c>
      <c r="BF123" s="264">
        <v>0.53</v>
      </c>
      <c r="BG123" s="264">
        <v>0.51</v>
      </c>
      <c r="BH123" s="311">
        <v>48</v>
      </c>
      <c r="BI123" s="311" t="s">
        <v>874</v>
      </c>
      <c r="BJ123" s="311">
        <v>10</v>
      </c>
      <c r="BK123" s="311" t="s">
        <v>874</v>
      </c>
      <c r="BL123" s="466"/>
      <c r="BM123" s="466"/>
      <c r="BN123" s="466"/>
      <c r="BO123" s="329">
        <v>0.08</v>
      </c>
      <c r="BP123" s="329">
        <v>0.44</v>
      </c>
      <c r="BQ123" s="329">
        <v>0.47</v>
      </c>
      <c r="BR123" s="329">
        <v>0</v>
      </c>
      <c r="BS123" s="329">
        <v>0.6</v>
      </c>
      <c r="BT123" s="329">
        <v>0.67</v>
      </c>
      <c r="BU123" s="480"/>
      <c r="BV123" s="480"/>
      <c r="BW123" s="480"/>
      <c r="BX123" s="329">
        <v>0.44</v>
      </c>
      <c r="BY123" s="426">
        <v>48</v>
      </c>
      <c r="BZ123" s="426" t="s">
        <v>874</v>
      </c>
      <c r="CA123" s="426">
        <v>12</v>
      </c>
      <c r="CB123" s="426" t="s">
        <v>874</v>
      </c>
      <c r="CC123" s="430">
        <v>0.16</v>
      </c>
      <c r="CD123" s="430">
        <v>0.41</v>
      </c>
      <c r="CE123" s="430">
        <v>0.44</v>
      </c>
      <c r="CF123" s="430">
        <v>0</v>
      </c>
      <c r="CG123" s="430">
        <v>0.65</v>
      </c>
      <c r="CH123" s="430">
        <v>0.45</v>
      </c>
      <c r="CI123" s="430">
        <v>0.61</v>
      </c>
      <c r="CJ123" s="466">
        <v>45</v>
      </c>
      <c r="CK123" s="466" t="s">
        <v>876</v>
      </c>
      <c r="CL123" s="466">
        <v>10</v>
      </c>
      <c r="CM123" s="466" t="s">
        <v>874</v>
      </c>
      <c r="CN123" s="480">
        <v>0.2</v>
      </c>
      <c r="CO123" s="480">
        <v>0.47</v>
      </c>
      <c r="CP123" s="480">
        <v>0.33</v>
      </c>
      <c r="CQ123" s="480">
        <v>0</v>
      </c>
      <c r="CR123" s="480">
        <v>0.66</v>
      </c>
      <c r="CS123" s="480">
        <v>0.65</v>
      </c>
      <c r="CT123" s="480">
        <v>0.48</v>
      </c>
    </row>
    <row r="124" spans="1:98" ht="24.95" customHeight="1" x14ac:dyDescent="0.2">
      <c r="A124" s="814" t="s">
        <v>928</v>
      </c>
      <c r="B124" s="1" t="s">
        <v>219</v>
      </c>
      <c r="C124" s="12">
        <v>2</v>
      </c>
      <c r="D124" s="12"/>
      <c r="E124" s="12"/>
      <c r="F124" s="66"/>
      <c r="G124" s="66"/>
      <c r="H124" s="66"/>
      <c r="I124" s="66"/>
      <c r="J124" s="66"/>
      <c r="K124" s="66"/>
      <c r="L124" s="66"/>
      <c r="M124" s="12"/>
      <c r="N124" s="12"/>
      <c r="O124" s="40"/>
      <c r="P124" s="40"/>
      <c r="Q124" s="40"/>
      <c r="R124" s="40"/>
      <c r="S124" s="40"/>
      <c r="T124" s="40"/>
      <c r="U124" s="40"/>
      <c r="V124" s="12"/>
      <c r="W124" s="12"/>
      <c r="X124" s="66"/>
      <c r="Y124" s="66"/>
      <c r="Z124" s="66"/>
      <c r="AA124" s="66"/>
      <c r="AB124" s="66"/>
      <c r="AC124" s="66"/>
      <c r="AD124" s="66"/>
      <c r="AE124" s="12"/>
      <c r="AF124" s="12"/>
      <c r="AG124" s="66"/>
      <c r="AH124" s="66"/>
      <c r="AI124" s="66"/>
      <c r="AJ124" s="66"/>
      <c r="AK124" s="66"/>
      <c r="AL124" s="66"/>
      <c r="AM124" s="66"/>
      <c r="AN124" s="35"/>
      <c r="AO124" s="35"/>
      <c r="AP124" s="40"/>
      <c r="AQ124" s="40"/>
      <c r="AR124" s="40"/>
      <c r="AS124" s="40"/>
      <c r="AT124" s="40"/>
      <c r="AU124" s="40"/>
      <c r="AV124" s="40"/>
      <c r="AW124" s="247"/>
      <c r="AX124" s="247"/>
      <c r="AY124" s="247"/>
      <c r="AZ124" s="247"/>
      <c r="BA124" s="264"/>
      <c r="BB124" s="264"/>
      <c r="BC124" s="264"/>
      <c r="BD124" s="264"/>
      <c r="BE124" s="264"/>
      <c r="BF124" s="264"/>
      <c r="BG124" s="264"/>
      <c r="BH124" s="311">
        <v>52</v>
      </c>
      <c r="BI124" s="311" t="s">
        <v>874</v>
      </c>
      <c r="BJ124" s="311">
        <v>9</v>
      </c>
      <c r="BK124" s="311" t="s">
        <v>874</v>
      </c>
      <c r="BL124" s="466"/>
      <c r="BM124" s="466"/>
      <c r="BN124" s="466"/>
      <c r="BO124" s="329">
        <v>0.05</v>
      </c>
      <c r="BP124" s="329">
        <v>0.32</v>
      </c>
      <c r="BQ124" s="329">
        <v>0.63</v>
      </c>
      <c r="BR124" s="329">
        <v>0</v>
      </c>
      <c r="BS124" s="329">
        <v>0.56000000000000005</v>
      </c>
      <c r="BT124" s="329">
        <v>0.67</v>
      </c>
      <c r="BU124" s="480"/>
      <c r="BV124" s="480"/>
      <c r="BW124" s="480"/>
      <c r="BX124" s="329">
        <v>0.41</v>
      </c>
      <c r="BY124" s="426">
        <v>50</v>
      </c>
      <c r="BZ124" s="426" t="s">
        <v>874</v>
      </c>
      <c r="CA124" s="426">
        <v>9</v>
      </c>
      <c r="CB124" s="426" t="s">
        <v>874</v>
      </c>
      <c r="CC124" s="430">
        <v>0.06</v>
      </c>
      <c r="CD124" s="430">
        <v>0.39</v>
      </c>
      <c r="CE124" s="430">
        <v>0.55000000000000004</v>
      </c>
      <c r="CF124" s="430">
        <v>0</v>
      </c>
      <c r="CG124" s="430">
        <v>0.68</v>
      </c>
      <c r="CH124" s="430">
        <v>0.41</v>
      </c>
      <c r="CI124" s="430">
        <v>0.61</v>
      </c>
      <c r="CJ124" s="466">
        <v>53</v>
      </c>
      <c r="CK124" s="466" t="s">
        <v>874</v>
      </c>
      <c r="CL124" s="466">
        <v>10</v>
      </c>
      <c r="CM124" s="466" t="s">
        <v>874</v>
      </c>
      <c r="CN124" s="480">
        <v>0.04</v>
      </c>
      <c r="CO124" s="480">
        <v>0.38</v>
      </c>
      <c r="CP124" s="480">
        <v>0.53</v>
      </c>
      <c r="CQ124" s="480">
        <v>0.05</v>
      </c>
      <c r="CR124" s="480">
        <v>0.55000000000000004</v>
      </c>
      <c r="CS124" s="480">
        <v>0.54</v>
      </c>
      <c r="CT124" s="480">
        <v>0.36</v>
      </c>
    </row>
    <row r="125" spans="1:98" ht="24.95" customHeight="1" x14ac:dyDescent="0.2">
      <c r="A125" s="815" t="s">
        <v>130</v>
      </c>
      <c r="B125" s="1" t="s">
        <v>219</v>
      </c>
      <c r="C125" s="330">
        <v>3</v>
      </c>
      <c r="D125" s="330">
        <v>51</v>
      </c>
      <c r="E125" s="330">
        <v>10</v>
      </c>
      <c r="F125" s="335">
        <v>0.05</v>
      </c>
      <c r="G125" s="335">
        <v>0.44</v>
      </c>
      <c r="H125" s="335">
        <v>0.48</v>
      </c>
      <c r="I125" s="335">
        <v>0.04</v>
      </c>
      <c r="J125" s="335">
        <v>0.52</v>
      </c>
      <c r="K125" s="335">
        <v>0.43</v>
      </c>
      <c r="L125" s="335">
        <v>0.51</v>
      </c>
      <c r="M125" s="330">
        <v>50</v>
      </c>
      <c r="N125" s="330">
        <v>9</v>
      </c>
      <c r="O125" s="333">
        <v>0.04</v>
      </c>
      <c r="P125" s="333">
        <v>0.49</v>
      </c>
      <c r="Q125" s="333">
        <v>0.47</v>
      </c>
      <c r="R125" s="333">
        <v>0</v>
      </c>
      <c r="S125" s="333">
        <v>0.5</v>
      </c>
      <c r="T125" s="333">
        <v>0.59</v>
      </c>
      <c r="U125" s="333">
        <v>0.38</v>
      </c>
      <c r="V125" s="330">
        <v>51</v>
      </c>
      <c r="W125" s="330">
        <v>8</v>
      </c>
      <c r="X125" s="335">
        <v>0.03</v>
      </c>
      <c r="Y125" s="335">
        <v>0.41</v>
      </c>
      <c r="Z125" s="335">
        <v>0.56999999999999995</v>
      </c>
      <c r="AA125" s="335">
        <v>0</v>
      </c>
      <c r="AB125" s="335">
        <v>0.51</v>
      </c>
      <c r="AC125" s="335">
        <v>0.38</v>
      </c>
      <c r="AD125" s="335">
        <v>0.54</v>
      </c>
      <c r="AE125" s="330">
        <v>51</v>
      </c>
      <c r="AF125" s="330">
        <v>9</v>
      </c>
      <c r="AG125" s="335">
        <v>0.05</v>
      </c>
      <c r="AH125" s="335">
        <v>0.42</v>
      </c>
      <c r="AI125" s="335">
        <v>0.53</v>
      </c>
      <c r="AJ125" s="335">
        <v>0</v>
      </c>
      <c r="AK125" s="335">
        <v>0.55000000000000004</v>
      </c>
      <c r="AL125" s="335">
        <v>0.51</v>
      </c>
      <c r="AM125" s="335">
        <v>0.31</v>
      </c>
      <c r="AN125" s="313">
        <v>50</v>
      </c>
      <c r="AO125" s="313">
        <v>9</v>
      </c>
      <c r="AP125" s="333">
        <v>0.05</v>
      </c>
      <c r="AQ125" s="333">
        <v>0.41</v>
      </c>
      <c r="AR125" s="333">
        <v>0.53</v>
      </c>
      <c r="AS125" s="333">
        <v>0.01</v>
      </c>
      <c r="AT125" s="333">
        <v>0.32</v>
      </c>
      <c r="AU125" s="333">
        <v>0.54</v>
      </c>
      <c r="AV125" s="333">
        <v>0.52</v>
      </c>
      <c r="AW125" s="314">
        <v>50</v>
      </c>
      <c r="AX125" s="314" t="s">
        <v>874</v>
      </c>
      <c r="AY125" s="314">
        <v>9</v>
      </c>
      <c r="AZ125" s="314" t="s">
        <v>874</v>
      </c>
      <c r="BA125" s="334">
        <v>0.05</v>
      </c>
      <c r="BB125" s="334">
        <v>0.46</v>
      </c>
      <c r="BC125" s="334">
        <v>0.47</v>
      </c>
      <c r="BD125" s="334">
        <v>0.02</v>
      </c>
      <c r="BE125" s="334">
        <v>0.3</v>
      </c>
      <c r="BF125" s="334">
        <v>0.54</v>
      </c>
      <c r="BG125" s="334">
        <v>0.49</v>
      </c>
      <c r="BH125" s="311">
        <v>52</v>
      </c>
      <c r="BI125" s="311" t="s">
        <v>874</v>
      </c>
      <c r="BJ125" s="311">
        <v>11</v>
      </c>
      <c r="BK125" s="311" t="s">
        <v>874</v>
      </c>
      <c r="BL125" s="466"/>
      <c r="BM125" s="466"/>
      <c r="BN125" s="466"/>
      <c r="BO125" s="329">
        <v>0.1</v>
      </c>
      <c r="BP125" s="329">
        <v>0.28999999999999998</v>
      </c>
      <c r="BQ125" s="329">
        <v>0.57999999999999996</v>
      </c>
      <c r="BR125" s="329">
        <v>0.02</v>
      </c>
      <c r="BS125" s="329">
        <v>0.48</v>
      </c>
      <c r="BT125" s="329">
        <v>0.62</v>
      </c>
      <c r="BU125" s="480"/>
      <c r="BV125" s="480"/>
      <c r="BW125" s="480"/>
      <c r="BX125" s="329">
        <v>0.4</v>
      </c>
      <c r="BY125" s="426">
        <v>52</v>
      </c>
      <c r="BZ125" s="426" t="s">
        <v>874</v>
      </c>
      <c r="CA125" s="426">
        <v>9</v>
      </c>
      <c r="CB125" s="426" t="s">
        <v>874</v>
      </c>
      <c r="CC125" s="430">
        <v>0.03</v>
      </c>
      <c r="CD125" s="430">
        <v>0.41</v>
      </c>
      <c r="CE125" s="430">
        <v>0.55000000000000004</v>
      </c>
      <c r="CF125" s="430">
        <v>0.02</v>
      </c>
      <c r="CG125" s="430">
        <v>0.63</v>
      </c>
      <c r="CH125" s="430">
        <v>0.31</v>
      </c>
      <c r="CI125" s="430">
        <v>0.61</v>
      </c>
      <c r="CJ125" s="466">
        <v>53</v>
      </c>
      <c r="CK125" s="466" t="s">
        <v>874</v>
      </c>
      <c r="CL125" s="466">
        <v>11</v>
      </c>
      <c r="CM125" s="466" t="s">
        <v>874</v>
      </c>
      <c r="CN125" s="480">
        <v>0.06</v>
      </c>
      <c r="CO125" s="480">
        <v>0.36</v>
      </c>
      <c r="CP125" s="480">
        <v>0.53</v>
      </c>
      <c r="CQ125" s="480">
        <v>0.05</v>
      </c>
      <c r="CR125" s="480">
        <v>0.56000000000000005</v>
      </c>
      <c r="CS125" s="480">
        <v>0.52</v>
      </c>
      <c r="CT125" s="480">
        <v>0.41</v>
      </c>
    </row>
    <row r="126" spans="1:98" ht="24.95" customHeight="1" x14ac:dyDescent="0.2">
      <c r="A126" s="814" t="s">
        <v>930</v>
      </c>
      <c r="B126" s="1" t="s">
        <v>219</v>
      </c>
      <c r="C126" s="12">
        <v>1</v>
      </c>
      <c r="D126" s="12"/>
      <c r="E126" s="12"/>
      <c r="F126" s="66"/>
      <c r="G126" s="66"/>
      <c r="H126" s="66"/>
      <c r="I126" s="66"/>
      <c r="J126" s="66"/>
      <c r="K126" s="66"/>
      <c r="L126" s="66"/>
      <c r="M126" s="12"/>
      <c r="N126" s="12"/>
      <c r="O126" s="40"/>
      <c r="P126" s="40"/>
      <c r="Q126" s="40"/>
      <c r="R126" s="40"/>
      <c r="S126" s="40"/>
      <c r="T126" s="40"/>
      <c r="U126" s="40"/>
      <c r="V126" s="12"/>
      <c r="W126" s="12"/>
      <c r="X126" s="66"/>
      <c r="Y126" s="66"/>
      <c r="Z126" s="66"/>
      <c r="AA126" s="66"/>
      <c r="AB126" s="66"/>
      <c r="AC126" s="66"/>
      <c r="AD126" s="66"/>
      <c r="AE126" s="12"/>
      <c r="AF126" s="12"/>
      <c r="AG126" s="66"/>
      <c r="AH126" s="66"/>
      <c r="AI126" s="66"/>
      <c r="AJ126" s="66"/>
      <c r="AK126" s="66"/>
      <c r="AL126" s="66"/>
      <c r="AM126" s="66"/>
      <c r="AN126" s="35"/>
      <c r="AO126" s="35"/>
      <c r="AP126" s="40"/>
      <c r="AQ126" s="40"/>
      <c r="AR126" s="40"/>
      <c r="AS126" s="40"/>
      <c r="AT126" s="40"/>
      <c r="AU126" s="40"/>
      <c r="AV126" s="40"/>
      <c r="AW126" s="247"/>
      <c r="AX126" s="247"/>
      <c r="AY126" s="247"/>
      <c r="AZ126" s="247"/>
      <c r="BA126" s="264"/>
      <c r="BB126" s="264"/>
      <c r="BC126" s="264"/>
      <c r="BD126" s="264"/>
      <c r="BE126" s="264"/>
      <c r="BF126" s="264"/>
      <c r="BG126" s="264"/>
      <c r="BH126" s="311">
        <v>51</v>
      </c>
      <c r="BI126" s="311" t="s">
        <v>874</v>
      </c>
      <c r="BJ126" s="311">
        <v>9</v>
      </c>
      <c r="BK126" s="311" t="s">
        <v>874</v>
      </c>
      <c r="BL126" s="466"/>
      <c r="BM126" s="466"/>
      <c r="BN126" s="466"/>
      <c r="BO126" s="329">
        <v>0.05</v>
      </c>
      <c r="BP126" s="329">
        <v>0.46</v>
      </c>
      <c r="BQ126" s="329">
        <v>0.49</v>
      </c>
      <c r="BR126" s="329">
        <v>0</v>
      </c>
      <c r="BS126" s="329">
        <v>0.56000000000000005</v>
      </c>
      <c r="BT126" s="329">
        <v>0.67</v>
      </c>
      <c r="BU126" s="480"/>
      <c r="BV126" s="480"/>
      <c r="BW126" s="480"/>
      <c r="BX126" s="329">
        <v>0.36</v>
      </c>
      <c r="BY126" s="426">
        <v>54</v>
      </c>
      <c r="BZ126" s="426" t="s">
        <v>874</v>
      </c>
      <c r="CA126" s="426">
        <v>8</v>
      </c>
      <c r="CB126" s="426" t="s">
        <v>874</v>
      </c>
      <c r="CC126" s="430">
        <v>0.01</v>
      </c>
      <c r="CD126" s="430">
        <v>0.28999999999999998</v>
      </c>
      <c r="CE126" s="430">
        <v>0.68</v>
      </c>
      <c r="CF126" s="430">
        <v>0.01</v>
      </c>
      <c r="CG126" s="430">
        <v>0.59</v>
      </c>
      <c r="CH126" s="430">
        <v>0.34</v>
      </c>
      <c r="CI126" s="430">
        <v>0.56000000000000005</v>
      </c>
      <c r="CJ126" s="466">
        <v>51</v>
      </c>
      <c r="CK126" s="466" t="s">
        <v>874</v>
      </c>
      <c r="CL126" s="466">
        <v>11</v>
      </c>
      <c r="CM126" s="466" t="s">
        <v>874</v>
      </c>
      <c r="CN126" s="480">
        <v>0.1</v>
      </c>
      <c r="CO126" s="480">
        <v>0.34</v>
      </c>
      <c r="CP126" s="480">
        <v>0.54</v>
      </c>
      <c r="CQ126" s="480">
        <v>0.02</v>
      </c>
      <c r="CR126" s="480">
        <v>0.53</v>
      </c>
      <c r="CS126" s="480">
        <v>0.52</v>
      </c>
      <c r="CT126" s="480">
        <v>0.42</v>
      </c>
    </row>
    <row r="127" spans="1:98" ht="24.95" customHeight="1" x14ac:dyDescent="0.2">
      <c r="A127" s="815" t="s">
        <v>90</v>
      </c>
      <c r="B127" s="1" t="s">
        <v>219</v>
      </c>
      <c r="C127" s="330">
        <v>1</v>
      </c>
      <c r="D127" s="330">
        <v>54</v>
      </c>
      <c r="E127" s="330">
        <v>9</v>
      </c>
      <c r="F127" s="335">
        <v>0.04</v>
      </c>
      <c r="G127" s="335">
        <v>0.25</v>
      </c>
      <c r="H127" s="335">
        <v>0.7</v>
      </c>
      <c r="I127" s="335">
        <v>0.01</v>
      </c>
      <c r="J127" s="335">
        <v>0.51</v>
      </c>
      <c r="K127" s="335">
        <v>0.43</v>
      </c>
      <c r="L127" s="335">
        <v>0.52</v>
      </c>
      <c r="M127" s="330">
        <v>56</v>
      </c>
      <c r="N127" s="330">
        <v>10</v>
      </c>
      <c r="O127" s="333">
        <v>0.03</v>
      </c>
      <c r="P127" s="333">
        <v>0.25</v>
      </c>
      <c r="Q127" s="333">
        <v>0.66</v>
      </c>
      <c r="R127" s="333">
        <v>0.06</v>
      </c>
      <c r="S127" s="333">
        <v>0.41</v>
      </c>
      <c r="T127" s="333">
        <v>0.49</v>
      </c>
      <c r="U127" s="333">
        <v>0.3</v>
      </c>
      <c r="V127" s="330">
        <v>55</v>
      </c>
      <c r="W127" s="330">
        <v>8</v>
      </c>
      <c r="X127" s="335">
        <v>0</v>
      </c>
      <c r="Y127" s="335">
        <v>0.31</v>
      </c>
      <c r="Z127" s="335">
        <v>0.68</v>
      </c>
      <c r="AA127" s="335">
        <v>0.01</v>
      </c>
      <c r="AB127" s="335">
        <v>0.44</v>
      </c>
      <c r="AC127" s="335">
        <v>0.34</v>
      </c>
      <c r="AD127" s="335">
        <v>0.48</v>
      </c>
      <c r="AE127" s="330">
        <v>55</v>
      </c>
      <c r="AF127" s="330">
        <v>10</v>
      </c>
      <c r="AG127" s="335">
        <v>0.02</v>
      </c>
      <c r="AH127" s="335">
        <v>0.25</v>
      </c>
      <c r="AI127" s="335">
        <v>0.69</v>
      </c>
      <c r="AJ127" s="335">
        <v>0.03</v>
      </c>
      <c r="AK127" s="335">
        <v>0.48</v>
      </c>
      <c r="AL127" s="335">
        <v>0.4</v>
      </c>
      <c r="AM127" s="335">
        <v>0.26</v>
      </c>
      <c r="AN127" s="313">
        <v>56</v>
      </c>
      <c r="AO127" s="313">
        <v>9</v>
      </c>
      <c r="AP127" s="333">
        <v>0.02</v>
      </c>
      <c r="AQ127" s="333">
        <v>0.27</v>
      </c>
      <c r="AR127" s="333">
        <v>0.66</v>
      </c>
      <c r="AS127" s="333">
        <v>0.05</v>
      </c>
      <c r="AT127" s="333">
        <v>0.24</v>
      </c>
      <c r="AU127" s="333">
        <v>0.43</v>
      </c>
      <c r="AV127" s="333">
        <v>0.43</v>
      </c>
      <c r="AW127" s="314">
        <v>52</v>
      </c>
      <c r="AX127" s="314" t="s">
        <v>874</v>
      </c>
      <c r="AY127" s="314">
        <v>10</v>
      </c>
      <c r="AZ127" s="314" t="s">
        <v>874</v>
      </c>
      <c r="BA127" s="334">
        <v>0.04</v>
      </c>
      <c r="BB127" s="334">
        <v>0.38</v>
      </c>
      <c r="BC127" s="334">
        <v>0.54</v>
      </c>
      <c r="BD127" s="334">
        <v>0.04</v>
      </c>
      <c r="BE127" s="334">
        <v>0.28999999999999998</v>
      </c>
      <c r="BF127" s="334">
        <v>0.49</v>
      </c>
      <c r="BG127" s="334">
        <v>0.46</v>
      </c>
      <c r="BH127" s="311">
        <v>53</v>
      </c>
      <c r="BI127" s="311" t="s">
        <v>874</v>
      </c>
      <c r="BJ127" s="311">
        <v>9</v>
      </c>
      <c r="BK127" s="311" t="s">
        <v>874</v>
      </c>
      <c r="BL127" s="466"/>
      <c r="BM127" s="466"/>
      <c r="BN127" s="466"/>
      <c r="BO127" s="329">
        <v>0.05</v>
      </c>
      <c r="BP127" s="329">
        <v>0.3</v>
      </c>
      <c r="BQ127" s="329">
        <v>0.61</v>
      </c>
      <c r="BR127" s="329">
        <v>0.04</v>
      </c>
      <c r="BS127" s="329">
        <v>0.5</v>
      </c>
      <c r="BT127" s="329">
        <v>0.56000000000000005</v>
      </c>
      <c r="BU127" s="480"/>
      <c r="BV127" s="480"/>
      <c r="BW127" s="480"/>
      <c r="BX127" s="329">
        <v>0.37</v>
      </c>
      <c r="BY127" s="426">
        <v>53</v>
      </c>
      <c r="BZ127" s="426" t="s">
        <v>874</v>
      </c>
      <c r="CA127" s="426">
        <v>8</v>
      </c>
      <c r="CB127" s="426" t="s">
        <v>874</v>
      </c>
      <c r="CC127" s="430">
        <v>0.02</v>
      </c>
      <c r="CD127" s="430">
        <v>0.31</v>
      </c>
      <c r="CE127" s="430">
        <v>0.66</v>
      </c>
      <c r="CF127" s="430">
        <v>0.01</v>
      </c>
      <c r="CG127" s="430">
        <v>0.62</v>
      </c>
      <c r="CH127" s="430">
        <v>0.32</v>
      </c>
      <c r="CI127" s="430">
        <v>0.56999999999999995</v>
      </c>
      <c r="CJ127" s="466">
        <v>54</v>
      </c>
      <c r="CK127" s="466" t="s">
        <v>874</v>
      </c>
      <c r="CL127" s="466">
        <v>9</v>
      </c>
      <c r="CM127" s="466" t="s">
        <v>874</v>
      </c>
      <c r="CN127" s="480">
        <v>0.03</v>
      </c>
      <c r="CO127" s="480">
        <v>0.32</v>
      </c>
      <c r="CP127" s="480">
        <v>0.59</v>
      </c>
      <c r="CQ127" s="480">
        <v>0.05</v>
      </c>
      <c r="CR127" s="480">
        <v>0.53</v>
      </c>
      <c r="CS127" s="480">
        <v>0.5</v>
      </c>
      <c r="CT127" s="480">
        <v>0.42</v>
      </c>
    </row>
    <row r="128" spans="1:98" ht="24.95" customHeight="1" x14ac:dyDescent="0.2">
      <c r="A128" s="814" t="s">
        <v>50</v>
      </c>
      <c r="B128" s="1" t="s">
        <v>221</v>
      </c>
      <c r="C128" s="12">
        <v>1</v>
      </c>
      <c r="D128" s="12">
        <v>52</v>
      </c>
      <c r="E128" s="12">
        <v>9</v>
      </c>
      <c r="F128" s="66">
        <v>0.05</v>
      </c>
      <c r="G128" s="66">
        <v>0.43</v>
      </c>
      <c r="H128" s="66">
        <v>0.52</v>
      </c>
      <c r="I128" s="66">
        <v>0</v>
      </c>
      <c r="J128" s="66">
        <v>0.54</v>
      </c>
      <c r="K128" s="66">
        <v>0.43</v>
      </c>
      <c r="L128" s="66">
        <v>0.53</v>
      </c>
      <c r="M128" s="12">
        <v>50</v>
      </c>
      <c r="N128" s="12">
        <v>11</v>
      </c>
      <c r="O128" s="40">
        <v>0.08</v>
      </c>
      <c r="P128" s="40">
        <v>0.36</v>
      </c>
      <c r="Q128" s="40">
        <v>0.55000000000000004</v>
      </c>
      <c r="R128" s="40">
        <v>0.01</v>
      </c>
      <c r="S128" s="40">
        <v>0.49</v>
      </c>
      <c r="T128" s="40">
        <v>0.56000000000000005</v>
      </c>
      <c r="U128" s="40">
        <v>0.4</v>
      </c>
      <c r="V128" s="12">
        <v>53</v>
      </c>
      <c r="W128" s="12">
        <v>9</v>
      </c>
      <c r="X128" s="66">
        <v>0.05</v>
      </c>
      <c r="Y128" s="66">
        <v>0.32</v>
      </c>
      <c r="Z128" s="66">
        <v>0.59</v>
      </c>
      <c r="AA128" s="66">
        <v>0.04</v>
      </c>
      <c r="AB128" s="66">
        <v>0.45</v>
      </c>
      <c r="AC128" s="66">
        <v>0.34</v>
      </c>
      <c r="AD128" s="66">
        <v>0.5</v>
      </c>
      <c r="AE128" s="12">
        <v>51</v>
      </c>
      <c r="AF128" s="12">
        <v>9</v>
      </c>
      <c r="AG128" s="66">
        <v>0.05</v>
      </c>
      <c r="AH128" s="66">
        <v>0.39</v>
      </c>
      <c r="AI128" s="66">
        <v>0.56000000000000005</v>
      </c>
      <c r="AJ128" s="66">
        <v>0</v>
      </c>
      <c r="AK128" s="66">
        <v>0.54</v>
      </c>
      <c r="AL128" s="66">
        <v>0.52</v>
      </c>
      <c r="AM128" s="66">
        <v>0.32</v>
      </c>
      <c r="AN128" s="35">
        <v>53</v>
      </c>
      <c r="AO128" s="35">
        <v>8</v>
      </c>
      <c r="AP128" s="40">
        <v>0</v>
      </c>
      <c r="AQ128" s="40">
        <v>0.45</v>
      </c>
      <c r="AR128" s="40">
        <v>0.55000000000000004</v>
      </c>
      <c r="AS128" s="40">
        <v>0</v>
      </c>
      <c r="AT128" s="40">
        <v>0.26</v>
      </c>
      <c r="AU128" s="40">
        <v>0.5</v>
      </c>
      <c r="AV128" s="40">
        <v>0.52</v>
      </c>
      <c r="AW128" s="247">
        <v>51</v>
      </c>
      <c r="AX128" s="247" t="s">
        <v>874</v>
      </c>
      <c r="AY128" s="247">
        <v>12</v>
      </c>
      <c r="AZ128" s="247" t="s">
        <v>874</v>
      </c>
      <c r="BA128" s="264">
        <v>0.11</v>
      </c>
      <c r="BB128" s="264">
        <v>0.33</v>
      </c>
      <c r="BC128" s="264">
        <v>0.48</v>
      </c>
      <c r="BD128" s="264">
        <v>0.08</v>
      </c>
      <c r="BE128" s="264">
        <v>0.32</v>
      </c>
      <c r="BF128" s="264">
        <v>0.51</v>
      </c>
      <c r="BG128" s="264">
        <v>0.49</v>
      </c>
      <c r="BH128" s="311">
        <v>50</v>
      </c>
      <c r="BI128" s="311" t="s">
        <v>874</v>
      </c>
      <c r="BJ128" s="311">
        <v>11</v>
      </c>
      <c r="BK128" s="311" t="s">
        <v>874</v>
      </c>
      <c r="BL128" s="466"/>
      <c r="BM128" s="466"/>
      <c r="BN128" s="466"/>
      <c r="BO128" s="329">
        <v>0.1</v>
      </c>
      <c r="BP128" s="329">
        <v>0.45</v>
      </c>
      <c r="BQ128" s="329">
        <v>0.41</v>
      </c>
      <c r="BR128" s="329">
        <v>0.03</v>
      </c>
      <c r="BS128" s="329">
        <v>0.56999999999999995</v>
      </c>
      <c r="BT128" s="329">
        <v>0.57999999999999996</v>
      </c>
      <c r="BU128" s="480"/>
      <c r="BV128" s="480"/>
      <c r="BW128" s="480"/>
      <c r="BX128" s="329">
        <v>0.42</v>
      </c>
      <c r="BY128" s="657"/>
      <c r="BZ128" s="657"/>
      <c r="CA128" s="657"/>
      <c r="CB128" s="657"/>
      <c r="CC128" s="657"/>
      <c r="CD128" s="657"/>
      <c r="CE128" s="657"/>
      <c r="CF128" s="657"/>
      <c r="CG128" s="657"/>
      <c r="CH128" s="657"/>
      <c r="CI128" s="657"/>
      <c r="CJ128" s="656"/>
      <c r="CK128" s="656"/>
      <c r="CL128" s="656"/>
      <c r="CM128" s="656"/>
      <c r="CN128" s="656"/>
      <c r="CO128" s="656"/>
      <c r="CP128" s="656"/>
      <c r="CQ128" s="656"/>
      <c r="CR128" s="656"/>
      <c r="CS128" s="656"/>
      <c r="CT128" s="656"/>
    </row>
    <row r="129" spans="1:98" ht="24.95" customHeight="1" x14ac:dyDescent="0.2">
      <c r="A129" s="814" t="s">
        <v>932</v>
      </c>
      <c r="B129" s="1" t="s">
        <v>219</v>
      </c>
      <c r="C129" s="12">
        <v>3</v>
      </c>
      <c r="D129" s="12"/>
      <c r="E129" s="12"/>
      <c r="F129" s="66"/>
      <c r="G129" s="66"/>
      <c r="H129" s="66"/>
      <c r="I129" s="66"/>
      <c r="J129" s="66"/>
      <c r="K129" s="66"/>
      <c r="L129" s="66"/>
      <c r="M129" s="12"/>
      <c r="N129" s="12"/>
      <c r="O129" s="40"/>
      <c r="P129" s="40"/>
      <c r="Q129" s="40"/>
      <c r="R129" s="40"/>
      <c r="S129" s="40"/>
      <c r="T129" s="40"/>
      <c r="U129" s="40"/>
      <c r="V129" s="12"/>
      <c r="W129" s="12"/>
      <c r="X129" s="66"/>
      <c r="Y129" s="66"/>
      <c r="Z129" s="66"/>
      <c r="AA129" s="66"/>
      <c r="AB129" s="66"/>
      <c r="AC129" s="66"/>
      <c r="AD129" s="66"/>
      <c r="AE129" s="12"/>
      <c r="AF129" s="12"/>
      <c r="AG129" s="66"/>
      <c r="AH129" s="66"/>
      <c r="AI129" s="66"/>
      <c r="AJ129" s="66"/>
      <c r="AK129" s="66"/>
      <c r="AL129" s="66"/>
      <c r="AM129" s="66"/>
      <c r="AN129" s="35"/>
      <c r="AO129" s="35"/>
      <c r="AP129" s="40"/>
      <c r="AQ129" s="40"/>
      <c r="AR129" s="40"/>
      <c r="AS129" s="40"/>
      <c r="AT129" s="40"/>
      <c r="AU129" s="40"/>
      <c r="AV129" s="40"/>
      <c r="AW129" s="247"/>
      <c r="AX129" s="247"/>
      <c r="AY129" s="247"/>
      <c r="AZ129" s="247"/>
      <c r="BA129" s="264"/>
      <c r="BB129" s="264"/>
      <c r="BC129" s="264"/>
      <c r="BD129" s="264"/>
      <c r="BE129" s="264"/>
      <c r="BF129" s="264"/>
      <c r="BG129" s="264"/>
      <c r="BH129" s="311">
        <v>53</v>
      </c>
      <c r="BI129" s="311" t="s">
        <v>874</v>
      </c>
      <c r="BJ129" s="311">
        <v>9</v>
      </c>
      <c r="BK129" s="311" t="s">
        <v>874</v>
      </c>
      <c r="BL129" s="466"/>
      <c r="BM129" s="466"/>
      <c r="BN129" s="466"/>
      <c r="BO129" s="329">
        <v>0.05</v>
      </c>
      <c r="BP129" s="329">
        <v>0.33</v>
      </c>
      <c r="BQ129" s="329">
        <v>0.62</v>
      </c>
      <c r="BR129" s="329">
        <v>0</v>
      </c>
      <c r="BS129" s="329">
        <v>0.54</v>
      </c>
      <c r="BT129" s="329">
        <v>0.6</v>
      </c>
      <c r="BU129" s="480"/>
      <c r="BV129" s="480"/>
      <c r="BW129" s="480"/>
      <c r="BX129" s="329">
        <v>0.39</v>
      </c>
      <c r="BY129" s="658">
        <v>52</v>
      </c>
      <c r="BZ129" s="658" t="s">
        <v>874</v>
      </c>
      <c r="CA129" s="658">
        <v>10</v>
      </c>
      <c r="CB129" s="658" t="s">
        <v>874</v>
      </c>
      <c r="CC129" s="659">
        <v>0.04</v>
      </c>
      <c r="CD129" s="659">
        <v>0.34</v>
      </c>
      <c r="CE129" s="659">
        <v>0.6</v>
      </c>
      <c r="CF129" s="659">
        <v>0.02</v>
      </c>
      <c r="CG129" s="659">
        <v>0.62</v>
      </c>
      <c r="CH129" s="659">
        <v>0.39</v>
      </c>
      <c r="CI129" s="659">
        <v>0.6</v>
      </c>
      <c r="CJ129" s="74">
        <v>56</v>
      </c>
      <c r="CK129" s="74" t="s">
        <v>874</v>
      </c>
      <c r="CL129" s="74">
        <v>11</v>
      </c>
      <c r="CM129" s="74" t="s">
        <v>874</v>
      </c>
      <c r="CN129" s="96">
        <v>0.04</v>
      </c>
      <c r="CO129" s="96">
        <v>0.22</v>
      </c>
      <c r="CP129" s="96">
        <v>0.7</v>
      </c>
      <c r="CQ129" s="96">
        <v>0.05</v>
      </c>
      <c r="CR129" s="96">
        <v>0.51</v>
      </c>
      <c r="CS129" s="96">
        <v>0.44</v>
      </c>
      <c r="CT129" s="96">
        <v>0.39</v>
      </c>
    </row>
    <row r="130" spans="1:98" ht="24.95" customHeight="1" x14ac:dyDescent="0.2">
      <c r="A130" s="816" t="s">
        <v>286</v>
      </c>
      <c r="B130" s="1" t="s">
        <v>219</v>
      </c>
      <c r="C130" s="330">
        <v>6</v>
      </c>
      <c r="D130" s="330">
        <v>50</v>
      </c>
      <c r="E130" s="330">
        <v>9</v>
      </c>
      <c r="F130" s="335">
        <v>0.06</v>
      </c>
      <c r="G130" s="335">
        <v>0.52</v>
      </c>
      <c r="H130" s="335">
        <v>0.41</v>
      </c>
      <c r="I130" s="335">
        <v>0.01</v>
      </c>
      <c r="J130" s="335">
        <v>0.56999999999999995</v>
      </c>
      <c r="K130" s="335">
        <v>0.46</v>
      </c>
      <c r="L130" s="335">
        <v>0.56999999999999995</v>
      </c>
      <c r="M130" s="330">
        <v>49</v>
      </c>
      <c r="N130" s="330">
        <v>10</v>
      </c>
      <c r="O130" s="333">
        <v>0.1</v>
      </c>
      <c r="P130" s="333">
        <v>0.47</v>
      </c>
      <c r="Q130" s="333">
        <v>0.43</v>
      </c>
      <c r="R130" s="333">
        <v>0.01</v>
      </c>
      <c r="S130" s="333">
        <v>0.51</v>
      </c>
      <c r="T130" s="333">
        <v>0.57999999999999996</v>
      </c>
      <c r="U130" s="333">
        <v>0.4</v>
      </c>
      <c r="V130" s="330">
        <v>49</v>
      </c>
      <c r="W130" s="330">
        <v>9</v>
      </c>
      <c r="X130" s="335">
        <v>0.06</v>
      </c>
      <c r="Y130" s="335">
        <v>0.53</v>
      </c>
      <c r="Z130" s="335">
        <v>0.4</v>
      </c>
      <c r="AA130" s="335">
        <v>0</v>
      </c>
      <c r="AB130" s="335">
        <v>0.54</v>
      </c>
      <c r="AC130" s="335">
        <v>0.4</v>
      </c>
      <c r="AD130" s="335">
        <v>0.56000000000000005</v>
      </c>
      <c r="AE130" s="330">
        <v>51</v>
      </c>
      <c r="AF130" s="330">
        <v>9</v>
      </c>
      <c r="AG130" s="335">
        <v>0.02</v>
      </c>
      <c r="AH130" s="335">
        <v>0.43</v>
      </c>
      <c r="AI130" s="335">
        <v>0.54</v>
      </c>
      <c r="AJ130" s="335">
        <v>0.01</v>
      </c>
      <c r="AK130" s="335">
        <v>0.56999999999999995</v>
      </c>
      <c r="AL130" s="335">
        <v>0.48</v>
      </c>
      <c r="AM130" s="335">
        <v>0.31</v>
      </c>
      <c r="AN130" s="313">
        <v>51</v>
      </c>
      <c r="AO130" s="313">
        <v>10</v>
      </c>
      <c r="AP130" s="333">
        <v>0.05</v>
      </c>
      <c r="AQ130" s="333">
        <v>0.4</v>
      </c>
      <c r="AR130" s="333">
        <v>0.52</v>
      </c>
      <c r="AS130" s="333">
        <v>0.03</v>
      </c>
      <c r="AT130" s="333">
        <v>0.32</v>
      </c>
      <c r="AU130" s="333">
        <v>0.53</v>
      </c>
      <c r="AV130" s="333">
        <v>0.49</v>
      </c>
      <c r="AW130" s="314">
        <v>48</v>
      </c>
      <c r="AX130" s="314" t="s">
        <v>874</v>
      </c>
      <c r="AY130" s="314">
        <v>8</v>
      </c>
      <c r="AZ130" s="314" t="s">
        <v>874</v>
      </c>
      <c r="BA130" s="334">
        <v>0.06</v>
      </c>
      <c r="BB130" s="334">
        <v>0.54</v>
      </c>
      <c r="BC130" s="334">
        <v>0.39</v>
      </c>
      <c r="BD130" s="334">
        <v>0.01</v>
      </c>
      <c r="BE130" s="334">
        <v>0.32</v>
      </c>
      <c r="BF130" s="334">
        <v>0.57999999999999996</v>
      </c>
      <c r="BG130" s="334">
        <v>0.55000000000000004</v>
      </c>
      <c r="BH130" s="311">
        <v>47</v>
      </c>
      <c r="BI130" s="311" t="s">
        <v>874</v>
      </c>
      <c r="BJ130" s="311">
        <v>9</v>
      </c>
      <c r="BK130" s="311" t="s">
        <v>874</v>
      </c>
      <c r="BL130" s="466"/>
      <c r="BM130" s="466"/>
      <c r="BN130" s="466"/>
      <c r="BO130" s="329">
        <v>0.1</v>
      </c>
      <c r="BP130" s="329">
        <v>0.53</v>
      </c>
      <c r="BQ130" s="329">
        <v>0.37</v>
      </c>
      <c r="BR130" s="329">
        <v>0</v>
      </c>
      <c r="BS130" s="329">
        <v>0.62</v>
      </c>
      <c r="BT130" s="329">
        <v>0.7</v>
      </c>
      <c r="BU130" s="480"/>
      <c r="BV130" s="480"/>
      <c r="BW130" s="480"/>
      <c r="BX130" s="329">
        <v>0.45</v>
      </c>
      <c r="BY130" s="426">
        <v>49</v>
      </c>
      <c r="BZ130" s="426" t="s">
        <v>874</v>
      </c>
      <c r="CA130" s="426">
        <v>9</v>
      </c>
      <c r="CB130" s="426" t="s">
        <v>874</v>
      </c>
      <c r="CC130" s="430">
        <v>0.06</v>
      </c>
      <c r="CD130" s="430">
        <v>0.49</v>
      </c>
      <c r="CE130" s="430">
        <v>0.44</v>
      </c>
      <c r="CF130" s="430">
        <v>0.01</v>
      </c>
      <c r="CG130" s="430">
        <v>0.71</v>
      </c>
      <c r="CH130" s="430">
        <v>0.4</v>
      </c>
      <c r="CI130" s="430">
        <v>0.63</v>
      </c>
      <c r="CJ130" s="466">
        <v>53</v>
      </c>
      <c r="CK130" s="466" t="s">
        <v>874</v>
      </c>
      <c r="CL130" s="466">
        <v>11</v>
      </c>
      <c r="CM130" s="466" t="s">
        <v>874</v>
      </c>
      <c r="CN130" s="480">
        <v>0.04</v>
      </c>
      <c r="CO130" s="480">
        <v>0.39</v>
      </c>
      <c r="CP130" s="480">
        <v>0.53</v>
      </c>
      <c r="CQ130" s="480">
        <v>0.04</v>
      </c>
      <c r="CR130" s="480">
        <v>0.56000000000000005</v>
      </c>
      <c r="CS130" s="480">
        <v>0.54</v>
      </c>
      <c r="CT130" s="480">
        <v>0.4</v>
      </c>
    </row>
    <row r="131" spans="1:98" ht="24.95" customHeight="1" x14ac:dyDescent="0.2">
      <c r="A131" s="814" t="s">
        <v>934</v>
      </c>
      <c r="B131" s="1" t="s">
        <v>219</v>
      </c>
      <c r="C131" s="12">
        <v>2</v>
      </c>
      <c r="D131" s="12"/>
      <c r="E131" s="12"/>
      <c r="F131" s="66"/>
      <c r="G131" s="66"/>
      <c r="H131" s="66"/>
      <c r="I131" s="66"/>
      <c r="J131" s="66"/>
      <c r="K131" s="66"/>
      <c r="L131" s="66"/>
      <c r="M131" s="12"/>
      <c r="N131" s="12"/>
      <c r="O131" s="40"/>
      <c r="P131" s="40"/>
      <c r="Q131" s="40"/>
      <c r="R131" s="40"/>
      <c r="S131" s="40"/>
      <c r="T131" s="40"/>
      <c r="U131" s="40"/>
      <c r="V131" s="12"/>
      <c r="W131" s="12"/>
      <c r="X131" s="66"/>
      <c r="Y131" s="66"/>
      <c r="Z131" s="66"/>
      <c r="AA131" s="66"/>
      <c r="AB131" s="66"/>
      <c r="AC131" s="66"/>
      <c r="AD131" s="66"/>
      <c r="AE131" s="12"/>
      <c r="AF131" s="12"/>
      <c r="AG131" s="66"/>
      <c r="AH131" s="66"/>
      <c r="AI131" s="66"/>
      <c r="AJ131" s="66"/>
      <c r="AK131" s="66"/>
      <c r="AL131" s="66"/>
      <c r="AM131" s="66"/>
      <c r="AN131" s="35"/>
      <c r="AO131" s="35"/>
      <c r="AP131" s="40"/>
      <c r="AQ131" s="40"/>
      <c r="AR131" s="40"/>
      <c r="AS131" s="40"/>
      <c r="AT131" s="40"/>
      <c r="AU131" s="40"/>
      <c r="AV131" s="40"/>
      <c r="AW131" s="247"/>
      <c r="AX131" s="247"/>
      <c r="AY131" s="247"/>
      <c r="AZ131" s="247"/>
      <c r="BA131" s="264"/>
      <c r="BB131" s="264"/>
      <c r="BC131" s="264"/>
      <c r="BD131" s="264"/>
      <c r="BE131" s="264"/>
      <c r="BF131" s="264"/>
      <c r="BG131" s="264"/>
      <c r="BH131" s="311">
        <v>49</v>
      </c>
      <c r="BI131" s="311" t="s">
        <v>874</v>
      </c>
      <c r="BJ131" s="311">
        <v>11</v>
      </c>
      <c r="BK131" s="311" t="s">
        <v>874</v>
      </c>
      <c r="BL131" s="466"/>
      <c r="BM131" s="466"/>
      <c r="BN131" s="466"/>
      <c r="BO131" s="329">
        <v>0.15</v>
      </c>
      <c r="BP131" s="329">
        <v>0.39</v>
      </c>
      <c r="BQ131" s="329">
        <v>0.44</v>
      </c>
      <c r="BR131" s="329">
        <v>0.02</v>
      </c>
      <c r="BS131" s="329">
        <v>0.61</v>
      </c>
      <c r="BT131" s="329">
        <v>0.62</v>
      </c>
      <c r="BU131" s="480"/>
      <c r="BV131" s="480"/>
      <c r="BW131" s="480"/>
      <c r="BX131" s="329">
        <v>0.41</v>
      </c>
      <c r="BY131" s="426">
        <v>51</v>
      </c>
      <c r="BZ131" s="426" t="s">
        <v>874</v>
      </c>
      <c r="CA131" s="426">
        <v>10</v>
      </c>
      <c r="CB131" s="426" t="s">
        <v>874</v>
      </c>
      <c r="CC131" s="430">
        <v>0.08</v>
      </c>
      <c r="CD131" s="430">
        <v>0.35</v>
      </c>
      <c r="CE131" s="430">
        <v>0.55000000000000004</v>
      </c>
      <c r="CF131" s="430">
        <v>0.03</v>
      </c>
      <c r="CG131" s="430">
        <v>0.62</v>
      </c>
      <c r="CH131" s="430">
        <v>0.39</v>
      </c>
      <c r="CI131" s="430">
        <v>0.57999999999999996</v>
      </c>
      <c r="CJ131" s="466">
        <v>55</v>
      </c>
      <c r="CK131" s="466" t="s">
        <v>874</v>
      </c>
      <c r="CL131" s="466">
        <v>11</v>
      </c>
      <c r="CM131" s="466" t="s">
        <v>874</v>
      </c>
      <c r="CN131" s="480">
        <v>0.02</v>
      </c>
      <c r="CO131" s="480">
        <v>0.35</v>
      </c>
      <c r="CP131" s="480">
        <v>0.54</v>
      </c>
      <c r="CQ131" s="480">
        <v>0.1</v>
      </c>
      <c r="CR131" s="480">
        <v>0.49</v>
      </c>
      <c r="CS131" s="480">
        <v>0.49</v>
      </c>
      <c r="CT131" s="480">
        <v>0.41</v>
      </c>
    </row>
    <row r="132" spans="1:98" ht="24.95" customHeight="1" x14ac:dyDescent="0.2">
      <c r="A132" s="815" t="s">
        <v>192</v>
      </c>
      <c r="B132" s="1" t="s">
        <v>221</v>
      </c>
      <c r="C132" s="330">
        <v>2</v>
      </c>
      <c r="D132" s="330">
        <v>47</v>
      </c>
      <c r="E132" s="330">
        <v>14</v>
      </c>
      <c r="F132" s="335">
        <v>0</v>
      </c>
      <c r="G132" s="335">
        <v>0.5</v>
      </c>
      <c r="H132" s="335">
        <v>0.5</v>
      </c>
      <c r="I132" s="335">
        <v>0</v>
      </c>
      <c r="J132" s="335">
        <v>0.63</v>
      </c>
      <c r="K132" s="335">
        <v>0.63</v>
      </c>
      <c r="L132" s="335">
        <v>0.56999999999999995</v>
      </c>
      <c r="M132" s="330" t="s">
        <v>224</v>
      </c>
      <c r="N132" s="330" t="s">
        <v>224</v>
      </c>
      <c r="O132" s="333"/>
      <c r="P132" s="333"/>
      <c r="Q132" s="333"/>
      <c r="R132" s="333"/>
      <c r="S132" s="333"/>
      <c r="T132" s="333"/>
      <c r="U132" s="333"/>
      <c r="V132" s="330" t="s">
        <v>224</v>
      </c>
      <c r="W132" s="330" t="s">
        <v>224</v>
      </c>
      <c r="X132" s="330"/>
      <c r="Y132" s="330"/>
      <c r="Z132" s="330"/>
      <c r="AA132" s="330"/>
      <c r="AB132" s="330"/>
      <c r="AC132" s="330"/>
      <c r="AD132" s="330"/>
      <c r="AE132" s="330" t="s">
        <v>224</v>
      </c>
      <c r="AF132" s="330" t="s">
        <v>224</v>
      </c>
      <c r="AG132" s="330"/>
      <c r="AH132" s="330"/>
      <c r="AI132" s="330"/>
      <c r="AJ132" s="330"/>
      <c r="AK132" s="330"/>
      <c r="AL132" s="330"/>
      <c r="AM132" s="330"/>
      <c r="AN132" s="313">
        <v>49</v>
      </c>
      <c r="AO132" s="313">
        <v>10</v>
      </c>
      <c r="AP132" s="333">
        <v>0.09</v>
      </c>
      <c r="AQ132" s="333">
        <v>0.45</v>
      </c>
      <c r="AR132" s="333">
        <v>0.44</v>
      </c>
      <c r="AS132" s="333">
        <v>0.02</v>
      </c>
      <c r="AT132" s="333">
        <v>0.34</v>
      </c>
      <c r="AU132" s="333">
        <v>0.54</v>
      </c>
      <c r="AV132" s="333">
        <v>0.56999999999999995</v>
      </c>
      <c r="AW132" s="314">
        <v>35</v>
      </c>
      <c r="AX132" s="314" t="s">
        <v>876</v>
      </c>
      <c r="AY132" s="314">
        <v>5</v>
      </c>
      <c r="AZ132" s="314" t="s">
        <v>876</v>
      </c>
      <c r="BA132" s="334">
        <v>0.44</v>
      </c>
      <c r="BB132" s="334">
        <v>0.56000000000000005</v>
      </c>
      <c r="BC132" s="334">
        <v>0</v>
      </c>
      <c r="BD132" s="334">
        <v>0</v>
      </c>
      <c r="BE132" s="334">
        <v>0.56999999999999995</v>
      </c>
      <c r="BF132" s="334">
        <v>0.74</v>
      </c>
      <c r="BG132" s="334">
        <v>0.75</v>
      </c>
      <c r="BH132" s="655"/>
      <c r="BI132" s="655"/>
      <c r="BJ132" s="655"/>
      <c r="BK132" s="655"/>
      <c r="BL132" s="656"/>
      <c r="BM132" s="656"/>
      <c r="BN132" s="656"/>
      <c r="BO132" s="655"/>
      <c r="BP132" s="655"/>
      <c r="BQ132" s="655"/>
      <c r="BR132" s="655"/>
      <c r="BS132" s="655"/>
      <c r="BT132" s="655"/>
      <c r="BU132" s="656"/>
      <c r="BV132" s="656"/>
      <c r="BW132" s="656"/>
      <c r="BX132" s="655"/>
      <c r="BY132" s="657"/>
      <c r="BZ132" s="657"/>
      <c r="CA132" s="657"/>
      <c r="CB132" s="657"/>
      <c r="CC132" s="657"/>
      <c r="CD132" s="657"/>
      <c r="CE132" s="657"/>
      <c r="CF132" s="657"/>
      <c r="CG132" s="657"/>
      <c r="CH132" s="657"/>
      <c r="CI132" s="657"/>
      <c r="CJ132" s="466">
        <v>52</v>
      </c>
      <c r="CK132" s="466" t="s">
        <v>874</v>
      </c>
      <c r="CL132" s="466">
        <v>11</v>
      </c>
      <c r="CM132" s="466" t="s">
        <v>874</v>
      </c>
      <c r="CN132" s="480">
        <v>0</v>
      </c>
      <c r="CO132" s="480">
        <v>0.5</v>
      </c>
      <c r="CP132" s="480">
        <v>0.5</v>
      </c>
      <c r="CQ132" s="480">
        <v>0</v>
      </c>
      <c r="CR132" s="480">
        <v>0.44</v>
      </c>
      <c r="CS132" s="480">
        <v>0.56000000000000005</v>
      </c>
      <c r="CT132" s="480">
        <v>0.38</v>
      </c>
    </row>
    <row r="133" spans="1:98" ht="24.95" customHeight="1" x14ac:dyDescent="0.2">
      <c r="A133" s="814" t="s">
        <v>231</v>
      </c>
      <c r="B133" s="1" t="s">
        <v>221</v>
      </c>
      <c r="C133" s="12">
        <v>4</v>
      </c>
      <c r="D133" s="12"/>
      <c r="E133" s="12"/>
      <c r="F133" s="12"/>
      <c r="G133" s="12"/>
      <c r="H133" s="12"/>
      <c r="I133" s="12"/>
      <c r="J133" s="12"/>
      <c r="K133" s="12"/>
      <c r="L133" s="12"/>
      <c r="M133" s="12" t="s">
        <v>224</v>
      </c>
      <c r="N133" s="12" t="s">
        <v>224</v>
      </c>
      <c r="O133" s="40"/>
      <c r="P133" s="40"/>
      <c r="Q133" s="40"/>
      <c r="R133" s="40"/>
      <c r="S133" s="40"/>
      <c r="T133" s="40"/>
      <c r="U133" s="40"/>
      <c r="V133" s="12">
        <v>54</v>
      </c>
      <c r="W133" s="12">
        <v>1</v>
      </c>
      <c r="X133" s="66">
        <v>0</v>
      </c>
      <c r="Y133" s="66">
        <v>0</v>
      </c>
      <c r="Z133" s="66">
        <v>1</v>
      </c>
      <c r="AA133" s="66">
        <v>0</v>
      </c>
      <c r="AB133" s="66">
        <v>0.42</v>
      </c>
      <c r="AC133" s="66">
        <v>0.36</v>
      </c>
      <c r="AD133" s="66">
        <v>0.62</v>
      </c>
      <c r="AE133" s="12" t="s">
        <v>224</v>
      </c>
      <c r="AF133" s="12" t="s">
        <v>224</v>
      </c>
      <c r="AG133" s="12"/>
      <c r="AH133" s="12"/>
      <c r="AI133" s="12"/>
      <c r="AJ133" s="12"/>
      <c r="AK133" s="12"/>
      <c r="AL133" s="12"/>
      <c r="AM133" s="12"/>
      <c r="AN133" s="41"/>
      <c r="AO133" s="41"/>
      <c r="AP133" s="41"/>
      <c r="AQ133" s="41"/>
      <c r="AR133" s="41"/>
      <c r="AS133" s="41"/>
      <c r="AT133" s="41"/>
      <c r="AU133" s="41"/>
      <c r="AV133" s="41"/>
      <c r="AW133" s="652"/>
      <c r="AX133" s="652"/>
      <c r="AY133" s="652"/>
      <c r="AZ133" s="652"/>
      <c r="BA133" s="652"/>
      <c r="BB133" s="652"/>
      <c r="BC133" s="652"/>
      <c r="BD133" s="652"/>
      <c r="BE133" s="652"/>
      <c r="BF133" s="652"/>
      <c r="BG133" s="652"/>
      <c r="CJ133" s="656"/>
      <c r="CK133" s="656"/>
      <c r="CL133" s="656"/>
      <c r="CM133" s="656"/>
      <c r="CN133" s="656"/>
      <c r="CO133" s="656"/>
      <c r="CP133" s="656"/>
      <c r="CQ133" s="656"/>
      <c r="CR133" s="656"/>
      <c r="CS133" s="656"/>
      <c r="CT133" s="656"/>
    </row>
    <row r="134" spans="1:98" ht="24.95" customHeight="1" x14ac:dyDescent="0.2">
      <c r="A134" s="814" t="s">
        <v>1098</v>
      </c>
      <c r="B134" s="1" t="s">
        <v>221</v>
      </c>
      <c r="C134" s="12">
        <v>5</v>
      </c>
      <c r="D134" s="12">
        <v>53</v>
      </c>
      <c r="E134" s="12">
        <v>9</v>
      </c>
      <c r="F134" s="66">
        <v>0.02</v>
      </c>
      <c r="G134" s="66">
        <v>0.4</v>
      </c>
      <c r="H134" s="66">
        <v>0.56000000000000005</v>
      </c>
      <c r="I134" s="66">
        <v>0.02</v>
      </c>
      <c r="J134" s="66">
        <v>0.5</v>
      </c>
      <c r="K134" s="66">
        <v>0.4</v>
      </c>
      <c r="L134" s="66">
        <v>0.53</v>
      </c>
      <c r="M134" s="12">
        <v>54</v>
      </c>
      <c r="N134" s="12">
        <v>8</v>
      </c>
      <c r="O134" s="40">
        <v>0.02</v>
      </c>
      <c r="P134" s="40">
        <v>0.3</v>
      </c>
      <c r="Q134" s="40">
        <v>0.67</v>
      </c>
      <c r="R134" s="40">
        <v>0</v>
      </c>
      <c r="S134" s="40">
        <v>0.43</v>
      </c>
      <c r="T134" s="40">
        <v>0.55000000000000004</v>
      </c>
      <c r="U134" s="40">
        <v>0.32</v>
      </c>
      <c r="V134" s="12">
        <v>53</v>
      </c>
      <c r="W134" s="12">
        <v>9</v>
      </c>
      <c r="X134" s="66">
        <v>0</v>
      </c>
      <c r="Y134" s="66">
        <v>0.45</v>
      </c>
      <c r="Z134" s="66">
        <v>0.52</v>
      </c>
      <c r="AA134" s="66">
        <v>0.02</v>
      </c>
      <c r="AB134" s="66">
        <v>0.48</v>
      </c>
      <c r="AC134" s="66">
        <v>0.37</v>
      </c>
      <c r="AD134" s="66">
        <v>0.52</v>
      </c>
      <c r="AE134" s="12">
        <v>53</v>
      </c>
      <c r="AF134" s="12">
        <v>9</v>
      </c>
      <c r="AG134" s="66">
        <v>0.05</v>
      </c>
      <c r="AH134" s="66">
        <v>0.34</v>
      </c>
      <c r="AI134" s="66">
        <v>0.6</v>
      </c>
      <c r="AJ134" s="66">
        <v>0</v>
      </c>
      <c r="AK134" s="66">
        <v>0.52</v>
      </c>
      <c r="AL134" s="66">
        <v>0.44</v>
      </c>
      <c r="AM134" s="66">
        <v>0.3</v>
      </c>
      <c r="AN134" s="45">
        <v>57</v>
      </c>
      <c r="AO134" s="45">
        <v>11</v>
      </c>
      <c r="AP134" s="46">
        <v>0</v>
      </c>
      <c r="AQ134" s="46">
        <v>0.24</v>
      </c>
      <c r="AR134" s="46">
        <v>0.71</v>
      </c>
      <c r="AS134" s="46">
        <v>0.05</v>
      </c>
      <c r="AT134" s="46">
        <v>0.24</v>
      </c>
      <c r="AU134" s="46">
        <v>0.45</v>
      </c>
      <c r="AV134" s="46">
        <v>0.43</v>
      </c>
      <c r="AW134" s="653">
        <v>50</v>
      </c>
      <c r="AX134" s="653" t="s">
        <v>874</v>
      </c>
      <c r="AY134" s="653">
        <v>11</v>
      </c>
      <c r="AZ134" s="653" t="s">
        <v>874</v>
      </c>
      <c r="BA134" s="654">
        <v>0.12</v>
      </c>
      <c r="BB134" s="654">
        <v>0.38</v>
      </c>
      <c r="BC134" s="654">
        <v>0.5</v>
      </c>
      <c r="BD134" s="654">
        <v>0</v>
      </c>
      <c r="BE134" s="654">
        <v>0.32</v>
      </c>
      <c r="BF134" s="654">
        <v>0.51</v>
      </c>
      <c r="BG134" s="654">
        <v>0.49</v>
      </c>
      <c r="BH134" s="74">
        <v>54</v>
      </c>
      <c r="BI134" s="74" t="s">
        <v>874</v>
      </c>
      <c r="BJ134" s="74">
        <v>10</v>
      </c>
      <c r="BK134" s="74" t="s">
        <v>874</v>
      </c>
      <c r="BL134" s="74"/>
      <c r="BM134" s="74"/>
      <c r="BN134" s="74"/>
      <c r="BO134" s="96">
        <v>0.02</v>
      </c>
      <c r="BP134" s="96">
        <v>0.3</v>
      </c>
      <c r="BQ134" s="96">
        <v>0.64</v>
      </c>
      <c r="BR134" s="96">
        <v>0.03</v>
      </c>
      <c r="BS134" s="96">
        <v>0.5</v>
      </c>
      <c r="BT134" s="96">
        <v>0.56999999999999995</v>
      </c>
      <c r="BU134" s="96"/>
      <c r="BV134" s="96"/>
      <c r="BW134" s="96"/>
      <c r="BX134" s="96">
        <v>0.34</v>
      </c>
      <c r="BY134" s="658">
        <v>55</v>
      </c>
      <c r="BZ134" s="658" t="s">
        <v>874</v>
      </c>
      <c r="CA134" s="658">
        <v>10</v>
      </c>
      <c r="CB134" s="658" t="s">
        <v>874</v>
      </c>
      <c r="CC134" s="659">
        <v>0.06</v>
      </c>
      <c r="CD134" s="659">
        <v>0.24</v>
      </c>
      <c r="CE134" s="659">
        <v>0.67</v>
      </c>
      <c r="CF134" s="659">
        <v>0.04</v>
      </c>
      <c r="CG134" s="659">
        <v>0.56000000000000005</v>
      </c>
      <c r="CH134" s="659">
        <v>0.31</v>
      </c>
      <c r="CI134" s="659">
        <v>0.56999999999999995</v>
      </c>
      <c r="CJ134" s="74">
        <v>53</v>
      </c>
      <c r="CK134" s="74" t="s">
        <v>874</v>
      </c>
      <c r="CL134" s="74">
        <v>11</v>
      </c>
      <c r="CM134" s="74" t="s">
        <v>874</v>
      </c>
      <c r="CN134" s="96">
        <v>0.02</v>
      </c>
      <c r="CO134" s="96">
        <v>0.43</v>
      </c>
      <c r="CP134" s="96">
        <v>0.47</v>
      </c>
      <c r="CQ134" s="96">
        <v>0.08</v>
      </c>
      <c r="CR134" s="96">
        <v>0.6</v>
      </c>
      <c r="CS134" s="96">
        <v>0.49</v>
      </c>
      <c r="CT134" s="96">
        <v>0.39</v>
      </c>
    </row>
    <row r="135" spans="1:98" ht="24.95" customHeight="1" x14ac:dyDescent="0.2">
      <c r="A135" s="814" t="s">
        <v>215</v>
      </c>
      <c r="B135" s="1" t="s">
        <v>221</v>
      </c>
      <c r="C135" s="12">
        <v>6</v>
      </c>
      <c r="D135" s="12">
        <v>34</v>
      </c>
      <c r="E135" s="12">
        <v>0</v>
      </c>
      <c r="F135" s="66">
        <v>1</v>
      </c>
      <c r="G135" s="66">
        <v>0</v>
      </c>
      <c r="H135" s="66">
        <v>0</v>
      </c>
      <c r="I135" s="66">
        <v>0</v>
      </c>
      <c r="J135" s="66">
        <v>0.82</v>
      </c>
      <c r="K135" s="66">
        <v>0.67</v>
      </c>
      <c r="L135" s="66">
        <v>0.75</v>
      </c>
      <c r="M135" s="12" t="s">
        <v>226</v>
      </c>
      <c r="N135" s="12" t="s">
        <v>226</v>
      </c>
      <c r="O135" s="40"/>
      <c r="P135" s="40"/>
      <c r="Q135" s="40"/>
      <c r="R135" s="40"/>
      <c r="S135" s="40"/>
      <c r="T135" s="40"/>
      <c r="U135" s="40"/>
      <c r="V135" s="12" t="s">
        <v>224</v>
      </c>
      <c r="W135" s="12" t="s">
        <v>224</v>
      </c>
      <c r="X135" s="12"/>
      <c r="Y135" s="12"/>
      <c r="Z135" s="12"/>
      <c r="AA135" s="12"/>
      <c r="AB135" s="12"/>
      <c r="AC135" s="12"/>
      <c r="AD135" s="12"/>
      <c r="AE135" s="12" t="s">
        <v>224</v>
      </c>
      <c r="AF135" s="12" t="s">
        <v>224</v>
      </c>
      <c r="AG135" s="12"/>
      <c r="AH135" s="12"/>
      <c r="AI135" s="12"/>
      <c r="AJ135" s="12"/>
      <c r="AK135" s="12"/>
      <c r="AL135" s="12"/>
      <c r="AM135" s="12"/>
      <c r="AN135" s="41"/>
      <c r="AO135" s="41"/>
      <c r="AP135" s="41"/>
      <c r="AQ135" s="41"/>
      <c r="AR135" s="41"/>
      <c r="AS135" s="41"/>
      <c r="AT135" s="41"/>
      <c r="AU135" s="41"/>
      <c r="AV135" s="41"/>
      <c r="AW135" s="247">
        <v>47</v>
      </c>
      <c r="AX135" s="247" t="s">
        <v>874</v>
      </c>
      <c r="AY135" s="247">
        <v>0</v>
      </c>
      <c r="AZ135" s="247" t="s">
        <v>876</v>
      </c>
      <c r="BA135" s="264">
        <v>0</v>
      </c>
      <c r="BB135" s="264">
        <v>1</v>
      </c>
      <c r="BC135" s="264">
        <v>0</v>
      </c>
      <c r="BD135" s="264">
        <v>0</v>
      </c>
      <c r="BE135" s="264">
        <v>0.28999999999999998</v>
      </c>
      <c r="BF135" s="264">
        <v>0.63</v>
      </c>
      <c r="BG135" s="264">
        <v>0.55000000000000004</v>
      </c>
      <c r="BH135" s="655"/>
      <c r="BI135" s="655"/>
      <c r="BJ135" s="655"/>
      <c r="BK135" s="655"/>
      <c r="BL135" s="656"/>
      <c r="BM135" s="656"/>
      <c r="BN135" s="656"/>
      <c r="BO135" s="655"/>
      <c r="BP135" s="655"/>
      <c r="BQ135" s="655"/>
      <c r="BR135" s="655"/>
      <c r="BS135" s="655"/>
      <c r="BT135" s="655"/>
      <c r="BU135" s="656"/>
      <c r="BV135" s="656"/>
      <c r="BW135" s="656"/>
      <c r="BX135" s="655"/>
      <c r="BY135" s="657"/>
      <c r="BZ135" s="657"/>
      <c r="CA135" s="657"/>
      <c r="CB135" s="657"/>
      <c r="CC135" s="657"/>
      <c r="CD135" s="657"/>
      <c r="CE135" s="657"/>
      <c r="CF135" s="657"/>
      <c r="CG135" s="657"/>
      <c r="CH135" s="657"/>
      <c r="CI135" s="657"/>
      <c r="CJ135" s="656"/>
      <c r="CK135" s="656"/>
      <c r="CL135" s="656"/>
      <c r="CM135" s="656"/>
      <c r="CN135" s="656"/>
      <c r="CO135" s="656"/>
      <c r="CP135" s="656"/>
      <c r="CQ135" s="656"/>
      <c r="CR135" s="656"/>
      <c r="CS135" s="656"/>
      <c r="CT135" s="656"/>
    </row>
    <row r="136" spans="1:98" ht="24.95" customHeight="1" x14ac:dyDescent="0.2">
      <c r="A136" s="814" t="s">
        <v>120</v>
      </c>
      <c r="B136" s="1" t="s">
        <v>221</v>
      </c>
      <c r="C136" s="12">
        <v>4</v>
      </c>
      <c r="D136" s="12">
        <v>54</v>
      </c>
      <c r="E136" s="12">
        <v>8</v>
      </c>
      <c r="F136" s="66">
        <v>0.06</v>
      </c>
      <c r="G136" s="66">
        <v>0.19</v>
      </c>
      <c r="H136" s="66">
        <v>0.75</v>
      </c>
      <c r="I136" s="66">
        <v>0</v>
      </c>
      <c r="J136" s="66">
        <v>0.48</v>
      </c>
      <c r="K136" s="66">
        <v>0.47</v>
      </c>
      <c r="L136" s="66">
        <v>0.49</v>
      </c>
      <c r="M136" s="12">
        <v>52</v>
      </c>
      <c r="N136" s="12">
        <v>7</v>
      </c>
      <c r="O136" s="40">
        <v>0</v>
      </c>
      <c r="P136" s="40">
        <v>0.4</v>
      </c>
      <c r="Q136" s="40">
        <v>0.6</v>
      </c>
      <c r="R136" s="40">
        <v>0</v>
      </c>
      <c r="S136" s="40">
        <v>0.49</v>
      </c>
      <c r="T136" s="40">
        <v>0.56000000000000005</v>
      </c>
      <c r="U136" s="40">
        <v>0.32</v>
      </c>
      <c r="V136" s="12">
        <v>60</v>
      </c>
      <c r="W136" s="12">
        <v>6</v>
      </c>
      <c r="X136" s="66">
        <v>0</v>
      </c>
      <c r="Y136" s="66">
        <v>0.09</v>
      </c>
      <c r="Z136" s="66">
        <v>0.91</v>
      </c>
      <c r="AA136" s="66">
        <v>0</v>
      </c>
      <c r="AB136" s="66">
        <v>0.31</v>
      </c>
      <c r="AC136" s="66">
        <v>0.28999999999999998</v>
      </c>
      <c r="AD136" s="66">
        <v>0.38</v>
      </c>
      <c r="AE136" s="12">
        <v>54</v>
      </c>
      <c r="AF136" s="12">
        <v>9</v>
      </c>
      <c r="AG136" s="66">
        <v>0</v>
      </c>
      <c r="AH136" s="66">
        <v>0.38</v>
      </c>
      <c r="AI136" s="66">
        <v>0.62</v>
      </c>
      <c r="AJ136" s="66">
        <v>0</v>
      </c>
      <c r="AK136" s="66">
        <v>0.5</v>
      </c>
      <c r="AL136" s="66">
        <v>0.5</v>
      </c>
      <c r="AM136" s="66">
        <v>0.25</v>
      </c>
      <c r="AN136" s="45">
        <v>57</v>
      </c>
      <c r="AO136" s="45">
        <v>10</v>
      </c>
      <c r="AP136" s="46">
        <v>0</v>
      </c>
      <c r="AQ136" s="46">
        <v>0.25</v>
      </c>
      <c r="AR136" s="46">
        <v>0.57999999999999996</v>
      </c>
      <c r="AS136" s="46">
        <v>0.17</v>
      </c>
      <c r="AT136" s="46">
        <v>0.14000000000000001</v>
      </c>
      <c r="AU136" s="46">
        <v>0.5</v>
      </c>
      <c r="AV136" s="46">
        <v>0.42</v>
      </c>
      <c r="AW136" s="247">
        <v>52</v>
      </c>
      <c r="AX136" s="247" t="s">
        <v>874</v>
      </c>
      <c r="AY136" s="247">
        <v>10</v>
      </c>
      <c r="AZ136" s="247" t="s">
        <v>874</v>
      </c>
      <c r="BA136" s="264">
        <v>0.05</v>
      </c>
      <c r="BB136" s="264">
        <v>0.32</v>
      </c>
      <c r="BC136" s="264">
        <v>0.59</v>
      </c>
      <c r="BD136" s="264">
        <v>0.05</v>
      </c>
      <c r="BE136" s="264">
        <v>0.28999999999999998</v>
      </c>
      <c r="BF136" s="264">
        <v>0.48</v>
      </c>
      <c r="BG136" s="264">
        <v>0.49</v>
      </c>
      <c r="BH136" s="74">
        <v>59</v>
      </c>
      <c r="BI136" s="74" t="s">
        <v>874</v>
      </c>
      <c r="BJ136" s="74">
        <v>8</v>
      </c>
      <c r="BK136" s="74" t="s">
        <v>874</v>
      </c>
      <c r="BL136" s="74"/>
      <c r="BM136" s="74"/>
      <c r="BN136" s="74"/>
      <c r="BO136" s="96">
        <v>0</v>
      </c>
      <c r="BP136" s="96">
        <v>0.12</v>
      </c>
      <c r="BQ136" s="96">
        <v>0.82</v>
      </c>
      <c r="BR136" s="96">
        <v>0.06</v>
      </c>
      <c r="BS136" s="96">
        <v>0.33</v>
      </c>
      <c r="BT136" s="96">
        <v>0.36</v>
      </c>
      <c r="BU136" s="96"/>
      <c r="BV136" s="96"/>
      <c r="BW136" s="96"/>
      <c r="BX136" s="96">
        <v>0.22</v>
      </c>
      <c r="BY136" s="658">
        <v>52</v>
      </c>
      <c r="BZ136" s="658" t="s">
        <v>874</v>
      </c>
      <c r="CA136" s="658">
        <v>8</v>
      </c>
      <c r="CB136" s="658" t="s">
        <v>874</v>
      </c>
      <c r="CC136" s="659">
        <v>0</v>
      </c>
      <c r="CD136" s="659">
        <v>0.41</v>
      </c>
      <c r="CE136" s="659">
        <v>0.55000000000000004</v>
      </c>
      <c r="CF136" s="659">
        <v>0.05</v>
      </c>
      <c r="CG136" s="659">
        <v>0.64</v>
      </c>
      <c r="CH136" s="659">
        <v>0.36</v>
      </c>
      <c r="CI136" s="659">
        <v>0.59</v>
      </c>
      <c r="CJ136" s="74">
        <v>59</v>
      </c>
      <c r="CK136" s="74" t="s">
        <v>874</v>
      </c>
      <c r="CL136" s="74">
        <v>9</v>
      </c>
      <c r="CM136" s="74" t="s">
        <v>874</v>
      </c>
      <c r="CN136" s="96">
        <v>0.03</v>
      </c>
      <c r="CO136" s="96">
        <v>0.21</v>
      </c>
      <c r="CP136" s="96">
        <v>0.67</v>
      </c>
      <c r="CQ136" s="96">
        <v>0.09</v>
      </c>
      <c r="CR136" s="96">
        <v>0.43</v>
      </c>
      <c r="CS136" s="96">
        <v>0.45</v>
      </c>
      <c r="CT136" s="96">
        <v>0.36</v>
      </c>
    </row>
    <row r="137" spans="1:98" ht="24.95" customHeight="1" x14ac:dyDescent="0.2">
      <c r="A137" s="814" t="s">
        <v>52</v>
      </c>
      <c r="B137" s="1" t="s">
        <v>221</v>
      </c>
      <c r="C137" s="12">
        <v>6</v>
      </c>
      <c r="D137" s="12">
        <v>53</v>
      </c>
      <c r="E137" s="12">
        <v>9</v>
      </c>
      <c r="F137" s="66">
        <v>0.01</v>
      </c>
      <c r="G137" s="66">
        <v>0.36</v>
      </c>
      <c r="H137" s="66">
        <v>0.61</v>
      </c>
      <c r="I137" s="66">
        <v>0.01</v>
      </c>
      <c r="J137" s="66">
        <v>0.53</v>
      </c>
      <c r="K137" s="66">
        <v>0.47</v>
      </c>
      <c r="L137" s="66">
        <v>0.55000000000000004</v>
      </c>
      <c r="M137" s="12">
        <v>54</v>
      </c>
      <c r="N137" s="12">
        <v>10</v>
      </c>
      <c r="O137" s="40">
        <v>0.03</v>
      </c>
      <c r="P137" s="40">
        <v>0.36</v>
      </c>
      <c r="Q137" s="40">
        <v>0.61</v>
      </c>
      <c r="R137" s="40">
        <v>0.01</v>
      </c>
      <c r="S137" s="40">
        <v>0.43</v>
      </c>
      <c r="T137" s="40">
        <v>0.53</v>
      </c>
      <c r="U137" s="40">
        <v>0.31</v>
      </c>
      <c r="V137" s="12">
        <v>54</v>
      </c>
      <c r="W137" s="12">
        <v>8</v>
      </c>
      <c r="X137" s="66">
        <v>0.02</v>
      </c>
      <c r="Y137" s="66">
        <v>0.28999999999999998</v>
      </c>
      <c r="Z137" s="66">
        <v>0.67</v>
      </c>
      <c r="AA137" s="66">
        <v>0.02</v>
      </c>
      <c r="AB137" s="66">
        <v>0.5</v>
      </c>
      <c r="AC137" s="66">
        <v>0.35</v>
      </c>
      <c r="AD137" s="66">
        <v>0.44</v>
      </c>
      <c r="AE137" s="12">
        <v>55</v>
      </c>
      <c r="AF137" s="12">
        <v>10</v>
      </c>
      <c r="AG137" s="66">
        <v>0.02</v>
      </c>
      <c r="AH137" s="66">
        <v>0.38</v>
      </c>
      <c r="AI137" s="66">
        <v>0.57999999999999996</v>
      </c>
      <c r="AJ137" s="66">
        <v>0.03</v>
      </c>
      <c r="AK137" s="66">
        <v>0.49</v>
      </c>
      <c r="AL137" s="66">
        <v>0.46</v>
      </c>
      <c r="AM137" s="66">
        <v>0.25</v>
      </c>
      <c r="AN137" s="35">
        <v>56</v>
      </c>
      <c r="AO137" s="35">
        <v>10</v>
      </c>
      <c r="AP137" s="40">
        <v>0.04</v>
      </c>
      <c r="AQ137" s="40">
        <v>0.23</v>
      </c>
      <c r="AR137" s="40">
        <v>0.7</v>
      </c>
      <c r="AS137" s="40">
        <v>0.03</v>
      </c>
      <c r="AT137" s="40">
        <v>0.25</v>
      </c>
      <c r="AU137" s="40">
        <v>0.43</v>
      </c>
      <c r="AV137" s="40">
        <v>0.44</v>
      </c>
      <c r="AW137" s="247">
        <v>53</v>
      </c>
      <c r="AX137" s="247" t="s">
        <v>874</v>
      </c>
      <c r="AY137" s="247">
        <v>8</v>
      </c>
      <c r="AZ137" s="247" t="s">
        <v>874</v>
      </c>
      <c r="BA137" s="264">
        <v>0</v>
      </c>
      <c r="BB137" s="264">
        <v>0.35</v>
      </c>
      <c r="BC137" s="264">
        <v>0.65</v>
      </c>
      <c r="BD137" s="264">
        <v>0</v>
      </c>
      <c r="BE137" s="264">
        <v>0.24</v>
      </c>
      <c r="BF137" s="264">
        <v>0.49</v>
      </c>
      <c r="BG137" s="264">
        <v>0.48</v>
      </c>
      <c r="BH137" s="311">
        <v>57</v>
      </c>
      <c r="BI137" s="311" t="s">
        <v>874</v>
      </c>
      <c r="BJ137" s="311">
        <v>8</v>
      </c>
      <c r="BK137" s="311" t="s">
        <v>874</v>
      </c>
      <c r="BL137" s="466"/>
      <c r="BM137" s="466"/>
      <c r="BN137" s="466"/>
      <c r="BO137" s="329">
        <v>0</v>
      </c>
      <c r="BP137" s="329">
        <v>0.2</v>
      </c>
      <c r="BQ137" s="329">
        <v>0.76</v>
      </c>
      <c r="BR137" s="329">
        <v>0.05</v>
      </c>
      <c r="BS137" s="329">
        <v>0.41</v>
      </c>
      <c r="BT137" s="329">
        <v>0.51</v>
      </c>
      <c r="BU137" s="480"/>
      <c r="BV137" s="480"/>
      <c r="BW137" s="480"/>
      <c r="BX137" s="329">
        <v>0.3</v>
      </c>
      <c r="BY137" s="426">
        <v>56</v>
      </c>
      <c r="BZ137" s="426" t="s">
        <v>874</v>
      </c>
      <c r="CA137" s="426">
        <v>9</v>
      </c>
      <c r="CB137" s="426" t="s">
        <v>874</v>
      </c>
      <c r="CC137" s="430">
        <v>0</v>
      </c>
      <c r="CD137" s="430">
        <v>0.27</v>
      </c>
      <c r="CE137" s="430">
        <v>0.68</v>
      </c>
      <c r="CF137" s="430">
        <v>0.05</v>
      </c>
      <c r="CG137" s="430">
        <v>0.6</v>
      </c>
      <c r="CH137" s="430">
        <v>0.33</v>
      </c>
      <c r="CI137" s="430">
        <v>0.53</v>
      </c>
      <c r="CJ137" s="466">
        <v>58</v>
      </c>
      <c r="CK137" s="466" t="s">
        <v>874</v>
      </c>
      <c r="CL137" s="466">
        <v>9</v>
      </c>
      <c r="CM137" s="466" t="s">
        <v>874</v>
      </c>
      <c r="CN137" s="480">
        <v>0.03</v>
      </c>
      <c r="CO137" s="480">
        <v>0.05</v>
      </c>
      <c r="CP137" s="480">
        <v>0.83</v>
      </c>
      <c r="CQ137" s="480">
        <v>0.09</v>
      </c>
      <c r="CR137" s="480">
        <v>0.42</v>
      </c>
      <c r="CS137" s="480">
        <v>0.45</v>
      </c>
      <c r="CT137" s="480">
        <v>0.34</v>
      </c>
    </row>
    <row r="138" spans="1:98" ht="24.95" customHeight="1" x14ac:dyDescent="0.2">
      <c r="A138" s="814" t="s">
        <v>40</v>
      </c>
      <c r="B138" s="1" t="s">
        <v>221</v>
      </c>
      <c r="C138" s="12">
        <v>2</v>
      </c>
      <c r="D138" s="12">
        <v>52</v>
      </c>
      <c r="E138" s="12">
        <v>8</v>
      </c>
      <c r="F138" s="66">
        <v>0</v>
      </c>
      <c r="G138" s="66">
        <v>0.46</v>
      </c>
      <c r="H138" s="66">
        <v>0.54</v>
      </c>
      <c r="I138" s="66">
        <v>0</v>
      </c>
      <c r="J138" s="66">
        <v>0.55000000000000004</v>
      </c>
      <c r="K138" s="66">
        <v>0.44</v>
      </c>
      <c r="L138" s="66">
        <v>0.51</v>
      </c>
      <c r="M138" s="12">
        <v>51</v>
      </c>
      <c r="N138" s="12">
        <v>10</v>
      </c>
      <c r="O138" s="40">
        <v>0.06</v>
      </c>
      <c r="P138" s="40">
        <v>0.36</v>
      </c>
      <c r="Q138" s="40">
        <v>0.53</v>
      </c>
      <c r="R138" s="40">
        <v>0.05</v>
      </c>
      <c r="S138" s="40">
        <v>0.46</v>
      </c>
      <c r="T138" s="40">
        <v>0.56999999999999995</v>
      </c>
      <c r="U138" s="40">
        <v>0.39</v>
      </c>
      <c r="V138" s="12">
        <v>50</v>
      </c>
      <c r="W138" s="12">
        <v>8</v>
      </c>
      <c r="X138" s="66">
        <v>0.05</v>
      </c>
      <c r="Y138" s="66">
        <v>0.43</v>
      </c>
      <c r="Z138" s="66">
        <v>0.52</v>
      </c>
      <c r="AA138" s="66">
        <v>0</v>
      </c>
      <c r="AB138" s="66">
        <v>0.51</v>
      </c>
      <c r="AC138" s="66">
        <v>0.37</v>
      </c>
      <c r="AD138" s="66">
        <v>0.56000000000000005</v>
      </c>
      <c r="AE138" s="12">
        <v>54</v>
      </c>
      <c r="AF138" s="12">
        <v>10</v>
      </c>
      <c r="AG138" s="66">
        <v>0.04</v>
      </c>
      <c r="AH138" s="66">
        <v>0.3</v>
      </c>
      <c r="AI138" s="66">
        <v>0.63</v>
      </c>
      <c r="AJ138" s="66">
        <v>0.03</v>
      </c>
      <c r="AK138" s="66">
        <v>0.51</v>
      </c>
      <c r="AL138" s="66">
        <v>0.48</v>
      </c>
      <c r="AM138" s="66">
        <v>0.26</v>
      </c>
      <c r="AN138" s="35">
        <v>53</v>
      </c>
      <c r="AO138" s="35">
        <v>10</v>
      </c>
      <c r="AP138" s="40">
        <v>0.04</v>
      </c>
      <c r="AQ138" s="40">
        <v>0.33</v>
      </c>
      <c r="AR138" s="40">
        <v>0.61</v>
      </c>
      <c r="AS138" s="40">
        <v>0.02</v>
      </c>
      <c r="AT138" s="40">
        <v>0.28000000000000003</v>
      </c>
      <c r="AU138" s="40">
        <v>0.49</v>
      </c>
      <c r="AV138" s="40">
        <v>0.5</v>
      </c>
      <c r="AW138" s="247">
        <v>50</v>
      </c>
      <c r="AX138" s="247" t="s">
        <v>874</v>
      </c>
      <c r="AY138" s="247">
        <v>10</v>
      </c>
      <c r="AZ138" s="247" t="s">
        <v>874</v>
      </c>
      <c r="BA138" s="264">
        <v>0.06</v>
      </c>
      <c r="BB138" s="264">
        <v>0.41</v>
      </c>
      <c r="BC138" s="264">
        <v>0.51</v>
      </c>
      <c r="BD138" s="264">
        <v>0.02</v>
      </c>
      <c r="BE138" s="264">
        <v>0.3</v>
      </c>
      <c r="BF138" s="264">
        <v>0.53</v>
      </c>
      <c r="BG138" s="264">
        <v>0.48</v>
      </c>
      <c r="BH138" s="311">
        <v>50</v>
      </c>
      <c r="BI138" s="311" t="s">
        <v>874</v>
      </c>
      <c r="BJ138" s="311">
        <v>9</v>
      </c>
      <c r="BK138" s="311" t="s">
        <v>874</v>
      </c>
      <c r="BL138" s="466"/>
      <c r="BM138" s="466"/>
      <c r="BN138" s="466"/>
      <c r="BO138" s="329">
        <v>0.04</v>
      </c>
      <c r="BP138" s="329">
        <v>0.4</v>
      </c>
      <c r="BQ138" s="329">
        <v>0.54</v>
      </c>
      <c r="BR138" s="329">
        <v>0.01</v>
      </c>
      <c r="BS138" s="329">
        <v>0.53</v>
      </c>
      <c r="BT138" s="329">
        <v>0.64</v>
      </c>
      <c r="BU138" s="480"/>
      <c r="BV138" s="480"/>
      <c r="BW138" s="480"/>
      <c r="BX138" s="329">
        <v>0.42</v>
      </c>
      <c r="BY138" s="426">
        <v>54</v>
      </c>
      <c r="BZ138" s="426" t="s">
        <v>874</v>
      </c>
      <c r="CA138" s="426">
        <v>9</v>
      </c>
      <c r="CB138" s="426" t="s">
        <v>874</v>
      </c>
      <c r="CC138" s="430">
        <v>0</v>
      </c>
      <c r="CD138" s="430">
        <v>0.34</v>
      </c>
      <c r="CE138" s="430">
        <v>0.66</v>
      </c>
      <c r="CF138" s="430">
        <v>0</v>
      </c>
      <c r="CG138" s="430">
        <v>0.63</v>
      </c>
      <c r="CH138" s="430">
        <v>0.37</v>
      </c>
      <c r="CI138" s="430">
        <v>0.59</v>
      </c>
      <c r="CJ138" s="466">
        <v>55</v>
      </c>
      <c r="CK138" s="466" t="s">
        <v>874</v>
      </c>
      <c r="CL138" s="466">
        <v>11</v>
      </c>
      <c r="CM138" s="466" t="s">
        <v>874</v>
      </c>
      <c r="CN138" s="480">
        <v>0.03</v>
      </c>
      <c r="CO138" s="480">
        <v>0.21</v>
      </c>
      <c r="CP138" s="480">
        <v>0.68</v>
      </c>
      <c r="CQ138" s="480">
        <v>0.09</v>
      </c>
      <c r="CR138" s="480">
        <v>0.49</v>
      </c>
      <c r="CS138" s="480">
        <v>0.47</v>
      </c>
      <c r="CT138" s="480">
        <v>0.43</v>
      </c>
    </row>
    <row r="139" spans="1:98" ht="24.95" customHeight="1" x14ac:dyDescent="0.2">
      <c r="A139" s="814" t="s">
        <v>227</v>
      </c>
      <c r="B139" s="1" t="s">
        <v>221</v>
      </c>
      <c r="C139" s="12">
        <v>2</v>
      </c>
      <c r="D139" s="12"/>
      <c r="E139" s="12"/>
      <c r="F139" s="12"/>
      <c r="G139" s="12"/>
      <c r="H139" s="12"/>
      <c r="I139" s="12"/>
      <c r="J139" s="12"/>
      <c r="K139" s="12"/>
      <c r="L139" s="12"/>
      <c r="M139" s="12">
        <v>43</v>
      </c>
      <c r="N139" s="12">
        <v>12</v>
      </c>
      <c r="O139" s="40">
        <v>0.22</v>
      </c>
      <c r="P139" s="40">
        <v>0.44</v>
      </c>
      <c r="Q139" s="40">
        <v>0.33</v>
      </c>
      <c r="R139" s="40">
        <v>0</v>
      </c>
      <c r="S139" s="40">
        <v>0.61</v>
      </c>
      <c r="T139" s="40">
        <v>0.66</v>
      </c>
      <c r="U139" s="40">
        <v>0.5</v>
      </c>
      <c r="V139" s="12" t="s">
        <v>224</v>
      </c>
      <c r="W139" s="12" t="s">
        <v>224</v>
      </c>
      <c r="X139" s="12"/>
      <c r="Y139" s="12"/>
      <c r="Z139" s="12"/>
      <c r="AA139" s="12"/>
      <c r="AB139" s="12"/>
      <c r="AC139" s="12"/>
      <c r="AD139" s="12"/>
      <c r="AE139" s="12" t="s">
        <v>224</v>
      </c>
      <c r="AF139" s="12" t="s">
        <v>224</v>
      </c>
      <c r="AG139" s="12"/>
      <c r="AH139" s="12"/>
      <c r="AI139" s="12"/>
      <c r="AJ139" s="12"/>
      <c r="AK139" s="12"/>
      <c r="AL139" s="12"/>
      <c r="AM139" s="12"/>
      <c r="AN139" s="41"/>
      <c r="AO139" s="41"/>
      <c r="AP139" s="41"/>
      <c r="AQ139" s="41"/>
      <c r="AR139" s="41"/>
      <c r="AS139" s="41"/>
      <c r="AT139" s="41"/>
      <c r="AU139" s="41"/>
      <c r="AV139" s="41"/>
      <c r="AW139" s="652"/>
      <c r="AX139" s="652"/>
      <c r="AY139" s="652"/>
      <c r="AZ139" s="652"/>
      <c r="BA139" s="652"/>
      <c r="BB139" s="652"/>
      <c r="BC139" s="652"/>
      <c r="BD139" s="652"/>
      <c r="BE139" s="652"/>
      <c r="BF139" s="652"/>
      <c r="BG139" s="652"/>
      <c r="BH139" s="311">
        <v>57</v>
      </c>
      <c r="BI139" s="311" t="s">
        <v>874</v>
      </c>
      <c r="BJ139" s="311">
        <v>0</v>
      </c>
      <c r="BK139" s="311" t="s">
        <v>876</v>
      </c>
      <c r="BL139" s="466"/>
      <c r="BM139" s="466"/>
      <c r="BN139" s="466"/>
      <c r="BO139" s="329">
        <v>0</v>
      </c>
      <c r="BP139" s="329">
        <v>0</v>
      </c>
      <c r="BQ139" s="329">
        <v>1</v>
      </c>
      <c r="BR139" s="329">
        <v>0</v>
      </c>
      <c r="BS139" s="329">
        <v>0.38</v>
      </c>
      <c r="BT139" s="329">
        <v>0.8</v>
      </c>
      <c r="BU139" s="480"/>
      <c r="BV139" s="480"/>
      <c r="BW139" s="480"/>
      <c r="BX139" s="329">
        <v>0.25</v>
      </c>
      <c r="BY139" s="426">
        <v>39</v>
      </c>
      <c r="BZ139" s="426" t="s">
        <v>876</v>
      </c>
      <c r="CA139" s="426">
        <v>11</v>
      </c>
      <c r="CB139" s="426" t="s">
        <v>874</v>
      </c>
      <c r="CC139" s="430">
        <v>0.46</v>
      </c>
      <c r="CD139" s="430">
        <v>0.38</v>
      </c>
      <c r="CE139" s="430">
        <v>0.15</v>
      </c>
      <c r="CF139" s="430">
        <v>0</v>
      </c>
      <c r="CG139" s="430">
        <v>0.76</v>
      </c>
      <c r="CH139" s="430">
        <v>0.62</v>
      </c>
      <c r="CI139" s="430">
        <v>0.75</v>
      </c>
      <c r="CJ139" s="647"/>
      <c r="CK139" s="647"/>
      <c r="CL139" s="647"/>
      <c r="CM139" s="647"/>
      <c r="CN139" s="648"/>
      <c r="CO139" s="648"/>
      <c r="CP139" s="648"/>
      <c r="CQ139" s="648"/>
      <c r="CR139" s="648"/>
      <c r="CS139" s="648"/>
      <c r="CT139" s="648"/>
    </row>
    <row r="140" spans="1:98" ht="24.95" customHeight="1" x14ac:dyDescent="0.2">
      <c r="A140" s="814" t="s">
        <v>936</v>
      </c>
      <c r="B140" s="1" t="s">
        <v>221</v>
      </c>
      <c r="C140" s="12">
        <v>4</v>
      </c>
      <c r="D140" s="12"/>
      <c r="E140" s="12"/>
      <c r="F140" s="12"/>
      <c r="G140" s="12"/>
      <c r="H140" s="12"/>
      <c r="I140" s="12"/>
      <c r="J140" s="12"/>
      <c r="K140" s="12"/>
      <c r="L140" s="12"/>
      <c r="M140" s="12"/>
      <c r="N140" s="12"/>
      <c r="O140" s="40"/>
      <c r="P140" s="40"/>
      <c r="Q140" s="40"/>
      <c r="R140" s="40"/>
      <c r="S140" s="40"/>
      <c r="T140" s="40"/>
      <c r="U140" s="40"/>
      <c r="V140" s="12"/>
      <c r="W140" s="12"/>
      <c r="X140" s="12"/>
      <c r="Y140" s="12"/>
      <c r="Z140" s="12"/>
      <c r="AA140" s="12"/>
      <c r="AB140" s="12"/>
      <c r="AC140" s="12"/>
      <c r="AD140" s="12"/>
      <c r="AE140" s="12"/>
      <c r="AF140" s="12"/>
      <c r="AG140" s="12"/>
      <c r="AH140" s="12"/>
      <c r="AI140" s="12"/>
      <c r="AJ140" s="12"/>
      <c r="AK140" s="12"/>
      <c r="AL140" s="12"/>
      <c r="AM140" s="12"/>
      <c r="BH140" s="311">
        <v>46</v>
      </c>
      <c r="BI140" s="311" t="s">
        <v>874</v>
      </c>
      <c r="BJ140" s="311">
        <v>10</v>
      </c>
      <c r="BK140" s="311" t="s">
        <v>874</v>
      </c>
      <c r="BL140" s="466"/>
      <c r="BM140" s="466"/>
      <c r="BN140" s="466"/>
      <c r="BO140" s="329">
        <v>7.0000000000000007E-2</v>
      </c>
      <c r="BP140" s="329">
        <v>0.6</v>
      </c>
      <c r="BQ140" s="329">
        <v>0.33</v>
      </c>
      <c r="BR140" s="329">
        <v>0</v>
      </c>
      <c r="BS140" s="329">
        <v>0.7</v>
      </c>
      <c r="BT140" s="329">
        <v>0.73</v>
      </c>
      <c r="BU140" s="480"/>
      <c r="BV140" s="480"/>
      <c r="BW140" s="480"/>
      <c r="BX140" s="329">
        <v>0.53</v>
      </c>
      <c r="BY140" s="426">
        <v>42</v>
      </c>
      <c r="BZ140" s="426" t="s">
        <v>876</v>
      </c>
      <c r="CA140" s="426">
        <v>8</v>
      </c>
      <c r="CB140" s="426" t="s">
        <v>874</v>
      </c>
      <c r="CC140" s="430">
        <v>0.15</v>
      </c>
      <c r="CD140" s="430">
        <v>0.62</v>
      </c>
      <c r="CE140" s="430">
        <v>0.23</v>
      </c>
      <c r="CF140" s="430">
        <v>0</v>
      </c>
      <c r="CG140" s="430">
        <v>0.73</v>
      </c>
      <c r="CH140" s="430">
        <v>0.6</v>
      </c>
      <c r="CI140" s="430">
        <v>0.72</v>
      </c>
      <c r="CJ140" s="426"/>
      <c r="CK140" s="426"/>
      <c r="CL140" s="426"/>
      <c r="CM140" s="426"/>
      <c r="CN140" s="430"/>
      <c r="CO140" s="430"/>
      <c r="CP140" s="430"/>
      <c r="CQ140" s="430"/>
      <c r="CR140" s="430"/>
      <c r="CS140" s="430"/>
      <c r="CT140" s="430"/>
    </row>
    <row r="141" spans="1:98" ht="24.95" customHeight="1" x14ac:dyDescent="0.2">
      <c r="A141" s="815" t="s">
        <v>155</v>
      </c>
      <c r="B141" s="1" t="s">
        <v>221</v>
      </c>
      <c r="C141" s="330">
        <v>5</v>
      </c>
      <c r="D141" s="330">
        <v>53</v>
      </c>
      <c r="E141" s="330">
        <v>5</v>
      </c>
      <c r="F141" s="335">
        <v>0</v>
      </c>
      <c r="G141" s="335">
        <v>0.33</v>
      </c>
      <c r="H141" s="335">
        <v>0.67</v>
      </c>
      <c r="I141" s="335">
        <v>0</v>
      </c>
      <c r="J141" s="335">
        <v>0.45</v>
      </c>
      <c r="K141" s="335">
        <v>0.71</v>
      </c>
      <c r="L141" s="335">
        <v>0.5</v>
      </c>
      <c r="M141" s="330">
        <v>51</v>
      </c>
      <c r="N141" s="330">
        <v>13</v>
      </c>
      <c r="O141" s="333">
        <v>0.08</v>
      </c>
      <c r="P141" s="333">
        <v>0.25</v>
      </c>
      <c r="Q141" s="333">
        <v>0.57999999999999996</v>
      </c>
      <c r="R141" s="333">
        <v>0.08</v>
      </c>
      <c r="S141" s="333">
        <v>0.46</v>
      </c>
      <c r="T141" s="333">
        <v>0.56000000000000005</v>
      </c>
      <c r="U141" s="333">
        <v>0.41</v>
      </c>
      <c r="V141" s="330">
        <v>52</v>
      </c>
      <c r="W141" s="330">
        <v>4</v>
      </c>
      <c r="X141" s="335">
        <v>0</v>
      </c>
      <c r="Y141" s="335">
        <v>0.5</v>
      </c>
      <c r="Z141" s="335">
        <v>0.5</v>
      </c>
      <c r="AA141" s="335">
        <v>0</v>
      </c>
      <c r="AB141" s="335">
        <v>0.45</v>
      </c>
      <c r="AC141" s="335">
        <v>0.36</v>
      </c>
      <c r="AD141" s="335">
        <v>0.62</v>
      </c>
      <c r="AE141" s="330">
        <v>51</v>
      </c>
      <c r="AF141" s="330">
        <v>11</v>
      </c>
      <c r="AG141" s="335">
        <v>0</v>
      </c>
      <c r="AH141" s="335">
        <v>0.4</v>
      </c>
      <c r="AI141" s="335">
        <v>0.6</v>
      </c>
      <c r="AJ141" s="335">
        <v>0</v>
      </c>
      <c r="AK141" s="335">
        <v>0.54</v>
      </c>
      <c r="AL141" s="335">
        <v>0.44</v>
      </c>
      <c r="AM141" s="335">
        <v>0.3</v>
      </c>
      <c r="AN141" s="45">
        <v>54</v>
      </c>
      <c r="AO141" s="45">
        <v>11</v>
      </c>
      <c r="AP141" s="46">
        <v>0</v>
      </c>
      <c r="AQ141" s="46">
        <v>0.33</v>
      </c>
      <c r="AR141" s="46">
        <v>0.67</v>
      </c>
      <c r="AS141" s="46">
        <v>0</v>
      </c>
      <c r="AT141" s="46">
        <v>0.23</v>
      </c>
      <c r="AU141" s="46">
        <v>0.47</v>
      </c>
      <c r="AV141" s="46">
        <v>0.39</v>
      </c>
      <c r="AW141" s="653">
        <v>54</v>
      </c>
      <c r="AX141" s="653" t="s">
        <v>874</v>
      </c>
      <c r="AY141" s="653">
        <v>6</v>
      </c>
      <c r="AZ141" s="653" t="s">
        <v>876</v>
      </c>
      <c r="BA141" s="654">
        <v>0</v>
      </c>
      <c r="BB141" s="654">
        <v>0.33</v>
      </c>
      <c r="BC141" s="654">
        <v>0.67</v>
      </c>
      <c r="BD141" s="654">
        <v>0</v>
      </c>
      <c r="BE141" s="654">
        <v>0.17</v>
      </c>
      <c r="BF141" s="654">
        <v>0.57999999999999996</v>
      </c>
      <c r="BG141" s="654">
        <v>0.33</v>
      </c>
      <c r="BH141" s="311">
        <v>55</v>
      </c>
      <c r="BI141" s="311" t="s">
        <v>874</v>
      </c>
      <c r="BJ141" s="311">
        <v>6</v>
      </c>
      <c r="BK141" s="311" t="s">
        <v>876</v>
      </c>
      <c r="BL141" s="466"/>
      <c r="BM141" s="466"/>
      <c r="BN141" s="466"/>
      <c r="BO141" s="329">
        <v>0</v>
      </c>
      <c r="BP141" s="329">
        <v>0.25</v>
      </c>
      <c r="BQ141" s="329">
        <v>0.75</v>
      </c>
      <c r="BR141" s="329">
        <v>0</v>
      </c>
      <c r="BS141" s="329">
        <v>0.47</v>
      </c>
      <c r="BT141" s="329">
        <v>0.47</v>
      </c>
      <c r="BU141" s="480"/>
      <c r="BV141" s="480"/>
      <c r="BW141" s="480"/>
      <c r="BX141" s="329">
        <v>0.38</v>
      </c>
      <c r="BY141" s="426">
        <v>52</v>
      </c>
      <c r="BZ141" s="426" t="s">
        <v>874</v>
      </c>
      <c r="CA141" s="426">
        <v>5</v>
      </c>
      <c r="CB141" s="426" t="s">
        <v>876</v>
      </c>
      <c r="CC141" s="430">
        <v>0</v>
      </c>
      <c r="CD141" s="430">
        <v>0.5</v>
      </c>
      <c r="CE141" s="430">
        <v>0.5</v>
      </c>
      <c r="CF141" s="430">
        <v>0</v>
      </c>
      <c r="CG141" s="430">
        <v>0.82</v>
      </c>
      <c r="CH141" s="430">
        <v>0.13</v>
      </c>
      <c r="CI141" s="430">
        <v>0.78</v>
      </c>
      <c r="CJ141" s="660">
        <v>56</v>
      </c>
      <c r="CK141" s="660" t="s">
        <v>874</v>
      </c>
      <c r="CL141" s="660">
        <v>11</v>
      </c>
      <c r="CM141" s="660" t="s">
        <v>874</v>
      </c>
      <c r="CN141" s="661">
        <v>0</v>
      </c>
      <c r="CO141" s="661">
        <v>0.28999999999999998</v>
      </c>
      <c r="CP141" s="661">
        <v>0.71</v>
      </c>
      <c r="CQ141" s="661">
        <v>0</v>
      </c>
      <c r="CR141" s="661">
        <v>0.45</v>
      </c>
      <c r="CS141" s="661">
        <v>0.5</v>
      </c>
      <c r="CT141" s="661">
        <v>0.5</v>
      </c>
    </row>
    <row r="142" spans="1:98" ht="24.95" customHeight="1" x14ac:dyDescent="0.2">
      <c r="A142" s="814" t="s">
        <v>233</v>
      </c>
      <c r="B142" s="1" t="s">
        <v>221</v>
      </c>
      <c r="C142" s="12">
        <v>2</v>
      </c>
      <c r="D142" s="12"/>
      <c r="E142" s="12"/>
      <c r="F142" s="12"/>
      <c r="G142" s="12"/>
      <c r="H142" s="12"/>
      <c r="I142" s="12"/>
      <c r="J142" s="12"/>
      <c r="K142" s="12"/>
      <c r="L142" s="12"/>
      <c r="M142" s="12" t="s">
        <v>224</v>
      </c>
      <c r="N142" s="12" t="s">
        <v>224</v>
      </c>
      <c r="O142" s="40"/>
      <c r="P142" s="40"/>
      <c r="Q142" s="40"/>
      <c r="R142" s="40"/>
      <c r="S142" s="40"/>
      <c r="T142" s="40"/>
      <c r="U142" s="40"/>
      <c r="V142" s="12" t="s">
        <v>224</v>
      </c>
      <c r="W142" s="12" t="s">
        <v>224</v>
      </c>
      <c r="X142" s="12"/>
      <c r="Y142" s="12"/>
      <c r="Z142" s="12"/>
      <c r="AA142" s="12"/>
      <c r="AB142" s="12"/>
      <c r="AC142" s="12"/>
      <c r="AD142" s="12"/>
      <c r="AE142" s="12">
        <v>53</v>
      </c>
      <c r="AF142" s="12">
        <v>10</v>
      </c>
      <c r="AG142" s="66">
        <v>0</v>
      </c>
      <c r="AH142" s="66">
        <v>0.33</v>
      </c>
      <c r="AI142" s="66">
        <v>0.67</v>
      </c>
      <c r="AJ142" s="66">
        <v>0</v>
      </c>
      <c r="AK142" s="66">
        <v>0.53</v>
      </c>
      <c r="AL142" s="66">
        <v>0.45</v>
      </c>
      <c r="AM142" s="66">
        <v>0.28999999999999998</v>
      </c>
      <c r="AN142" s="35">
        <v>47</v>
      </c>
      <c r="AO142" s="35">
        <v>9</v>
      </c>
      <c r="AP142" s="40">
        <v>0</v>
      </c>
      <c r="AQ142" s="40">
        <v>0.67</v>
      </c>
      <c r="AR142" s="40">
        <v>0.33</v>
      </c>
      <c r="AS142" s="40">
        <v>0</v>
      </c>
      <c r="AT142" s="40">
        <v>0.48</v>
      </c>
      <c r="AU142" s="40">
        <v>0.53</v>
      </c>
      <c r="AV142" s="40">
        <v>0.56999999999999995</v>
      </c>
      <c r="AW142" s="247">
        <v>50</v>
      </c>
      <c r="AX142" s="247" t="s">
        <v>874</v>
      </c>
      <c r="AY142" s="247">
        <v>10</v>
      </c>
      <c r="AZ142" s="247" t="s">
        <v>874</v>
      </c>
      <c r="BA142" s="264">
        <v>0.14000000000000001</v>
      </c>
      <c r="BB142" s="264">
        <v>0.28999999999999998</v>
      </c>
      <c r="BC142" s="264">
        <v>0.56999999999999995</v>
      </c>
      <c r="BD142" s="264">
        <v>0</v>
      </c>
      <c r="BE142" s="264">
        <v>0.34</v>
      </c>
      <c r="BF142" s="264">
        <v>0.55000000000000004</v>
      </c>
      <c r="BG142" s="264">
        <v>0.47</v>
      </c>
      <c r="BH142" s="311">
        <v>52</v>
      </c>
      <c r="BI142" s="311" t="s">
        <v>874</v>
      </c>
      <c r="BJ142" s="311">
        <v>8</v>
      </c>
      <c r="BK142" s="311" t="s">
        <v>874</v>
      </c>
      <c r="BL142" s="466"/>
      <c r="BM142" s="466"/>
      <c r="BN142" s="466"/>
      <c r="BO142" s="329">
        <v>0.05</v>
      </c>
      <c r="BP142" s="329">
        <v>0.33</v>
      </c>
      <c r="BQ142" s="329">
        <v>0.62</v>
      </c>
      <c r="BR142" s="329">
        <v>0</v>
      </c>
      <c r="BS142" s="329">
        <v>0.57999999999999996</v>
      </c>
      <c r="BT142" s="329">
        <v>0.6</v>
      </c>
      <c r="BU142" s="480"/>
      <c r="BV142" s="480"/>
      <c r="BW142" s="480"/>
      <c r="BX142" s="329">
        <v>0.37</v>
      </c>
      <c r="BY142" s="426">
        <v>46</v>
      </c>
      <c r="BZ142" s="426" t="s">
        <v>874</v>
      </c>
      <c r="CA142" s="426">
        <v>10</v>
      </c>
      <c r="CB142" s="426" t="s">
        <v>874</v>
      </c>
      <c r="CC142" s="430">
        <v>0.16</v>
      </c>
      <c r="CD142" s="430">
        <v>0.47</v>
      </c>
      <c r="CE142" s="430">
        <v>0.37</v>
      </c>
      <c r="CF142" s="430">
        <v>0</v>
      </c>
      <c r="CG142" s="430">
        <v>0.7</v>
      </c>
      <c r="CH142" s="430">
        <v>0.5</v>
      </c>
      <c r="CI142" s="430">
        <v>0.67</v>
      </c>
      <c r="CJ142" s="466">
        <v>49</v>
      </c>
      <c r="CK142" s="466" t="s">
        <v>874</v>
      </c>
      <c r="CL142" s="466">
        <v>6</v>
      </c>
      <c r="CM142" s="466" t="s">
        <v>876</v>
      </c>
      <c r="CN142" s="480">
        <v>0</v>
      </c>
      <c r="CO142" s="480">
        <v>0.5</v>
      </c>
      <c r="CP142" s="480">
        <v>0.5</v>
      </c>
      <c r="CQ142" s="480">
        <v>0</v>
      </c>
      <c r="CR142" s="480">
        <v>0.52</v>
      </c>
      <c r="CS142" s="480">
        <v>0.68</v>
      </c>
      <c r="CT142" s="480">
        <v>0.52</v>
      </c>
    </row>
    <row r="143" spans="1:98" ht="24.95" customHeight="1" x14ac:dyDescent="0.2">
      <c r="A143" s="814" t="s">
        <v>144</v>
      </c>
      <c r="B143" s="1" t="s">
        <v>221</v>
      </c>
      <c r="C143" s="12">
        <v>2</v>
      </c>
      <c r="D143" s="12">
        <v>49</v>
      </c>
      <c r="E143" s="12">
        <v>10</v>
      </c>
      <c r="F143" s="66">
        <v>0.12</v>
      </c>
      <c r="G143" s="66">
        <v>0.48</v>
      </c>
      <c r="H143" s="66">
        <v>0.4</v>
      </c>
      <c r="I143" s="66">
        <v>0</v>
      </c>
      <c r="J143" s="66">
        <v>0.57999999999999996</v>
      </c>
      <c r="K143" s="66">
        <v>0.57999999999999996</v>
      </c>
      <c r="L143" s="66">
        <v>0.57999999999999996</v>
      </c>
      <c r="M143" s="12">
        <v>56</v>
      </c>
      <c r="N143" s="12">
        <v>9</v>
      </c>
      <c r="O143" s="40">
        <v>0.05</v>
      </c>
      <c r="P143" s="40">
        <v>0.23</v>
      </c>
      <c r="Q143" s="40">
        <v>0.69</v>
      </c>
      <c r="R143" s="40">
        <v>0.03</v>
      </c>
      <c r="S143" s="40">
        <v>0.42</v>
      </c>
      <c r="T143" s="40">
        <v>0.47</v>
      </c>
      <c r="U143" s="40">
        <v>0.32</v>
      </c>
      <c r="V143" s="12">
        <v>54</v>
      </c>
      <c r="W143" s="12">
        <v>10</v>
      </c>
      <c r="X143" s="66">
        <v>0.04</v>
      </c>
      <c r="Y143" s="66">
        <v>0.35</v>
      </c>
      <c r="Z143" s="66">
        <v>0.55000000000000004</v>
      </c>
      <c r="AA143" s="66">
        <v>0.06</v>
      </c>
      <c r="AB143" s="66">
        <v>0.45</v>
      </c>
      <c r="AC143" s="66">
        <v>0.37</v>
      </c>
      <c r="AD143" s="66">
        <v>0.48</v>
      </c>
      <c r="AE143" s="12">
        <v>55</v>
      </c>
      <c r="AF143" s="12">
        <v>9</v>
      </c>
      <c r="AG143" s="66">
        <v>0.02</v>
      </c>
      <c r="AH143" s="66">
        <v>0.18</v>
      </c>
      <c r="AI143" s="66">
        <v>0.77</v>
      </c>
      <c r="AJ143" s="66">
        <v>0.02</v>
      </c>
      <c r="AK143" s="66">
        <v>0.46</v>
      </c>
      <c r="AL143" s="66">
        <v>0.45</v>
      </c>
      <c r="AM143" s="66">
        <v>0.28000000000000003</v>
      </c>
      <c r="AN143" s="35">
        <v>58</v>
      </c>
      <c r="AO143" s="35">
        <v>10</v>
      </c>
      <c r="AP143" s="40">
        <v>0.02</v>
      </c>
      <c r="AQ143" s="40">
        <v>0.21</v>
      </c>
      <c r="AR143" s="40">
        <v>0.68</v>
      </c>
      <c r="AS143" s="40">
        <v>0.09</v>
      </c>
      <c r="AT143" s="40">
        <v>0.22</v>
      </c>
      <c r="AU143" s="40">
        <v>0.4</v>
      </c>
      <c r="AV143" s="40">
        <v>0.43</v>
      </c>
      <c r="AW143" s="247">
        <v>56</v>
      </c>
      <c r="AX143" s="247" t="s">
        <v>874</v>
      </c>
      <c r="AY143" s="247">
        <v>9</v>
      </c>
      <c r="AZ143" s="247" t="s">
        <v>874</v>
      </c>
      <c r="BA143" s="264">
        <v>0.02</v>
      </c>
      <c r="BB143" s="264">
        <v>0.24</v>
      </c>
      <c r="BC143" s="264">
        <v>0.73</v>
      </c>
      <c r="BD143" s="264">
        <v>0.02</v>
      </c>
      <c r="BE143" s="264">
        <v>0.26</v>
      </c>
      <c r="BF143" s="264">
        <v>0.44</v>
      </c>
      <c r="BG143" s="264">
        <v>0.4</v>
      </c>
      <c r="BH143" s="311">
        <v>54</v>
      </c>
      <c r="BI143" s="311" t="s">
        <v>874</v>
      </c>
      <c r="BJ143" s="311">
        <v>10</v>
      </c>
      <c r="BK143" s="311" t="s">
        <v>874</v>
      </c>
      <c r="BL143" s="466"/>
      <c r="BM143" s="466"/>
      <c r="BN143" s="466"/>
      <c r="BO143" s="329">
        <v>0.03</v>
      </c>
      <c r="BP143" s="329">
        <v>0.32</v>
      </c>
      <c r="BQ143" s="329">
        <v>0.61</v>
      </c>
      <c r="BR143" s="329">
        <v>0.04</v>
      </c>
      <c r="BS143" s="329">
        <v>0.47</v>
      </c>
      <c r="BT143" s="329">
        <v>0.59</v>
      </c>
      <c r="BU143" s="480"/>
      <c r="BV143" s="480"/>
      <c r="BW143" s="480"/>
      <c r="BX143" s="329">
        <v>0.36</v>
      </c>
      <c r="BY143" s="426">
        <v>54</v>
      </c>
      <c r="BZ143" s="426" t="s">
        <v>874</v>
      </c>
      <c r="CA143" s="426">
        <v>9</v>
      </c>
      <c r="CB143" s="426" t="s">
        <v>874</v>
      </c>
      <c r="CC143" s="430">
        <v>0.02</v>
      </c>
      <c r="CD143" s="430">
        <v>0.31</v>
      </c>
      <c r="CE143" s="430">
        <v>0.63</v>
      </c>
      <c r="CF143" s="430">
        <v>0.04</v>
      </c>
      <c r="CG143" s="430">
        <v>0.57999999999999996</v>
      </c>
      <c r="CH143" s="430">
        <v>0.34</v>
      </c>
      <c r="CI143" s="430">
        <v>0.57999999999999996</v>
      </c>
      <c r="CJ143" s="466">
        <v>56</v>
      </c>
      <c r="CK143" s="466" t="s">
        <v>874</v>
      </c>
      <c r="CL143" s="466">
        <v>10</v>
      </c>
      <c r="CM143" s="466" t="s">
        <v>874</v>
      </c>
      <c r="CN143" s="480">
        <v>0.03</v>
      </c>
      <c r="CO143" s="480">
        <v>0.24</v>
      </c>
      <c r="CP143" s="480">
        <v>0.66</v>
      </c>
      <c r="CQ143" s="480">
        <v>7.0000000000000007E-2</v>
      </c>
      <c r="CR143" s="480">
        <v>0.52</v>
      </c>
      <c r="CS143" s="480">
        <v>0.48</v>
      </c>
      <c r="CT143" s="480">
        <v>0.36</v>
      </c>
    </row>
    <row r="144" spans="1:98" ht="24.95" customHeight="1" x14ac:dyDescent="0.2">
      <c r="A144" s="814" t="s">
        <v>209</v>
      </c>
      <c r="B144" s="1" t="s">
        <v>221</v>
      </c>
      <c r="C144" s="12">
        <v>1</v>
      </c>
      <c r="D144" s="12">
        <v>54</v>
      </c>
      <c r="E144" s="12">
        <v>5</v>
      </c>
      <c r="F144" s="66">
        <v>0</v>
      </c>
      <c r="G144" s="66">
        <v>0.28999999999999998</v>
      </c>
      <c r="H144" s="66">
        <v>0.71</v>
      </c>
      <c r="I144" s="66">
        <v>0</v>
      </c>
      <c r="J144" s="66">
        <v>0.5</v>
      </c>
      <c r="K144" s="66">
        <v>0.39</v>
      </c>
      <c r="L144" s="66">
        <v>0.5</v>
      </c>
      <c r="M144" s="12">
        <v>54</v>
      </c>
      <c r="N144" s="12">
        <v>9</v>
      </c>
      <c r="O144" s="40">
        <v>0</v>
      </c>
      <c r="P144" s="40">
        <v>0.38</v>
      </c>
      <c r="Q144" s="40">
        <v>0.62</v>
      </c>
      <c r="R144" s="40">
        <v>0</v>
      </c>
      <c r="S144" s="40">
        <v>0.4</v>
      </c>
      <c r="T144" s="40">
        <v>0.56999999999999995</v>
      </c>
      <c r="U144" s="40">
        <v>0.32</v>
      </c>
      <c r="V144" s="12">
        <v>53</v>
      </c>
      <c r="W144" s="12">
        <v>9</v>
      </c>
      <c r="X144" s="66">
        <v>0</v>
      </c>
      <c r="Y144" s="66">
        <v>0.5</v>
      </c>
      <c r="Z144" s="66">
        <v>0.5</v>
      </c>
      <c r="AA144" s="66">
        <v>0</v>
      </c>
      <c r="AB144" s="66">
        <v>0.48</v>
      </c>
      <c r="AC144" s="66">
        <v>0.3</v>
      </c>
      <c r="AD144" s="66">
        <v>0.56999999999999995</v>
      </c>
      <c r="AE144" s="12">
        <v>55</v>
      </c>
      <c r="AF144" s="12">
        <v>8</v>
      </c>
      <c r="AG144" s="66">
        <v>0</v>
      </c>
      <c r="AH144" s="66">
        <v>0.17</v>
      </c>
      <c r="AI144" s="66">
        <v>0.83</v>
      </c>
      <c r="AJ144" s="66">
        <v>0</v>
      </c>
      <c r="AK144" s="66">
        <v>0.45</v>
      </c>
      <c r="AL144" s="66">
        <v>0.5</v>
      </c>
      <c r="AM144" s="66">
        <v>0.25</v>
      </c>
      <c r="AN144" s="35">
        <v>54</v>
      </c>
      <c r="AO144" s="35">
        <v>11</v>
      </c>
      <c r="AP144" s="40">
        <v>0.08</v>
      </c>
      <c r="AQ144" s="40">
        <v>0.16</v>
      </c>
      <c r="AR144" s="40">
        <v>0.72</v>
      </c>
      <c r="AS144" s="40">
        <v>0.04</v>
      </c>
      <c r="AT144" s="40">
        <v>0.28999999999999998</v>
      </c>
      <c r="AU144" s="40">
        <v>0.42</v>
      </c>
      <c r="AV144" s="40">
        <v>0.52</v>
      </c>
      <c r="AW144" s="247">
        <v>53</v>
      </c>
      <c r="AX144" s="247" t="s">
        <v>874</v>
      </c>
      <c r="AY144" s="247">
        <v>8</v>
      </c>
      <c r="AZ144" s="247" t="s">
        <v>874</v>
      </c>
      <c r="BA144" s="264">
        <v>0</v>
      </c>
      <c r="BB144" s="264">
        <v>0.54</v>
      </c>
      <c r="BC144" s="264">
        <v>0.38</v>
      </c>
      <c r="BD144" s="264">
        <v>0.08</v>
      </c>
      <c r="BE144" s="264">
        <v>0.24</v>
      </c>
      <c r="BF144" s="264">
        <v>0.48</v>
      </c>
      <c r="BG144" s="264">
        <v>0.49</v>
      </c>
      <c r="BH144" s="311">
        <v>53</v>
      </c>
      <c r="BI144" s="311" t="s">
        <v>874</v>
      </c>
      <c r="BJ144" s="311">
        <v>10</v>
      </c>
      <c r="BK144" s="311" t="s">
        <v>874</v>
      </c>
      <c r="BL144" s="466"/>
      <c r="BM144" s="466"/>
      <c r="BN144" s="466"/>
      <c r="BO144" s="329">
        <v>7.0000000000000007E-2</v>
      </c>
      <c r="BP144" s="329">
        <v>0.24</v>
      </c>
      <c r="BQ144" s="329">
        <v>0.69</v>
      </c>
      <c r="BR144" s="329">
        <v>0</v>
      </c>
      <c r="BS144" s="329">
        <v>0.53</v>
      </c>
      <c r="BT144" s="329">
        <v>0.59</v>
      </c>
      <c r="BU144" s="480"/>
      <c r="BV144" s="480"/>
      <c r="BW144" s="480"/>
      <c r="BX144" s="329">
        <v>0.41</v>
      </c>
      <c r="BY144" s="426">
        <v>53</v>
      </c>
      <c r="BZ144" s="426" t="s">
        <v>874</v>
      </c>
      <c r="CA144" s="426">
        <v>8</v>
      </c>
      <c r="CB144" s="426" t="s">
        <v>874</v>
      </c>
      <c r="CC144" s="430">
        <v>0</v>
      </c>
      <c r="CD144" s="430">
        <v>0.36</v>
      </c>
      <c r="CE144" s="430">
        <v>0.62</v>
      </c>
      <c r="CF144" s="430">
        <v>0.02</v>
      </c>
      <c r="CG144" s="430">
        <v>0.61</v>
      </c>
      <c r="CH144" s="430">
        <v>0.36</v>
      </c>
      <c r="CI144" s="430">
        <v>0.56999999999999995</v>
      </c>
      <c r="CJ144" s="466">
        <v>53</v>
      </c>
      <c r="CK144" s="466" t="s">
        <v>874</v>
      </c>
      <c r="CL144" s="466">
        <v>9</v>
      </c>
      <c r="CM144" s="466" t="s">
        <v>874</v>
      </c>
      <c r="CN144" s="480">
        <v>0.06</v>
      </c>
      <c r="CO144" s="480">
        <v>0.35</v>
      </c>
      <c r="CP144" s="480">
        <v>0.55000000000000004</v>
      </c>
      <c r="CQ144" s="480">
        <v>0.04</v>
      </c>
      <c r="CR144" s="480">
        <v>0.53</v>
      </c>
      <c r="CS144" s="480">
        <v>0.51</v>
      </c>
      <c r="CT144" s="480">
        <v>0.44</v>
      </c>
    </row>
    <row r="145" spans="1:98" ht="24.95" customHeight="1" x14ac:dyDescent="0.2">
      <c r="A145" s="814" t="s">
        <v>67</v>
      </c>
      <c r="B145" s="1" t="s">
        <v>221</v>
      </c>
      <c r="C145" s="12">
        <v>1</v>
      </c>
      <c r="D145" s="12">
        <v>54</v>
      </c>
      <c r="E145" s="12">
        <v>8</v>
      </c>
      <c r="F145" s="66">
        <v>0.02</v>
      </c>
      <c r="G145" s="66">
        <v>0.31</v>
      </c>
      <c r="H145" s="66">
        <v>0.65</v>
      </c>
      <c r="I145" s="66">
        <v>0.02</v>
      </c>
      <c r="J145" s="66">
        <v>0.49</v>
      </c>
      <c r="K145" s="66">
        <v>0.41</v>
      </c>
      <c r="L145" s="66">
        <v>0.49</v>
      </c>
      <c r="M145" s="12">
        <v>56</v>
      </c>
      <c r="N145" s="12">
        <v>9</v>
      </c>
      <c r="O145" s="40">
        <v>0.01</v>
      </c>
      <c r="P145" s="40">
        <v>0.3</v>
      </c>
      <c r="Q145" s="40">
        <v>0.65</v>
      </c>
      <c r="R145" s="40">
        <v>0.04</v>
      </c>
      <c r="S145" s="40">
        <v>0.44</v>
      </c>
      <c r="T145" s="40">
        <v>0.49</v>
      </c>
      <c r="U145" s="40">
        <v>0.3</v>
      </c>
      <c r="V145" s="12">
        <v>53</v>
      </c>
      <c r="W145" s="12">
        <v>8</v>
      </c>
      <c r="X145" s="66">
        <v>0</v>
      </c>
      <c r="Y145" s="66">
        <v>0.34</v>
      </c>
      <c r="Z145" s="66">
        <v>0.65</v>
      </c>
      <c r="AA145" s="66">
        <v>0.01</v>
      </c>
      <c r="AB145" s="66">
        <v>0.49</v>
      </c>
      <c r="AC145" s="66">
        <v>0.36</v>
      </c>
      <c r="AD145" s="66">
        <v>0.49</v>
      </c>
      <c r="AE145" s="12">
        <v>55</v>
      </c>
      <c r="AF145" s="12">
        <v>8</v>
      </c>
      <c r="AG145" s="66">
        <v>0.02</v>
      </c>
      <c r="AH145" s="66">
        <v>0.22</v>
      </c>
      <c r="AI145" s="66">
        <v>0.75</v>
      </c>
      <c r="AJ145" s="66">
        <v>0.02</v>
      </c>
      <c r="AK145" s="66">
        <v>0.49</v>
      </c>
      <c r="AL145" s="66">
        <v>0.4</v>
      </c>
      <c r="AM145" s="66">
        <v>0.24</v>
      </c>
      <c r="AN145" s="35">
        <v>58</v>
      </c>
      <c r="AO145" s="35">
        <v>9</v>
      </c>
      <c r="AP145" s="40">
        <v>0</v>
      </c>
      <c r="AQ145" s="40">
        <v>0.18</v>
      </c>
      <c r="AR145" s="40">
        <v>0.75</v>
      </c>
      <c r="AS145" s="40">
        <v>7.0000000000000007E-2</v>
      </c>
      <c r="AT145" s="40">
        <v>0.2</v>
      </c>
      <c r="AU145" s="40">
        <v>0.41</v>
      </c>
      <c r="AV145" s="40">
        <v>0.39</v>
      </c>
      <c r="AW145" s="247">
        <v>56</v>
      </c>
      <c r="AX145" s="247" t="s">
        <v>874</v>
      </c>
      <c r="AY145" s="247">
        <v>10</v>
      </c>
      <c r="AZ145" s="247" t="s">
        <v>874</v>
      </c>
      <c r="BA145" s="264">
        <v>0.02</v>
      </c>
      <c r="BB145" s="264">
        <v>0.27</v>
      </c>
      <c r="BC145" s="264">
        <v>0.64</v>
      </c>
      <c r="BD145" s="264">
        <v>0.08</v>
      </c>
      <c r="BE145" s="264">
        <v>0.24</v>
      </c>
      <c r="BF145" s="264">
        <v>0.44</v>
      </c>
      <c r="BG145" s="264">
        <v>0.41</v>
      </c>
      <c r="BH145" s="311">
        <v>59</v>
      </c>
      <c r="BI145" s="311" t="s">
        <v>874</v>
      </c>
      <c r="BJ145" s="311">
        <v>10</v>
      </c>
      <c r="BK145" s="311" t="s">
        <v>874</v>
      </c>
      <c r="BL145" s="466"/>
      <c r="BM145" s="466"/>
      <c r="BN145" s="466"/>
      <c r="BO145" s="329">
        <v>0.01</v>
      </c>
      <c r="BP145" s="329">
        <v>0.19</v>
      </c>
      <c r="BQ145" s="329">
        <v>0.72</v>
      </c>
      <c r="BR145" s="329">
        <v>0.08</v>
      </c>
      <c r="BS145" s="329">
        <v>0.37</v>
      </c>
      <c r="BT145" s="329">
        <v>0.44</v>
      </c>
      <c r="BU145" s="480"/>
      <c r="BV145" s="480"/>
      <c r="BW145" s="480"/>
      <c r="BX145" s="329">
        <v>0.3</v>
      </c>
      <c r="BY145" s="426">
        <v>60</v>
      </c>
      <c r="BZ145" s="426" t="s">
        <v>874</v>
      </c>
      <c r="CA145" s="426">
        <v>10</v>
      </c>
      <c r="CB145" s="426" t="s">
        <v>874</v>
      </c>
      <c r="CC145" s="430">
        <v>0.01</v>
      </c>
      <c r="CD145" s="430">
        <v>0.16</v>
      </c>
      <c r="CE145" s="430">
        <v>0.75</v>
      </c>
      <c r="CF145" s="430">
        <v>0.09</v>
      </c>
      <c r="CG145" s="430">
        <v>0.51</v>
      </c>
      <c r="CH145" s="430">
        <v>0.25</v>
      </c>
      <c r="CI145" s="430">
        <v>0.43</v>
      </c>
      <c r="CJ145" s="466">
        <v>57</v>
      </c>
      <c r="CK145" s="466" t="s">
        <v>874</v>
      </c>
      <c r="CL145" s="466">
        <v>11</v>
      </c>
      <c r="CM145" s="466" t="s">
        <v>874</v>
      </c>
      <c r="CN145" s="480">
        <v>0.05</v>
      </c>
      <c r="CO145" s="480">
        <v>0.18</v>
      </c>
      <c r="CP145" s="480">
        <v>0.73</v>
      </c>
      <c r="CQ145" s="480">
        <v>0.04</v>
      </c>
      <c r="CR145" s="480">
        <v>0.47</v>
      </c>
      <c r="CS145" s="480">
        <v>0.42</v>
      </c>
      <c r="CT145" s="480">
        <v>0.35</v>
      </c>
    </row>
    <row r="146" spans="1:98" ht="24.95" customHeight="1" x14ac:dyDescent="0.2">
      <c r="A146" s="814" t="s">
        <v>892</v>
      </c>
      <c r="B146" s="1" t="s">
        <v>221</v>
      </c>
      <c r="C146" s="12">
        <v>6</v>
      </c>
      <c r="D146" s="12"/>
      <c r="E146" s="12"/>
      <c r="F146" s="66"/>
      <c r="G146" s="66"/>
      <c r="H146" s="66"/>
      <c r="I146" s="66"/>
      <c r="J146" s="66"/>
      <c r="K146" s="66"/>
      <c r="L146" s="66"/>
      <c r="M146" s="12"/>
      <c r="N146" s="12"/>
      <c r="O146" s="40"/>
      <c r="P146" s="40"/>
      <c r="Q146" s="40"/>
      <c r="R146" s="40"/>
      <c r="S146" s="40"/>
      <c r="T146" s="40"/>
      <c r="U146" s="40"/>
      <c r="V146" s="12"/>
      <c r="W146" s="12"/>
      <c r="X146" s="66"/>
      <c r="Y146" s="66"/>
      <c r="Z146" s="66"/>
      <c r="AA146" s="66"/>
      <c r="AB146" s="66"/>
      <c r="AC146" s="66"/>
      <c r="AD146" s="66"/>
      <c r="AE146" s="12"/>
      <c r="AF146" s="12"/>
      <c r="AG146" s="66"/>
      <c r="AH146" s="66"/>
      <c r="AI146" s="66"/>
      <c r="AJ146" s="66"/>
      <c r="AK146" s="66"/>
      <c r="AL146" s="66"/>
      <c r="AM146" s="66"/>
      <c r="AN146" s="35"/>
      <c r="AO146" s="35"/>
      <c r="AP146" s="40"/>
      <c r="AQ146" s="40"/>
      <c r="AR146" s="40"/>
      <c r="AS146" s="40"/>
      <c r="AT146" s="40"/>
      <c r="AU146" s="40"/>
      <c r="AV146" s="40"/>
      <c r="AW146" s="247"/>
      <c r="AX146" s="247"/>
      <c r="AY146" s="247"/>
      <c r="AZ146" s="247"/>
      <c r="BA146" s="264"/>
      <c r="BB146" s="264"/>
      <c r="BC146" s="264"/>
      <c r="BD146" s="264"/>
      <c r="BE146" s="264"/>
      <c r="BF146" s="264"/>
      <c r="BG146" s="264"/>
      <c r="BH146" s="311">
        <v>46</v>
      </c>
      <c r="BI146" s="311" t="s">
        <v>874</v>
      </c>
      <c r="BJ146" s="311">
        <v>10</v>
      </c>
      <c r="BK146" s="311" t="s">
        <v>874</v>
      </c>
      <c r="BL146" s="466"/>
      <c r="BM146" s="466"/>
      <c r="BN146" s="466"/>
      <c r="BO146" s="329">
        <v>0.28999999999999998</v>
      </c>
      <c r="BP146" s="329">
        <v>0.28999999999999998</v>
      </c>
      <c r="BQ146" s="329">
        <v>0.43</v>
      </c>
      <c r="BR146" s="329">
        <v>0</v>
      </c>
      <c r="BS146" s="329">
        <v>0.72</v>
      </c>
      <c r="BT146" s="329">
        <v>0.63</v>
      </c>
      <c r="BU146" s="480"/>
      <c r="BV146" s="480"/>
      <c r="BW146" s="480"/>
      <c r="BX146" s="329">
        <v>0.61</v>
      </c>
      <c r="BY146" s="426">
        <v>42</v>
      </c>
      <c r="BZ146" s="426" t="s">
        <v>876</v>
      </c>
      <c r="CA146" s="426">
        <v>9</v>
      </c>
      <c r="CB146" s="426" t="s">
        <v>874</v>
      </c>
      <c r="CC146" s="430">
        <v>0.17</v>
      </c>
      <c r="CD146" s="430">
        <v>0.5</v>
      </c>
      <c r="CE146" s="430">
        <v>0.33</v>
      </c>
      <c r="CF146" s="430">
        <v>0</v>
      </c>
      <c r="CG146" s="430">
        <v>0.79</v>
      </c>
      <c r="CH146" s="430">
        <v>0.54</v>
      </c>
      <c r="CI146" s="430">
        <v>0.65</v>
      </c>
      <c r="CJ146" s="466">
        <v>43</v>
      </c>
      <c r="CK146" s="466" t="s">
        <v>876</v>
      </c>
      <c r="CL146" s="466">
        <v>3</v>
      </c>
      <c r="CM146" s="466" t="s">
        <v>876</v>
      </c>
      <c r="CN146" s="480">
        <v>0</v>
      </c>
      <c r="CO146" s="480">
        <v>1</v>
      </c>
      <c r="CP146" s="480">
        <v>0</v>
      </c>
      <c r="CQ146" s="480">
        <v>0</v>
      </c>
      <c r="CR146" s="480">
        <v>0.56000000000000005</v>
      </c>
      <c r="CS146" s="480">
        <v>0.75</v>
      </c>
      <c r="CT146" s="480">
        <v>0.5</v>
      </c>
    </row>
    <row r="147" spans="1:98" ht="24.95" customHeight="1" x14ac:dyDescent="0.2">
      <c r="A147" s="815" t="s">
        <v>31</v>
      </c>
      <c r="B147" s="1" t="s">
        <v>221</v>
      </c>
      <c r="C147" s="330">
        <v>6</v>
      </c>
      <c r="D147" s="330">
        <v>55</v>
      </c>
      <c r="E147" s="330">
        <v>10</v>
      </c>
      <c r="F147" s="335">
        <v>0</v>
      </c>
      <c r="G147" s="335">
        <v>0.45</v>
      </c>
      <c r="H147" s="335">
        <v>0.55000000000000004</v>
      </c>
      <c r="I147" s="335">
        <v>0</v>
      </c>
      <c r="J147" s="335">
        <v>0.47</v>
      </c>
      <c r="K147" s="335">
        <v>0.41</v>
      </c>
      <c r="L147" s="335">
        <v>0.5</v>
      </c>
      <c r="M147" s="330">
        <v>46</v>
      </c>
      <c r="N147" s="330">
        <v>10</v>
      </c>
      <c r="O147" s="333">
        <v>0.17</v>
      </c>
      <c r="P147" s="333">
        <v>0.57999999999999996</v>
      </c>
      <c r="Q147" s="333">
        <v>0.25</v>
      </c>
      <c r="R147" s="333">
        <v>0</v>
      </c>
      <c r="S147" s="333">
        <v>0.62</v>
      </c>
      <c r="T147" s="333">
        <v>0.65</v>
      </c>
      <c r="U147" s="333">
        <v>0.44</v>
      </c>
      <c r="V147" s="330">
        <v>51</v>
      </c>
      <c r="W147" s="330">
        <v>13</v>
      </c>
      <c r="X147" s="335">
        <v>0.13</v>
      </c>
      <c r="Y147" s="335">
        <v>0.38</v>
      </c>
      <c r="Z147" s="335">
        <v>0.5</v>
      </c>
      <c r="AA147" s="335">
        <v>0</v>
      </c>
      <c r="AB147" s="335">
        <v>0.52</v>
      </c>
      <c r="AC147" s="335">
        <v>0.39</v>
      </c>
      <c r="AD147" s="335">
        <v>0.53</v>
      </c>
      <c r="AE147" s="330">
        <v>52</v>
      </c>
      <c r="AF147" s="330">
        <v>11</v>
      </c>
      <c r="AG147" s="335">
        <v>0</v>
      </c>
      <c r="AH147" s="335">
        <v>0.5</v>
      </c>
      <c r="AI147" s="335">
        <v>0.5</v>
      </c>
      <c r="AJ147" s="335">
        <v>0</v>
      </c>
      <c r="AK147" s="335">
        <v>0.61</v>
      </c>
      <c r="AL147" s="335">
        <v>0.49</v>
      </c>
      <c r="AM147" s="335">
        <v>0.37</v>
      </c>
      <c r="AN147" s="313">
        <v>53</v>
      </c>
      <c r="AO147" s="313">
        <v>5</v>
      </c>
      <c r="AP147" s="333">
        <v>0</v>
      </c>
      <c r="AQ147" s="333">
        <v>0.25</v>
      </c>
      <c r="AR147" s="333">
        <v>0.75</v>
      </c>
      <c r="AS147" s="333">
        <v>0</v>
      </c>
      <c r="AT147" s="333">
        <v>0.21</v>
      </c>
      <c r="AU147" s="333">
        <v>0.57999999999999996</v>
      </c>
      <c r="AV147" s="333">
        <v>0.37</v>
      </c>
      <c r="AW147" s="314">
        <v>55</v>
      </c>
      <c r="AX147" s="314" t="s">
        <v>874</v>
      </c>
      <c r="AY147" s="314">
        <v>10</v>
      </c>
      <c r="AZ147" s="314" t="s">
        <v>874</v>
      </c>
      <c r="BA147" s="334">
        <v>0</v>
      </c>
      <c r="BB147" s="334">
        <v>0.4</v>
      </c>
      <c r="BC147" s="334">
        <v>0.4</v>
      </c>
      <c r="BD147" s="334">
        <v>0.2</v>
      </c>
      <c r="BE147" s="334">
        <v>0.23</v>
      </c>
      <c r="BF147" s="334">
        <v>0.44</v>
      </c>
      <c r="BG147" s="334">
        <v>0.46</v>
      </c>
      <c r="BH147" s="311">
        <v>48</v>
      </c>
      <c r="BI147" s="311" t="s">
        <v>874</v>
      </c>
      <c r="BJ147" s="311">
        <v>7</v>
      </c>
      <c r="BK147" s="311" t="s">
        <v>874</v>
      </c>
      <c r="BL147" s="466"/>
      <c r="BM147" s="466"/>
      <c r="BN147" s="466"/>
      <c r="BO147" s="329">
        <v>0</v>
      </c>
      <c r="BP147" s="329">
        <v>0.7</v>
      </c>
      <c r="BQ147" s="329">
        <v>0.3</v>
      </c>
      <c r="BR147" s="329">
        <v>0</v>
      </c>
      <c r="BS147" s="329">
        <v>0.56999999999999995</v>
      </c>
      <c r="BT147" s="329">
        <v>0.64</v>
      </c>
      <c r="BU147" s="480"/>
      <c r="BV147" s="480"/>
      <c r="BW147" s="480"/>
      <c r="BX147" s="329">
        <v>0.55000000000000004</v>
      </c>
      <c r="BY147" s="426">
        <v>53</v>
      </c>
      <c r="BZ147" s="426" t="s">
        <v>874</v>
      </c>
      <c r="CA147" s="426">
        <v>6</v>
      </c>
      <c r="CB147" s="426" t="s">
        <v>876</v>
      </c>
      <c r="CC147" s="430">
        <v>0</v>
      </c>
      <c r="CD147" s="430">
        <v>0.28999999999999998</v>
      </c>
      <c r="CE147" s="430">
        <v>0.71</v>
      </c>
      <c r="CF147" s="430">
        <v>0</v>
      </c>
      <c r="CG147" s="430">
        <v>0.61</v>
      </c>
      <c r="CH147" s="430">
        <v>0.21</v>
      </c>
      <c r="CI147" s="430">
        <v>0.56999999999999995</v>
      </c>
      <c r="CJ147" s="466">
        <v>49</v>
      </c>
      <c r="CK147" s="466" t="s">
        <v>874</v>
      </c>
      <c r="CL147" s="466">
        <v>9</v>
      </c>
      <c r="CM147" s="466" t="s">
        <v>874</v>
      </c>
      <c r="CN147" s="480">
        <v>0.1</v>
      </c>
      <c r="CO147" s="480">
        <v>0.3</v>
      </c>
      <c r="CP147" s="480">
        <v>0.6</v>
      </c>
      <c r="CQ147" s="480">
        <v>0</v>
      </c>
      <c r="CR147" s="480">
        <v>0.76</v>
      </c>
      <c r="CS147" s="480">
        <v>0.5</v>
      </c>
      <c r="CT147" s="480">
        <v>0.6</v>
      </c>
    </row>
    <row r="148" spans="1:98" ht="24.95" customHeight="1" x14ac:dyDescent="0.2">
      <c r="A148" s="814" t="s">
        <v>54</v>
      </c>
      <c r="B148" s="1" t="s">
        <v>221</v>
      </c>
      <c r="C148" s="12">
        <v>6</v>
      </c>
      <c r="D148" s="12">
        <v>59</v>
      </c>
      <c r="E148" s="12">
        <v>7</v>
      </c>
      <c r="F148" s="66">
        <v>0</v>
      </c>
      <c r="G148" s="66">
        <v>0.14000000000000001</v>
      </c>
      <c r="H148" s="66">
        <v>0.83</v>
      </c>
      <c r="I148" s="66">
        <v>0.03</v>
      </c>
      <c r="J148" s="66">
        <v>0.43</v>
      </c>
      <c r="K148" s="66">
        <v>0.28000000000000003</v>
      </c>
      <c r="L148" s="66">
        <v>0.38</v>
      </c>
      <c r="M148" s="12">
        <v>61</v>
      </c>
      <c r="N148" s="12">
        <v>9</v>
      </c>
      <c r="O148" s="40">
        <v>0</v>
      </c>
      <c r="P148" s="40">
        <v>0.14000000000000001</v>
      </c>
      <c r="Q148" s="40">
        <v>0.74</v>
      </c>
      <c r="R148" s="40">
        <v>0.11</v>
      </c>
      <c r="S148" s="40">
        <v>0.38</v>
      </c>
      <c r="T148" s="40">
        <v>0.41</v>
      </c>
      <c r="U148" s="40">
        <v>0.23</v>
      </c>
      <c r="V148" s="12">
        <v>59</v>
      </c>
      <c r="W148" s="12">
        <v>6</v>
      </c>
      <c r="X148" s="66">
        <v>0</v>
      </c>
      <c r="Y148" s="66">
        <v>0.04</v>
      </c>
      <c r="Z148" s="66">
        <v>0.92</v>
      </c>
      <c r="AA148" s="66">
        <v>0.04</v>
      </c>
      <c r="AB148" s="66">
        <v>0.39</v>
      </c>
      <c r="AC148" s="66">
        <v>0.27</v>
      </c>
      <c r="AD148" s="66">
        <v>0.44</v>
      </c>
      <c r="AE148" s="12">
        <v>60</v>
      </c>
      <c r="AF148" s="12">
        <v>9</v>
      </c>
      <c r="AG148" s="66">
        <v>0</v>
      </c>
      <c r="AH148" s="66">
        <v>0.13</v>
      </c>
      <c r="AI148" s="66">
        <v>0.77</v>
      </c>
      <c r="AJ148" s="66">
        <v>0.1</v>
      </c>
      <c r="AK148" s="66">
        <v>0.38</v>
      </c>
      <c r="AL148" s="66">
        <v>0.35</v>
      </c>
      <c r="AM148" s="66">
        <v>0.21</v>
      </c>
      <c r="AN148" s="35">
        <v>59</v>
      </c>
      <c r="AO148" s="35">
        <v>12</v>
      </c>
      <c r="AP148" s="40">
        <v>0</v>
      </c>
      <c r="AQ148" s="40">
        <v>0.24</v>
      </c>
      <c r="AR148" s="40">
        <v>0.64</v>
      </c>
      <c r="AS148" s="40">
        <v>0.12</v>
      </c>
      <c r="AT148" s="40">
        <v>0.21</v>
      </c>
      <c r="AU148" s="40">
        <v>0.4</v>
      </c>
      <c r="AV148" s="40">
        <v>0.39</v>
      </c>
      <c r="AW148" s="247">
        <v>58</v>
      </c>
      <c r="AX148" s="247" t="s">
        <v>874</v>
      </c>
      <c r="AY148" s="247">
        <v>8</v>
      </c>
      <c r="AZ148" s="247" t="s">
        <v>874</v>
      </c>
      <c r="BA148" s="264">
        <v>0</v>
      </c>
      <c r="BB148" s="264">
        <v>0.19</v>
      </c>
      <c r="BC148" s="264">
        <v>0.74</v>
      </c>
      <c r="BD148" s="264">
        <v>0.06</v>
      </c>
      <c r="BE148" s="264">
        <v>0.19</v>
      </c>
      <c r="BF148" s="264">
        <v>0.41</v>
      </c>
      <c r="BG148" s="264">
        <v>0.37</v>
      </c>
      <c r="BH148" s="311">
        <v>60</v>
      </c>
      <c r="BI148" s="311" t="s">
        <v>874</v>
      </c>
      <c r="BJ148" s="311">
        <v>9</v>
      </c>
      <c r="BK148" s="311" t="s">
        <v>874</v>
      </c>
      <c r="BL148" s="466"/>
      <c r="BM148" s="466"/>
      <c r="BN148" s="466"/>
      <c r="BO148" s="329">
        <v>0</v>
      </c>
      <c r="BP148" s="329">
        <v>0.12</v>
      </c>
      <c r="BQ148" s="329">
        <v>0.81</v>
      </c>
      <c r="BR148" s="329">
        <v>0.08</v>
      </c>
      <c r="BS148" s="329">
        <v>0.42</v>
      </c>
      <c r="BT148" s="329">
        <v>0.43</v>
      </c>
      <c r="BU148" s="480"/>
      <c r="BV148" s="480"/>
      <c r="BW148" s="480"/>
      <c r="BX148" s="329">
        <v>0.3</v>
      </c>
      <c r="BY148" s="426">
        <v>62</v>
      </c>
      <c r="BZ148" s="426" t="s">
        <v>875</v>
      </c>
      <c r="CA148" s="426">
        <v>8</v>
      </c>
      <c r="CB148" s="426" t="s">
        <v>874</v>
      </c>
      <c r="CC148" s="430">
        <v>0</v>
      </c>
      <c r="CD148" s="430">
        <v>0</v>
      </c>
      <c r="CE148" s="430">
        <v>0.74</v>
      </c>
      <c r="CF148" s="430">
        <v>0.26</v>
      </c>
      <c r="CG148" s="430">
        <v>0.41</v>
      </c>
      <c r="CH148" s="430">
        <v>0.25</v>
      </c>
      <c r="CI148" s="430">
        <v>0.41</v>
      </c>
      <c r="CJ148" s="466">
        <v>60</v>
      </c>
      <c r="CK148" s="466" t="s">
        <v>874</v>
      </c>
      <c r="CL148" s="466">
        <v>8</v>
      </c>
      <c r="CM148" s="466" t="s">
        <v>874</v>
      </c>
      <c r="CN148" s="480">
        <v>0</v>
      </c>
      <c r="CO148" s="480">
        <v>0.19</v>
      </c>
      <c r="CP148" s="480">
        <v>0.71</v>
      </c>
      <c r="CQ148" s="480">
        <v>0.1</v>
      </c>
      <c r="CR148" s="480">
        <v>0.49</v>
      </c>
      <c r="CS148" s="480">
        <v>0.42</v>
      </c>
      <c r="CT148" s="480">
        <v>0.32</v>
      </c>
    </row>
    <row r="149" spans="1:98" ht="24.95" customHeight="1" x14ac:dyDescent="0.2">
      <c r="A149" s="814" t="s">
        <v>844</v>
      </c>
      <c r="B149" s="1" t="s">
        <v>221</v>
      </c>
      <c r="C149" s="12">
        <v>4</v>
      </c>
      <c r="D149" s="12"/>
      <c r="E149" s="12"/>
      <c r="F149" s="66"/>
      <c r="G149" s="66"/>
      <c r="H149" s="66"/>
      <c r="I149" s="66"/>
      <c r="J149" s="66"/>
      <c r="K149" s="66"/>
      <c r="L149" s="66"/>
      <c r="M149" s="12"/>
      <c r="N149" s="12"/>
      <c r="O149" s="40"/>
      <c r="P149" s="40"/>
      <c r="Q149" s="40"/>
      <c r="R149" s="40"/>
      <c r="S149" s="40"/>
      <c r="T149" s="40"/>
      <c r="U149" s="40"/>
      <c r="V149" s="12"/>
      <c r="W149" s="12"/>
      <c r="X149" s="66"/>
      <c r="Y149" s="66"/>
      <c r="Z149" s="66"/>
      <c r="AA149" s="66"/>
      <c r="AB149" s="66"/>
      <c r="AC149" s="66"/>
      <c r="AD149" s="66"/>
      <c r="AE149" s="12"/>
      <c r="AF149" s="12"/>
      <c r="AG149" s="66"/>
      <c r="AH149" s="66"/>
      <c r="AI149" s="66"/>
      <c r="AJ149" s="66"/>
      <c r="AK149" s="66"/>
      <c r="AL149" s="66"/>
      <c r="AM149" s="66"/>
      <c r="AN149" s="35"/>
      <c r="AO149" s="35"/>
      <c r="AP149" s="40"/>
      <c r="AQ149" s="40"/>
      <c r="AR149" s="40"/>
      <c r="AS149" s="40"/>
      <c r="AT149" s="40"/>
      <c r="AU149" s="40"/>
      <c r="AV149" s="40"/>
      <c r="AW149" s="652"/>
      <c r="AX149" s="652"/>
      <c r="AY149" s="652"/>
      <c r="AZ149" s="652"/>
      <c r="BA149" s="652"/>
      <c r="BB149" s="652"/>
      <c r="BC149" s="652"/>
      <c r="BD149" s="652"/>
      <c r="BE149" s="652"/>
      <c r="BF149" s="652"/>
      <c r="BG149" s="652"/>
      <c r="BH149" s="655"/>
      <c r="BI149" s="655"/>
      <c r="BJ149" s="655"/>
      <c r="BK149" s="655"/>
      <c r="BL149" s="656"/>
      <c r="BM149" s="656"/>
      <c r="BN149" s="656"/>
      <c r="BO149" s="655"/>
      <c r="BP149" s="655"/>
      <c r="BQ149" s="655"/>
      <c r="BR149" s="655"/>
      <c r="BS149" s="655"/>
      <c r="BT149" s="655"/>
      <c r="BU149" s="656"/>
      <c r="BV149" s="656"/>
      <c r="BW149" s="656"/>
      <c r="BX149" s="655"/>
      <c r="BY149" s="426">
        <v>54</v>
      </c>
      <c r="BZ149" s="426" t="s">
        <v>874</v>
      </c>
      <c r="CA149" s="426">
        <v>7</v>
      </c>
      <c r="CB149" s="426" t="s">
        <v>874</v>
      </c>
      <c r="CC149" s="430">
        <v>0</v>
      </c>
      <c r="CD149" s="430">
        <v>0.25</v>
      </c>
      <c r="CE149" s="430">
        <v>0.75</v>
      </c>
      <c r="CF149" s="430">
        <v>0</v>
      </c>
      <c r="CG149" s="430">
        <v>0.34</v>
      </c>
      <c r="CH149" s="430">
        <v>0.38</v>
      </c>
      <c r="CI149" s="430">
        <v>0.53</v>
      </c>
      <c r="CJ149" s="647"/>
      <c r="CK149" s="647"/>
      <c r="CL149" s="647"/>
      <c r="CM149" s="647"/>
      <c r="CN149" s="648"/>
      <c r="CO149" s="648"/>
      <c r="CP149" s="648"/>
      <c r="CQ149" s="648"/>
      <c r="CR149" s="648"/>
      <c r="CS149" s="648"/>
      <c r="CT149" s="648"/>
    </row>
    <row r="150" spans="1:98" ht="24.95" customHeight="1" x14ac:dyDescent="0.2">
      <c r="A150" s="814" t="s">
        <v>142</v>
      </c>
      <c r="B150" s="1" t="s">
        <v>221</v>
      </c>
      <c r="C150" s="12">
        <v>2</v>
      </c>
      <c r="D150" s="12">
        <v>45</v>
      </c>
      <c r="E150" s="12">
        <v>9</v>
      </c>
      <c r="F150" s="66">
        <v>0.19</v>
      </c>
      <c r="G150" s="66">
        <v>0.56000000000000005</v>
      </c>
      <c r="H150" s="66">
        <v>0.25</v>
      </c>
      <c r="I150" s="66">
        <v>0</v>
      </c>
      <c r="J150" s="66">
        <v>0.6</v>
      </c>
      <c r="K150" s="66">
        <v>0.65</v>
      </c>
      <c r="L150" s="66">
        <v>0.63</v>
      </c>
      <c r="M150" s="12">
        <v>53</v>
      </c>
      <c r="N150" s="12">
        <v>9</v>
      </c>
      <c r="O150" s="40">
        <v>0</v>
      </c>
      <c r="P150" s="40">
        <v>0.33</v>
      </c>
      <c r="Q150" s="40">
        <v>0.56000000000000005</v>
      </c>
      <c r="R150" s="40">
        <v>0.11</v>
      </c>
      <c r="S150" s="40">
        <v>0.48</v>
      </c>
      <c r="T150" s="40">
        <v>0.5</v>
      </c>
      <c r="U150" s="40">
        <v>0.39</v>
      </c>
      <c r="V150" s="12">
        <v>51</v>
      </c>
      <c r="W150" s="12">
        <v>10</v>
      </c>
      <c r="X150" s="66">
        <v>7.0000000000000007E-2</v>
      </c>
      <c r="Y150" s="66">
        <v>0.33</v>
      </c>
      <c r="Z150" s="66">
        <v>0.6</v>
      </c>
      <c r="AA150" s="66">
        <v>0</v>
      </c>
      <c r="AB150" s="66">
        <v>0.49</v>
      </c>
      <c r="AC150" s="66">
        <v>0.39</v>
      </c>
      <c r="AD150" s="66">
        <v>0.55000000000000004</v>
      </c>
      <c r="AE150" s="12">
        <v>42</v>
      </c>
      <c r="AF150" s="12">
        <v>9</v>
      </c>
      <c r="AG150" s="66">
        <v>0.27</v>
      </c>
      <c r="AH150" s="66">
        <v>0.55000000000000004</v>
      </c>
      <c r="AI150" s="66">
        <v>0.18</v>
      </c>
      <c r="AJ150" s="66">
        <v>0</v>
      </c>
      <c r="AK150" s="66">
        <v>0.68</v>
      </c>
      <c r="AL150" s="66">
        <v>0.65</v>
      </c>
      <c r="AM150" s="66">
        <v>0.44</v>
      </c>
      <c r="AN150" s="35">
        <v>50</v>
      </c>
      <c r="AO150" s="35">
        <v>9</v>
      </c>
      <c r="AP150" s="40">
        <v>7.0000000000000007E-2</v>
      </c>
      <c r="AQ150" s="40">
        <v>0.36</v>
      </c>
      <c r="AR150" s="40">
        <v>0.56999999999999995</v>
      </c>
      <c r="AS150" s="40">
        <v>0</v>
      </c>
      <c r="AT150" s="40">
        <v>0.32</v>
      </c>
      <c r="AU150" s="40">
        <v>0.51</v>
      </c>
      <c r="AV150" s="40">
        <v>0.51</v>
      </c>
      <c r="AW150" s="653">
        <v>51</v>
      </c>
      <c r="AX150" s="653" t="s">
        <v>874</v>
      </c>
      <c r="AY150" s="653">
        <v>6</v>
      </c>
      <c r="AZ150" s="653" t="s">
        <v>876</v>
      </c>
      <c r="BA150" s="654">
        <v>0</v>
      </c>
      <c r="BB150" s="654">
        <v>0.69</v>
      </c>
      <c r="BC150" s="654">
        <v>0.31</v>
      </c>
      <c r="BD150" s="654">
        <v>0</v>
      </c>
      <c r="BE150" s="654">
        <v>0.26</v>
      </c>
      <c r="BF150" s="654">
        <v>0.55000000000000004</v>
      </c>
      <c r="BG150" s="654">
        <v>0.47</v>
      </c>
      <c r="BH150" s="74">
        <v>54</v>
      </c>
      <c r="BI150" s="74" t="s">
        <v>874</v>
      </c>
      <c r="BJ150" s="74">
        <v>8</v>
      </c>
      <c r="BK150" s="74" t="s">
        <v>874</v>
      </c>
      <c r="BL150" s="74"/>
      <c r="BM150" s="74"/>
      <c r="BN150" s="74"/>
      <c r="BO150" s="96">
        <v>0</v>
      </c>
      <c r="BP150" s="96">
        <v>0.14000000000000001</v>
      </c>
      <c r="BQ150" s="96">
        <v>0.86</v>
      </c>
      <c r="BR150" s="96">
        <v>0</v>
      </c>
      <c r="BS150" s="96">
        <v>0.48</v>
      </c>
      <c r="BT150" s="96">
        <v>0.5</v>
      </c>
      <c r="BU150" s="96"/>
      <c r="BV150" s="96"/>
      <c r="BW150" s="96"/>
      <c r="BX150" s="96">
        <v>0.43</v>
      </c>
      <c r="BY150" s="426">
        <v>53</v>
      </c>
      <c r="BZ150" s="426" t="s">
        <v>874</v>
      </c>
      <c r="CA150" s="426">
        <v>9</v>
      </c>
      <c r="CB150" s="426" t="s">
        <v>874</v>
      </c>
      <c r="CC150" s="430">
        <v>0.11</v>
      </c>
      <c r="CD150" s="430">
        <v>0.26</v>
      </c>
      <c r="CE150" s="430">
        <v>0.63</v>
      </c>
      <c r="CF150" s="430">
        <v>0</v>
      </c>
      <c r="CG150" s="430">
        <v>0.65</v>
      </c>
      <c r="CH150" s="430">
        <v>0.36</v>
      </c>
      <c r="CI150" s="430">
        <v>0.55000000000000004</v>
      </c>
      <c r="CJ150" s="660">
        <v>56</v>
      </c>
      <c r="CK150" s="660" t="s">
        <v>874</v>
      </c>
      <c r="CL150" s="660">
        <v>9</v>
      </c>
      <c r="CM150" s="660" t="s">
        <v>874</v>
      </c>
      <c r="CN150" s="661">
        <v>0</v>
      </c>
      <c r="CO150" s="661">
        <v>0.21</v>
      </c>
      <c r="CP150" s="661">
        <v>0.74</v>
      </c>
      <c r="CQ150" s="661">
        <v>0.05</v>
      </c>
      <c r="CR150" s="661">
        <v>0.5</v>
      </c>
      <c r="CS150" s="661">
        <v>0.49</v>
      </c>
      <c r="CT150" s="661">
        <v>0.36</v>
      </c>
    </row>
    <row r="151" spans="1:98" ht="24.95" customHeight="1" x14ac:dyDescent="0.2">
      <c r="A151" s="814" t="s">
        <v>149</v>
      </c>
      <c r="B151" s="1" t="s">
        <v>221</v>
      </c>
      <c r="C151" s="12">
        <v>5</v>
      </c>
      <c r="D151" s="12">
        <v>49</v>
      </c>
      <c r="E151" s="12">
        <v>10</v>
      </c>
      <c r="F151" s="66">
        <v>7.0000000000000007E-2</v>
      </c>
      <c r="G151" s="66">
        <v>0.6</v>
      </c>
      <c r="H151" s="66">
        <v>0.33</v>
      </c>
      <c r="I151" s="66">
        <v>0</v>
      </c>
      <c r="J151" s="66">
        <v>0.56999999999999995</v>
      </c>
      <c r="K151" s="66">
        <v>0.47</v>
      </c>
      <c r="L151" s="66">
        <v>0.56999999999999995</v>
      </c>
      <c r="M151" s="12">
        <v>47</v>
      </c>
      <c r="N151" s="12">
        <v>11</v>
      </c>
      <c r="O151" s="40">
        <v>0.2</v>
      </c>
      <c r="P151" s="40">
        <v>0.37</v>
      </c>
      <c r="Q151" s="40">
        <v>0.39</v>
      </c>
      <c r="R151" s="40">
        <v>0.05</v>
      </c>
      <c r="S151" s="40">
        <v>0.55000000000000004</v>
      </c>
      <c r="T151" s="40">
        <v>0.63</v>
      </c>
      <c r="U151" s="40">
        <v>0.43</v>
      </c>
      <c r="V151" s="12">
        <v>46</v>
      </c>
      <c r="W151" s="12">
        <v>9</v>
      </c>
      <c r="X151" s="66">
        <v>0.16</v>
      </c>
      <c r="Y151" s="66">
        <v>0.41</v>
      </c>
      <c r="Z151" s="66">
        <v>0.44</v>
      </c>
      <c r="AA151" s="66">
        <v>0</v>
      </c>
      <c r="AB151" s="66">
        <v>0.56999999999999995</v>
      </c>
      <c r="AC151" s="66">
        <v>0.47</v>
      </c>
      <c r="AD151" s="66">
        <v>0.57999999999999996</v>
      </c>
      <c r="AE151" s="12">
        <v>51</v>
      </c>
      <c r="AF151" s="12">
        <v>8</v>
      </c>
      <c r="AG151" s="66">
        <v>0</v>
      </c>
      <c r="AH151" s="66">
        <v>0.5</v>
      </c>
      <c r="AI151" s="66">
        <v>0.5</v>
      </c>
      <c r="AJ151" s="66">
        <v>0</v>
      </c>
      <c r="AK151" s="66">
        <v>0.55000000000000004</v>
      </c>
      <c r="AL151" s="66">
        <v>0.53</v>
      </c>
      <c r="AM151" s="66">
        <v>0.31</v>
      </c>
      <c r="AN151" s="35">
        <v>46</v>
      </c>
      <c r="AO151" s="35">
        <v>10</v>
      </c>
      <c r="AP151" s="40">
        <v>0.22</v>
      </c>
      <c r="AQ151" s="40">
        <v>0.35</v>
      </c>
      <c r="AR151" s="40">
        <v>0.43</v>
      </c>
      <c r="AS151" s="40">
        <v>0</v>
      </c>
      <c r="AT151" s="40">
        <v>0.4</v>
      </c>
      <c r="AU151" s="40">
        <v>0.62</v>
      </c>
      <c r="AV151" s="40">
        <v>0.56000000000000005</v>
      </c>
      <c r="AW151" s="247">
        <v>47</v>
      </c>
      <c r="AX151" s="247" t="s">
        <v>874</v>
      </c>
      <c r="AY151" s="247">
        <v>7</v>
      </c>
      <c r="AZ151" s="247" t="s">
        <v>874</v>
      </c>
      <c r="BA151" s="264">
        <v>0.03</v>
      </c>
      <c r="BB151" s="264">
        <v>0.62</v>
      </c>
      <c r="BC151" s="264">
        <v>0.34</v>
      </c>
      <c r="BD151" s="264">
        <v>0</v>
      </c>
      <c r="BE151" s="264">
        <v>0.35</v>
      </c>
      <c r="BF151" s="264">
        <v>0.59</v>
      </c>
      <c r="BG151" s="264">
        <v>0.6</v>
      </c>
      <c r="BH151" s="311">
        <v>48</v>
      </c>
      <c r="BI151" s="311" t="s">
        <v>874</v>
      </c>
      <c r="BJ151" s="311">
        <v>9</v>
      </c>
      <c r="BK151" s="311" t="s">
        <v>874</v>
      </c>
      <c r="BL151" s="466"/>
      <c r="BM151" s="466"/>
      <c r="BN151" s="466"/>
      <c r="BO151" s="329">
        <v>0.12</v>
      </c>
      <c r="BP151" s="329">
        <v>0.46</v>
      </c>
      <c r="BQ151" s="329">
        <v>0.42</v>
      </c>
      <c r="BR151" s="329">
        <v>0</v>
      </c>
      <c r="BS151" s="329">
        <v>0.59</v>
      </c>
      <c r="BT151" s="329">
        <v>0.73</v>
      </c>
      <c r="BU151" s="480"/>
      <c r="BV151" s="480"/>
      <c r="BW151" s="480"/>
      <c r="BX151" s="329">
        <v>0.38</v>
      </c>
      <c r="BY151" s="426">
        <v>49</v>
      </c>
      <c r="BZ151" s="426" t="s">
        <v>874</v>
      </c>
      <c r="CA151" s="426">
        <v>9</v>
      </c>
      <c r="CB151" s="426" t="s">
        <v>874</v>
      </c>
      <c r="CC151" s="430">
        <v>0.06</v>
      </c>
      <c r="CD151" s="430">
        <v>0.46</v>
      </c>
      <c r="CE151" s="430">
        <v>0.49</v>
      </c>
      <c r="CF151" s="430">
        <v>0</v>
      </c>
      <c r="CG151" s="430">
        <v>0.62</v>
      </c>
      <c r="CH151" s="430">
        <v>0.4</v>
      </c>
      <c r="CI151" s="430">
        <v>0.65</v>
      </c>
      <c r="CJ151" s="466">
        <v>51</v>
      </c>
      <c r="CK151" s="466" t="s">
        <v>874</v>
      </c>
      <c r="CL151" s="466">
        <v>7</v>
      </c>
      <c r="CM151" s="466" t="s">
        <v>876</v>
      </c>
      <c r="CN151" s="480">
        <v>0</v>
      </c>
      <c r="CO151" s="480">
        <v>0.5</v>
      </c>
      <c r="CP151" s="480">
        <v>0.5</v>
      </c>
      <c r="CQ151" s="480">
        <v>0</v>
      </c>
      <c r="CR151" s="480">
        <v>0.67</v>
      </c>
      <c r="CS151" s="480">
        <v>0.6</v>
      </c>
      <c r="CT151" s="480">
        <v>0.45</v>
      </c>
    </row>
    <row r="152" spans="1:98" ht="24.95" customHeight="1" x14ac:dyDescent="0.2">
      <c r="A152" s="814" t="s">
        <v>140</v>
      </c>
      <c r="B152" s="1" t="s">
        <v>221</v>
      </c>
      <c r="C152" s="12">
        <v>2</v>
      </c>
      <c r="D152" s="12">
        <v>45</v>
      </c>
      <c r="E152" s="12">
        <v>11</v>
      </c>
      <c r="F152" s="66">
        <v>0.25</v>
      </c>
      <c r="G152" s="66">
        <v>0.5</v>
      </c>
      <c r="H152" s="66">
        <v>0.25</v>
      </c>
      <c r="I152" s="66">
        <v>0</v>
      </c>
      <c r="J152" s="66">
        <v>0.62</v>
      </c>
      <c r="K152" s="66">
        <v>0.33</v>
      </c>
      <c r="L152" s="66">
        <v>0.59</v>
      </c>
      <c r="M152" s="12">
        <v>54</v>
      </c>
      <c r="N152" s="12">
        <v>8</v>
      </c>
      <c r="O152" s="40">
        <v>0</v>
      </c>
      <c r="P152" s="40">
        <v>0.2</v>
      </c>
      <c r="Q152" s="40">
        <v>0.75</v>
      </c>
      <c r="R152" s="40">
        <v>0.05</v>
      </c>
      <c r="S152" s="40">
        <v>0.45</v>
      </c>
      <c r="T152" s="40">
        <v>0.53</v>
      </c>
      <c r="U152" s="40">
        <v>0.28000000000000003</v>
      </c>
      <c r="V152" s="12">
        <v>53</v>
      </c>
      <c r="W152" s="12">
        <v>8</v>
      </c>
      <c r="X152" s="66">
        <v>0</v>
      </c>
      <c r="Y152" s="66">
        <v>0.35</v>
      </c>
      <c r="Z152" s="66">
        <v>0.61</v>
      </c>
      <c r="AA152" s="66">
        <v>0.04</v>
      </c>
      <c r="AB152" s="66">
        <v>0.5</v>
      </c>
      <c r="AC152" s="66">
        <v>0.37</v>
      </c>
      <c r="AD152" s="66">
        <v>0.5</v>
      </c>
      <c r="AE152" s="12">
        <v>53</v>
      </c>
      <c r="AF152" s="12">
        <v>8</v>
      </c>
      <c r="AG152" s="66">
        <v>0.06</v>
      </c>
      <c r="AH152" s="66">
        <v>0.27</v>
      </c>
      <c r="AI152" s="66">
        <v>0.67</v>
      </c>
      <c r="AJ152" s="66">
        <v>0</v>
      </c>
      <c r="AK152" s="66">
        <v>0.55000000000000004</v>
      </c>
      <c r="AL152" s="66">
        <v>0.51</v>
      </c>
      <c r="AM152" s="66">
        <v>0.24</v>
      </c>
      <c r="AN152" s="35">
        <v>51</v>
      </c>
      <c r="AO152" s="35">
        <v>9</v>
      </c>
      <c r="AP152" s="40">
        <v>0</v>
      </c>
      <c r="AQ152" s="40">
        <v>0.48</v>
      </c>
      <c r="AR152" s="40">
        <v>0.52</v>
      </c>
      <c r="AS152" s="40">
        <v>0</v>
      </c>
      <c r="AT152" s="40">
        <v>0.3</v>
      </c>
      <c r="AU152" s="40">
        <v>0.53</v>
      </c>
      <c r="AV152" s="40">
        <v>0.55000000000000004</v>
      </c>
      <c r="AW152" s="247">
        <v>48</v>
      </c>
      <c r="AX152" s="247" t="s">
        <v>874</v>
      </c>
      <c r="AY152" s="247">
        <v>9</v>
      </c>
      <c r="AZ152" s="247" t="s">
        <v>874</v>
      </c>
      <c r="BA152" s="264">
        <v>0.09</v>
      </c>
      <c r="BB152" s="264">
        <v>0.44</v>
      </c>
      <c r="BC152" s="264">
        <v>0.47</v>
      </c>
      <c r="BD152" s="264">
        <v>0</v>
      </c>
      <c r="BE152" s="264">
        <v>0.33</v>
      </c>
      <c r="BF152" s="264">
        <v>0.57999999999999996</v>
      </c>
      <c r="BG152" s="264">
        <v>0.54</v>
      </c>
      <c r="BH152" s="311">
        <v>52</v>
      </c>
      <c r="BI152" s="311" t="s">
        <v>874</v>
      </c>
      <c r="BJ152" s="311">
        <v>9</v>
      </c>
      <c r="BK152" s="311" t="s">
        <v>874</v>
      </c>
      <c r="BL152" s="466"/>
      <c r="BM152" s="466"/>
      <c r="BN152" s="466"/>
      <c r="BO152" s="329">
        <v>0.03</v>
      </c>
      <c r="BP152" s="329">
        <v>0.43</v>
      </c>
      <c r="BQ152" s="329">
        <v>0.53</v>
      </c>
      <c r="BR152" s="329">
        <v>0.03</v>
      </c>
      <c r="BS152" s="329">
        <v>0.56999999999999995</v>
      </c>
      <c r="BT152" s="329">
        <v>0.64</v>
      </c>
      <c r="BU152" s="480"/>
      <c r="BV152" s="480"/>
      <c r="BW152" s="480"/>
      <c r="BX152" s="329">
        <v>0.41</v>
      </c>
      <c r="BY152" s="426">
        <v>51</v>
      </c>
      <c r="BZ152" s="426" t="s">
        <v>874</v>
      </c>
      <c r="CA152" s="426">
        <v>9</v>
      </c>
      <c r="CB152" s="426" t="s">
        <v>874</v>
      </c>
      <c r="CC152" s="430">
        <v>0.05</v>
      </c>
      <c r="CD152" s="430">
        <v>0.44</v>
      </c>
      <c r="CE152" s="430">
        <v>0.46</v>
      </c>
      <c r="CF152" s="430">
        <v>0.05</v>
      </c>
      <c r="CG152" s="430">
        <v>0.69</v>
      </c>
      <c r="CH152" s="430">
        <v>0.45</v>
      </c>
      <c r="CI152" s="430">
        <v>0.6</v>
      </c>
      <c r="CJ152" s="466">
        <v>51</v>
      </c>
      <c r="CK152" s="466" t="s">
        <v>874</v>
      </c>
      <c r="CL152" s="466">
        <v>10</v>
      </c>
      <c r="CM152" s="466" t="s">
        <v>874</v>
      </c>
      <c r="CN152" s="480">
        <v>0.08</v>
      </c>
      <c r="CO152" s="480">
        <v>0.37</v>
      </c>
      <c r="CP152" s="480">
        <v>0.53</v>
      </c>
      <c r="CQ152" s="480">
        <v>0.03</v>
      </c>
      <c r="CR152" s="480">
        <v>0.57999999999999996</v>
      </c>
      <c r="CS152" s="480">
        <v>0.55000000000000004</v>
      </c>
      <c r="CT152" s="480">
        <v>0.42</v>
      </c>
    </row>
    <row r="153" spans="1:98" ht="24.95" customHeight="1" x14ac:dyDescent="0.2">
      <c r="A153" s="814" t="s">
        <v>122</v>
      </c>
      <c r="B153" s="1" t="s">
        <v>221</v>
      </c>
      <c r="C153" s="12">
        <v>6</v>
      </c>
      <c r="D153" s="12">
        <v>55</v>
      </c>
      <c r="E153" s="12">
        <v>8</v>
      </c>
      <c r="F153" s="66">
        <v>0.01</v>
      </c>
      <c r="G153" s="66">
        <v>0.3</v>
      </c>
      <c r="H153" s="66">
        <v>0.68</v>
      </c>
      <c r="I153" s="66">
        <v>0.01</v>
      </c>
      <c r="J153" s="66">
        <v>0.52</v>
      </c>
      <c r="K153" s="66">
        <v>0.47</v>
      </c>
      <c r="L153" s="66">
        <v>0.55000000000000004</v>
      </c>
      <c r="M153" s="12">
        <v>55</v>
      </c>
      <c r="N153" s="12">
        <v>9</v>
      </c>
      <c r="O153" s="40">
        <v>0.01</v>
      </c>
      <c r="P153" s="40">
        <v>0.3</v>
      </c>
      <c r="Q153" s="40">
        <v>0.67</v>
      </c>
      <c r="R153" s="40">
        <v>0.02</v>
      </c>
      <c r="S153" s="40">
        <v>0.44</v>
      </c>
      <c r="T153" s="40">
        <v>0.5</v>
      </c>
      <c r="U153" s="40">
        <v>0.31</v>
      </c>
      <c r="V153" s="12">
        <v>54</v>
      </c>
      <c r="W153" s="12">
        <v>9</v>
      </c>
      <c r="X153" s="66">
        <v>0.02</v>
      </c>
      <c r="Y153" s="66">
        <v>0.32</v>
      </c>
      <c r="Z153" s="66">
        <v>0.62</v>
      </c>
      <c r="AA153" s="66">
        <v>0.04</v>
      </c>
      <c r="AB153" s="66">
        <v>0.46</v>
      </c>
      <c r="AC153" s="66">
        <v>0.33</v>
      </c>
      <c r="AD153" s="66">
        <v>0.48</v>
      </c>
      <c r="AE153" s="12">
        <v>54</v>
      </c>
      <c r="AF153" s="12">
        <v>9</v>
      </c>
      <c r="AG153" s="66">
        <v>0.02</v>
      </c>
      <c r="AH153" s="66">
        <v>0.32</v>
      </c>
      <c r="AI153" s="66">
        <v>0.64</v>
      </c>
      <c r="AJ153" s="66">
        <v>0.02</v>
      </c>
      <c r="AK153" s="66">
        <v>0.52</v>
      </c>
      <c r="AL153" s="66">
        <v>0.42</v>
      </c>
      <c r="AM153" s="66">
        <v>0.27</v>
      </c>
      <c r="AN153" s="35">
        <v>52</v>
      </c>
      <c r="AO153" s="35">
        <v>9</v>
      </c>
      <c r="AP153" s="40">
        <v>0.04</v>
      </c>
      <c r="AQ153" s="40">
        <v>0.4</v>
      </c>
      <c r="AR153" s="40">
        <v>0.54</v>
      </c>
      <c r="AS153" s="40">
        <v>0.02</v>
      </c>
      <c r="AT153" s="40">
        <v>0.28000000000000003</v>
      </c>
      <c r="AU153" s="40">
        <v>0.53</v>
      </c>
      <c r="AV153" s="40">
        <v>0.48</v>
      </c>
      <c r="AW153" s="247">
        <v>52</v>
      </c>
      <c r="AX153" s="247" t="s">
        <v>874</v>
      </c>
      <c r="AY153" s="247">
        <v>9</v>
      </c>
      <c r="AZ153" s="247" t="s">
        <v>874</v>
      </c>
      <c r="BA153" s="264">
        <v>0.03</v>
      </c>
      <c r="BB153" s="264">
        <v>0.4</v>
      </c>
      <c r="BC153" s="264">
        <v>0.55000000000000004</v>
      </c>
      <c r="BD153" s="264">
        <v>0.02</v>
      </c>
      <c r="BE153" s="264">
        <v>0.26</v>
      </c>
      <c r="BF153" s="264">
        <v>0.51</v>
      </c>
      <c r="BG153" s="264">
        <v>0.47</v>
      </c>
      <c r="BH153" s="311">
        <v>54</v>
      </c>
      <c r="BI153" s="311" t="s">
        <v>874</v>
      </c>
      <c r="BJ153" s="311">
        <v>11</v>
      </c>
      <c r="BK153" s="311" t="s">
        <v>874</v>
      </c>
      <c r="BL153" s="466"/>
      <c r="BM153" s="466"/>
      <c r="BN153" s="466"/>
      <c r="BO153" s="329">
        <v>0.03</v>
      </c>
      <c r="BP153" s="329">
        <v>0.33</v>
      </c>
      <c r="BQ153" s="329">
        <v>0.59</v>
      </c>
      <c r="BR153" s="329">
        <v>0.05</v>
      </c>
      <c r="BS153" s="329">
        <v>0.49</v>
      </c>
      <c r="BT153" s="329">
        <v>0.59</v>
      </c>
      <c r="BU153" s="480"/>
      <c r="BV153" s="480"/>
      <c r="BW153" s="480"/>
      <c r="BX153" s="329">
        <v>0.35</v>
      </c>
      <c r="BY153" s="426">
        <v>54</v>
      </c>
      <c r="BZ153" s="426" t="s">
        <v>874</v>
      </c>
      <c r="CA153" s="426">
        <v>11</v>
      </c>
      <c r="CB153" s="426" t="s">
        <v>874</v>
      </c>
      <c r="CC153" s="430">
        <v>0.05</v>
      </c>
      <c r="CD153" s="430">
        <v>0.32</v>
      </c>
      <c r="CE153" s="430">
        <v>0.55000000000000004</v>
      </c>
      <c r="CF153" s="430">
        <v>7.0000000000000007E-2</v>
      </c>
      <c r="CG153" s="430">
        <v>0.61</v>
      </c>
      <c r="CH153" s="430">
        <v>0.39</v>
      </c>
      <c r="CI153" s="430">
        <v>0.51</v>
      </c>
      <c r="CJ153" s="466">
        <v>56</v>
      </c>
      <c r="CK153" s="466" t="s">
        <v>874</v>
      </c>
      <c r="CL153" s="466">
        <v>10</v>
      </c>
      <c r="CM153" s="466" t="s">
        <v>874</v>
      </c>
      <c r="CN153" s="480">
        <v>0.03</v>
      </c>
      <c r="CO153" s="480">
        <v>0.28000000000000003</v>
      </c>
      <c r="CP153" s="480">
        <v>0.62</v>
      </c>
      <c r="CQ153" s="480">
        <v>7.0000000000000007E-2</v>
      </c>
      <c r="CR153" s="480">
        <v>0.49</v>
      </c>
      <c r="CS153" s="480">
        <v>0.47</v>
      </c>
      <c r="CT153" s="480">
        <v>0.4</v>
      </c>
    </row>
    <row r="154" spans="1:98" ht="24.95" customHeight="1" x14ac:dyDescent="0.2">
      <c r="A154" s="814" t="s">
        <v>197</v>
      </c>
      <c r="B154" s="1" t="s">
        <v>221</v>
      </c>
      <c r="C154" s="12">
        <v>5</v>
      </c>
      <c r="D154" s="12">
        <v>63</v>
      </c>
      <c r="E154" s="12">
        <v>10</v>
      </c>
      <c r="F154" s="66">
        <v>0</v>
      </c>
      <c r="G154" s="66">
        <v>0.13</v>
      </c>
      <c r="H154" s="66">
        <v>0.67</v>
      </c>
      <c r="I154" s="66">
        <v>0.2</v>
      </c>
      <c r="J154" s="66">
        <v>0.34</v>
      </c>
      <c r="K154" s="66">
        <v>0.25</v>
      </c>
      <c r="L154" s="66">
        <v>0.34</v>
      </c>
      <c r="M154" s="12">
        <v>61</v>
      </c>
      <c r="N154" s="12">
        <v>8</v>
      </c>
      <c r="O154" s="40">
        <v>0</v>
      </c>
      <c r="P154" s="40">
        <v>0.13</v>
      </c>
      <c r="Q154" s="40">
        <v>0.74</v>
      </c>
      <c r="R154" s="40">
        <v>0.13</v>
      </c>
      <c r="S154" s="40">
        <v>0.35</v>
      </c>
      <c r="T154" s="40">
        <v>0.33</v>
      </c>
      <c r="U154" s="40">
        <v>0.25</v>
      </c>
      <c r="V154" s="12">
        <v>62</v>
      </c>
      <c r="W154" s="12">
        <v>10</v>
      </c>
      <c r="X154" s="66">
        <v>0</v>
      </c>
      <c r="Y154" s="66">
        <v>0.11</v>
      </c>
      <c r="Z154" s="66">
        <v>0.74</v>
      </c>
      <c r="AA154" s="66">
        <v>0.15</v>
      </c>
      <c r="AB154" s="66">
        <v>0.33</v>
      </c>
      <c r="AC154" s="66">
        <v>0.25</v>
      </c>
      <c r="AD154" s="66">
        <v>0.37</v>
      </c>
      <c r="AE154" s="12">
        <v>58</v>
      </c>
      <c r="AF154" s="12">
        <v>10</v>
      </c>
      <c r="AG154" s="66">
        <v>0.02</v>
      </c>
      <c r="AH154" s="66">
        <v>0.17</v>
      </c>
      <c r="AI154" s="66">
        <v>0.76</v>
      </c>
      <c r="AJ154" s="66">
        <v>0.04</v>
      </c>
      <c r="AK154" s="66">
        <v>0.43</v>
      </c>
      <c r="AL154" s="66">
        <v>0.36</v>
      </c>
      <c r="AM154" s="66">
        <v>0.22</v>
      </c>
      <c r="AN154" s="35">
        <v>58</v>
      </c>
      <c r="AO154" s="35">
        <v>9</v>
      </c>
      <c r="AP154" s="40">
        <v>0</v>
      </c>
      <c r="AQ154" s="40">
        <v>0.17</v>
      </c>
      <c r="AR154" s="40">
        <v>0.75</v>
      </c>
      <c r="AS154" s="40">
        <v>0.08</v>
      </c>
      <c r="AT154" s="40">
        <v>0.19</v>
      </c>
      <c r="AU154" s="40">
        <v>0.42</v>
      </c>
      <c r="AV154" s="40">
        <v>0.41</v>
      </c>
      <c r="AW154" s="247">
        <v>57</v>
      </c>
      <c r="AX154" s="247" t="s">
        <v>874</v>
      </c>
      <c r="AY154" s="247">
        <v>9</v>
      </c>
      <c r="AZ154" s="247" t="s">
        <v>874</v>
      </c>
      <c r="BA154" s="264">
        <v>0.02</v>
      </c>
      <c r="BB154" s="264">
        <v>0.19</v>
      </c>
      <c r="BC154" s="264">
        <v>0.73</v>
      </c>
      <c r="BD154" s="264">
        <v>0.06</v>
      </c>
      <c r="BE154" s="264">
        <v>0.21</v>
      </c>
      <c r="BF154" s="264">
        <v>0.41</v>
      </c>
      <c r="BG154" s="264">
        <v>0.4</v>
      </c>
      <c r="BH154" s="311">
        <v>59</v>
      </c>
      <c r="BI154" s="311" t="s">
        <v>874</v>
      </c>
      <c r="BJ154" s="311">
        <v>11</v>
      </c>
      <c r="BK154" s="311" t="s">
        <v>874</v>
      </c>
      <c r="BL154" s="466"/>
      <c r="BM154" s="466"/>
      <c r="BN154" s="466"/>
      <c r="BO154" s="329">
        <v>0.04</v>
      </c>
      <c r="BP154" s="329">
        <v>0.15</v>
      </c>
      <c r="BQ154" s="329">
        <v>0.7</v>
      </c>
      <c r="BR154" s="329">
        <v>0.11</v>
      </c>
      <c r="BS154" s="329">
        <v>0.41</v>
      </c>
      <c r="BT154" s="329">
        <v>0.4</v>
      </c>
      <c r="BU154" s="480"/>
      <c r="BV154" s="480"/>
      <c r="BW154" s="480"/>
      <c r="BX154" s="329">
        <v>0.28000000000000003</v>
      </c>
      <c r="BY154" s="426">
        <v>61</v>
      </c>
      <c r="BZ154" s="426" t="s">
        <v>875</v>
      </c>
      <c r="CA154" s="426">
        <v>10</v>
      </c>
      <c r="CB154" s="426" t="s">
        <v>874</v>
      </c>
      <c r="CC154" s="430">
        <v>0.01</v>
      </c>
      <c r="CD154" s="430">
        <v>0.12</v>
      </c>
      <c r="CE154" s="430">
        <v>0.72</v>
      </c>
      <c r="CF154" s="430">
        <v>0.14000000000000001</v>
      </c>
      <c r="CG154" s="430">
        <v>0.47</v>
      </c>
      <c r="CH154" s="430">
        <v>0.24</v>
      </c>
      <c r="CI154" s="430">
        <v>0.43</v>
      </c>
      <c r="CJ154" s="466">
        <v>62</v>
      </c>
      <c r="CK154" s="466" t="s">
        <v>875</v>
      </c>
      <c r="CL154" s="466">
        <v>10</v>
      </c>
      <c r="CM154" s="466" t="s">
        <v>874</v>
      </c>
      <c r="CN154" s="480">
        <v>0</v>
      </c>
      <c r="CO154" s="480">
        <v>0.11</v>
      </c>
      <c r="CP154" s="480">
        <v>0.69</v>
      </c>
      <c r="CQ154" s="480">
        <v>0.2</v>
      </c>
      <c r="CR154" s="480">
        <v>0.41</v>
      </c>
      <c r="CS154" s="480">
        <v>0.38</v>
      </c>
      <c r="CT154" s="480">
        <v>0.3</v>
      </c>
    </row>
    <row r="155" spans="1:98" ht="24.95" customHeight="1" x14ac:dyDescent="0.2">
      <c r="A155" s="814" t="s">
        <v>164</v>
      </c>
      <c r="B155" s="1" t="s">
        <v>221</v>
      </c>
      <c r="C155" s="12">
        <v>1</v>
      </c>
      <c r="D155" s="12">
        <v>54</v>
      </c>
      <c r="E155" s="12">
        <v>11</v>
      </c>
      <c r="F155" s="66">
        <v>0.03</v>
      </c>
      <c r="G155" s="66">
        <v>0.42</v>
      </c>
      <c r="H155" s="66">
        <v>0.53</v>
      </c>
      <c r="I155" s="66">
        <v>0.03</v>
      </c>
      <c r="J155" s="66">
        <v>0.51</v>
      </c>
      <c r="K155" s="66">
        <v>0.4</v>
      </c>
      <c r="L155" s="66">
        <v>0.48</v>
      </c>
      <c r="M155" s="12">
        <v>52</v>
      </c>
      <c r="N155" s="12">
        <v>9</v>
      </c>
      <c r="O155" s="40">
        <v>0.06</v>
      </c>
      <c r="P155" s="40">
        <v>0.28999999999999998</v>
      </c>
      <c r="Q155" s="40">
        <v>0.65</v>
      </c>
      <c r="R155" s="40">
        <v>0</v>
      </c>
      <c r="S155" s="40">
        <v>0.48</v>
      </c>
      <c r="T155" s="40">
        <v>0.56000000000000005</v>
      </c>
      <c r="U155" s="40">
        <v>0.36</v>
      </c>
      <c r="V155" s="12">
        <v>51</v>
      </c>
      <c r="W155" s="12">
        <v>11</v>
      </c>
      <c r="X155" s="66">
        <v>0.15</v>
      </c>
      <c r="Y155" s="66">
        <v>0.35</v>
      </c>
      <c r="Z155" s="66">
        <v>0.45</v>
      </c>
      <c r="AA155" s="66">
        <v>0.05</v>
      </c>
      <c r="AB155" s="66">
        <v>0.49</v>
      </c>
      <c r="AC155" s="66">
        <v>0.4</v>
      </c>
      <c r="AD155" s="66">
        <v>0.56000000000000005</v>
      </c>
      <c r="AE155" s="12">
        <v>54</v>
      </c>
      <c r="AF155" s="12">
        <v>11</v>
      </c>
      <c r="AG155" s="66">
        <v>0.04</v>
      </c>
      <c r="AH155" s="66">
        <v>0.36</v>
      </c>
      <c r="AI155" s="66">
        <v>0.56000000000000005</v>
      </c>
      <c r="AJ155" s="66">
        <v>0.04</v>
      </c>
      <c r="AK155" s="66">
        <v>0.49</v>
      </c>
      <c r="AL155" s="66">
        <v>0.48</v>
      </c>
      <c r="AM155" s="66">
        <v>0.3</v>
      </c>
      <c r="AN155" s="35">
        <v>52</v>
      </c>
      <c r="AO155" s="35">
        <v>9</v>
      </c>
      <c r="AP155" s="40">
        <v>0.05</v>
      </c>
      <c r="AQ155" s="40">
        <v>0.36</v>
      </c>
      <c r="AR155" s="40">
        <v>0.56999999999999995</v>
      </c>
      <c r="AS155" s="40">
        <v>0.02</v>
      </c>
      <c r="AT155" s="40">
        <v>0.28000000000000003</v>
      </c>
      <c r="AU155" s="40">
        <v>0.51</v>
      </c>
      <c r="AV155" s="40">
        <v>0.51</v>
      </c>
      <c r="AW155" s="247">
        <v>49</v>
      </c>
      <c r="AX155" s="247" t="s">
        <v>874</v>
      </c>
      <c r="AY155" s="247">
        <v>9</v>
      </c>
      <c r="AZ155" s="247" t="s">
        <v>874</v>
      </c>
      <c r="BA155" s="264">
        <v>0.05</v>
      </c>
      <c r="BB155" s="264">
        <v>0.56999999999999995</v>
      </c>
      <c r="BC155" s="264">
        <v>0.36</v>
      </c>
      <c r="BD155" s="264">
        <v>0.02</v>
      </c>
      <c r="BE155" s="264">
        <v>0.34</v>
      </c>
      <c r="BF155" s="264">
        <v>0.54</v>
      </c>
      <c r="BG155" s="264">
        <v>0.53</v>
      </c>
      <c r="BH155" s="311">
        <v>50</v>
      </c>
      <c r="BI155" s="311" t="s">
        <v>874</v>
      </c>
      <c r="BJ155" s="311">
        <v>10</v>
      </c>
      <c r="BK155" s="311" t="s">
        <v>874</v>
      </c>
      <c r="BL155" s="466"/>
      <c r="BM155" s="466"/>
      <c r="BN155" s="466"/>
      <c r="BO155" s="329">
        <v>0.08</v>
      </c>
      <c r="BP155" s="329">
        <v>0.37</v>
      </c>
      <c r="BQ155" s="329">
        <v>0.56000000000000005</v>
      </c>
      <c r="BR155" s="329">
        <v>0</v>
      </c>
      <c r="BS155" s="329">
        <v>0.56000000000000005</v>
      </c>
      <c r="BT155" s="329">
        <v>0.67</v>
      </c>
      <c r="BU155" s="480"/>
      <c r="BV155" s="480"/>
      <c r="BW155" s="480"/>
      <c r="BX155" s="329">
        <v>0.4</v>
      </c>
      <c r="BY155" s="426">
        <v>54</v>
      </c>
      <c r="BZ155" s="426" t="s">
        <v>874</v>
      </c>
      <c r="CA155" s="426">
        <v>9</v>
      </c>
      <c r="CB155" s="426" t="s">
        <v>874</v>
      </c>
      <c r="CC155" s="430">
        <v>0.04</v>
      </c>
      <c r="CD155" s="430">
        <v>0.33</v>
      </c>
      <c r="CE155" s="430">
        <v>0.6</v>
      </c>
      <c r="CF155" s="430">
        <v>0.02</v>
      </c>
      <c r="CG155" s="430">
        <v>0.59</v>
      </c>
      <c r="CH155" s="430">
        <v>0.34</v>
      </c>
      <c r="CI155" s="430">
        <v>0.56999999999999995</v>
      </c>
      <c r="CJ155" s="466">
        <v>55</v>
      </c>
      <c r="CK155" s="466" t="s">
        <v>874</v>
      </c>
      <c r="CL155" s="466">
        <v>8</v>
      </c>
      <c r="CM155" s="466" t="s">
        <v>874</v>
      </c>
      <c r="CN155" s="480">
        <v>0</v>
      </c>
      <c r="CO155" s="480">
        <v>0.33</v>
      </c>
      <c r="CP155" s="480">
        <v>0.63</v>
      </c>
      <c r="CQ155" s="480">
        <v>0.04</v>
      </c>
      <c r="CR155" s="480">
        <v>0.5</v>
      </c>
      <c r="CS155" s="480">
        <v>0.49</v>
      </c>
      <c r="CT155" s="480">
        <v>0.39</v>
      </c>
    </row>
    <row r="156" spans="1:98" ht="24.95" customHeight="1" x14ac:dyDescent="0.2">
      <c r="A156" s="814" t="s">
        <v>228</v>
      </c>
      <c r="B156" s="1" t="s">
        <v>221</v>
      </c>
      <c r="C156" s="12">
        <v>6</v>
      </c>
      <c r="D156" s="12"/>
      <c r="E156" s="12"/>
      <c r="F156" s="12"/>
      <c r="G156" s="12"/>
      <c r="H156" s="12"/>
      <c r="I156" s="12"/>
      <c r="J156" s="12"/>
      <c r="K156" s="12"/>
      <c r="L156" s="12"/>
      <c r="M156" s="12">
        <v>45</v>
      </c>
      <c r="N156" s="12">
        <v>13</v>
      </c>
      <c r="O156" s="40">
        <v>0.17</v>
      </c>
      <c r="P156" s="40">
        <v>0.5</v>
      </c>
      <c r="Q156" s="40">
        <v>0.33</v>
      </c>
      <c r="R156" s="40">
        <v>0</v>
      </c>
      <c r="S156" s="40">
        <v>0.56999999999999995</v>
      </c>
      <c r="T156" s="40">
        <v>0.66</v>
      </c>
      <c r="U156" s="40">
        <v>0.43</v>
      </c>
      <c r="V156" s="12">
        <v>47</v>
      </c>
      <c r="W156" s="12">
        <v>9</v>
      </c>
      <c r="X156" s="66">
        <v>0</v>
      </c>
      <c r="Y156" s="66">
        <v>0.75</v>
      </c>
      <c r="Z156" s="66">
        <v>0.25</v>
      </c>
      <c r="AA156" s="66">
        <v>0</v>
      </c>
      <c r="AB156" s="66">
        <v>0.62</v>
      </c>
      <c r="AC156" s="66">
        <v>0.39</v>
      </c>
      <c r="AD156" s="66">
        <v>0.56000000000000005</v>
      </c>
      <c r="AE156" s="12">
        <v>50</v>
      </c>
      <c r="AF156" s="12">
        <v>12</v>
      </c>
      <c r="AG156" s="66">
        <v>0</v>
      </c>
      <c r="AH156" s="66">
        <v>0.5</v>
      </c>
      <c r="AI156" s="66">
        <v>0.5</v>
      </c>
      <c r="AJ156" s="66">
        <v>0</v>
      </c>
      <c r="AK156" s="66">
        <v>0.61</v>
      </c>
      <c r="AL156" s="66">
        <v>0.33</v>
      </c>
      <c r="AM156" s="66">
        <v>0.38</v>
      </c>
      <c r="AN156" s="35">
        <v>37</v>
      </c>
      <c r="AO156" s="35">
        <v>1</v>
      </c>
      <c r="AP156" s="40">
        <v>0</v>
      </c>
      <c r="AQ156" s="40">
        <v>1</v>
      </c>
      <c r="AR156" s="40">
        <v>0</v>
      </c>
      <c r="AS156" s="40">
        <v>0</v>
      </c>
      <c r="AT156" s="40">
        <v>0.55000000000000004</v>
      </c>
      <c r="AU156" s="40">
        <v>0.83</v>
      </c>
      <c r="AV156" s="40">
        <v>0.71</v>
      </c>
      <c r="AW156" s="652"/>
      <c r="AX156" s="652"/>
      <c r="AY156" s="652"/>
      <c r="AZ156" s="652"/>
      <c r="BA156" s="652"/>
      <c r="BB156" s="652"/>
      <c r="BC156" s="652"/>
      <c r="BD156" s="652"/>
      <c r="BE156" s="652"/>
      <c r="BF156" s="652"/>
      <c r="BG156" s="652"/>
      <c r="BH156" s="655"/>
      <c r="BI156" s="655"/>
      <c r="BJ156" s="655"/>
      <c r="BK156" s="655"/>
      <c r="BL156" s="656"/>
      <c r="BM156" s="656"/>
      <c r="BN156" s="656"/>
      <c r="BO156" s="655"/>
      <c r="BP156" s="655"/>
      <c r="BQ156" s="655"/>
      <c r="BR156" s="655"/>
      <c r="BS156" s="655"/>
      <c r="BT156" s="655"/>
      <c r="BU156" s="656"/>
      <c r="BV156" s="656"/>
      <c r="BW156" s="656"/>
      <c r="BX156" s="655"/>
      <c r="BY156" s="657"/>
      <c r="BZ156" s="657"/>
      <c r="CA156" s="657"/>
      <c r="CB156" s="657"/>
      <c r="CC156" s="657"/>
      <c r="CD156" s="657"/>
      <c r="CE156" s="657"/>
      <c r="CF156" s="657"/>
      <c r="CG156" s="657"/>
      <c r="CH156" s="657"/>
      <c r="CI156" s="657"/>
      <c r="CJ156" s="656"/>
      <c r="CK156" s="656"/>
      <c r="CL156" s="656"/>
      <c r="CM156" s="656"/>
      <c r="CN156" s="656"/>
      <c r="CO156" s="656"/>
      <c r="CP156" s="656"/>
      <c r="CQ156" s="656"/>
      <c r="CR156" s="656"/>
      <c r="CS156" s="656"/>
      <c r="CT156" s="656"/>
    </row>
    <row r="157" spans="1:98" ht="24.95" customHeight="1" x14ac:dyDescent="0.2">
      <c r="A157" s="814" t="s">
        <v>211</v>
      </c>
      <c r="B157" s="1" t="s">
        <v>221</v>
      </c>
      <c r="C157" s="12">
        <v>3</v>
      </c>
      <c r="D157" s="12">
        <v>56</v>
      </c>
      <c r="E157" s="12">
        <v>10</v>
      </c>
      <c r="F157" s="66">
        <v>0.06</v>
      </c>
      <c r="G157" s="66">
        <v>0.19</v>
      </c>
      <c r="H157" s="66">
        <v>0.63</v>
      </c>
      <c r="I157" s="66">
        <v>0.13</v>
      </c>
      <c r="J157" s="66">
        <v>0.5</v>
      </c>
      <c r="K157" s="66">
        <v>0.32</v>
      </c>
      <c r="L157" s="66">
        <v>0.48</v>
      </c>
      <c r="M157" s="12">
        <v>50</v>
      </c>
      <c r="N157" s="12">
        <v>7</v>
      </c>
      <c r="O157" s="40">
        <v>7.0000000000000007E-2</v>
      </c>
      <c r="P157" s="40">
        <v>0.4</v>
      </c>
      <c r="Q157" s="40">
        <v>0.53</v>
      </c>
      <c r="R157" s="40">
        <v>0</v>
      </c>
      <c r="S157" s="40">
        <v>0.45</v>
      </c>
      <c r="T157" s="40">
        <v>0.63</v>
      </c>
      <c r="U157" s="40">
        <v>0.33</v>
      </c>
      <c r="V157" s="12">
        <v>50</v>
      </c>
      <c r="W157" s="12">
        <v>11</v>
      </c>
      <c r="X157" s="66">
        <v>0.13</v>
      </c>
      <c r="Y157" s="66">
        <v>0.38</v>
      </c>
      <c r="Z157" s="66">
        <v>0.5</v>
      </c>
      <c r="AA157" s="66">
        <v>0</v>
      </c>
      <c r="AB157" s="66">
        <v>0.51</v>
      </c>
      <c r="AC157" s="66">
        <v>0.38</v>
      </c>
      <c r="AD157" s="66">
        <v>0.52</v>
      </c>
      <c r="AE157" s="12">
        <v>52</v>
      </c>
      <c r="AF157" s="12">
        <v>11</v>
      </c>
      <c r="AG157" s="66">
        <v>0.05</v>
      </c>
      <c r="AH157" s="66">
        <v>0.45</v>
      </c>
      <c r="AI157" s="66">
        <v>0.45</v>
      </c>
      <c r="AJ157" s="66">
        <v>0.05</v>
      </c>
      <c r="AK157" s="66">
        <v>0.5</v>
      </c>
      <c r="AL157" s="66">
        <v>0.5</v>
      </c>
      <c r="AM157" s="66">
        <v>0.32</v>
      </c>
      <c r="AN157" s="35">
        <v>50</v>
      </c>
      <c r="AO157" s="35">
        <v>9</v>
      </c>
      <c r="AP157" s="40">
        <v>0.04</v>
      </c>
      <c r="AQ157" s="40">
        <v>0.46</v>
      </c>
      <c r="AR157" s="40">
        <v>0.5</v>
      </c>
      <c r="AS157" s="40">
        <v>0</v>
      </c>
      <c r="AT157" s="40">
        <v>0.27</v>
      </c>
      <c r="AU157" s="40">
        <v>0.55000000000000004</v>
      </c>
      <c r="AV157" s="40">
        <v>0.53</v>
      </c>
      <c r="AW157" s="653">
        <v>51</v>
      </c>
      <c r="AX157" s="653" t="s">
        <v>874</v>
      </c>
      <c r="AY157" s="653">
        <v>9</v>
      </c>
      <c r="AZ157" s="653" t="s">
        <v>874</v>
      </c>
      <c r="BA157" s="654">
        <v>0.04</v>
      </c>
      <c r="BB157" s="654">
        <v>0.44</v>
      </c>
      <c r="BC157" s="654">
        <v>0.52</v>
      </c>
      <c r="BD157" s="654">
        <v>0</v>
      </c>
      <c r="BE157" s="654">
        <v>0.3</v>
      </c>
      <c r="BF157" s="654">
        <v>0.53</v>
      </c>
      <c r="BG157" s="654">
        <v>0.45</v>
      </c>
      <c r="BH157" s="74">
        <v>48</v>
      </c>
      <c r="BI157" s="74" t="s">
        <v>874</v>
      </c>
      <c r="BJ157" s="74">
        <v>11</v>
      </c>
      <c r="BK157" s="74" t="s">
        <v>874</v>
      </c>
      <c r="BL157" s="74"/>
      <c r="BM157" s="74"/>
      <c r="BN157" s="74"/>
      <c r="BO157" s="96">
        <v>0.14000000000000001</v>
      </c>
      <c r="BP157" s="96">
        <v>0.43</v>
      </c>
      <c r="BQ157" s="96">
        <v>0.43</v>
      </c>
      <c r="BR157" s="96">
        <v>0</v>
      </c>
      <c r="BS157" s="96">
        <v>0.59</v>
      </c>
      <c r="BT157" s="96">
        <v>0.64</v>
      </c>
      <c r="BU157" s="96"/>
      <c r="BV157" s="96"/>
      <c r="BW157" s="96"/>
      <c r="BX157" s="96">
        <v>0.44</v>
      </c>
      <c r="BY157" s="658">
        <v>52</v>
      </c>
      <c r="BZ157" s="658" t="s">
        <v>874</v>
      </c>
      <c r="CA157" s="658">
        <v>9</v>
      </c>
      <c r="CB157" s="658" t="s">
        <v>874</v>
      </c>
      <c r="CC157" s="659">
        <v>0.04</v>
      </c>
      <c r="CD157" s="659">
        <v>0.35</v>
      </c>
      <c r="CE157" s="659">
        <v>0.62</v>
      </c>
      <c r="CF157" s="659">
        <v>0</v>
      </c>
      <c r="CG157" s="659">
        <v>0.64</v>
      </c>
      <c r="CH157" s="659">
        <v>0.33</v>
      </c>
      <c r="CI157" s="659">
        <v>0.67</v>
      </c>
      <c r="CJ157" s="74">
        <v>52</v>
      </c>
      <c r="CK157" s="74" t="s">
        <v>874</v>
      </c>
      <c r="CL157" s="74">
        <v>10</v>
      </c>
      <c r="CM157" s="74" t="s">
        <v>874</v>
      </c>
      <c r="CN157" s="96">
        <v>0.1</v>
      </c>
      <c r="CO157" s="96">
        <v>0.28000000000000003</v>
      </c>
      <c r="CP157" s="96">
        <v>0.59</v>
      </c>
      <c r="CQ157" s="96">
        <v>0.03</v>
      </c>
      <c r="CR157" s="96">
        <v>0.6</v>
      </c>
      <c r="CS157" s="96">
        <v>0.56000000000000005</v>
      </c>
      <c r="CT157" s="96">
        <v>0.34</v>
      </c>
    </row>
    <row r="158" spans="1:98" ht="24.95" customHeight="1" x14ac:dyDescent="0.2">
      <c r="A158" s="814" t="s">
        <v>57</v>
      </c>
      <c r="B158" s="1" t="s">
        <v>221</v>
      </c>
      <c r="C158" s="12">
        <v>3</v>
      </c>
      <c r="D158" s="12">
        <v>50</v>
      </c>
      <c r="E158" s="12">
        <v>10</v>
      </c>
      <c r="F158" s="66">
        <v>7.0000000000000007E-2</v>
      </c>
      <c r="G158" s="66">
        <v>0.44</v>
      </c>
      <c r="H158" s="66">
        <v>0.49</v>
      </c>
      <c r="I158" s="66">
        <v>0</v>
      </c>
      <c r="J158" s="66">
        <v>0.56999999999999995</v>
      </c>
      <c r="K158" s="66">
        <v>0.49</v>
      </c>
      <c r="L158" s="66">
        <v>0.54</v>
      </c>
      <c r="M158" s="12">
        <v>48</v>
      </c>
      <c r="N158" s="12">
        <v>10</v>
      </c>
      <c r="O158" s="40">
        <v>0.08</v>
      </c>
      <c r="P158" s="40">
        <v>0.57999999999999996</v>
      </c>
      <c r="Q158" s="40">
        <v>0.28999999999999998</v>
      </c>
      <c r="R158" s="40">
        <v>0.04</v>
      </c>
      <c r="S158" s="40">
        <v>0.48</v>
      </c>
      <c r="T158" s="40">
        <v>0.62</v>
      </c>
      <c r="U158" s="40">
        <v>0.43</v>
      </c>
      <c r="V158" s="12">
        <v>48</v>
      </c>
      <c r="W158" s="12">
        <v>9</v>
      </c>
      <c r="X158" s="66">
        <v>0.09</v>
      </c>
      <c r="Y158" s="66">
        <v>0.53</v>
      </c>
      <c r="Z158" s="66">
        <v>0.38</v>
      </c>
      <c r="AA158" s="66">
        <v>0</v>
      </c>
      <c r="AB158" s="66">
        <v>0.55000000000000004</v>
      </c>
      <c r="AC158" s="66">
        <v>0.45</v>
      </c>
      <c r="AD158" s="66">
        <v>0.55000000000000004</v>
      </c>
      <c r="AE158" s="12">
        <v>48</v>
      </c>
      <c r="AF158" s="12">
        <v>10</v>
      </c>
      <c r="AG158" s="66">
        <v>0.11</v>
      </c>
      <c r="AH158" s="66">
        <v>0.56000000000000005</v>
      </c>
      <c r="AI158" s="66">
        <v>0.33</v>
      </c>
      <c r="AJ158" s="66">
        <v>0</v>
      </c>
      <c r="AK158" s="66">
        <v>0.62</v>
      </c>
      <c r="AL158" s="66">
        <v>0.53</v>
      </c>
      <c r="AM158" s="66">
        <v>0.36</v>
      </c>
      <c r="AN158" s="35">
        <v>49</v>
      </c>
      <c r="AO158" s="35">
        <v>6</v>
      </c>
      <c r="AP158" s="40">
        <v>0</v>
      </c>
      <c r="AQ158" s="40">
        <v>0.54</v>
      </c>
      <c r="AR158" s="40">
        <v>0.46</v>
      </c>
      <c r="AS158" s="40">
        <v>0</v>
      </c>
      <c r="AT158" s="40">
        <v>0.35</v>
      </c>
      <c r="AU158" s="40">
        <v>0.49</v>
      </c>
      <c r="AV158" s="40">
        <v>0.62</v>
      </c>
      <c r="AW158" s="247">
        <v>49</v>
      </c>
      <c r="AX158" s="247" t="s">
        <v>874</v>
      </c>
      <c r="AY158" s="247">
        <v>9</v>
      </c>
      <c r="AZ158" s="247" t="s">
        <v>874</v>
      </c>
      <c r="BA158" s="264">
        <v>0.04</v>
      </c>
      <c r="BB158" s="264">
        <v>0.43</v>
      </c>
      <c r="BC158" s="264">
        <v>0.5</v>
      </c>
      <c r="BD158" s="264">
        <v>0.04</v>
      </c>
      <c r="BE158" s="264">
        <v>0.34</v>
      </c>
      <c r="BF158" s="264">
        <v>0.54</v>
      </c>
      <c r="BG158" s="264">
        <v>0.48</v>
      </c>
      <c r="BH158" s="311">
        <v>53</v>
      </c>
      <c r="BI158" s="311" t="s">
        <v>874</v>
      </c>
      <c r="BJ158" s="311">
        <v>9</v>
      </c>
      <c r="BK158" s="311" t="s">
        <v>874</v>
      </c>
      <c r="BL158" s="466"/>
      <c r="BM158" s="466"/>
      <c r="BN158" s="466"/>
      <c r="BO158" s="329">
        <v>0.04</v>
      </c>
      <c r="BP158" s="329">
        <v>0.36</v>
      </c>
      <c r="BQ158" s="329">
        <v>0.61</v>
      </c>
      <c r="BR158" s="329">
        <v>0</v>
      </c>
      <c r="BS158" s="329">
        <v>0.56000000000000005</v>
      </c>
      <c r="BT158" s="329">
        <v>0.56000000000000005</v>
      </c>
      <c r="BU158" s="480"/>
      <c r="BV158" s="480"/>
      <c r="BW158" s="480"/>
      <c r="BX158" s="329">
        <v>0.36</v>
      </c>
      <c r="BY158" s="426">
        <v>51</v>
      </c>
      <c r="BZ158" s="426" t="s">
        <v>874</v>
      </c>
      <c r="CA158" s="426">
        <v>9</v>
      </c>
      <c r="CB158" s="426" t="s">
        <v>874</v>
      </c>
      <c r="CC158" s="430">
        <v>0.06</v>
      </c>
      <c r="CD158" s="430">
        <v>0.38</v>
      </c>
      <c r="CE158" s="430">
        <v>0.56000000000000005</v>
      </c>
      <c r="CF158" s="430">
        <v>0</v>
      </c>
      <c r="CG158" s="430">
        <v>0.61</v>
      </c>
      <c r="CH158" s="430">
        <v>0.43</v>
      </c>
      <c r="CI158" s="430">
        <v>0.64</v>
      </c>
      <c r="CJ158" s="466">
        <v>49</v>
      </c>
      <c r="CK158" s="466" t="s">
        <v>874</v>
      </c>
      <c r="CL158" s="466">
        <v>9</v>
      </c>
      <c r="CM158" s="466" t="s">
        <v>874</v>
      </c>
      <c r="CN158" s="480">
        <v>0.12</v>
      </c>
      <c r="CO158" s="480">
        <v>0.54</v>
      </c>
      <c r="CP158" s="480">
        <v>0.35</v>
      </c>
      <c r="CQ158" s="480">
        <v>0</v>
      </c>
      <c r="CR158" s="480">
        <v>0.61</v>
      </c>
      <c r="CS158" s="480">
        <v>0.59</v>
      </c>
      <c r="CT158" s="480">
        <v>0.45</v>
      </c>
    </row>
    <row r="159" spans="1:98" ht="24.95" customHeight="1" x14ac:dyDescent="0.2">
      <c r="A159" s="814" t="s">
        <v>195</v>
      </c>
      <c r="B159" s="1" t="s">
        <v>221</v>
      </c>
      <c r="C159" s="12">
        <v>5</v>
      </c>
      <c r="D159" s="12">
        <v>59</v>
      </c>
      <c r="E159" s="12">
        <v>8</v>
      </c>
      <c r="F159" s="66">
        <v>0</v>
      </c>
      <c r="G159" s="66">
        <v>0.13</v>
      </c>
      <c r="H159" s="66">
        <v>0.87</v>
      </c>
      <c r="I159" s="66">
        <v>0</v>
      </c>
      <c r="J159" s="66">
        <v>0.42</v>
      </c>
      <c r="K159" s="66">
        <v>0.42</v>
      </c>
      <c r="L159" s="66">
        <v>0.44</v>
      </c>
      <c r="M159" s="12">
        <v>59</v>
      </c>
      <c r="N159" s="12">
        <v>8</v>
      </c>
      <c r="O159" s="40">
        <v>0</v>
      </c>
      <c r="P159" s="40">
        <v>0.12</v>
      </c>
      <c r="Q159" s="40">
        <v>0.82</v>
      </c>
      <c r="R159" s="40">
        <v>0.06</v>
      </c>
      <c r="S159" s="40">
        <v>0.39</v>
      </c>
      <c r="T159" s="40">
        <v>0.42</v>
      </c>
      <c r="U159" s="40">
        <v>0.22</v>
      </c>
      <c r="V159" s="12">
        <v>62</v>
      </c>
      <c r="W159" s="12">
        <v>6</v>
      </c>
      <c r="X159" s="66">
        <v>0</v>
      </c>
      <c r="Y159" s="66">
        <v>0</v>
      </c>
      <c r="Z159" s="66">
        <v>0.84</v>
      </c>
      <c r="AA159" s="66">
        <v>0.16</v>
      </c>
      <c r="AB159" s="66">
        <v>0.27</v>
      </c>
      <c r="AC159" s="66">
        <v>0.27</v>
      </c>
      <c r="AD159" s="66">
        <v>0.37</v>
      </c>
      <c r="AE159" s="12">
        <v>64</v>
      </c>
      <c r="AF159" s="12">
        <v>6</v>
      </c>
      <c r="AG159" s="66">
        <v>0</v>
      </c>
      <c r="AH159" s="66">
        <v>0</v>
      </c>
      <c r="AI159" s="66">
        <v>0.79</v>
      </c>
      <c r="AJ159" s="66">
        <v>0.21</v>
      </c>
      <c r="AK159" s="66">
        <v>0.31</v>
      </c>
      <c r="AL159" s="66">
        <v>0.28000000000000003</v>
      </c>
      <c r="AM159" s="66">
        <v>0.16</v>
      </c>
      <c r="AN159" s="35">
        <v>60</v>
      </c>
      <c r="AO159" s="35">
        <v>7</v>
      </c>
      <c r="AP159" s="40">
        <v>0</v>
      </c>
      <c r="AQ159" s="40">
        <v>0.06</v>
      </c>
      <c r="AR159" s="40">
        <v>0.91</v>
      </c>
      <c r="AS159" s="40">
        <v>0.03</v>
      </c>
      <c r="AT159" s="40">
        <v>0.17</v>
      </c>
      <c r="AU159" s="40">
        <v>0.38</v>
      </c>
      <c r="AV159" s="40">
        <v>0.39</v>
      </c>
      <c r="AW159" s="247">
        <v>62</v>
      </c>
      <c r="AX159" s="247" t="s">
        <v>875</v>
      </c>
      <c r="AY159" s="247">
        <v>9</v>
      </c>
      <c r="AZ159" s="247" t="s">
        <v>874</v>
      </c>
      <c r="BA159" s="264">
        <v>0</v>
      </c>
      <c r="BB159" s="264">
        <v>0.14000000000000001</v>
      </c>
      <c r="BC159" s="264">
        <v>0.7</v>
      </c>
      <c r="BD159" s="264">
        <v>0.16</v>
      </c>
      <c r="BE159" s="264">
        <v>0.16</v>
      </c>
      <c r="BF159" s="264">
        <v>0.32</v>
      </c>
      <c r="BG159" s="264">
        <v>0.28999999999999998</v>
      </c>
      <c r="BH159" s="311">
        <v>58</v>
      </c>
      <c r="BI159" s="311" t="s">
        <v>874</v>
      </c>
      <c r="BJ159" s="311">
        <v>11</v>
      </c>
      <c r="BK159" s="311" t="s">
        <v>874</v>
      </c>
      <c r="BL159" s="466"/>
      <c r="BM159" s="466"/>
      <c r="BN159" s="466"/>
      <c r="BO159" s="329">
        <v>0</v>
      </c>
      <c r="BP159" s="329">
        <v>0.18</v>
      </c>
      <c r="BQ159" s="329">
        <v>0.68</v>
      </c>
      <c r="BR159" s="329">
        <v>0.14000000000000001</v>
      </c>
      <c r="BS159" s="329">
        <v>0.37</v>
      </c>
      <c r="BT159" s="329">
        <v>0.45</v>
      </c>
      <c r="BU159" s="480"/>
      <c r="BV159" s="480"/>
      <c r="BW159" s="480"/>
      <c r="BX159" s="329">
        <v>0.2</v>
      </c>
      <c r="BY159" s="426">
        <v>66</v>
      </c>
      <c r="BZ159" s="426" t="s">
        <v>875</v>
      </c>
      <c r="CA159" s="426">
        <v>7</v>
      </c>
      <c r="CB159" s="426" t="s">
        <v>874</v>
      </c>
      <c r="CC159" s="430">
        <v>0</v>
      </c>
      <c r="CD159" s="430">
        <v>0</v>
      </c>
      <c r="CE159" s="430">
        <v>0.65</v>
      </c>
      <c r="CF159" s="430">
        <v>0.35</v>
      </c>
      <c r="CG159" s="430">
        <v>0.43</v>
      </c>
      <c r="CH159" s="430">
        <v>0.15</v>
      </c>
      <c r="CI159" s="430">
        <v>0.32</v>
      </c>
      <c r="CJ159" s="466">
        <v>64</v>
      </c>
      <c r="CK159" s="466" t="s">
        <v>875</v>
      </c>
      <c r="CL159" s="466">
        <v>10</v>
      </c>
      <c r="CM159" s="466" t="s">
        <v>874</v>
      </c>
      <c r="CN159" s="480">
        <v>0</v>
      </c>
      <c r="CO159" s="480">
        <v>0.12</v>
      </c>
      <c r="CP159" s="480">
        <v>0.67</v>
      </c>
      <c r="CQ159" s="480">
        <v>0.21</v>
      </c>
      <c r="CR159" s="480">
        <v>0.38</v>
      </c>
      <c r="CS159" s="480">
        <v>0.28000000000000003</v>
      </c>
      <c r="CT159" s="480">
        <v>0.22</v>
      </c>
    </row>
    <row r="160" spans="1:98" ht="24.95" customHeight="1" x14ac:dyDescent="0.2">
      <c r="A160" s="814" t="s">
        <v>19</v>
      </c>
      <c r="B160" s="1" t="s">
        <v>221</v>
      </c>
      <c r="C160" s="12">
        <v>5</v>
      </c>
      <c r="D160" s="12">
        <v>57</v>
      </c>
      <c r="E160" s="12">
        <v>8</v>
      </c>
      <c r="F160" s="66">
        <v>0</v>
      </c>
      <c r="G160" s="66">
        <v>0.24</v>
      </c>
      <c r="H160" s="66">
        <v>0.73</v>
      </c>
      <c r="I160" s="66">
        <v>0.03</v>
      </c>
      <c r="J160" s="66">
        <v>0.45</v>
      </c>
      <c r="K160" s="66">
        <v>0.33</v>
      </c>
      <c r="L160" s="66">
        <v>0.45</v>
      </c>
      <c r="M160" s="12">
        <v>59</v>
      </c>
      <c r="N160" s="12">
        <v>8</v>
      </c>
      <c r="O160" s="40">
        <v>0</v>
      </c>
      <c r="P160" s="40">
        <v>0.22</v>
      </c>
      <c r="Q160" s="40">
        <v>0.73</v>
      </c>
      <c r="R160" s="40">
        <v>0.05</v>
      </c>
      <c r="S160" s="40">
        <v>0.38</v>
      </c>
      <c r="T160" s="40">
        <v>0.45</v>
      </c>
      <c r="U160" s="40">
        <v>0.23</v>
      </c>
      <c r="V160" s="12">
        <v>58</v>
      </c>
      <c r="W160" s="12">
        <v>9</v>
      </c>
      <c r="X160" s="66">
        <v>0</v>
      </c>
      <c r="Y160" s="66">
        <v>0.23</v>
      </c>
      <c r="Z160" s="66">
        <v>0.71</v>
      </c>
      <c r="AA160" s="66">
        <v>0.06</v>
      </c>
      <c r="AB160" s="66">
        <v>0.41</v>
      </c>
      <c r="AC160" s="66">
        <v>0.28000000000000003</v>
      </c>
      <c r="AD160" s="66">
        <v>0.42</v>
      </c>
      <c r="AE160" s="12">
        <v>59</v>
      </c>
      <c r="AF160" s="12">
        <v>7</v>
      </c>
      <c r="AG160" s="66">
        <v>0</v>
      </c>
      <c r="AH160" s="66">
        <v>0.13</v>
      </c>
      <c r="AI160" s="66">
        <v>0.84</v>
      </c>
      <c r="AJ160" s="66">
        <v>0.04</v>
      </c>
      <c r="AK160" s="66">
        <v>0.41</v>
      </c>
      <c r="AL160" s="66">
        <v>0.4</v>
      </c>
      <c r="AM160" s="66">
        <v>0.19</v>
      </c>
      <c r="AN160" s="35">
        <v>58</v>
      </c>
      <c r="AO160" s="35">
        <v>8</v>
      </c>
      <c r="AP160" s="40">
        <v>0</v>
      </c>
      <c r="AQ160" s="40">
        <v>0.17</v>
      </c>
      <c r="AR160" s="40">
        <v>0.78</v>
      </c>
      <c r="AS160" s="40">
        <v>0.05</v>
      </c>
      <c r="AT160" s="40">
        <v>0.2</v>
      </c>
      <c r="AU160" s="40">
        <v>0.41</v>
      </c>
      <c r="AV160" s="40">
        <v>0.41</v>
      </c>
      <c r="AW160" s="247">
        <v>57</v>
      </c>
      <c r="AX160" s="247" t="s">
        <v>874</v>
      </c>
      <c r="AY160" s="247">
        <v>9</v>
      </c>
      <c r="AZ160" s="247" t="s">
        <v>874</v>
      </c>
      <c r="BA160" s="264">
        <v>0.02</v>
      </c>
      <c r="BB160" s="264">
        <v>0.2</v>
      </c>
      <c r="BC160" s="264">
        <v>0.7</v>
      </c>
      <c r="BD160" s="264">
        <v>7.0000000000000007E-2</v>
      </c>
      <c r="BE160" s="264">
        <v>0.2</v>
      </c>
      <c r="BF160" s="264">
        <v>0.43</v>
      </c>
      <c r="BG160" s="264">
        <v>0.4</v>
      </c>
      <c r="BH160" s="311">
        <v>56</v>
      </c>
      <c r="BI160" s="311" t="s">
        <v>874</v>
      </c>
      <c r="BJ160" s="311">
        <v>8</v>
      </c>
      <c r="BK160" s="311" t="s">
        <v>874</v>
      </c>
      <c r="BL160" s="466"/>
      <c r="BM160" s="466"/>
      <c r="BN160" s="466"/>
      <c r="BO160" s="329">
        <v>0</v>
      </c>
      <c r="BP160" s="329">
        <v>0.25</v>
      </c>
      <c r="BQ160" s="329">
        <v>0.73</v>
      </c>
      <c r="BR160" s="329">
        <v>0.03</v>
      </c>
      <c r="BS160" s="329">
        <v>0.44</v>
      </c>
      <c r="BT160" s="329">
        <v>0.54</v>
      </c>
      <c r="BU160" s="480"/>
      <c r="BV160" s="480"/>
      <c r="BW160" s="480"/>
      <c r="BX160" s="329">
        <v>0.32</v>
      </c>
      <c r="BY160" s="426">
        <v>57</v>
      </c>
      <c r="BZ160" s="426" t="s">
        <v>874</v>
      </c>
      <c r="CA160" s="426">
        <v>11</v>
      </c>
      <c r="CB160" s="426" t="s">
        <v>874</v>
      </c>
      <c r="CC160" s="430">
        <v>0.03</v>
      </c>
      <c r="CD160" s="430">
        <v>0.24</v>
      </c>
      <c r="CE160" s="430">
        <v>0.63</v>
      </c>
      <c r="CF160" s="430">
        <v>0.09</v>
      </c>
      <c r="CG160" s="430">
        <v>0.55000000000000004</v>
      </c>
      <c r="CH160" s="430">
        <v>0.3</v>
      </c>
      <c r="CI160" s="430">
        <v>0.48</v>
      </c>
      <c r="CJ160" s="466">
        <v>55</v>
      </c>
      <c r="CK160" s="466" t="s">
        <v>874</v>
      </c>
      <c r="CL160" s="466">
        <v>11</v>
      </c>
      <c r="CM160" s="466" t="s">
        <v>874</v>
      </c>
      <c r="CN160" s="480">
        <v>0.04</v>
      </c>
      <c r="CO160" s="480">
        <v>0.36</v>
      </c>
      <c r="CP160" s="480">
        <v>0.55000000000000004</v>
      </c>
      <c r="CQ160" s="480">
        <v>0.05</v>
      </c>
      <c r="CR160" s="480">
        <v>0.5</v>
      </c>
      <c r="CS160" s="480">
        <v>0.47</v>
      </c>
      <c r="CT160" s="480">
        <v>0.42</v>
      </c>
    </row>
    <row r="161" spans="1:98" ht="24.95" customHeight="1" x14ac:dyDescent="0.2">
      <c r="A161" s="814" t="s">
        <v>118</v>
      </c>
      <c r="B161" s="1" t="s">
        <v>221</v>
      </c>
      <c r="C161" s="12">
        <v>3</v>
      </c>
      <c r="D161" s="12">
        <v>54</v>
      </c>
      <c r="E161" s="12">
        <v>11</v>
      </c>
      <c r="F161" s="66">
        <v>0</v>
      </c>
      <c r="G161" s="66">
        <v>0.47</v>
      </c>
      <c r="H161" s="66">
        <v>0.43</v>
      </c>
      <c r="I161" s="66">
        <v>0.1</v>
      </c>
      <c r="J161" s="66">
        <v>0.53</v>
      </c>
      <c r="K161" s="66">
        <v>0.36</v>
      </c>
      <c r="L161" s="66">
        <v>0.52</v>
      </c>
      <c r="M161" s="12">
        <v>50</v>
      </c>
      <c r="N161" s="12">
        <v>9</v>
      </c>
      <c r="O161" s="40">
        <v>0.04</v>
      </c>
      <c r="P161" s="40">
        <v>0.46</v>
      </c>
      <c r="Q161" s="40">
        <v>0.5</v>
      </c>
      <c r="R161" s="40">
        <v>0</v>
      </c>
      <c r="S161" s="40">
        <v>0.52</v>
      </c>
      <c r="T161" s="40">
        <v>0.59</v>
      </c>
      <c r="U161" s="40">
        <v>0.35</v>
      </c>
      <c r="V161" s="12">
        <v>52</v>
      </c>
      <c r="W161" s="12">
        <v>7</v>
      </c>
      <c r="X161" s="66">
        <v>0.04</v>
      </c>
      <c r="Y161" s="66">
        <v>0.32</v>
      </c>
      <c r="Z161" s="66">
        <v>0.64</v>
      </c>
      <c r="AA161" s="66">
        <v>0</v>
      </c>
      <c r="AB161" s="66">
        <v>0.5</v>
      </c>
      <c r="AC161" s="66">
        <v>0.38</v>
      </c>
      <c r="AD161" s="66">
        <v>0.51</v>
      </c>
      <c r="AE161" s="12">
        <v>56</v>
      </c>
      <c r="AF161" s="12">
        <v>9</v>
      </c>
      <c r="AG161" s="66">
        <v>0</v>
      </c>
      <c r="AH161" s="66">
        <v>0.41</v>
      </c>
      <c r="AI161" s="66">
        <v>0.52</v>
      </c>
      <c r="AJ161" s="66">
        <v>7.0000000000000007E-2</v>
      </c>
      <c r="AK161" s="66">
        <v>0.49</v>
      </c>
      <c r="AL161" s="66">
        <v>0.4</v>
      </c>
      <c r="AM161" s="66">
        <v>0.27</v>
      </c>
      <c r="AN161" s="35">
        <v>53</v>
      </c>
      <c r="AO161" s="35">
        <v>8</v>
      </c>
      <c r="AP161" s="40">
        <v>0.03</v>
      </c>
      <c r="AQ161" s="40">
        <v>0.38</v>
      </c>
      <c r="AR161" s="40">
        <v>0.59</v>
      </c>
      <c r="AS161" s="40">
        <v>0</v>
      </c>
      <c r="AT161" s="40">
        <v>0.28000000000000003</v>
      </c>
      <c r="AU161" s="40">
        <v>0.52</v>
      </c>
      <c r="AV161" s="40">
        <v>0.54</v>
      </c>
      <c r="AW161" s="247">
        <v>56</v>
      </c>
      <c r="AX161" s="247" t="s">
        <v>874</v>
      </c>
      <c r="AY161" s="247">
        <v>8</v>
      </c>
      <c r="AZ161" s="247" t="s">
        <v>874</v>
      </c>
      <c r="BA161" s="264">
        <v>0</v>
      </c>
      <c r="BB161" s="264">
        <v>0.24</v>
      </c>
      <c r="BC161" s="264">
        <v>0.7</v>
      </c>
      <c r="BD161" s="264">
        <v>0.05</v>
      </c>
      <c r="BE161" s="264">
        <v>0.2</v>
      </c>
      <c r="BF161" s="264">
        <v>0.46</v>
      </c>
      <c r="BG161" s="264">
        <v>0.42</v>
      </c>
      <c r="BH161" s="311">
        <v>56</v>
      </c>
      <c r="BI161" s="311" t="s">
        <v>874</v>
      </c>
      <c r="BJ161" s="311">
        <v>11</v>
      </c>
      <c r="BK161" s="311" t="s">
        <v>874</v>
      </c>
      <c r="BL161" s="466"/>
      <c r="BM161" s="466"/>
      <c r="BN161" s="466"/>
      <c r="BO161" s="329">
        <v>0.03</v>
      </c>
      <c r="BP161" s="329">
        <v>0.35</v>
      </c>
      <c r="BQ161" s="329">
        <v>0.55000000000000004</v>
      </c>
      <c r="BR161" s="329">
        <v>0.08</v>
      </c>
      <c r="BS161" s="329">
        <v>0.47</v>
      </c>
      <c r="BT161" s="329">
        <v>0.55000000000000004</v>
      </c>
      <c r="BU161" s="480"/>
      <c r="BV161" s="480"/>
      <c r="BW161" s="480"/>
      <c r="BX161" s="329">
        <v>0.31</v>
      </c>
      <c r="BY161" s="426">
        <v>53</v>
      </c>
      <c r="BZ161" s="426" t="s">
        <v>874</v>
      </c>
      <c r="CA161" s="426">
        <v>10</v>
      </c>
      <c r="CB161" s="426" t="s">
        <v>874</v>
      </c>
      <c r="CC161" s="430">
        <v>7.0000000000000007E-2</v>
      </c>
      <c r="CD161" s="430">
        <v>0.23</v>
      </c>
      <c r="CE161" s="430">
        <v>0.67</v>
      </c>
      <c r="CF161" s="430">
        <v>0.03</v>
      </c>
      <c r="CG161" s="430">
        <v>0.59</v>
      </c>
      <c r="CH161" s="430">
        <v>0.33</v>
      </c>
      <c r="CI161" s="430">
        <v>0.53</v>
      </c>
      <c r="CJ161" s="466">
        <v>47</v>
      </c>
      <c r="CK161" s="466" t="s">
        <v>874</v>
      </c>
      <c r="CL161" s="466">
        <v>10</v>
      </c>
      <c r="CM161" s="466" t="s">
        <v>874</v>
      </c>
      <c r="CN161" s="480">
        <v>0.18</v>
      </c>
      <c r="CO161" s="480">
        <v>0.41</v>
      </c>
      <c r="CP161" s="480">
        <v>0.41</v>
      </c>
      <c r="CQ161" s="480">
        <v>0</v>
      </c>
      <c r="CR161" s="480">
        <v>0.68</v>
      </c>
      <c r="CS161" s="480">
        <v>0.56000000000000005</v>
      </c>
      <c r="CT161" s="480">
        <v>0.56000000000000005</v>
      </c>
    </row>
    <row r="162" spans="1:98" ht="24.95" customHeight="1" x14ac:dyDescent="0.2">
      <c r="A162" s="814" t="s">
        <v>205</v>
      </c>
      <c r="B162" s="1" t="s">
        <v>221</v>
      </c>
      <c r="C162" s="12">
        <v>5</v>
      </c>
      <c r="D162" s="12">
        <v>49</v>
      </c>
      <c r="E162" s="12">
        <v>9</v>
      </c>
      <c r="F162" s="66">
        <v>0.16</v>
      </c>
      <c r="G162" s="66">
        <v>0.31</v>
      </c>
      <c r="H162" s="66">
        <v>0.53</v>
      </c>
      <c r="I162" s="66">
        <v>0</v>
      </c>
      <c r="J162" s="66">
        <v>0.57999999999999996</v>
      </c>
      <c r="K162" s="66">
        <v>0.47</v>
      </c>
      <c r="L162" s="66">
        <v>0.54</v>
      </c>
      <c r="M162" s="12">
        <v>56</v>
      </c>
      <c r="N162" s="12">
        <v>10</v>
      </c>
      <c r="O162" s="40">
        <v>0.05</v>
      </c>
      <c r="P162" s="40">
        <v>0.23</v>
      </c>
      <c r="Q162" s="40">
        <v>0.7</v>
      </c>
      <c r="R162" s="40">
        <v>0.03</v>
      </c>
      <c r="S162" s="40">
        <v>0.44</v>
      </c>
      <c r="T162" s="40">
        <v>0.47</v>
      </c>
      <c r="U162" s="40">
        <v>0.3</v>
      </c>
      <c r="V162" s="12">
        <v>55</v>
      </c>
      <c r="W162" s="12">
        <v>9</v>
      </c>
      <c r="X162" s="66">
        <v>0</v>
      </c>
      <c r="Y162" s="66">
        <v>0.35</v>
      </c>
      <c r="Z162" s="66">
        <v>0.63</v>
      </c>
      <c r="AA162" s="66">
        <v>0.02</v>
      </c>
      <c r="AB162" s="66">
        <v>0.45</v>
      </c>
      <c r="AC162" s="66">
        <v>0.33</v>
      </c>
      <c r="AD162" s="66">
        <v>0.47</v>
      </c>
      <c r="AE162" s="12">
        <v>55</v>
      </c>
      <c r="AF162" s="12">
        <v>9</v>
      </c>
      <c r="AG162" s="66">
        <v>0.02</v>
      </c>
      <c r="AH162" s="66">
        <v>0.27</v>
      </c>
      <c r="AI162" s="66">
        <v>0.69</v>
      </c>
      <c r="AJ162" s="66">
        <v>0.02</v>
      </c>
      <c r="AK162" s="66">
        <v>0.49</v>
      </c>
      <c r="AL162" s="66">
        <v>0.4</v>
      </c>
      <c r="AM162" s="66">
        <v>0.23</v>
      </c>
      <c r="AN162" s="35">
        <v>59</v>
      </c>
      <c r="AO162" s="35">
        <v>10</v>
      </c>
      <c r="AP162" s="40">
        <v>0</v>
      </c>
      <c r="AQ162" s="40">
        <v>0.22</v>
      </c>
      <c r="AR162" s="40">
        <v>0.73</v>
      </c>
      <c r="AS162" s="40">
        <v>0.05</v>
      </c>
      <c r="AT162" s="40">
        <v>0.19</v>
      </c>
      <c r="AU162" s="40">
        <v>0.39</v>
      </c>
      <c r="AV162" s="40">
        <v>0.45</v>
      </c>
      <c r="AW162" s="247">
        <v>56</v>
      </c>
      <c r="AX162" s="247" t="s">
        <v>874</v>
      </c>
      <c r="AY162" s="247">
        <v>8</v>
      </c>
      <c r="AZ162" s="247" t="s">
        <v>874</v>
      </c>
      <c r="BA162" s="264">
        <v>0</v>
      </c>
      <c r="BB162" s="264">
        <v>0.28000000000000003</v>
      </c>
      <c r="BC162" s="264">
        <v>0.72</v>
      </c>
      <c r="BD162" s="264">
        <v>0</v>
      </c>
      <c r="BE162" s="264">
        <v>0.22</v>
      </c>
      <c r="BF162" s="264">
        <v>0.46</v>
      </c>
      <c r="BG162" s="264">
        <v>0.4</v>
      </c>
      <c r="BH162" s="311">
        <v>58</v>
      </c>
      <c r="BI162" s="311" t="s">
        <v>874</v>
      </c>
      <c r="BJ162" s="311">
        <v>12</v>
      </c>
      <c r="BK162" s="311" t="s">
        <v>874</v>
      </c>
      <c r="BL162" s="466"/>
      <c r="BM162" s="466"/>
      <c r="BN162" s="466"/>
      <c r="BO162" s="329">
        <v>0.02</v>
      </c>
      <c r="BP162" s="329">
        <v>0.15</v>
      </c>
      <c r="BQ162" s="329">
        <v>0.72</v>
      </c>
      <c r="BR162" s="329">
        <v>0.11</v>
      </c>
      <c r="BS162" s="329">
        <v>0.41</v>
      </c>
      <c r="BT162" s="329">
        <v>0.46</v>
      </c>
      <c r="BU162" s="480"/>
      <c r="BV162" s="480"/>
      <c r="BW162" s="480"/>
      <c r="BX162" s="329">
        <v>0.22</v>
      </c>
      <c r="BY162" s="426">
        <v>57</v>
      </c>
      <c r="BZ162" s="426" t="s">
        <v>874</v>
      </c>
      <c r="CA162" s="426">
        <v>9</v>
      </c>
      <c r="CB162" s="426" t="s">
        <v>874</v>
      </c>
      <c r="CC162" s="430">
        <v>0</v>
      </c>
      <c r="CD162" s="430">
        <v>0.2</v>
      </c>
      <c r="CE162" s="430">
        <v>0.73</v>
      </c>
      <c r="CF162" s="430">
        <v>7.0000000000000007E-2</v>
      </c>
      <c r="CG162" s="430">
        <v>0.54</v>
      </c>
      <c r="CH162" s="430">
        <v>0.27</v>
      </c>
      <c r="CI162" s="430">
        <v>0.53</v>
      </c>
      <c r="CJ162" s="466">
        <v>58</v>
      </c>
      <c r="CK162" s="466" t="s">
        <v>874</v>
      </c>
      <c r="CL162" s="466">
        <v>9</v>
      </c>
      <c r="CM162" s="466" t="s">
        <v>874</v>
      </c>
      <c r="CN162" s="480">
        <v>0</v>
      </c>
      <c r="CO162" s="480">
        <v>0.19</v>
      </c>
      <c r="CP162" s="480">
        <v>0.74</v>
      </c>
      <c r="CQ162" s="480">
        <v>7.0000000000000007E-2</v>
      </c>
      <c r="CR162" s="480">
        <v>0.45</v>
      </c>
      <c r="CS162" s="480">
        <v>0.44</v>
      </c>
      <c r="CT162" s="480">
        <v>0.35</v>
      </c>
    </row>
    <row r="163" spans="1:98" ht="24.95" customHeight="1" x14ac:dyDescent="0.2">
      <c r="A163" s="816" t="s">
        <v>201</v>
      </c>
      <c r="B163" s="1" t="s">
        <v>219</v>
      </c>
      <c r="C163" s="12">
        <v>5</v>
      </c>
      <c r="D163" s="12">
        <v>53</v>
      </c>
      <c r="E163" s="12">
        <v>8</v>
      </c>
      <c r="F163" s="66">
        <v>0.02</v>
      </c>
      <c r="G163" s="66">
        <v>0.33</v>
      </c>
      <c r="H163" s="66">
        <v>0.64</v>
      </c>
      <c r="I163" s="66">
        <v>0.02</v>
      </c>
      <c r="J163" s="66">
        <v>0.5</v>
      </c>
      <c r="K163" s="66">
        <v>0.49</v>
      </c>
      <c r="L163" s="66">
        <v>0.57999999999999996</v>
      </c>
      <c r="M163" s="12">
        <v>56</v>
      </c>
      <c r="N163" s="12">
        <v>9</v>
      </c>
      <c r="O163" s="40">
        <v>0.02</v>
      </c>
      <c r="P163" s="40">
        <v>0.25</v>
      </c>
      <c r="Q163" s="40">
        <v>0.68</v>
      </c>
      <c r="R163" s="40">
        <v>0.06</v>
      </c>
      <c r="S163" s="40">
        <v>0.43</v>
      </c>
      <c r="T163" s="40">
        <v>0.48</v>
      </c>
      <c r="U163" s="40">
        <v>0.28000000000000003</v>
      </c>
      <c r="V163" s="12">
        <v>55</v>
      </c>
      <c r="W163" s="12">
        <v>8</v>
      </c>
      <c r="X163" s="66">
        <v>0.01</v>
      </c>
      <c r="Y163" s="66">
        <v>0.31</v>
      </c>
      <c r="Z163" s="66">
        <v>0.64</v>
      </c>
      <c r="AA163" s="66">
        <v>0.04</v>
      </c>
      <c r="AB163" s="66">
        <v>0.45</v>
      </c>
      <c r="AC163" s="66">
        <v>0.33</v>
      </c>
      <c r="AD163" s="66">
        <v>0.44</v>
      </c>
      <c r="AE163" s="12">
        <v>58</v>
      </c>
      <c r="AF163" s="12">
        <v>8</v>
      </c>
      <c r="AG163" s="66">
        <v>0</v>
      </c>
      <c r="AH163" s="66">
        <v>0.18</v>
      </c>
      <c r="AI163" s="66">
        <v>0.74</v>
      </c>
      <c r="AJ163" s="66">
        <v>0.08</v>
      </c>
      <c r="AK163" s="66">
        <v>0.45</v>
      </c>
      <c r="AL163" s="66">
        <v>0.39</v>
      </c>
      <c r="AM163" s="66">
        <v>0.21</v>
      </c>
      <c r="AN163" s="35">
        <v>60</v>
      </c>
      <c r="AO163" s="35">
        <v>8</v>
      </c>
      <c r="AP163" s="40">
        <v>0</v>
      </c>
      <c r="AQ163" s="40">
        <v>0.14000000000000001</v>
      </c>
      <c r="AR163" s="40">
        <v>0.8</v>
      </c>
      <c r="AS163" s="40">
        <v>0.06</v>
      </c>
      <c r="AT163" s="40">
        <v>0.17</v>
      </c>
      <c r="AU163" s="40">
        <v>0.37</v>
      </c>
      <c r="AV163" s="40">
        <v>0.39</v>
      </c>
      <c r="AW163" s="247">
        <v>56</v>
      </c>
      <c r="AX163" s="247" t="s">
        <v>874</v>
      </c>
      <c r="AY163" s="247">
        <v>8</v>
      </c>
      <c r="AZ163" s="247" t="s">
        <v>874</v>
      </c>
      <c r="BA163" s="264">
        <v>0</v>
      </c>
      <c r="BB163" s="264">
        <v>0.21</v>
      </c>
      <c r="BC163" s="264">
        <v>0.73</v>
      </c>
      <c r="BD163" s="264">
        <v>0.06</v>
      </c>
      <c r="BE163" s="264">
        <v>0.22</v>
      </c>
      <c r="BF163" s="264">
        <v>0.45</v>
      </c>
      <c r="BG163" s="264">
        <v>0.38</v>
      </c>
      <c r="BH163" s="311">
        <v>59</v>
      </c>
      <c r="BI163" s="311" t="s">
        <v>874</v>
      </c>
      <c r="BJ163" s="311">
        <v>9</v>
      </c>
      <c r="BK163" s="311" t="s">
        <v>874</v>
      </c>
      <c r="BL163" s="466"/>
      <c r="BM163" s="466"/>
      <c r="BN163" s="466"/>
      <c r="BO163" s="329">
        <v>0.01</v>
      </c>
      <c r="BP163" s="329">
        <v>0.12</v>
      </c>
      <c r="BQ163" s="329">
        <v>0.8</v>
      </c>
      <c r="BR163" s="329">
        <v>7.0000000000000007E-2</v>
      </c>
      <c r="BS163" s="329">
        <v>0.39</v>
      </c>
      <c r="BT163" s="329">
        <v>0.51</v>
      </c>
      <c r="BU163" s="480"/>
      <c r="BV163" s="480"/>
      <c r="BW163" s="480"/>
      <c r="BX163" s="329">
        <v>0.28999999999999998</v>
      </c>
      <c r="BY163" s="426">
        <v>56</v>
      </c>
      <c r="BZ163" s="426" t="s">
        <v>874</v>
      </c>
      <c r="CA163" s="426">
        <v>10</v>
      </c>
      <c r="CB163" s="426" t="s">
        <v>874</v>
      </c>
      <c r="CC163" s="430">
        <v>0.03</v>
      </c>
      <c r="CD163" s="430">
        <v>0.26</v>
      </c>
      <c r="CE163" s="430">
        <v>0.68</v>
      </c>
      <c r="CF163" s="430">
        <v>0.03</v>
      </c>
      <c r="CG163" s="430">
        <v>0.57999999999999996</v>
      </c>
      <c r="CH163" s="430">
        <v>0.32</v>
      </c>
      <c r="CI163" s="430">
        <v>0.54</v>
      </c>
      <c r="CJ163" s="466">
        <v>59</v>
      </c>
      <c r="CK163" s="466" t="s">
        <v>874</v>
      </c>
      <c r="CL163" s="466">
        <v>10</v>
      </c>
      <c r="CM163" s="466" t="s">
        <v>874</v>
      </c>
      <c r="CN163" s="480">
        <v>0.02</v>
      </c>
      <c r="CO163" s="480">
        <v>0.17</v>
      </c>
      <c r="CP163" s="480">
        <v>0.69</v>
      </c>
      <c r="CQ163" s="480">
        <v>0.12</v>
      </c>
      <c r="CR163" s="480">
        <v>0.52</v>
      </c>
      <c r="CS163" s="480">
        <v>0.42</v>
      </c>
      <c r="CT163" s="480">
        <v>0.34</v>
      </c>
    </row>
    <row r="164" spans="1:98" ht="24.95" customHeight="1" x14ac:dyDescent="0.2">
      <c r="A164" s="814" t="s">
        <v>213</v>
      </c>
      <c r="B164" s="1" t="s">
        <v>221</v>
      </c>
      <c r="C164" s="12">
        <v>5</v>
      </c>
      <c r="D164" s="12">
        <v>56</v>
      </c>
      <c r="E164" s="12">
        <v>8</v>
      </c>
      <c r="F164" s="66">
        <v>0</v>
      </c>
      <c r="G164" s="66">
        <v>0.21</v>
      </c>
      <c r="H164" s="66">
        <v>0.74</v>
      </c>
      <c r="I164" s="66">
        <v>0.05</v>
      </c>
      <c r="J164" s="66">
        <v>0.5</v>
      </c>
      <c r="K164" s="66">
        <v>0.37</v>
      </c>
      <c r="L164" s="66">
        <v>0.51</v>
      </c>
      <c r="M164" s="12">
        <v>57</v>
      </c>
      <c r="N164" s="12">
        <v>10</v>
      </c>
      <c r="O164" s="40">
        <v>7.0000000000000007E-2</v>
      </c>
      <c r="P164" s="40">
        <v>0.14000000000000001</v>
      </c>
      <c r="Q164" s="40">
        <v>0.71</v>
      </c>
      <c r="R164" s="40">
        <v>7.0000000000000007E-2</v>
      </c>
      <c r="S164" s="40">
        <v>0.35</v>
      </c>
      <c r="T164" s="40">
        <v>0.44</v>
      </c>
      <c r="U164" s="40">
        <v>0.32</v>
      </c>
      <c r="V164" s="12">
        <v>59</v>
      </c>
      <c r="W164" s="12">
        <v>8</v>
      </c>
      <c r="X164" s="66">
        <v>0</v>
      </c>
      <c r="Y164" s="66">
        <v>0.11</v>
      </c>
      <c r="Z164" s="66">
        <v>0.8</v>
      </c>
      <c r="AA164" s="66">
        <v>0.09</v>
      </c>
      <c r="AB164" s="66">
        <v>0.35</v>
      </c>
      <c r="AC164" s="66">
        <v>0.33</v>
      </c>
      <c r="AD164" s="66">
        <v>0.4</v>
      </c>
      <c r="AE164" s="12">
        <v>61</v>
      </c>
      <c r="AF164" s="12">
        <v>7</v>
      </c>
      <c r="AG164" s="66">
        <v>0</v>
      </c>
      <c r="AH164" s="66">
        <v>0.05</v>
      </c>
      <c r="AI164" s="66">
        <v>0.9</v>
      </c>
      <c r="AJ164" s="66">
        <v>0.05</v>
      </c>
      <c r="AK164" s="66">
        <v>0.43</v>
      </c>
      <c r="AL164" s="66">
        <v>0.34</v>
      </c>
      <c r="AM164" s="66">
        <v>0.16</v>
      </c>
      <c r="AN164" s="35">
        <v>59</v>
      </c>
      <c r="AO164" s="35">
        <v>8</v>
      </c>
      <c r="AP164" s="40">
        <v>0</v>
      </c>
      <c r="AQ164" s="40">
        <v>0.14000000000000001</v>
      </c>
      <c r="AR164" s="40">
        <v>0.81</v>
      </c>
      <c r="AS164" s="40">
        <v>0.05</v>
      </c>
      <c r="AT164" s="40">
        <v>0.17</v>
      </c>
      <c r="AU164" s="40">
        <v>0.41</v>
      </c>
      <c r="AV164" s="40">
        <v>0.4</v>
      </c>
      <c r="AW164" s="247">
        <v>56</v>
      </c>
      <c r="AX164" s="247" t="s">
        <v>874</v>
      </c>
      <c r="AY164" s="247">
        <v>9</v>
      </c>
      <c r="AZ164" s="247" t="s">
        <v>874</v>
      </c>
      <c r="BA164" s="264">
        <v>0</v>
      </c>
      <c r="BB164" s="264">
        <v>0.23</v>
      </c>
      <c r="BC164" s="264">
        <v>0.7</v>
      </c>
      <c r="BD164" s="264">
        <v>7.0000000000000007E-2</v>
      </c>
      <c r="BE164" s="264">
        <v>0.23</v>
      </c>
      <c r="BF164" s="264">
        <v>0.44</v>
      </c>
      <c r="BG164" s="264">
        <v>0.42</v>
      </c>
      <c r="BH164" s="311">
        <v>58</v>
      </c>
      <c r="BI164" s="311" t="s">
        <v>874</v>
      </c>
      <c r="BJ164" s="311">
        <v>11</v>
      </c>
      <c r="BK164" s="311" t="s">
        <v>874</v>
      </c>
      <c r="BL164" s="466"/>
      <c r="BM164" s="466"/>
      <c r="BN164" s="466"/>
      <c r="BO164" s="329">
        <v>0.03</v>
      </c>
      <c r="BP164" s="329">
        <v>0.18</v>
      </c>
      <c r="BQ164" s="329">
        <v>0.74</v>
      </c>
      <c r="BR164" s="329">
        <v>0.05</v>
      </c>
      <c r="BS164" s="329">
        <v>0.4</v>
      </c>
      <c r="BT164" s="329">
        <v>0.53</v>
      </c>
      <c r="BU164" s="480"/>
      <c r="BV164" s="480"/>
      <c r="BW164" s="480"/>
      <c r="BX164" s="329">
        <v>0.32</v>
      </c>
      <c r="BY164" s="426">
        <v>59</v>
      </c>
      <c r="BZ164" s="426" t="s">
        <v>874</v>
      </c>
      <c r="CA164" s="426">
        <v>9</v>
      </c>
      <c r="CB164" s="426" t="s">
        <v>874</v>
      </c>
      <c r="CC164" s="430">
        <v>0</v>
      </c>
      <c r="CD164" s="430">
        <v>0.15</v>
      </c>
      <c r="CE164" s="430">
        <v>0.74</v>
      </c>
      <c r="CF164" s="430">
        <v>0.11</v>
      </c>
      <c r="CG164" s="430">
        <v>0.53</v>
      </c>
      <c r="CH164" s="430">
        <v>0.32</v>
      </c>
      <c r="CI164" s="430">
        <v>0.44</v>
      </c>
      <c r="CJ164" s="466">
        <v>60</v>
      </c>
      <c r="CK164" s="466" t="s">
        <v>874</v>
      </c>
      <c r="CL164" s="466">
        <v>9</v>
      </c>
      <c r="CM164" s="466" t="s">
        <v>874</v>
      </c>
      <c r="CN164" s="480">
        <v>0</v>
      </c>
      <c r="CO164" s="480">
        <v>0.15</v>
      </c>
      <c r="CP164" s="480">
        <v>0.72</v>
      </c>
      <c r="CQ164" s="480">
        <v>0.13</v>
      </c>
      <c r="CR164" s="480">
        <v>0.46</v>
      </c>
      <c r="CS164" s="480">
        <v>0.4</v>
      </c>
      <c r="CT164" s="480">
        <v>0.28999999999999998</v>
      </c>
    </row>
    <row r="165" spans="1:98" ht="24.95" customHeight="1" x14ac:dyDescent="0.2">
      <c r="A165" s="814" t="s">
        <v>176</v>
      </c>
      <c r="B165" s="1" t="s">
        <v>221</v>
      </c>
      <c r="C165" s="12">
        <v>5</v>
      </c>
      <c r="D165" s="12">
        <v>54</v>
      </c>
      <c r="E165" s="12">
        <v>8</v>
      </c>
      <c r="F165" s="66">
        <v>0</v>
      </c>
      <c r="G165" s="66">
        <v>0.4</v>
      </c>
      <c r="H165" s="66">
        <v>0.56999999999999995</v>
      </c>
      <c r="I165" s="66">
        <v>0.03</v>
      </c>
      <c r="J165" s="66">
        <v>0.51</v>
      </c>
      <c r="K165" s="66">
        <v>0.47</v>
      </c>
      <c r="L165" s="66">
        <v>0.48</v>
      </c>
      <c r="M165" s="12">
        <v>54</v>
      </c>
      <c r="N165" s="12">
        <v>8</v>
      </c>
      <c r="O165" s="40">
        <v>0</v>
      </c>
      <c r="P165" s="40">
        <v>0.31</v>
      </c>
      <c r="Q165" s="40">
        <v>0.69</v>
      </c>
      <c r="R165" s="40">
        <v>0</v>
      </c>
      <c r="S165" s="40">
        <v>0.44</v>
      </c>
      <c r="T165" s="40">
        <v>0.53</v>
      </c>
      <c r="U165" s="40">
        <v>0.32</v>
      </c>
      <c r="V165" s="12">
        <v>56</v>
      </c>
      <c r="W165" s="12">
        <v>7</v>
      </c>
      <c r="X165" s="66">
        <v>0</v>
      </c>
      <c r="Y165" s="66">
        <v>0.28000000000000003</v>
      </c>
      <c r="Z165" s="66">
        <v>0.67</v>
      </c>
      <c r="AA165" s="66">
        <v>0.06</v>
      </c>
      <c r="AB165" s="66">
        <v>0.43</v>
      </c>
      <c r="AC165" s="66">
        <v>0.33</v>
      </c>
      <c r="AD165" s="66">
        <v>0.48</v>
      </c>
      <c r="AE165" s="12">
        <v>57</v>
      </c>
      <c r="AF165" s="12">
        <v>9</v>
      </c>
      <c r="AG165" s="66">
        <v>0</v>
      </c>
      <c r="AH165" s="66">
        <v>0.25</v>
      </c>
      <c r="AI165" s="66">
        <v>0.7</v>
      </c>
      <c r="AJ165" s="66">
        <v>0.05</v>
      </c>
      <c r="AK165" s="66">
        <v>0.46</v>
      </c>
      <c r="AL165" s="66">
        <v>0.39</v>
      </c>
      <c r="AM165" s="66">
        <v>0.23</v>
      </c>
      <c r="AN165" s="35">
        <v>58</v>
      </c>
      <c r="AO165" s="35">
        <v>7</v>
      </c>
      <c r="AP165" s="40">
        <v>0</v>
      </c>
      <c r="AQ165" s="40">
        <v>0.14000000000000001</v>
      </c>
      <c r="AR165" s="40">
        <v>0.86</v>
      </c>
      <c r="AS165" s="40">
        <v>0</v>
      </c>
      <c r="AT165" s="40">
        <v>0.19</v>
      </c>
      <c r="AU165" s="40">
        <v>0.38</v>
      </c>
      <c r="AV165" s="40">
        <v>0.51</v>
      </c>
      <c r="AW165" s="247">
        <v>56</v>
      </c>
      <c r="AX165" s="247" t="s">
        <v>874</v>
      </c>
      <c r="AY165" s="247">
        <v>10</v>
      </c>
      <c r="AZ165" s="247" t="s">
        <v>874</v>
      </c>
      <c r="BA165" s="264">
        <v>0</v>
      </c>
      <c r="BB165" s="264">
        <v>0.43</v>
      </c>
      <c r="BC165" s="264">
        <v>0.5</v>
      </c>
      <c r="BD165" s="264">
        <v>7.0000000000000007E-2</v>
      </c>
      <c r="BE165" s="264">
        <v>0.21</v>
      </c>
      <c r="BF165" s="264">
        <v>0.48</v>
      </c>
      <c r="BG165" s="264">
        <v>0.45</v>
      </c>
      <c r="BH165" s="311">
        <v>60</v>
      </c>
      <c r="BI165" s="311" t="s">
        <v>874</v>
      </c>
      <c r="BJ165" s="311">
        <v>6</v>
      </c>
      <c r="BK165" s="311" t="s">
        <v>876</v>
      </c>
      <c r="BL165" s="466"/>
      <c r="BM165" s="466"/>
      <c r="BN165" s="466"/>
      <c r="BO165" s="329">
        <v>0</v>
      </c>
      <c r="BP165" s="329">
        <v>0.06</v>
      </c>
      <c r="BQ165" s="329">
        <v>0.87</v>
      </c>
      <c r="BR165" s="329">
        <v>0.06</v>
      </c>
      <c r="BS165" s="329">
        <v>0.35</v>
      </c>
      <c r="BT165" s="329">
        <v>0.5</v>
      </c>
      <c r="BU165" s="480"/>
      <c r="BV165" s="480"/>
      <c r="BW165" s="480"/>
      <c r="BX165" s="329">
        <v>0.23</v>
      </c>
      <c r="BY165" s="426">
        <v>57</v>
      </c>
      <c r="BZ165" s="426" t="s">
        <v>874</v>
      </c>
      <c r="CA165" s="426">
        <v>10</v>
      </c>
      <c r="CB165" s="426" t="s">
        <v>874</v>
      </c>
      <c r="CC165" s="430">
        <v>0.02</v>
      </c>
      <c r="CD165" s="430">
        <v>0.21</v>
      </c>
      <c r="CE165" s="430">
        <v>0.67</v>
      </c>
      <c r="CF165" s="430">
        <v>0.1</v>
      </c>
      <c r="CG165" s="430">
        <v>0.51</v>
      </c>
      <c r="CH165" s="430">
        <v>0.32</v>
      </c>
      <c r="CI165" s="430">
        <v>0.5</v>
      </c>
      <c r="CJ165" s="466">
        <v>57</v>
      </c>
      <c r="CK165" s="466" t="s">
        <v>874</v>
      </c>
      <c r="CL165" s="466">
        <v>7</v>
      </c>
      <c r="CM165" s="466" t="s">
        <v>876</v>
      </c>
      <c r="CN165" s="480">
        <v>0</v>
      </c>
      <c r="CO165" s="480">
        <v>0.14000000000000001</v>
      </c>
      <c r="CP165" s="480">
        <v>0.86</v>
      </c>
      <c r="CQ165" s="480">
        <v>0</v>
      </c>
      <c r="CR165" s="480">
        <v>0.54</v>
      </c>
      <c r="CS165" s="480">
        <v>0.48</v>
      </c>
      <c r="CT165" s="480">
        <v>0.32</v>
      </c>
    </row>
    <row r="166" spans="1:98" ht="24.95" customHeight="1" x14ac:dyDescent="0.2">
      <c r="A166" s="814" t="s">
        <v>285</v>
      </c>
      <c r="B166" s="1" t="s">
        <v>221</v>
      </c>
      <c r="C166" s="12">
        <v>4</v>
      </c>
      <c r="D166" s="12">
        <v>40</v>
      </c>
      <c r="E166" s="12">
        <v>7</v>
      </c>
      <c r="F166" s="66">
        <v>0.5</v>
      </c>
      <c r="G166" s="66">
        <v>0.5</v>
      </c>
      <c r="H166" s="66">
        <v>0</v>
      </c>
      <c r="I166" s="66">
        <v>0</v>
      </c>
      <c r="J166" s="66">
        <v>0.69</v>
      </c>
      <c r="K166" s="66">
        <v>0.64</v>
      </c>
      <c r="L166" s="66">
        <v>0.77</v>
      </c>
      <c r="M166" s="12">
        <v>41</v>
      </c>
      <c r="N166" s="12">
        <v>8</v>
      </c>
      <c r="O166" s="40">
        <v>0.3</v>
      </c>
      <c r="P166" s="40">
        <v>0.6</v>
      </c>
      <c r="Q166" s="40">
        <v>0.1</v>
      </c>
      <c r="R166" s="40">
        <v>0</v>
      </c>
      <c r="S166" s="40">
        <v>0.6</v>
      </c>
      <c r="T166" s="40">
        <v>0.7</v>
      </c>
      <c r="U166" s="40">
        <v>0.54</v>
      </c>
      <c r="V166" s="12">
        <v>47</v>
      </c>
      <c r="W166" s="12">
        <v>8</v>
      </c>
      <c r="X166" s="66">
        <v>0.13</v>
      </c>
      <c r="Y166" s="66">
        <v>0.5</v>
      </c>
      <c r="Z166" s="66">
        <v>0.38</v>
      </c>
      <c r="AA166" s="66">
        <v>0</v>
      </c>
      <c r="AB166" s="66">
        <v>0.52</v>
      </c>
      <c r="AC166" s="66">
        <v>0.52</v>
      </c>
      <c r="AD166" s="66">
        <v>0.6</v>
      </c>
      <c r="AE166" s="12">
        <v>47</v>
      </c>
      <c r="AF166" s="12">
        <v>5</v>
      </c>
      <c r="AG166" s="66">
        <v>0</v>
      </c>
      <c r="AH166" s="66">
        <v>0.75</v>
      </c>
      <c r="AI166" s="66">
        <v>0.25</v>
      </c>
      <c r="AJ166" s="66">
        <v>0</v>
      </c>
      <c r="AK166" s="66">
        <v>0.62</v>
      </c>
      <c r="AL166" s="66">
        <v>0.51</v>
      </c>
      <c r="AM166" s="66">
        <v>0.42</v>
      </c>
      <c r="AN166" s="35">
        <v>39</v>
      </c>
      <c r="AO166" s="35">
        <v>8</v>
      </c>
      <c r="AP166" s="40">
        <v>0.17</v>
      </c>
      <c r="AQ166" s="40">
        <v>0.83</v>
      </c>
      <c r="AR166" s="40">
        <v>0</v>
      </c>
      <c r="AS166" s="40">
        <v>0</v>
      </c>
      <c r="AT166" s="40">
        <v>0.41</v>
      </c>
      <c r="AU166" s="40">
        <v>0.79</v>
      </c>
      <c r="AV166" s="40">
        <v>0.67</v>
      </c>
      <c r="AW166" s="247">
        <v>45</v>
      </c>
      <c r="AX166" s="247" t="s">
        <v>874</v>
      </c>
      <c r="AY166" s="247">
        <v>9</v>
      </c>
      <c r="AZ166" s="247" t="s">
        <v>874</v>
      </c>
      <c r="BA166" s="264">
        <v>0.09</v>
      </c>
      <c r="BB166" s="264">
        <v>0.64</v>
      </c>
      <c r="BC166" s="264">
        <v>0.27</v>
      </c>
      <c r="BD166" s="264">
        <v>0</v>
      </c>
      <c r="BE166" s="264">
        <v>0.43</v>
      </c>
      <c r="BF166" s="264">
        <v>0.63</v>
      </c>
      <c r="BG166" s="264">
        <v>0.51</v>
      </c>
      <c r="BH166" s="311">
        <v>50</v>
      </c>
      <c r="BI166" s="311" t="s">
        <v>874</v>
      </c>
      <c r="BJ166" s="311">
        <v>8</v>
      </c>
      <c r="BK166" s="311" t="s">
        <v>874</v>
      </c>
      <c r="BL166" s="466"/>
      <c r="BM166" s="466"/>
      <c r="BN166" s="466"/>
      <c r="BO166" s="329">
        <v>0.09</v>
      </c>
      <c r="BP166" s="329">
        <v>0.45</v>
      </c>
      <c r="BQ166" s="329">
        <v>0.45</v>
      </c>
      <c r="BR166" s="329">
        <v>0</v>
      </c>
      <c r="BS166" s="329">
        <v>0.61</v>
      </c>
      <c r="BT166" s="329">
        <v>0.56000000000000005</v>
      </c>
      <c r="BU166" s="480"/>
      <c r="BV166" s="480"/>
      <c r="BW166" s="480"/>
      <c r="BX166" s="329">
        <v>0.39</v>
      </c>
      <c r="BY166" s="426">
        <v>48</v>
      </c>
      <c r="BZ166" s="426" t="s">
        <v>874</v>
      </c>
      <c r="CA166" s="426">
        <v>9</v>
      </c>
      <c r="CB166" s="426" t="s">
        <v>874</v>
      </c>
      <c r="CC166" s="430">
        <v>0.1</v>
      </c>
      <c r="CD166" s="430">
        <v>0.6</v>
      </c>
      <c r="CE166" s="430">
        <v>0.3</v>
      </c>
      <c r="CF166" s="430">
        <v>0</v>
      </c>
      <c r="CG166" s="430">
        <v>0.61</v>
      </c>
      <c r="CH166" s="430">
        <v>0.43</v>
      </c>
      <c r="CI166" s="430">
        <v>0.66</v>
      </c>
      <c r="CJ166" s="466">
        <v>51</v>
      </c>
      <c r="CK166" s="466" t="s">
        <v>874</v>
      </c>
      <c r="CL166" s="466">
        <v>9</v>
      </c>
      <c r="CM166" s="466" t="s">
        <v>874</v>
      </c>
      <c r="CN166" s="480">
        <v>0.06</v>
      </c>
      <c r="CO166" s="480">
        <v>0.38</v>
      </c>
      <c r="CP166" s="480">
        <v>0.56000000000000005</v>
      </c>
      <c r="CQ166" s="480">
        <v>0</v>
      </c>
      <c r="CR166" s="480">
        <v>0.63</v>
      </c>
      <c r="CS166" s="480">
        <v>0.52</v>
      </c>
      <c r="CT166" s="480">
        <v>0.38</v>
      </c>
    </row>
    <row r="167" spans="1:98" ht="24.95" customHeight="1" x14ac:dyDescent="0.2">
      <c r="A167" s="126" t="s">
        <v>71</v>
      </c>
      <c r="B167" s="1" t="s">
        <v>221</v>
      </c>
      <c r="C167" s="12">
        <v>6</v>
      </c>
      <c r="D167" s="12">
        <v>54</v>
      </c>
      <c r="E167" s="12">
        <v>8</v>
      </c>
      <c r="F167" s="66">
        <v>0.03</v>
      </c>
      <c r="G167" s="66">
        <v>0.26</v>
      </c>
      <c r="H167" s="66">
        <v>0.7</v>
      </c>
      <c r="I167" s="66">
        <v>0.01</v>
      </c>
      <c r="J167" s="66">
        <v>0.46</v>
      </c>
      <c r="K167" s="66">
        <v>0.37</v>
      </c>
      <c r="L167" s="66">
        <v>0.48</v>
      </c>
      <c r="M167" s="12">
        <v>55</v>
      </c>
      <c r="N167" s="12">
        <v>9</v>
      </c>
      <c r="O167" s="40">
        <v>0.01</v>
      </c>
      <c r="P167" s="40">
        <v>0.28999999999999998</v>
      </c>
      <c r="Q167" s="40">
        <v>0.69</v>
      </c>
      <c r="R167" s="40">
        <v>0.01</v>
      </c>
      <c r="S167" s="40">
        <v>0.45</v>
      </c>
      <c r="T167" s="40">
        <v>0.5</v>
      </c>
      <c r="U167" s="40">
        <v>0.3</v>
      </c>
      <c r="V167" s="12">
        <v>55</v>
      </c>
      <c r="W167" s="12">
        <v>8</v>
      </c>
      <c r="X167" s="66">
        <v>0</v>
      </c>
      <c r="Y167" s="66">
        <v>0.31</v>
      </c>
      <c r="Z167" s="66">
        <v>0.69</v>
      </c>
      <c r="AA167" s="66">
        <v>0</v>
      </c>
      <c r="AB167" s="66">
        <v>0.43</v>
      </c>
      <c r="AC167" s="66">
        <v>0.33</v>
      </c>
      <c r="AD167" s="66">
        <v>0.49</v>
      </c>
      <c r="AE167" s="12">
        <v>55</v>
      </c>
      <c r="AF167" s="12">
        <v>9</v>
      </c>
      <c r="AG167" s="66">
        <v>0.02</v>
      </c>
      <c r="AH167" s="66">
        <v>0.27</v>
      </c>
      <c r="AI167" s="66">
        <v>0.67</v>
      </c>
      <c r="AJ167" s="66">
        <v>0.03</v>
      </c>
      <c r="AK167" s="66">
        <v>0.5</v>
      </c>
      <c r="AL167" s="66">
        <v>0.4</v>
      </c>
      <c r="AM167" s="66">
        <v>0.24</v>
      </c>
      <c r="AN167" s="35">
        <v>54</v>
      </c>
      <c r="AO167" s="35">
        <v>9</v>
      </c>
      <c r="AP167" s="40">
        <v>0.03</v>
      </c>
      <c r="AQ167" s="40">
        <v>0.25</v>
      </c>
      <c r="AR167" s="40">
        <v>0.69</v>
      </c>
      <c r="AS167" s="40">
        <v>0.02</v>
      </c>
      <c r="AT167" s="40">
        <v>0.25</v>
      </c>
      <c r="AU167" s="40">
        <v>0.46</v>
      </c>
      <c r="AV167" s="40">
        <v>0.51</v>
      </c>
      <c r="AW167" s="247">
        <v>55</v>
      </c>
      <c r="AX167" s="247" t="s">
        <v>874</v>
      </c>
      <c r="AY167" s="247">
        <v>7</v>
      </c>
      <c r="AZ167" s="247" t="s">
        <v>874</v>
      </c>
      <c r="BA167" s="264">
        <v>0</v>
      </c>
      <c r="BB167" s="264">
        <v>0.31</v>
      </c>
      <c r="BC167" s="264">
        <v>0.68</v>
      </c>
      <c r="BD167" s="264">
        <v>0.01</v>
      </c>
      <c r="BE167" s="264">
        <v>0.22</v>
      </c>
      <c r="BF167" s="264">
        <v>0.46</v>
      </c>
      <c r="BG167" s="264">
        <v>0.43</v>
      </c>
      <c r="BH167" s="311">
        <v>56</v>
      </c>
      <c r="BI167" s="311" t="s">
        <v>874</v>
      </c>
      <c r="BJ167" s="311">
        <v>9</v>
      </c>
      <c r="BK167" s="311" t="s">
        <v>874</v>
      </c>
      <c r="BL167" s="466"/>
      <c r="BM167" s="466"/>
      <c r="BN167" s="466"/>
      <c r="BO167" s="329">
        <v>0.03</v>
      </c>
      <c r="BP167" s="329">
        <v>0.18</v>
      </c>
      <c r="BQ167" s="329">
        <v>0.78</v>
      </c>
      <c r="BR167" s="329">
        <v>0.02</v>
      </c>
      <c r="BS167" s="329">
        <v>0.45</v>
      </c>
      <c r="BT167" s="329">
        <v>0.56999999999999995</v>
      </c>
      <c r="BU167" s="480"/>
      <c r="BV167" s="480"/>
      <c r="BW167" s="480"/>
      <c r="BX167" s="329">
        <v>0.33</v>
      </c>
      <c r="BY167" s="426">
        <v>56</v>
      </c>
      <c r="BZ167" s="426" t="s">
        <v>874</v>
      </c>
      <c r="CA167" s="426">
        <v>11</v>
      </c>
      <c r="CB167" s="426" t="s">
        <v>874</v>
      </c>
      <c r="CC167" s="430">
        <v>0.05</v>
      </c>
      <c r="CD167" s="430">
        <v>0.22</v>
      </c>
      <c r="CE167" s="430">
        <v>0.68</v>
      </c>
      <c r="CF167" s="430">
        <v>0.06</v>
      </c>
      <c r="CG167" s="430">
        <v>0.56999999999999995</v>
      </c>
      <c r="CH167" s="430">
        <v>0.37</v>
      </c>
      <c r="CI167" s="430">
        <v>0.55000000000000004</v>
      </c>
      <c r="CJ167" s="466">
        <v>58</v>
      </c>
      <c r="CK167" s="466" t="s">
        <v>874</v>
      </c>
      <c r="CL167" s="466">
        <v>10</v>
      </c>
      <c r="CM167" s="466" t="s">
        <v>874</v>
      </c>
      <c r="CN167" s="480">
        <v>0.01</v>
      </c>
      <c r="CO167" s="480">
        <v>0.21</v>
      </c>
      <c r="CP167" s="480">
        <v>0.69</v>
      </c>
      <c r="CQ167" s="480">
        <v>0.09</v>
      </c>
      <c r="CR167" s="480">
        <v>0.47</v>
      </c>
      <c r="CS167" s="480">
        <v>0.42</v>
      </c>
      <c r="CT167" s="480">
        <v>0.28000000000000003</v>
      </c>
    </row>
    <row r="168" spans="1:98" ht="24.95" customHeight="1" x14ac:dyDescent="0.2">
      <c r="A168" s="126" t="s">
        <v>207</v>
      </c>
      <c r="B168" s="1" t="s">
        <v>221</v>
      </c>
      <c r="C168" s="12">
        <v>4</v>
      </c>
      <c r="D168" s="12">
        <v>55</v>
      </c>
      <c r="E168" s="12">
        <v>8</v>
      </c>
      <c r="F168" s="66">
        <v>0.08</v>
      </c>
      <c r="G168" s="66">
        <v>0.08</v>
      </c>
      <c r="H168" s="66">
        <v>0.83</v>
      </c>
      <c r="I168" s="66">
        <v>0</v>
      </c>
      <c r="J168" s="66">
        <v>0.49</v>
      </c>
      <c r="K168" s="66">
        <v>0.41</v>
      </c>
      <c r="L168" s="66">
        <v>0.52</v>
      </c>
      <c r="M168" s="12">
        <v>57</v>
      </c>
      <c r="N168" s="12">
        <v>8</v>
      </c>
      <c r="O168" s="40">
        <v>0</v>
      </c>
      <c r="P168" s="40">
        <v>0.25</v>
      </c>
      <c r="Q168" s="40">
        <v>0.75</v>
      </c>
      <c r="R168" s="40">
        <v>0</v>
      </c>
      <c r="S168" s="40">
        <v>0.41</v>
      </c>
      <c r="T168" s="40">
        <v>0.46</v>
      </c>
      <c r="U168" s="40">
        <v>0.26</v>
      </c>
      <c r="V168" s="12">
        <v>56</v>
      </c>
      <c r="W168" s="12">
        <v>6</v>
      </c>
      <c r="X168" s="66">
        <v>0</v>
      </c>
      <c r="Y168" s="66">
        <v>0.13</v>
      </c>
      <c r="Z168" s="66">
        <v>0.87</v>
      </c>
      <c r="AA168" s="66">
        <v>0</v>
      </c>
      <c r="AB168" s="66">
        <v>0.41</v>
      </c>
      <c r="AC168" s="66">
        <v>0.33</v>
      </c>
      <c r="AD168" s="66">
        <v>0.46</v>
      </c>
      <c r="AE168" s="12">
        <v>58</v>
      </c>
      <c r="AF168" s="12">
        <v>9</v>
      </c>
      <c r="AG168" s="66">
        <v>0</v>
      </c>
      <c r="AH168" s="66">
        <v>0.11</v>
      </c>
      <c r="AI168" s="66">
        <v>0.78</v>
      </c>
      <c r="AJ168" s="66">
        <v>0.11</v>
      </c>
      <c r="AK168" s="66">
        <v>0.45</v>
      </c>
      <c r="AL168" s="66">
        <v>0.33</v>
      </c>
      <c r="AM168" s="66">
        <v>0.21</v>
      </c>
      <c r="AN168" s="35">
        <v>52</v>
      </c>
      <c r="AO168" s="35">
        <v>11</v>
      </c>
      <c r="AP168" s="40">
        <v>0.06</v>
      </c>
      <c r="AQ168" s="40">
        <v>0.31</v>
      </c>
      <c r="AR168" s="40">
        <v>0.56000000000000005</v>
      </c>
      <c r="AS168" s="40">
        <v>0.06</v>
      </c>
      <c r="AT168" s="40">
        <v>0.27</v>
      </c>
      <c r="AU168" s="40">
        <v>0.55000000000000004</v>
      </c>
      <c r="AV168" s="40">
        <v>0.52</v>
      </c>
      <c r="AW168" s="247">
        <v>56</v>
      </c>
      <c r="AX168" s="247" t="s">
        <v>874</v>
      </c>
      <c r="AY168" s="247">
        <v>9</v>
      </c>
      <c r="AZ168" s="247" t="s">
        <v>874</v>
      </c>
      <c r="BA168" s="264">
        <v>0.06</v>
      </c>
      <c r="BB168" s="264">
        <v>0</v>
      </c>
      <c r="BC168" s="264">
        <v>0.88</v>
      </c>
      <c r="BD168" s="264">
        <v>0.06</v>
      </c>
      <c r="BE168" s="264">
        <v>0.24</v>
      </c>
      <c r="BF168" s="264">
        <v>0.4</v>
      </c>
      <c r="BG168" s="264">
        <v>0.39</v>
      </c>
      <c r="BH168" s="311">
        <v>55</v>
      </c>
      <c r="BI168" s="311" t="s">
        <v>874</v>
      </c>
      <c r="BJ168" s="311">
        <v>9</v>
      </c>
      <c r="BK168" s="311" t="s">
        <v>874</v>
      </c>
      <c r="BL168" s="466"/>
      <c r="BM168" s="466"/>
      <c r="BN168" s="466"/>
      <c r="BO168" s="329">
        <v>0.05</v>
      </c>
      <c r="BP168" s="329">
        <v>0.21</v>
      </c>
      <c r="BQ168" s="329">
        <v>0.74</v>
      </c>
      <c r="BR168" s="329">
        <v>0</v>
      </c>
      <c r="BS168" s="329">
        <v>0.4</v>
      </c>
      <c r="BT168" s="329">
        <v>0.62</v>
      </c>
      <c r="BU168" s="480"/>
      <c r="BV168" s="480"/>
      <c r="BW168" s="480"/>
      <c r="BX168" s="329">
        <v>0.33</v>
      </c>
      <c r="BY168" s="426">
        <v>55</v>
      </c>
      <c r="BZ168" s="426" t="s">
        <v>874</v>
      </c>
      <c r="CA168" s="426">
        <v>14</v>
      </c>
      <c r="CB168" s="426" t="s">
        <v>875</v>
      </c>
      <c r="CC168" s="430">
        <v>0</v>
      </c>
      <c r="CD168" s="430">
        <v>0.3</v>
      </c>
      <c r="CE168" s="430">
        <v>0.61</v>
      </c>
      <c r="CF168" s="430">
        <v>0.09</v>
      </c>
      <c r="CG168" s="430">
        <v>0.63</v>
      </c>
      <c r="CH168" s="430">
        <v>0.26</v>
      </c>
      <c r="CI168" s="430">
        <v>0.59</v>
      </c>
      <c r="CJ168" s="466">
        <v>62</v>
      </c>
      <c r="CK168" s="466" t="s">
        <v>875</v>
      </c>
      <c r="CL168" s="466">
        <v>9</v>
      </c>
      <c r="CM168" s="466" t="s">
        <v>874</v>
      </c>
      <c r="CN168" s="480">
        <v>0.04</v>
      </c>
      <c r="CO168" s="480">
        <v>0</v>
      </c>
      <c r="CP168" s="480">
        <v>0.88</v>
      </c>
      <c r="CQ168" s="480">
        <v>0.08</v>
      </c>
      <c r="CR168" s="480">
        <v>0.45</v>
      </c>
      <c r="CS168" s="480">
        <v>0.38</v>
      </c>
      <c r="CT168" s="480">
        <v>0.17</v>
      </c>
    </row>
    <row r="169" spans="1:98" ht="24.95" customHeight="1" x14ac:dyDescent="0.2">
      <c r="A169" s="126" t="s">
        <v>99</v>
      </c>
      <c r="B169" s="1" t="s">
        <v>221</v>
      </c>
      <c r="C169" s="12">
        <v>5</v>
      </c>
      <c r="D169" s="12">
        <v>56</v>
      </c>
      <c r="E169" s="12">
        <v>8</v>
      </c>
      <c r="F169" s="66">
        <v>0</v>
      </c>
      <c r="G169" s="66">
        <v>0.21</v>
      </c>
      <c r="H169" s="66">
        <v>0.79</v>
      </c>
      <c r="I169" s="66">
        <v>0</v>
      </c>
      <c r="J169" s="66">
        <v>0.53</v>
      </c>
      <c r="K169" s="66">
        <v>0.4</v>
      </c>
      <c r="L169" s="66">
        <v>0.5</v>
      </c>
      <c r="M169" s="12">
        <v>57</v>
      </c>
      <c r="N169" s="12">
        <v>10</v>
      </c>
      <c r="O169" s="40">
        <v>0.04</v>
      </c>
      <c r="P169" s="40">
        <v>0.08</v>
      </c>
      <c r="Q169" s="40">
        <v>0.83</v>
      </c>
      <c r="R169" s="40">
        <v>0.04</v>
      </c>
      <c r="S169" s="40">
        <v>0.39</v>
      </c>
      <c r="T169" s="40">
        <v>0.47</v>
      </c>
      <c r="U169" s="40">
        <v>0.28000000000000003</v>
      </c>
      <c r="V169" s="12">
        <v>56</v>
      </c>
      <c r="W169" s="12">
        <v>6</v>
      </c>
      <c r="X169" s="66">
        <v>0</v>
      </c>
      <c r="Y169" s="66">
        <v>0.24</v>
      </c>
      <c r="Z169" s="66">
        <v>0.76</v>
      </c>
      <c r="AA169" s="66">
        <v>0</v>
      </c>
      <c r="AB169" s="66">
        <v>0.39</v>
      </c>
      <c r="AC169" s="66">
        <v>0.32</v>
      </c>
      <c r="AD169" s="66">
        <v>0.45</v>
      </c>
      <c r="AE169" s="12">
        <v>57</v>
      </c>
      <c r="AF169" s="12">
        <v>8</v>
      </c>
      <c r="AG169" s="66">
        <v>0</v>
      </c>
      <c r="AH169" s="66">
        <v>0.24</v>
      </c>
      <c r="AI169" s="66">
        <v>0.71</v>
      </c>
      <c r="AJ169" s="66">
        <v>0.05</v>
      </c>
      <c r="AK169" s="66">
        <v>0.44</v>
      </c>
      <c r="AL169" s="66">
        <v>0.42</v>
      </c>
      <c r="AM169" s="66">
        <v>0.19</v>
      </c>
      <c r="AN169" s="35">
        <v>60</v>
      </c>
      <c r="AO169" s="35">
        <v>12</v>
      </c>
      <c r="AP169" s="40">
        <v>0</v>
      </c>
      <c r="AQ169" s="40">
        <v>0.11</v>
      </c>
      <c r="AR169" s="40">
        <v>0.74</v>
      </c>
      <c r="AS169" s="40">
        <v>0.16</v>
      </c>
      <c r="AT169" s="40">
        <v>0.12</v>
      </c>
      <c r="AU169" s="40">
        <v>0.44</v>
      </c>
      <c r="AV169" s="40">
        <v>0.38</v>
      </c>
      <c r="AW169" s="247">
        <v>54</v>
      </c>
      <c r="AX169" s="247" t="s">
        <v>874</v>
      </c>
      <c r="AY169" s="247">
        <v>8</v>
      </c>
      <c r="AZ169" s="247" t="s">
        <v>874</v>
      </c>
      <c r="BA169" s="264">
        <v>0.04</v>
      </c>
      <c r="BB169" s="264">
        <v>0.31</v>
      </c>
      <c r="BC169" s="264">
        <v>0.65</v>
      </c>
      <c r="BD169" s="264">
        <v>0</v>
      </c>
      <c r="BE169" s="264">
        <v>0.23</v>
      </c>
      <c r="BF169" s="264">
        <v>0.49</v>
      </c>
      <c r="BG169" s="264">
        <v>0.43</v>
      </c>
      <c r="BH169" s="311">
        <v>57</v>
      </c>
      <c r="BI169" s="311" t="s">
        <v>874</v>
      </c>
      <c r="BJ169" s="311">
        <v>6</v>
      </c>
      <c r="BK169" s="311" t="s">
        <v>876</v>
      </c>
      <c r="BL169" s="466"/>
      <c r="BM169" s="466"/>
      <c r="BN169" s="466"/>
      <c r="BO169" s="329">
        <v>0</v>
      </c>
      <c r="BP169" s="329">
        <v>0.17</v>
      </c>
      <c r="BQ169" s="329">
        <v>0.83</v>
      </c>
      <c r="BR169" s="329">
        <v>0</v>
      </c>
      <c r="BS169" s="329">
        <v>0.42</v>
      </c>
      <c r="BT169" s="329">
        <v>0.53</v>
      </c>
      <c r="BU169" s="480"/>
      <c r="BV169" s="480"/>
      <c r="BW169" s="480"/>
      <c r="BX169" s="329">
        <v>0.28999999999999998</v>
      </c>
      <c r="BY169" s="426">
        <v>58</v>
      </c>
      <c r="BZ169" s="426" t="s">
        <v>874</v>
      </c>
      <c r="CA169" s="426">
        <v>9</v>
      </c>
      <c r="CB169" s="426" t="s">
        <v>874</v>
      </c>
      <c r="CC169" s="430">
        <v>0</v>
      </c>
      <c r="CD169" s="430">
        <v>0.24</v>
      </c>
      <c r="CE169" s="430">
        <v>0.67</v>
      </c>
      <c r="CF169" s="430">
        <v>0.1</v>
      </c>
      <c r="CG169" s="430">
        <v>0.62</v>
      </c>
      <c r="CH169" s="430">
        <v>0.25</v>
      </c>
      <c r="CI169" s="430">
        <v>0.53</v>
      </c>
      <c r="CJ169" s="466">
        <v>54</v>
      </c>
      <c r="CK169" s="466" t="s">
        <v>874</v>
      </c>
      <c r="CL169" s="466">
        <v>12</v>
      </c>
      <c r="CM169" s="466" t="s">
        <v>874</v>
      </c>
      <c r="CN169" s="480">
        <v>0</v>
      </c>
      <c r="CO169" s="480">
        <v>0.46</v>
      </c>
      <c r="CP169" s="480">
        <v>0.39</v>
      </c>
      <c r="CQ169" s="480">
        <v>0.14000000000000001</v>
      </c>
      <c r="CR169" s="480">
        <v>0.49</v>
      </c>
      <c r="CS169" s="480">
        <v>0.46</v>
      </c>
      <c r="CT169" s="480">
        <v>0.35</v>
      </c>
    </row>
    <row r="170" spans="1:98" ht="24.95" customHeight="1" x14ac:dyDescent="0.2">
      <c r="A170" s="126" t="s">
        <v>73</v>
      </c>
      <c r="B170" s="1" t="s">
        <v>221</v>
      </c>
      <c r="C170" s="12">
        <v>2</v>
      </c>
      <c r="D170" s="12">
        <v>49</v>
      </c>
      <c r="E170" s="12">
        <v>8</v>
      </c>
      <c r="F170" s="66">
        <v>0.05</v>
      </c>
      <c r="G170" s="66">
        <v>0.45</v>
      </c>
      <c r="H170" s="66">
        <v>0.5</v>
      </c>
      <c r="I170" s="66">
        <v>0</v>
      </c>
      <c r="J170" s="66">
        <v>0.56000000000000005</v>
      </c>
      <c r="K170" s="66">
        <v>0.46</v>
      </c>
      <c r="L170" s="66">
        <v>0.59</v>
      </c>
      <c r="M170" s="12">
        <v>50</v>
      </c>
      <c r="N170" s="12">
        <v>9</v>
      </c>
      <c r="O170" s="40">
        <v>0.02</v>
      </c>
      <c r="P170" s="40">
        <v>0.53</v>
      </c>
      <c r="Q170" s="40">
        <v>0.44</v>
      </c>
      <c r="R170" s="40">
        <v>0</v>
      </c>
      <c r="S170" s="40">
        <v>0.47</v>
      </c>
      <c r="T170" s="40">
        <v>0.56999999999999995</v>
      </c>
      <c r="U170" s="40">
        <v>0.36</v>
      </c>
      <c r="V170" s="12">
        <v>50</v>
      </c>
      <c r="W170" s="12">
        <v>9</v>
      </c>
      <c r="X170" s="66">
        <v>0.03</v>
      </c>
      <c r="Y170" s="66">
        <v>0.53</v>
      </c>
      <c r="Z170" s="66">
        <v>0.42</v>
      </c>
      <c r="AA170" s="66">
        <v>0.03</v>
      </c>
      <c r="AB170" s="66">
        <v>0.5</v>
      </c>
      <c r="AC170" s="66">
        <v>0.44</v>
      </c>
      <c r="AD170" s="66">
        <v>0.53</v>
      </c>
      <c r="AE170" s="12">
        <v>53</v>
      </c>
      <c r="AF170" s="12">
        <v>11</v>
      </c>
      <c r="AG170" s="66">
        <v>0.11</v>
      </c>
      <c r="AH170" s="66">
        <v>0.28000000000000003</v>
      </c>
      <c r="AI170" s="66">
        <v>0.56000000000000005</v>
      </c>
      <c r="AJ170" s="66">
        <v>0.06</v>
      </c>
      <c r="AK170" s="66">
        <v>0.52</v>
      </c>
      <c r="AL170" s="66">
        <v>0.48</v>
      </c>
      <c r="AM170" s="66">
        <v>0.28999999999999998</v>
      </c>
      <c r="AN170" s="35">
        <v>51</v>
      </c>
      <c r="AO170" s="35">
        <v>7</v>
      </c>
      <c r="AP170" s="40">
        <v>0</v>
      </c>
      <c r="AQ170" s="40">
        <v>0.4</v>
      </c>
      <c r="AR170" s="40">
        <v>0.6</v>
      </c>
      <c r="AS170" s="40">
        <v>0</v>
      </c>
      <c r="AT170" s="40">
        <v>0.26</v>
      </c>
      <c r="AU170" s="40">
        <v>0.53</v>
      </c>
      <c r="AV170" s="40">
        <v>0.56999999999999995</v>
      </c>
      <c r="AW170" s="247">
        <v>51</v>
      </c>
      <c r="AX170" s="247" t="s">
        <v>874</v>
      </c>
      <c r="AY170" s="247">
        <v>10</v>
      </c>
      <c r="AZ170" s="247" t="s">
        <v>874</v>
      </c>
      <c r="BA170" s="264">
        <v>0.06</v>
      </c>
      <c r="BB170" s="264">
        <v>0.37</v>
      </c>
      <c r="BC170" s="264">
        <v>0.54</v>
      </c>
      <c r="BD170" s="264">
        <v>0.03</v>
      </c>
      <c r="BE170" s="264">
        <v>0.28999999999999998</v>
      </c>
      <c r="BF170" s="264">
        <v>0.5</v>
      </c>
      <c r="BG170" s="264">
        <v>0.51</v>
      </c>
      <c r="BH170" s="311">
        <v>55</v>
      </c>
      <c r="BI170" s="311" t="s">
        <v>874</v>
      </c>
      <c r="BJ170" s="311">
        <v>9</v>
      </c>
      <c r="BK170" s="311" t="s">
        <v>874</v>
      </c>
      <c r="BL170" s="466"/>
      <c r="BM170" s="466"/>
      <c r="BN170" s="466"/>
      <c r="BO170" s="329">
        <v>0</v>
      </c>
      <c r="BP170" s="329">
        <v>0.27</v>
      </c>
      <c r="BQ170" s="329">
        <v>0.68</v>
      </c>
      <c r="BR170" s="329">
        <v>0.05</v>
      </c>
      <c r="BS170" s="329">
        <v>0.51</v>
      </c>
      <c r="BT170" s="329">
        <v>0.46</v>
      </c>
      <c r="BU170" s="480"/>
      <c r="BV170" s="480"/>
      <c r="BW170" s="480"/>
      <c r="BX170" s="329">
        <v>0.32</v>
      </c>
      <c r="BY170" s="426">
        <v>56</v>
      </c>
      <c r="BZ170" s="426" t="s">
        <v>874</v>
      </c>
      <c r="CA170" s="426">
        <v>9</v>
      </c>
      <c r="CB170" s="426" t="s">
        <v>874</v>
      </c>
      <c r="CC170" s="430">
        <v>0</v>
      </c>
      <c r="CD170" s="430">
        <v>0.23</v>
      </c>
      <c r="CE170" s="430">
        <v>0.7</v>
      </c>
      <c r="CF170" s="430">
        <v>7.0000000000000007E-2</v>
      </c>
      <c r="CG170" s="430">
        <v>0.49</v>
      </c>
      <c r="CH170" s="430">
        <v>0.26</v>
      </c>
      <c r="CI170" s="430">
        <v>0.55000000000000004</v>
      </c>
      <c r="CJ170" s="466">
        <v>51</v>
      </c>
      <c r="CK170" s="466" t="s">
        <v>874</v>
      </c>
      <c r="CL170" s="466">
        <v>12</v>
      </c>
      <c r="CM170" s="466" t="s">
        <v>874</v>
      </c>
      <c r="CN170" s="480">
        <v>0.11</v>
      </c>
      <c r="CO170" s="480">
        <v>0.36</v>
      </c>
      <c r="CP170" s="480">
        <v>0.51</v>
      </c>
      <c r="CQ170" s="480">
        <v>0.02</v>
      </c>
      <c r="CR170" s="480">
        <v>0.62</v>
      </c>
      <c r="CS170" s="480">
        <v>0.53</v>
      </c>
      <c r="CT170" s="480">
        <v>0.44</v>
      </c>
    </row>
    <row r="171" spans="1:98" ht="24.95" customHeight="1" x14ac:dyDescent="0.2">
      <c r="A171" s="126" t="s">
        <v>1082</v>
      </c>
      <c r="B171" s="43" t="s">
        <v>221</v>
      </c>
      <c r="C171" s="12">
        <v>1</v>
      </c>
      <c r="D171" s="12"/>
      <c r="E171" s="12"/>
      <c r="F171" s="66"/>
      <c r="G171" s="66"/>
      <c r="H171" s="66"/>
      <c r="I171" s="66"/>
      <c r="J171" s="66"/>
      <c r="K171" s="66"/>
      <c r="L171" s="66"/>
      <c r="M171" s="12"/>
      <c r="N171" s="12"/>
      <c r="O171" s="40"/>
      <c r="P171" s="40"/>
      <c r="Q171" s="40"/>
      <c r="R171" s="40"/>
      <c r="S171" s="40"/>
      <c r="T171" s="40"/>
      <c r="U171" s="40"/>
      <c r="V171" s="12"/>
      <c r="W171" s="12"/>
      <c r="X171" s="66"/>
      <c r="Y171" s="66"/>
      <c r="Z171" s="66"/>
      <c r="AA171" s="66"/>
      <c r="AB171" s="66"/>
      <c r="AC171" s="66"/>
      <c r="AD171" s="66"/>
      <c r="AE171" s="12"/>
      <c r="AF171" s="12"/>
      <c r="AG171" s="66"/>
      <c r="AH171" s="66"/>
      <c r="AI171" s="66"/>
      <c r="AJ171" s="66"/>
      <c r="AK171" s="66"/>
      <c r="AL171" s="66"/>
      <c r="AM171" s="66"/>
      <c r="AN171" s="35"/>
      <c r="AO171" s="35"/>
      <c r="AP171" s="40"/>
      <c r="AQ171" s="40"/>
      <c r="AR171" s="40"/>
      <c r="AS171" s="40"/>
      <c r="AT171" s="40"/>
      <c r="AU171" s="40"/>
      <c r="AV171" s="40"/>
      <c r="AW171" s="247"/>
      <c r="AX171" s="247"/>
      <c r="AY171" s="247"/>
      <c r="AZ171" s="247"/>
      <c r="BA171" s="264"/>
      <c r="BB171" s="264"/>
      <c r="BC171" s="264"/>
      <c r="BD171" s="264"/>
      <c r="BE171" s="264"/>
      <c r="BF171" s="264"/>
      <c r="BG171" s="264"/>
      <c r="BH171" s="311"/>
      <c r="BI171" s="311"/>
      <c r="BJ171" s="311"/>
      <c r="BK171" s="311"/>
      <c r="BL171" s="466"/>
      <c r="BM171" s="466"/>
      <c r="BN171" s="466"/>
      <c r="BO171" s="329"/>
      <c r="BP171" s="329"/>
      <c r="BQ171" s="329"/>
      <c r="BR171" s="329"/>
      <c r="BS171" s="329"/>
      <c r="BT171" s="329"/>
      <c r="BU171" s="480"/>
      <c r="BV171" s="480"/>
      <c r="BW171" s="480"/>
      <c r="BX171" s="329"/>
      <c r="BY171" s="426"/>
      <c r="BZ171" s="426"/>
      <c r="CA171" s="426"/>
      <c r="CB171" s="426"/>
      <c r="CC171" s="430"/>
      <c r="CD171" s="430"/>
      <c r="CE171" s="430"/>
      <c r="CF171" s="430"/>
      <c r="CG171" s="430"/>
      <c r="CH171" s="430"/>
      <c r="CI171" s="430"/>
      <c r="CJ171" s="647">
        <v>53</v>
      </c>
      <c r="CK171" s="647" t="s">
        <v>874</v>
      </c>
      <c r="CL171" s="647">
        <v>8</v>
      </c>
      <c r="CM171" s="647" t="s">
        <v>874</v>
      </c>
      <c r="CN171" s="648">
        <v>0</v>
      </c>
      <c r="CO171" s="648">
        <v>0.43</v>
      </c>
      <c r="CP171" s="648">
        <v>0.56999999999999995</v>
      </c>
      <c r="CQ171" s="648">
        <v>0</v>
      </c>
      <c r="CR171" s="480">
        <v>0.45</v>
      </c>
      <c r="CS171" s="480">
        <v>0.56000000000000005</v>
      </c>
      <c r="CT171" s="480">
        <v>0.35</v>
      </c>
    </row>
    <row r="173" spans="1:98" x14ac:dyDescent="0.2">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6" spans="1:98" ht="12.75" customHeight="1" x14ac:dyDescent="0.2">
      <c r="D176" s="847" t="s">
        <v>257</v>
      </c>
      <c r="E176" s="848"/>
      <c r="F176" s="848"/>
      <c r="G176" s="848"/>
      <c r="H176" s="848"/>
      <c r="I176" s="848"/>
      <c r="J176" s="848"/>
      <c r="K176" s="848"/>
      <c r="L176" s="848"/>
      <c r="M176" s="848"/>
      <c r="N176" s="848"/>
      <c r="O176" s="848"/>
      <c r="P176" s="848"/>
      <c r="Y176" s="838" t="s">
        <v>257</v>
      </c>
      <c r="Z176" s="839"/>
      <c r="AA176" s="839"/>
      <c r="AB176" s="839"/>
      <c r="AC176" s="839"/>
      <c r="AD176" s="839"/>
      <c r="AE176" s="839"/>
      <c r="AF176" s="839"/>
      <c r="AG176" s="839"/>
      <c r="AH176" s="839"/>
      <c r="AI176" s="73"/>
      <c r="AJ176" s="73"/>
      <c r="AK176" s="73"/>
      <c r="AL176" s="73"/>
      <c r="AM176" s="73"/>
      <c r="AN176" s="73"/>
    </row>
    <row r="177" spans="4:40" x14ac:dyDescent="0.2">
      <c r="D177" s="989"/>
      <c r="E177" s="842">
        <v>2016</v>
      </c>
      <c r="F177" s="845"/>
      <c r="G177" s="845">
        <v>2017</v>
      </c>
      <c r="H177" s="845"/>
      <c r="I177" s="845">
        <v>2018</v>
      </c>
      <c r="J177" s="845"/>
      <c r="K177" s="845">
        <v>2019</v>
      </c>
      <c r="L177" s="845"/>
      <c r="M177" s="845">
        <v>2020</v>
      </c>
      <c r="N177" s="845"/>
      <c r="O177" s="845">
        <v>2021</v>
      </c>
      <c r="P177" s="845"/>
      <c r="Q177" s="845">
        <v>2022</v>
      </c>
      <c r="R177" s="845"/>
      <c r="S177" s="845">
        <v>2023</v>
      </c>
      <c r="T177" s="845"/>
      <c r="U177" s="845">
        <v>2024</v>
      </c>
      <c r="V177" s="845"/>
      <c r="Y177" s="28"/>
      <c r="Z177" s="28">
        <v>2016</v>
      </c>
      <c r="AA177" s="29">
        <v>2017</v>
      </c>
      <c r="AB177" s="28">
        <v>2018</v>
      </c>
      <c r="AC177" s="28">
        <v>2019</v>
      </c>
      <c r="AD177" s="28">
        <v>2020</v>
      </c>
      <c r="AE177" s="28">
        <v>2021</v>
      </c>
      <c r="AF177" s="28">
        <v>2022</v>
      </c>
      <c r="AG177" s="28">
        <v>2023</v>
      </c>
      <c r="AH177" s="28">
        <v>2024</v>
      </c>
      <c r="AI177" s="73"/>
      <c r="AJ177" s="73"/>
      <c r="AK177" s="73"/>
      <c r="AL177" s="73"/>
      <c r="AM177" s="73"/>
      <c r="AN177" s="73"/>
    </row>
    <row r="178" spans="4:40" x14ac:dyDescent="0.2">
      <c r="D178" s="987"/>
      <c r="E178" s="7" t="s">
        <v>218</v>
      </c>
      <c r="F178" s="7" t="s">
        <v>251</v>
      </c>
      <c r="G178" s="7" t="s">
        <v>218</v>
      </c>
      <c r="H178" s="7" t="s">
        <v>251</v>
      </c>
      <c r="I178" s="7" t="s">
        <v>218</v>
      </c>
      <c r="J178" s="7" t="s">
        <v>251</v>
      </c>
      <c r="K178" s="7" t="s">
        <v>218</v>
      </c>
      <c r="L178" s="7" t="s">
        <v>251</v>
      </c>
      <c r="M178" s="7" t="s">
        <v>218</v>
      </c>
      <c r="N178" s="34" t="s">
        <v>251</v>
      </c>
      <c r="O178" s="7" t="s">
        <v>218</v>
      </c>
      <c r="P178" s="34" t="s">
        <v>251</v>
      </c>
      <c r="Q178" s="7" t="s">
        <v>218</v>
      </c>
      <c r="R178" s="34" t="s">
        <v>251</v>
      </c>
      <c r="S178" s="7" t="s">
        <v>218</v>
      </c>
      <c r="T178" s="34" t="s">
        <v>251</v>
      </c>
      <c r="U178" s="7" t="s">
        <v>218</v>
      </c>
      <c r="V178" s="34" t="s">
        <v>251</v>
      </c>
      <c r="Y178" s="27" t="s">
        <v>244</v>
      </c>
      <c r="Z178" s="27">
        <v>51.823529411764703</v>
      </c>
      <c r="AA178" s="27">
        <v>51.625</v>
      </c>
      <c r="AB178" s="27">
        <v>51.823529411764703</v>
      </c>
      <c r="AC178" s="27">
        <v>52.647058823529413</v>
      </c>
      <c r="AD178" s="27">
        <v>53.294117647058826</v>
      </c>
      <c r="AE178" s="27">
        <v>52.470588235294116</v>
      </c>
      <c r="AF178" s="27">
        <v>52.444444444444443</v>
      </c>
      <c r="AG178" s="27">
        <v>53.647058823529413</v>
      </c>
      <c r="AH178" s="27">
        <v>53.833333333333336</v>
      </c>
      <c r="AI178" s="72"/>
      <c r="AJ178" s="72"/>
      <c r="AK178" s="72"/>
      <c r="AL178" s="72"/>
      <c r="AM178" s="72"/>
    </row>
    <row r="179" spans="4:40" x14ac:dyDescent="0.2">
      <c r="D179" s="5" t="s">
        <v>0</v>
      </c>
      <c r="E179" s="23">
        <v>52</v>
      </c>
      <c r="F179" s="23">
        <v>9</v>
      </c>
      <c r="G179" s="23">
        <v>52</v>
      </c>
      <c r="H179" s="24">
        <v>8</v>
      </c>
      <c r="I179" s="23">
        <v>52</v>
      </c>
      <c r="J179" s="24">
        <v>9</v>
      </c>
      <c r="K179" s="23">
        <v>53</v>
      </c>
      <c r="L179" s="23">
        <v>10</v>
      </c>
      <c r="M179" s="23">
        <v>53</v>
      </c>
      <c r="N179" s="23">
        <v>10</v>
      </c>
      <c r="O179" s="23">
        <v>52</v>
      </c>
      <c r="P179" s="23">
        <v>10</v>
      </c>
      <c r="Q179" s="23">
        <v>52</v>
      </c>
      <c r="R179" s="23">
        <v>10</v>
      </c>
      <c r="S179" s="23">
        <v>52</v>
      </c>
      <c r="T179" s="23">
        <v>10</v>
      </c>
      <c r="U179" s="23">
        <v>54</v>
      </c>
      <c r="V179" s="23">
        <v>11</v>
      </c>
      <c r="Y179" s="27" t="s">
        <v>245</v>
      </c>
      <c r="Z179" s="27">
        <v>52.6</v>
      </c>
      <c r="AA179" s="27">
        <v>52.157894736842103</v>
      </c>
      <c r="AB179" s="27">
        <v>52.842105263157897</v>
      </c>
      <c r="AC179" s="27">
        <v>53.75</v>
      </c>
      <c r="AD179" s="27">
        <v>52.791666666666664</v>
      </c>
      <c r="AE179" s="27">
        <v>52.18181818181818</v>
      </c>
      <c r="AF179" s="27">
        <v>53.96</v>
      </c>
      <c r="AG179" s="27">
        <v>52.807692307692307</v>
      </c>
      <c r="AH179" s="27">
        <v>54.958333333333336</v>
      </c>
      <c r="AI179" s="47"/>
      <c r="AJ179" s="47"/>
      <c r="AK179" s="47"/>
      <c r="AL179" s="47"/>
      <c r="AM179" s="47"/>
    </row>
    <row r="180" spans="4:40" x14ac:dyDescent="0.2">
      <c r="D180" s="27" t="s">
        <v>244</v>
      </c>
      <c r="E180" s="27">
        <f>AVERAGEIF(C36:C171,"=1",D36:D171)</f>
        <v>51.823529411764703</v>
      </c>
      <c r="F180" s="27">
        <f>AVERAGEIF(C36:C171,"=1",E36:E171)</f>
        <v>9</v>
      </c>
      <c r="G180" s="27">
        <f>AVERAGEIF(C36:C171,"=1",M36:M171)</f>
        <v>51.625</v>
      </c>
      <c r="H180" s="27">
        <f>AVERAGEIF(C36:C171,"=1",N36:N171)</f>
        <v>9.0625</v>
      </c>
      <c r="I180" s="27">
        <f>AVERAGEIF(C36:C171,"=1",V36:V171)</f>
        <v>51.823529411764703</v>
      </c>
      <c r="J180" s="27">
        <f>AVERAGEIF(C36:C171,"=1",W36:W171)</f>
        <v>8.9411764705882355</v>
      </c>
      <c r="K180" s="27">
        <f>AVERAGEIF(C36:C171,"=1",AE36:AE171)</f>
        <v>52.647058823529413</v>
      </c>
      <c r="L180" s="27">
        <f>AVERAGEIF(C36:C171,"=1",AF36:AF171)</f>
        <v>9.235294117647058</v>
      </c>
      <c r="M180" s="27">
        <f>AVERAGEIF($C$36:$C$171,"=1",$AN$36:$AN$171)</f>
        <v>53.294117647058826</v>
      </c>
      <c r="N180" s="27">
        <f>AVERAGEIF($C$36:$C$171,"=1",$AO$36:$AO$171)</f>
        <v>9.117647058823529</v>
      </c>
      <c r="O180" s="27">
        <f>AVERAGEIF($C$36:$C$171,"=1",$AW$36:$AW$171)</f>
        <v>52.470588235294116</v>
      </c>
      <c r="P180" s="27">
        <f>AVERAGEIF($C$36:$C$171,"=1",$AY$36:$AY$171)</f>
        <v>8.8235294117647065</v>
      </c>
      <c r="Q180" s="27">
        <f>AVERAGEIF($C$36:$C$171,"=1",$BH$36:$BH$171)</f>
        <v>52.444444444444443</v>
      </c>
      <c r="R180" s="27">
        <f>AVERAGEIF($C$36:$C$171,"=1",$BJ$36:$BJ$171)</f>
        <v>9.2777777777777786</v>
      </c>
      <c r="S180" s="27">
        <f>AVERAGEIF($C$36:$C$171,"=1",$BY$36:$BY$171)</f>
        <v>53.647058823529413</v>
      </c>
      <c r="T180" s="27">
        <f>AVERAGEIF($C$36:$C$171,"=1",$CA$36:$CA$171)</f>
        <v>9.117647058823529</v>
      </c>
      <c r="U180" s="27">
        <v>53.882352941176471</v>
      </c>
      <c r="V180" s="27">
        <v>9.7222222222222214</v>
      </c>
      <c r="Y180" s="27" t="s">
        <v>246</v>
      </c>
      <c r="Z180" s="27">
        <v>53.25</v>
      </c>
      <c r="AA180" s="27">
        <v>52.058823529411768</v>
      </c>
      <c r="AB180" s="27">
        <v>52.823529411764703</v>
      </c>
      <c r="AC180" s="27">
        <v>53</v>
      </c>
      <c r="AD180" s="27">
        <v>53.94736842105263</v>
      </c>
      <c r="AE180" s="27">
        <v>52.6</v>
      </c>
      <c r="AF180" s="27">
        <v>53.81818181818182</v>
      </c>
      <c r="AG180" s="27">
        <v>53.772727272727273</v>
      </c>
      <c r="AH180" s="27">
        <v>54.454545454545453</v>
      </c>
      <c r="AI180" s="32"/>
      <c r="AJ180" s="32"/>
      <c r="AK180" s="32"/>
      <c r="AL180" s="32"/>
      <c r="AM180" s="32"/>
    </row>
    <row r="181" spans="4:40" x14ac:dyDescent="0.2">
      <c r="D181" s="27" t="s">
        <v>245</v>
      </c>
      <c r="E181" s="27">
        <f>AVERAGEIF(C36:C171,"=2",D36:D171)</f>
        <v>52.6</v>
      </c>
      <c r="F181" s="27">
        <f>AVERAGEIF(C36:C171,"=2",E36:E171)</f>
        <v>8.65</v>
      </c>
      <c r="G181" s="27">
        <f>AVERAGEIF(C36:C171,"=2",M36:M171)</f>
        <v>52.157894736842103</v>
      </c>
      <c r="H181" s="27">
        <f>AVERAGEIF(C36:C171,"=2",N36:N171)</f>
        <v>9.2631578947368425</v>
      </c>
      <c r="I181" s="27">
        <f>AVERAGEIF(C36:C171,"=2",V36:V171)</f>
        <v>52.842105263157897</v>
      </c>
      <c r="J181" s="27">
        <f>AVERAGEIF(C36:C171,"=2",W36:W171)</f>
        <v>8.6315789473684212</v>
      </c>
      <c r="K181" s="27">
        <f>AVERAGEIF(C36:C171,"=2",AE36:AE171)</f>
        <v>53.75</v>
      </c>
      <c r="L181" s="27">
        <f>AVERAGEIF(C36:C171,"=2",AF36:AF171)</f>
        <v>9.1</v>
      </c>
      <c r="M181" s="27">
        <f>AVERAGEIF($C$36:$C$171,"=2",$AN$36:$AN$171)</f>
        <v>52.791666666666664</v>
      </c>
      <c r="N181" s="27">
        <f>AVERAGEIF($C$36:$C$171,"=2",$AO$36:$AO$171)</f>
        <v>7.833333333333333</v>
      </c>
      <c r="O181" s="27">
        <f>AVERAGEIF($C$36:$C$171,"=2",$AW$36:$AW$171)</f>
        <v>52.18181818181818</v>
      </c>
      <c r="P181" s="27">
        <f>AVERAGEIF($C$36:$C$171,"=2",$AY$36:$AY$171)</f>
        <v>8</v>
      </c>
      <c r="Q181" s="27">
        <f>AVERAGEIF($C$36:$C$171,"=2",$BH$36:$BH$171)</f>
        <v>53.96</v>
      </c>
      <c r="R181" s="27">
        <f>AVERAGEIF($C$36:$C$171,"=2",$BJ$36:$BJ$171)</f>
        <v>9.48</v>
      </c>
      <c r="S181" s="27">
        <f>AVERAGEIF($C$36:$C$171,"=2",$BY$36:$BY$171)</f>
        <v>52.807692307692307</v>
      </c>
      <c r="T181" s="27">
        <f>AVERAGEIF($C$36:$C$171,"=2",$CA$36:$CA$171)</f>
        <v>8.8076923076923084</v>
      </c>
      <c r="U181" s="27">
        <v>54.958333333333336</v>
      </c>
      <c r="V181" s="27">
        <v>9.4166666666666661</v>
      </c>
      <c r="Y181" s="27" t="s">
        <v>247</v>
      </c>
      <c r="Z181" s="27">
        <v>48.357142857142854</v>
      </c>
      <c r="AA181" s="27">
        <v>49.666666666666664</v>
      </c>
      <c r="AB181" s="27">
        <v>50.466666666666669</v>
      </c>
      <c r="AC181" s="27">
        <v>49.714285714285715</v>
      </c>
      <c r="AD181" s="27">
        <v>49.153846153846153</v>
      </c>
      <c r="AE181" s="27">
        <v>48.5</v>
      </c>
      <c r="AF181" s="27">
        <v>50.714285714285715</v>
      </c>
      <c r="AG181" s="27">
        <v>49.93333333333333</v>
      </c>
      <c r="AH181" s="27">
        <v>52.153846153846153</v>
      </c>
      <c r="AI181" s="32"/>
      <c r="AJ181" s="32"/>
      <c r="AK181" s="32"/>
      <c r="AL181" s="32"/>
      <c r="AM181" s="32"/>
    </row>
    <row r="182" spans="4:40" x14ac:dyDescent="0.2">
      <c r="D182" s="27" t="s">
        <v>246</v>
      </c>
      <c r="E182" s="27">
        <f>AVERAGEIF(C36:C171,"=3",D36:D171)</f>
        <v>53</v>
      </c>
      <c r="F182" s="27">
        <f>AVERAGEIF(C36:C171,"=3",E36:E171)</f>
        <v>8.6666666666666661</v>
      </c>
      <c r="G182" s="27">
        <f>AVERAGEIF(C36:C171,"=3",M36:M171)</f>
        <v>51.89473684210526</v>
      </c>
      <c r="H182" s="27">
        <f>AVERAGEIF(C36:C171,"=3",N36:N171)</f>
        <v>9.2105263157894743</v>
      </c>
      <c r="I182" s="27">
        <f>AVERAGEIF(C36:C171,"=3",V36:V171)</f>
        <v>52.684210526315788</v>
      </c>
      <c r="J182" s="27">
        <f>AVERAGEIF(C36:C171,"=3",W36:W171)</f>
        <v>9.2105263157894743</v>
      </c>
      <c r="K182" s="27">
        <f>AVERAGEIF(C36:C171,"=3",AE36:AE171)</f>
        <v>52.789473684210527</v>
      </c>
      <c r="L182" s="27">
        <f>AVERAGEIF(C36:C171,"=3",AF36:AF171)</f>
        <v>9.2105263157894743</v>
      </c>
      <c r="M182" s="27">
        <f>AVERAGEIF($C$36:$C$171,"=3",$AN$36:$AN$171)</f>
        <v>53.9</v>
      </c>
      <c r="N182" s="27">
        <f>AVERAGEIF($C$36:$C$171,"=3",$AO$36:$AO$171)</f>
        <v>8.65</v>
      </c>
      <c r="O182" s="27">
        <f>AVERAGEIF($C$36:$C$171,"=3",$AW$36:$AW$171)</f>
        <v>52.6</v>
      </c>
      <c r="P182" s="27">
        <f>AVERAGEIF($C$36:$C$171,"=3",$AY$36:$AY$171)</f>
        <v>8.5500000000000007</v>
      </c>
      <c r="Q182" s="27">
        <f>AVERAGEIF($C$36:$C$171,"=3",$BH$36:$BH$171)</f>
        <v>53.81818181818182</v>
      </c>
      <c r="R182" s="27">
        <f>AVERAGEIF($C$36:$C$171,"=3",$BJ$36:$BJ$171)</f>
        <v>9.5</v>
      </c>
      <c r="S182" s="27">
        <f>AVERAGEIF($C$36:$C$171,"=3",$BY$36:$BY$171)</f>
        <v>53.772727272727273</v>
      </c>
      <c r="T182" s="27">
        <f>AVERAGEIF($C$36:$C$171,"=3",$CA$36:$CA$171)</f>
        <v>9.8636363636363633</v>
      </c>
      <c r="U182" s="27">
        <v>54.454545454545453</v>
      </c>
      <c r="V182" s="27">
        <v>9.954545454545455</v>
      </c>
      <c r="Y182" s="27" t="s">
        <v>248</v>
      </c>
      <c r="Z182" s="27">
        <v>54.470588235294116</v>
      </c>
      <c r="AA182" s="27">
        <v>54.705882352941174</v>
      </c>
      <c r="AB182" s="27">
        <v>54.777777777777779</v>
      </c>
      <c r="AC182" s="27">
        <v>55.368421052631582</v>
      </c>
      <c r="AD182" s="27">
        <v>55.944444444444443</v>
      </c>
      <c r="AE182" s="27">
        <v>54.277777777777779</v>
      </c>
      <c r="AF182" s="27">
        <v>55.882352941176471</v>
      </c>
      <c r="AG182" s="27">
        <v>55.823529411764703</v>
      </c>
      <c r="AH182" s="27">
        <v>55.888888888888886</v>
      </c>
      <c r="AI182" s="32"/>
      <c r="AJ182" s="32"/>
      <c r="AK182" s="32"/>
      <c r="AL182" s="32"/>
      <c r="AM182" s="32"/>
    </row>
    <row r="183" spans="4:40" x14ac:dyDescent="0.2">
      <c r="D183" s="27" t="s">
        <v>247</v>
      </c>
      <c r="E183" s="27">
        <f>AVERAGEIF(C36:C171,"=4",D36:D171)</f>
        <v>48.357142857142854</v>
      </c>
      <c r="F183" s="27">
        <f>AVERAGEIF(C36:C171,"=4",E36:E171)</f>
        <v>8.7857142857142865</v>
      </c>
      <c r="G183" s="27">
        <f>AVERAGEIF(C36:C171,"=4",M36:M171)</f>
        <v>49.666666666666664</v>
      </c>
      <c r="H183" s="27">
        <f>AVERAGEIF(C36:C171,"=4",N36:N171)</f>
        <v>8.6666666666666661</v>
      </c>
      <c r="I183" s="27">
        <f>AVERAGEIF(C36:C171,"=4",V36:V171)</f>
        <v>50.466666666666669</v>
      </c>
      <c r="J183" s="27">
        <f>AVERAGEIF(C36:C171,"=4",W36:W171)</f>
        <v>8.7333333333333325</v>
      </c>
      <c r="K183" s="27">
        <f>AVERAGEIF(C36:C171,"=4",AE36:AE171)</f>
        <v>49.714285714285715</v>
      </c>
      <c r="L183" s="27">
        <f>AVERAGEIF(C36:C171,"=4",AF36:AF171)</f>
        <v>8.7857142857142865</v>
      </c>
      <c r="M183" s="27">
        <f>AVERAGEIF($C$36:$C$171,"=4",$AN$36:$AN$171)</f>
        <v>49.153846153846153</v>
      </c>
      <c r="N183" s="27">
        <f>AVERAGEIF($C$36:$C$171,"=4",$AO$36:$AO$171)</f>
        <v>9.1538461538461533</v>
      </c>
      <c r="O183" s="27">
        <f>AVERAGEIF($C$36:$C$171,"=4",$AW$36:$AW$171)</f>
        <v>48.5</v>
      </c>
      <c r="P183" s="27">
        <f>AVERAGEIF($C$36:$C$171,"=4",$AY$36:$AY$171)</f>
        <v>8.5714285714285712</v>
      </c>
      <c r="Q183" s="27">
        <f>AVERAGEIF($C$36:$C$171,"=4",$BH$36:$BH$171)</f>
        <v>50.714285714285715</v>
      </c>
      <c r="R183" s="27">
        <f>AVERAGEIF($C$36:$C$171,"=4",$BJ$36:$BJ$171)</f>
        <v>9.5714285714285712</v>
      </c>
      <c r="S183" s="27">
        <f>AVERAGEIF($C$36:$C$171,"=4",$BY$36:$BY$171)</f>
        <v>49.93333333333333</v>
      </c>
      <c r="T183" s="27">
        <f>AVERAGEIF($C$36:$C$171,"=4",$CA$36:$CA$171)</f>
        <v>9.6666666666666661</v>
      </c>
      <c r="U183" s="27">
        <v>52.153846153846153</v>
      </c>
      <c r="V183" s="27">
        <v>10.307692307692308</v>
      </c>
      <c r="Y183" s="27" t="s">
        <v>249</v>
      </c>
      <c r="Z183" s="27">
        <v>52.266666666666666</v>
      </c>
      <c r="AA183" s="27">
        <v>51</v>
      </c>
      <c r="AB183" s="27">
        <v>52.142857142857146</v>
      </c>
      <c r="AC183" s="27">
        <v>53.6</v>
      </c>
      <c r="AD183" s="27">
        <v>52.117647058823529</v>
      </c>
      <c r="AE183" s="27">
        <v>51.6875</v>
      </c>
      <c r="AF183" s="27">
        <v>52.05263157894737</v>
      </c>
      <c r="AG183" s="27">
        <v>53.5</v>
      </c>
      <c r="AH183" s="27">
        <v>53.666666666666664</v>
      </c>
      <c r="AI183" s="32"/>
      <c r="AJ183" s="32"/>
      <c r="AK183" s="32"/>
      <c r="AL183" s="32"/>
      <c r="AM183" s="32"/>
    </row>
    <row r="184" spans="4:40" x14ac:dyDescent="0.2">
      <c r="D184" s="27" t="s">
        <v>248</v>
      </c>
      <c r="E184" s="27">
        <f>AVERAGEIF(C36:C171,"=5",D36:D171)</f>
        <v>54.470588235294116</v>
      </c>
      <c r="F184" s="27">
        <f>AVERAGEIF(C36:C171,"=5",E36:E171)</f>
        <v>8.2941176470588243</v>
      </c>
      <c r="G184" s="27">
        <f>AVERAGEIF(C36:C171,"=5",M36:M171)</f>
        <v>54.705882352941174</v>
      </c>
      <c r="H184" s="27">
        <f>AVERAGEIF(C36:C171,"=5",N36:N171)</f>
        <v>9.4705882352941178</v>
      </c>
      <c r="I184" s="27">
        <f>AVERAGEIF(C36:C171,"=5",V36:V171)</f>
        <v>54.777777777777779</v>
      </c>
      <c r="J184" s="27">
        <f>AVERAGEIF(C36:C171,"=5",W36:W171)</f>
        <v>8.4444444444444446</v>
      </c>
      <c r="K184" s="27">
        <f>AVERAGEIF(C36:C171,"=5",AE36:AE171)</f>
        <v>55.368421052631582</v>
      </c>
      <c r="L184" s="27">
        <f>AVERAGEIF(C36:C171,"=5",AF36:AF171)</f>
        <v>8.526315789473685</v>
      </c>
      <c r="M184" s="27">
        <f>AVERAGEIF($C$36:$C$171,"=5",$AN$36:$AN$171)</f>
        <v>55.944444444444443</v>
      </c>
      <c r="N184" s="27">
        <f>AVERAGEIF($C$36:$C$171,"=5",$AO$36:$AO$171)</f>
        <v>9.0555555555555554</v>
      </c>
      <c r="O184" s="27">
        <f>AVERAGEIF($C$36:$C$171,"=5",$AW$36:$AW$171)</f>
        <v>54.277777777777779</v>
      </c>
      <c r="P184" s="27">
        <f>AVERAGEIF($C$36:$C$171,"=5",$AY$36:$AY$171)</f>
        <v>9</v>
      </c>
      <c r="Q184" s="27">
        <f>AVERAGEIF($C$36:$C$171,"=5",$BH$36:$BH$171)</f>
        <v>55.882352941176471</v>
      </c>
      <c r="R184" s="27">
        <f>AVERAGEIF($C$36:$C$171,"=5",$BJ$36:$BJ$171)</f>
        <v>9.117647058823529</v>
      </c>
      <c r="S184" s="27">
        <f>AVERAGEIF($C$36:$C$171,"=5",$BY$36:$BY$171)</f>
        <v>55.823529411764703</v>
      </c>
      <c r="T184" s="27">
        <f>AVERAGEIF($C$36:$C$171,"=5",$CA$36:$CA$171)</f>
        <v>9.1764705882352935</v>
      </c>
      <c r="U184" s="27">
        <v>56.294117647058826</v>
      </c>
      <c r="V184" s="27">
        <v>9.5555555555555554</v>
      </c>
      <c r="X184" s="32"/>
      <c r="Y184" s="32"/>
      <c r="Z184" s="32"/>
      <c r="AA184" s="32"/>
      <c r="AB184" s="32"/>
      <c r="AC184" s="32"/>
      <c r="AD184" s="32"/>
      <c r="AG184" s="32"/>
      <c r="AH184" s="32"/>
      <c r="AI184" s="32"/>
      <c r="AJ184" s="32"/>
      <c r="AK184" s="32"/>
      <c r="AL184" s="32"/>
      <c r="AM184" s="32"/>
    </row>
    <row r="185" spans="4:40" x14ac:dyDescent="0.2">
      <c r="D185" s="27" t="s">
        <v>249</v>
      </c>
      <c r="E185" s="27">
        <f>AVERAGEIF(C36:C171,"=6",D36:D171)</f>
        <v>52.266666666666666</v>
      </c>
      <c r="F185" s="27">
        <f>AVERAGEIF(C36:C171,"=6",E36:E171)</f>
        <v>7.8666666666666663</v>
      </c>
      <c r="G185" s="27">
        <f>AVERAGEIF(C36:C171,"=6",M36:M171)</f>
        <v>51</v>
      </c>
      <c r="H185" s="27">
        <f>AVERAGEIF(C36:C171,"=6",N36:N171)</f>
        <v>9.8666666666666671</v>
      </c>
      <c r="I185" s="27">
        <f>AVERAGEIF(C36:C171,"=6",V36:V171)</f>
        <v>52.142857142857146</v>
      </c>
      <c r="J185" s="27">
        <f>AVERAGEIF(C36:C171,"=6",W36:W171)</f>
        <v>8.7142857142857135</v>
      </c>
      <c r="K185" s="27">
        <f>AVERAGEIF(C36:C171,"=6",AE36:AE171)</f>
        <v>53.6</v>
      </c>
      <c r="L185" s="27">
        <f>AVERAGEIF(C36:C171,"=6",AF36:AF171)</f>
        <v>10.6</v>
      </c>
      <c r="M185" s="27">
        <f>AVERAGEIF($C$36:$C$171,"=6",$AN$36:$AN$171)</f>
        <v>52.117647058823529</v>
      </c>
      <c r="N185" s="27">
        <f>AVERAGEIF($C$36:$C$171,"=6",$AO$36:$AO$171)</f>
        <v>8.9411764705882355</v>
      </c>
      <c r="O185" s="27">
        <f>AVERAGEIF($C$36:$C$171,"=6",$AW$36:$AW$171)</f>
        <v>51.647058823529413</v>
      </c>
      <c r="P185" s="27">
        <f>AVERAGEIF($C$36:$C$171,"=6",$AY$36:$AY$171)</f>
        <v>7.5294117647058822</v>
      </c>
      <c r="Q185" s="27">
        <f>AVERAGEIF($C$36:$C$171,"=6",$BH$36:$BH$171)</f>
        <v>52.05263157894737</v>
      </c>
      <c r="R185" s="27">
        <f>AVERAGEIF($C$36:$C$171,"=6",$BJ$36:$BJ$171)</f>
        <v>10.105263157894736</v>
      </c>
      <c r="S185" s="27">
        <f>AVERAGEIF($C$36:$C$171,"=6",$BY$36:$BY$171)</f>
        <v>53.5</v>
      </c>
      <c r="T185" s="27">
        <f>AVERAGEIF($C$36:$C$171,"=6",$CA$36:$CA$171)</f>
        <v>8.85</v>
      </c>
      <c r="U185" s="27">
        <v>53.666666666666664</v>
      </c>
      <c r="V185" s="27">
        <v>9.5</v>
      </c>
      <c r="X185" s="32"/>
      <c r="Y185" s="32"/>
      <c r="Z185" s="32"/>
      <c r="AA185" s="32"/>
      <c r="AB185" s="32"/>
      <c r="AC185" s="32"/>
      <c r="AD185" s="32"/>
      <c r="AG185" s="32"/>
      <c r="AH185" s="32"/>
      <c r="AI185" s="32"/>
      <c r="AJ185" s="32"/>
      <c r="AK185" s="32"/>
      <c r="AL185" s="32"/>
      <c r="AM185" s="32"/>
    </row>
    <row r="186" spans="4:40" x14ac:dyDescent="0.2">
      <c r="M186" t="s">
        <v>256</v>
      </c>
    </row>
    <row r="188" spans="4:40" x14ac:dyDescent="0.2">
      <c r="D188" s="28"/>
      <c r="E188" s="842">
        <v>2016</v>
      </c>
      <c r="F188" s="845"/>
      <c r="G188" s="845"/>
      <c r="H188" s="845"/>
      <c r="I188" s="842">
        <v>2017</v>
      </c>
      <c r="J188" s="845"/>
      <c r="K188" s="845"/>
      <c r="L188" s="845"/>
      <c r="M188" s="842">
        <v>2018</v>
      </c>
      <c r="N188" s="845"/>
      <c r="O188" s="845"/>
      <c r="P188" s="843"/>
      <c r="Q188" s="842">
        <v>2019</v>
      </c>
      <c r="R188" s="845"/>
      <c r="S188" s="845"/>
      <c r="T188" s="845"/>
      <c r="U188" s="842">
        <v>2020</v>
      </c>
      <c r="V188" s="845"/>
      <c r="W188" s="845"/>
      <c r="X188" s="845"/>
      <c r="Y188" s="842">
        <v>2021</v>
      </c>
      <c r="Z188" s="845"/>
      <c r="AA188" s="845"/>
      <c r="AB188" s="845"/>
      <c r="AC188" s="842">
        <v>2022</v>
      </c>
      <c r="AD188" s="845"/>
      <c r="AE188" s="845"/>
      <c r="AF188" s="845"/>
      <c r="AG188" s="842">
        <v>2023</v>
      </c>
      <c r="AH188" s="845"/>
      <c r="AI188" s="845"/>
      <c r="AJ188" s="845"/>
      <c r="AK188" s="842">
        <v>2024</v>
      </c>
      <c r="AL188" s="845"/>
      <c r="AM188" s="845"/>
      <c r="AN188" s="845"/>
    </row>
    <row r="189" spans="4:40" x14ac:dyDescent="0.2">
      <c r="D189" s="28"/>
      <c r="E189" s="842" t="s">
        <v>252</v>
      </c>
      <c r="F189" s="845"/>
      <c r="G189" s="842" t="s">
        <v>253</v>
      </c>
      <c r="H189" s="845"/>
      <c r="I189" s="842" t="s">
        <v>252</v>
      </c>
      <c r="J189" s="845"/>
      <c r="K189" s="842" t="s">
        <v>253</v>
      </c>
      <c r="L189" s="845"/>
      <c r="M189" s="842" t="s">
        <v>252</v>
      </c>
      <c r="N189" s="843"/>
      <c r="O189" s="842" t="s">
        <v>253</v>
      </c>
      <c r="P189" s="843"/>
      <c r="Q189" s="842" t="s">
        <v>252</v>
      </c>
      <c r="R189" s="843"/>
      <c r="S189" s="842" t="s">
        <v>253</v>
      </c>
      <c r="T189" s="845"/>
      <c r="U189" s="842" t="s">
        <v>252</v>
      </c>
      <c r="V189" s="843"/>
      <c r="W189" s="842" t="s">
        <v>253</v>
      </c>
      <c r="X189" s="845"/>
      <c r="Y189" s="842" t="s">
        <v>252</v>
      </c>
      <c r="Z189" s="843"/>
      <c r="AA189" s="842" t="s">
        <v>253</v>
      </c>
      <c r="AB189" s="845"/>
      <c r="AC189" s="842" t="s">
        <v>252</v>
      </c>
      <c r="AD189" s="843"/>
      <c r="AE189" s="842" t="s">
        <v>253</v>
      </c>
      <c r="AF189" s="845"/>
      <c r="AG189" s="842" t="s">
        <v>252</v>
      </c>
      <c r="AH189" s="843"/>
      <c r="AI189" s="842" t="s">
        <v>253</v>
      </c>
      <c r="AJ189" s="845"/>
      <c r="AK189" s="842" t="s">
        <v>252</v>
      </c>
      <c r="AL189" s="843"/>
      <c r="AM189" s="842" t="s">
        <v>253</v>
      </c>
      <c r="AN189" s="845"/>
    </row>
    <row r="190" spans="4:40" x14ac:dyDescent="0.2">
      <c r="D190" s="28"/>
      <c r="E190" s="7" t="s">
        <v>218</v>
      </c>
      <c r="F190" s="7" t="s">
        <v>251</v>
      </c>
      <c r="G190" s="7" t="s">
        <v>218</v>
      </c>
      <c r="H190" s="7" t="s">
        <v>251</v>
      </c>
      <c r="I190" s="7" t="s">
        <v>218</v>
      </c>
      <c r="J190" s="7" t="s">
        <v>251</v>
      </c>
      <c r="K190" s="7" t="s">
        <v>218</v>
      </c>
      <c r="L190" s="7" t="s">
        <v>251</v>
      </c>
      <c r="M190" s="7" t="s">
        <v>218</v>
      </c>
      <c r="N190" s="7" t="s">
        <v>251</v>
      </c>
      <c r="O190" s="7" t="s">
        <v>218</v>
      </c>
      <c r="P190" s="7" t="s">
        <v>251</v>
      </c>
      <c r="Q190" s="7" t="s">
        <v>218</v>
      </c>
      <c r="R190" s="7" t="s">
        <v>251</v>
      </c>
      <c r="S190" s="7" t="s">
        <v>218</v>
      </c>
      <c r="T190" s="34" t="s">
        <v>251</v>
      </c>
      <c r="U190" s="7" t="s">
        <v>218</v>
      </c>
      <c r="V190" s="7" t="s">
        <v>251</v>
      </c>
      <c r="W190" s="7" t="s">
        <v>218</v>
      </c>
      <c r="X190" s="34" t="s">
        <v>251</v>
      </c>
      <c r="Y190" s="7" t="s">
        <v>218</v>
      </c>
      <c r="Z190" s="7" t="s">
        <v>251</v>
      </c>
      <c r="AA190" s="7" t="s">
        <v>218</v>
      </c>
      <c r="AB190" s="34" t="s">
        <v>251</v>
      </c>
      <c r="AC190" s="7" t="s">
        <v>218</v>
      </c>
      <c r="AD190" s="7" t="s">
        <v>251</v>
      </c>
      <c r="AE190" s="7" t="s">
        <v>218</v>
      </c>
      <c r="AF190" s="34" t="s">
        <v>251</v>
      </c>
      <c r="AG190" s="7" t="s">
        <v>218</v>
      </c>
      <c r="AH190" s="7" t="s">
        <v>251</v>
      </c>
      <c r="AI190" s="7" t="s">
        <v>218</v>
      </c>
      <c r="AJ190" s="34" t="s">
        <v>251</v>
      </c>
      <c r="AK190" s="7" t="s">
        <v>218</v>
      </c>
      <c r="AL190" s="7" t="s">
        <v>251</v>
      </c>
      <c r="AM190" s="7" t="s">
        <v>218</v>
      </c>
      <c r="AN190" s="34" t="s">
        <v>251</v>
      </c>
    </row>
    <row r="191" spans="4:40" x14ac:dyDescent="0.2">
      <c r="D191" s="5" t="s">
        <v>0</v>
      </c>
      <c r="E191" s="10">
        <v>51</v>
      </c>
      <c r="F191" s="10">
        <v>9</v>
      </c>
      <c r="G191" s="10">
        <v>54</v>
      </c>
      <c r="H191" s="10">
        <v>9</v>
      </c>
      <c r="I191" s="10">
        <v>50</v>
      </c>
      <c r="J191" s="10">
        <v>8</v>
      </c>
      <c r="K191" s="10">
        <v>53</v>
      </c>
      <c r="L191" s="10">
        <v>8</v>
      </c>
      <c r="M191" s="30">
        <v>52</v>
      </c>
      <c r="N191" s="30">
        <v>9</v>
      </c>
      <c r="O191" s="30">
        <v>54</v>
      </c>
      <c r="P191" s="30">
        <v>9</v>
      </c>
      <c r="Q191" s="30">
        <v>52</v>
      </c>
      <c r="R191" s="30">
        <v>9</v>
      </c>
      <c r="S191" s="30">
        <v>55</v>
      </c>
      <c r="T191" s="76">
        <v>10</v>
      </c>
      <c r="U191" s="76">
        <v>52</v>
      </c>
      <c r="V191" s="76">
        <v>9</v>
      </c>
      <c r="W191" s="76">
        <v>55</v>
      </c>
      <c r="X191" s="30">
        <v>10</v>
      </c>
      <c r="Y191" s="76">
        <v>52</v>
      </c>
      <c r="Z191" s="76">
        <v>9</v>
      </c>
      <c r="AA191" s="76">
        <v>55</v>
      </c>
      <c r="AB191" s="30">
        <v>10</v>
      </c>
      <c r="AC191" s="76">
        <v>52</v>
      </c>
      <c r="AD191" s="76">
        <v>9</v>
      </c>
      <c r="AE191" s="76">
        <v>55</v>
      </c>
      <c r="AF191" s="30">
        <v>10</v>
      </c>
      <c r="AG191" s="76">
        <v>52</v>
      </c>
      <c r="AH191" s="76">
        <v>9</v>
      </c>
      <c r="AI191" s="76">
        <v>55</v>
      </c>
      <c r="AJ191" s="30">
        <v>10</v>
      </c>
      <c r="AK191" s="76">
        <v>54</v>
      </c>
      <c r="AL191" s="76">
        <v>11</v>
      </c>
      <c r="AM191" s="76">
        <v>56</v>
      </c>
      <c r="AN191" s="30">
        <v>10</v>
      </c>
    </row>
    <row r="192" spans="4:40" x14ac:dyDescent="0.2">
      <c r="D192" s="27" t="s">
        <v>244</v>
      </c>
      <c r="E192" s="27">
        <f>AVERAGEIFS(D$36:D$171,$C$36:$C$171,"=1", $B$36:$B$171,"OFICIAL")</f>
        <v>52.5</v>
      </c>
      <c r="F192" s="27">
        <f>AVERAGEIFS(E36:E171,C36:C171,"=1", B36:B171,"OFICIAL")</f>
        <v>9.5</v>
      </c>
      <c r="G192" s="27">
        <f>AVERAGEIFS(D36:D171,C36:C171,"=1", B36:B171,"NO OFICIAL")</f>
        <v>51.615384615384613</v>
      </c>
      <c r="H192" s="27">
        <f>AVERAGEIFS(E36:E171,C36:C171,"=1", B36:B171,"NO OFICIAL")</f>
        <v>8.8461538461538467</v>
      </c>
      <c r="I192" s="27">
        <f>AVERAGEIFS(M36:M171,C36:C171,"=1", B36:B171,"OFICIAL")</f>
        <v>51.75</v>
      </c>
      <c r="J192" s="27">
        <f>AVERAGEIFS(N36:N171,C36:C171,"=1", B36:B171,"OFICIAL")</f>
        <v>9.25</v>
      </c>
      <c r="K192" s="27">
        <f>AVERAGEIFS(M36:M171,C36:C171,"=1", B36:B171,"NO OFICIAL")</f>
        <v>51.583333333333336</v>
      </c>
      <c r="L192" s="27">
        <f>AVERAGEIFS(N36:N171,C36:C171,"=1", B36:B171,"NO OFICIAL")</f>
        <v>9</v>
      </c>
      <c r="M192" s="27">
        <f>AVERAGEIFS(V36:V171,C36:C171,"=1", B36:B171,"OFICIAL")</f>
        <v>51.75</v>
      </c>
      <c r="N192" s="27">
        <f>AVERAGEIFS(W36:W171,C36:C171,"=1", B36:B171,"OFICIAL")</f>
        <v>8.75</v>
      </c>
      <c r="O192" s="27">
        <f>AVERAGEIFS(V36:V171,C36:C171,"=1", B36:B171,"NO OFICIAL")</f>
        <v>51.846153846153847</v>
      </c>
      <c r="P192" s="27">
        <f>AVERAGEIFS(W36:W171,C36:C171,"=1", B36:B171,"NO OFICIAL")</f>
        <v>9</v>
      </c>
      <c r="Q192" s="27">
        <f>AVERAGEIFS(AE36:AE171,C36:C171,"=1", B36:B171,"OFICIAL")</f>
        <v>52.5</v>
      </c>
      <c r="R192" s="27">
        <f>AVERAGEIFS(AF36:AF171,C36:C171,"=1", B36:B171,"OFICIAL")</f>
        <v>9.5</v>
      </c>
      <c r="S192" s="27">
        <f>AVERAGEIFS(AE36:AE171,C36:C171,"=1", B36:B171,"NO OFICIAL")</f>
        <v>52.692307692307693</v>
      </c>
      <c r="T192" s="71">
        <f>AVERAGEIFS(AF36:AF171,C36:C171,"=1", B36:B171,"NO OFICIAL")</f>
        <v>9.1538461538461533</v>
      </c>
      <c r="U192" s="27">
        <f>AVERAGEIFS($AN$36:$AN$171,$C$36:$C$171,"=1", $B$36:$B$171,"OFICIAL")</f>
        <v>52.5</v>
      </c>
      <c r="V192" s="27">
        <f>AVERAGEIFS($AO$36:$AO$171,$C$36:$C$171,"=1", $B$36:$B$171,"OFICIAL")</f>
        <v>9.25</v>
      </c>
      <c r="W192" s="27">
        <f>AVERAGEIFS($AN$36:$AN$171,$C$36:$C$171,"=1", $B$36:$B$171,"NO OFICIAL")</f>
        <v>53.53846153846154</v>
      </c>
      <c r="X192" s="27">
        <f>AVERAGEIFS($AO$36:$AO$171,$C$36:$C$171,"=1", $B$36:$B$171,"NO OFICIAL")</f>
        <v>9.0769230769230766</v>
      </c>
      <c r="Y192" s="27">
        <f>AVERAGEIFS($AW$36:$AW$171,$C$36:$C$171,"=1", $B$36:$B$171,"OFICIAL")</f>
        <v>51.25</v>
      </c>
      <c r="Z192" s="27">
        <f>AVERAGEIFS($AY$36:$AY$171,$C$36:$C$171,"=1", $B$36:$B$171,"OFICIAL")</f>
        <v>9</v>
      </c>
      <c r="AA192" s="27">
        <f>AVERAGEIFS($AW$36:$AW$171,$C$36:$C$171,"=1", $B$36:$B$171,"NO OFICIAL")</f>
        <v>52.846153846153847</v>
      </c>
      <c r="AB192" s="27">
        <f>AVERAGEIFS($AY$36:$AY$171,$C$36:$C$171,"=1", $B$36:$B$171,"NO OFICIAL")</f>
        <v>8.7692307692307701</v>
      </c>
      <c r="AC192" s="27">
        <f>AVERAGEIFS($BH$36:$BH$171,$C$36:$C$171,"=1", $B$36:$B$171,"OFICIAL")</f>
        <v>51</v>
      </c>
      <c r="AD192" s="27">
        <f>AVERAGEIFS($BJ$36:$BJ$171,$C$36:$C$171,"=1", $B$36:$B$171,"OFICIAL")</f>
        <v>9</v>
      </c>
      <c r="AE192" s="27">
        <f>AVERAGEIFS($BH$36:$BH$171,$C$36:$C$171,"=1", $B$36:$B$171,"NO OFICIAL")</f>
        <v>53</v>
      </c>
      <c r="AF192" s="27">
        <f>AVERAGEIFS($BJ$36:$BJ$171,$C$36:$C$171,"=1", $B$36:$B$171,"NO OFICIAL")</f>
        <v>9.384615384615385</v>
      </c>
      <c r="AG192" s="27">
        <f>AVERAGEIFS($BY$36:$BY$171,$C$36:$C$171,"=1", $B$36:$B$171,"OFICIAL")</f>
        <v>52.2</v>
      </c>
      <c r="AH192" s="27">
        <f>AVERAGEIFS($CA$36:$CA$171,$C$36:$C$171,"=1", $B$36:$B$171,"OFICIAL")</f>
        <v>9.1999999999999993</v>
      </c>
      <c r="AI192" s="27">
        <v>54.25</v>
      </c>
      <c r="AJ192" s="27">
        <f>AVERAGEIFS($CA$36:$CA$171,$C$36:$C$171,"=1", $B$36:$B$171,"NO OFICIAL")</f>
        <v>9.0833333333333339</v>
      </c>
      <c r="AK192" s="27">
        <v>52.4</v>
      </c>
      <c r="AL192" s="27">
        <v>10.199999999999999</v>
      </c>
      <c r="AM192" s="27">
        <v>54.384615384615387</v>
      </c>
      <c r="AN192" s="27">
        <v>9.5384615384615383</v>
      </c>
    </row>
    <row r="193" spans="4:48" x14ac:dyDescent="0.2">
      <c r="D193" s="27" t="s">
        <v>245</v>
      </c>
      <c r="E193" s="27">
        <f>AVERAGEIFS(D36:D171,C36:C171,"=2", B36:B171,"OFICIAL")</f>
        <v>52</v>
      </c>
      <c r="F193" s="27">
        <f>AVERAGEIFS(E36:E171,C36:C171,"=2", B36:B171,"OFICIAL")</f>
        <v>8.5</v>
      </c>
      <c r="G193" s="27">
        <f>AVERAGEIFS(D36:D171,C36:C171,"=2", B36:B171,"NO OFICIAL")</f>
        <v>52.666666666666664</v>
      </c>
      <c r="H193" s="27">
        <f>AVERAGEIFS(E36:E171,C36:C171,"=2", B36:B171,"NO OFICIAL")</f>
        <v>8.6666666666666661</v>
      </c>
      <c r="I193" s="27">
        <f>AVERAGEIFS(M36:M171,C36:C171,"=2", B36:B171,"OFICIAL")</f>
        <v>51</v>
      </c>
      <c r="J193" s="27">
        <f>AVERAGEIFS(N36:N171,C36:C171,"=2", B36:B171,"OFICIAL")</f>
        <v>10</v>
      </c>
      <c r="K193" s="27">
        <f>AVERAGEIFS(M36:M171,C36:C171,"=2", B36:B171,"NO OFICIAL")</f>
        <v>52.294117647058826</v>
      </c>
      <c r="L193" s="27">
        <f>AVERAGEIFS(N36:N171,C36:C171,"=2", B36:B171,"NO OFICIAL")</f>
        <v>9.1764705882352935</v>
      </c>
      <c r="M193" s="27">
        <f>AVERAGEIFS(V36:V171,C36:C171,"=2", B36:B171,"OFICIAL")</f>
        <v>52.5</v>
      </c>
      <c r="N193" s="27">
        <f>AVERAGEIFS(W36:W171,C36:C171,"=2", B36:B171,"OFICIAL")</f>
        <v>9.5</v>
      </c>
      <c r="O193" s="27">
        <f>AVERAGEIFS(V36:V171,C36:C171,"=2", B36:B171,"NO OFICIAL")</f>
        <v>52.882352941176471</v>
      </c>
      <c r="P193" s="27">
        <f>AVERAGEIFS(W36:W171,C36:C171,"=2", B36:B171,"NO OFICIAL")</f>
        <v>8.5294117647058822</v>
      </c>
      <c r="Q193" s="27">
        <f>AVERAGEIFS(AE36:AE171,C36:C171,"=2", B36:B171,"OFICIAL")</f>
        <v>52</v>
      </c>
      <c r="R193" s="27">
        <f>AVERAGEIFS(AF36:AF171,C36:C171,"=2", B36:B171,"OFICIAL")</f>
        <v>10</v>
      </c>
      <c r="S193" s="27">
        <f>AVERAGEIFS(AE36:AE171,C36:C171,"=2", B36:B171,"NO OFICIAL")</f>
        <v>53.944444444444443</v>
      </c>
      <c r="T193" s="71">
        <f>AVERAGEIFS(AF36:AF171,C36:C171,"=2", B36:B171,"NO OFICIAL")</f>
        <v>9</v>
      </c>
      <c r="U193" s="27">
        <f>AVERAGEIFS($AN$36:$AN$171,$C$36:$C$171,"=2", $B$36:$B$171,"OFICIAL")</f>
        <v>52.5</v>
      </c>
      <c r="V193" s="27">
        <f>AVERAGEIFS($AO$36:$AO$171,$C$36:$C$171,"=2", $B$36:$B$171,"OFICIAL")</f>
        <v>9</v>
      </c>
      <c r="W193" s="27">
        <f>AVERAGEIFS($AN$36:$AN$171,$C$36:$C$171,"=2", $B$36:$B$171,"NO OFICIAL")</f>
        <v>52.81818181818182</v>
      </c>
      <c r="X193" s="27">
        <f>AVERAGEIFS($AO$36:$AO$171,$C$36:$C$171,"=2", $B$36:$B$171,"NO OFICIAL")</f>
        <v>7.7272727272727275</v>
      </c>
      <c r="Y193" s="27">
        <f>AVERAGEIFS($AW$36:$AW$171,$C$36:$C$171,"=2", $B$36:$B$171,"OFICIAL")</f>
        <v>50</v>
      </c>
      <c r="Z193" s="27">
        <f>AVERAGEIFS($AY$36:$AY$171,$C$36:$C$171,"=2", $B$36:$B$171,"OFICIAL")</f>
        <v>9</v>
      </c>
      <c r="AA193" s="27">
        <f>AVERAGEIFS($AW$36:$AW$171,$C$36:$C$171,"=2", $B$36:$B$171,"NO OFICIAL")</f>
        <v>52.4</v>
      </c>
      <c r="AB193" s="27">
        <f>AVERAGEIFS($AY$36:$AY$171,$C$36:$C$171,"=2", $B$36:$B$171,"NO OFICIAL")</f>
        <v>7.9</v>
      </c>
      <c r="AC193" s="27">
        <f>AVERAGEIFS($BH$36:$BH$171,$C$36:$C$171,"=2", $B$36:$B$171,"OFICIAL")</f>
        <v>50.75</v>
      </c>
      <c r="AD193" s="27">
        <f>AVERAGEIFS($BJ$36:$BJ$171,$C$36:$C$171,"=2", $B$36:$B$171,"OFICIAL")</f>
        <v>10</v>
      </c>
      <c r="AE193" s="27">
        <f>AVERAGEIFS($BH$36:$BH$171,$C$36:$C$171,"=2", $B$36:$B$171,"NO OFICIAL")</f>
        <v>54.571428571428569</v>
      </c>
      <c r="AF193" s="27">
        <f>AVERAGEIFS($BJ$36:$BJ$171,$C$36:$C$171,"=2", $B$36:$B$171,"NO OFICIAL")</f>
        <v>9.3809523809523814</v>
      </c>
      <c r="AG193" s="27">
        <f>AVERAGEIFS($BY$36:$BY$171,$C$36:$C$171,"=2", $B$36:$B$171,"OFICIAL")</f>
        <v>51.5</v>
      </c>
      <c r="AH193" s="27">
        <f>AVERAGEIFS($CA$36:$CA$171,$C$36:$C$171,"=2", $B$36:$B$171,"OFICIAL")</f>
        <v>9.5</v>
      </c>
      <c r="AI193" s="27">
        <v>53.045454545454547</v>
      </c>
      <c r="AJ193" s="27">
        <f>AVERAGEIFS($CA$36:$CA$171,$C$36:$C$171,"=2", $B$36:$B$171,"NO OFICIAL")</f>
        <v>8.6818181818181817</v>
      </c>
      <c r="AK193" s="27">
        <v>53.75</v>
      </c>
      <c r="AL193" s="27">
        <v>10.5</v>
      </c>
      <c r="AM193" s="27">
        <v>55.2</v>
      </c>
      <c r="AN193" s="27">
        <v>9.1999999999999993</v>
      </c>
    </row>
    <row r="194" spans="4:48" x14ac:dyDescent="0.2">
      <c r="D194" s="27" t="s">
        <v>246</v>
      </c>
      <c r="E194" s="27">
        <f>AVERAGEIFS(D36:D171,C36:C171,"=3", B36:B171,"OFICIAL")</f>
        <v>51</v>
      </c>
      <c r="F194" s="27">
        <f>AVERAGEIFS(E36:E171,C36:C171,"=3", B36:B171,"OFICIAL")</f>
        <v>8.8000000000000007</v>
      </c>
      <c r="G194" s="27">
        <f>AVERAGEIFS(D36:D171,C36:C171,"=3", B36:B171,"NO OFICIAL")</f>
        <v>53.769230769230766</v>
      </c>
      <c r="H194" s="27">
        <f>AVERAGEIFS(E36:E171,C36:C171,"=3", B36:B171,"NO OFICIAL")</f>
        <v>8.615384615384615</v>
      </c>
      <c r="I194" s="27">
        <f>AVERAGEIFS(M36:M171,C36:C171,"=3", B36:B171,"OFICIAL")</f>
        <v>50.2</v>
      </c>
      <c r="J194" s="27">
        <f>AVERAGEIFS(N36:N171,C36:C171,"=3", B36:B171,"OFICIAL")</f>
        <v>9</v>
      </c>
      <c r="K194" s="27">
        <f>AVERAGEIFS(M36:M171,C36:C171,"=3", B36:B171,"NO OFICIAL")</f>
        <v>52.5</v>
      </c>
      <c r="L194" s="27">
        <f>AVERAGEIFS(N36:N171,C36:C171,"=3", B36:B171,"NO OFICIAL")</f>
        <v>9.2857142857142865</v>
      </c>
      <c r="M194" s="27">
        <f>AVERAGEIFS(V36:V171,C36:C171,"=3", B36:B171,"OFICIAL")</f>
        <v>51</v>
      </c>
      <c r="N194" s="27">
        <f>AVERAGEIFS(W36:W171,C36:C171,"=3", B36:B171,"OFICIAL")</f>
        <v>9.1999999999999993</v>
      </c>
      <c r="O194" s="27">
        <f>AVERAGEIFS(V36:V171,C36:C171,"=3", B36:B171,"NO OFICIAL")</f>
        <v>53.285714285714285</v>
      </c>
      <c r="P194" s="27">
        <f>AVERAGEIFS(W36:W171,C36:C171,"=3", B36:B171,"NO OFICIAL")</f>
        <v>9.2142857142857135</v>
      </c>
      <c r="Q194" s="27">
        <f>AVERAGEIFS(AE36:AE171,C36:C171,"=3", B36:B171,"OFICIAL")</f>
        <v>51</v>
      </c>
      <c r="R194" s="27">
        <f>AVERAGEIFS(AF36:AF171,C36:C171,"=3", B36:B171,"OFICIAL")</f>
        <v>9.4</v>
      </c>
      <c r="S194" s="27">
        <f>AVERAGEIFS(AE36:AE171,C36:C171,"=3", B36:B171,"NO OFICIAL")</f>
        <v>53.428571428571431</v>
      </c>
      <c r="T194" s="71">
        <f>AVERAGEIFS(AF36:AF171,C36:C171,"=3", B36:B171,"NO OFICIAL")</f>
        <v>9.1428571428571423</v>
      </c>
      <c r="U194" s="27">
        <f>AVERAGEIFS($AN$36:$AN$171,$C$36:$C$171,"=3", $B$36:$B$171,"OFICIAL")</f>
        <v>51.6</v>
      </c>
      <c r="V194" s="27">
        <f>AVERAGEIFS($AO$36:$AO$171,$C$36:$C$171,"=3", $B$36:$B$171,"OFICIAL")</f>
        <v>9</v>
      </c>
      <c r="W194" s="27">
        <f>AVERAGEIFS($AN$36:$AN$171,$C$36:$C$171,"=3", $B$36:$B$171,"NO OFICIAL")</f>
        <v>54.666666666666664</v>
      </c>
      <c r="X194" s="27">
        <f>AVERAGEIFS($AO$36:$AO$171,$C$36:$C$171,"=3", $B$36:$B$171,"NO OFICIAL")</f>
        <v>8.5333333333333332</v>
      </c>
      <c r="Y194" s="27">
        <f>AVERAGEIFS($AW$36:$AW$171,$C$36:$C$171,"=3", $B$36:$B$171,"OFICIAL")</f>
        <v>50.2</v>
      </c>
      <c r="Z194" s="27">
        <f>AVERAGEIFS($AY$36:$AY$171,$C$36:$C$171,"=3", $B$36:$B$171,"OFICIAL")</f>
        <v>8.6</v>
      </c>
      <c r="AA194" s="27">
        <f>AVERAGEIFS($AW$36:$AW$171,$C$36:$C$171,"=3", $B$36:$B$171,"NO OFICIAL")</f>
        <v>53.4</v>
      </c>
      <c r="AB194" s="27">
        <f>AVERAGEIFS($AY$36:$AY$171,$C$36:$C$171,"=3", $B$36:$B$171,"NO OFICIAL")</f>
        <v>8.5333333333333332</v>
      </c>
      <c r="AC194" s="27">
        <f>AVERAGEIFS($BH$36:$BH$171,$C$36:$C$171,"=3", $B$36:$B$171,"OFICIAL")</f>
        <v>52.333333333333336</v>
      </c>
      <c r="AD194" s="27">
        <f>AVERAGEIFS($BJ$36:$BJ$171,$C$36:$C$171,"=3", $B$36:$B$171,"OFICIAL")</f>
        <v>9.5</v>
      </c>
      <c r="AE194" s="27">
        <f>AVERAGEIFS($BH$36:$BH$171,$C$36:$C$171,"=3", $B$36:$B$171,"NO OFICIAL")</f>
        <v>54.375</v>
      </c>
      <c r="AF194" s="27">
        <f>AVERAGEIFS($BJ$36:$BJ$171,$C$36:$C$171,"=3", $B$36:$B$171,"NO OFICIAL")</f>
        <v>9.5</v>
      </c>
      <c r="AG194" s="27">
        <f>AVERAGEIFS($BY$36:$BY$171,$C$36:$C$171,"=3", $B$36:$B$171,"OFICIAL")</f>
        <v>51.333333333333336</v>
      </c>
      <c r="AH194" s="27">
        <f>AVERAGEIFS($CA$36:$CA$171,$C$36:$C$171,"=3", $B$36:$B$171,"OFICIAL")</f>
        <v>9.6666666666666661</v>
      </c>
      <c r="AI194" s="27">
        <v>54.6875</v>
      </c>
      <c r="AJ194" s="27">
        <f>AVERAGEIFS($CA$36:$CA$171,$C$36:$C$171,"=3", $B$36:$B$171,"NO OFICIAL")</f>
        <v>9.9375</v>
      </c>
      <c r="AK194" s="27">
        <v>53.5</v>
      </c>
      <c r="AL194" s="27">
        <v>10.666666666666666</v>
      </c>
      <c r="AM194" s="27">
        <v>54.8125</v>
      </c>
      <c r="AN194" s="27">
        <v>9.6875</v>
      </c>
    </row>
    <row r="195" spans="4:48" x14ac:dyDescent="0.2">
      <c r="D195" s="27" t="s">
        <v>247</v>
      </c>
      <c r="E195" s="27">
        <f>AVERAGEIFS(D36:D171,C36:C171,"=4", B36:B171,"OFICIAL")</f>
        <v>47.166666666666664</v>
      </c>
      <c r="F195" s="27">
        <f>AVERAGEIFS(E36:E171,C36:C171,"=4", B36:B171,"OFICIAL")</f>
        <v>9.1666666666666661</v>
      </c>
      <c r="G195" s="27">
        <f>AVERAGEIFS(D36:D171,C36:C171,"=4", B36:B171,"NO OFICIAL")</f>
        <v>49.25</v>
      </c>
      <c r="H195" s="27">
        <f>AVERAGEIFS(E36:E171,C36:C171,"=4", B36:B171,"NO OFICIAL")</f>
        <v>8.5</v>
      </c>
      <c r="I195" s="27">
        <f>AVERAGEIFS(M36:M171,C36:C171,"=4", B36:B171,"OFICIAL")</f>
        <v>47.5</v>
      </c>
      <c r="J195" s="27">
        <f>AVERAGEIFS(N36:N171,C36:C171,"=4", B36:B171,"OFICIAL")</f>
        <v>9.8333333333333339</v>
      </c>
      <c r="K195" s="27">
        <f>AVERAGEIFS(M36:M171,C36:C171,"=4", B36:B171,"NO OFICIAL")</f>
        <v>51.111111111111114</v>
      </c>
      <c r="L195" s="27">
        <f>AVERAGEIFS(N36:N171,C36:C171,"=4", B36:B171,"NO OFICIAL")</f>
        <v>7.8888888888888893</v>
      </c>
      <c r="M195" s="27">
        <f>AVERAGEIFS(V36:V171,C36:C171,"=4", B36:B171,"OFICIAL")</f>
        <v>47.166666666666664</v>
      </c>
      <c r="N195" s="27">
        <f>AVERAGEIFS(W36:W171,C36:C171,"=4", B36:B171,"OFICIAL")</f>
        <v>9.5</v>
      </c>
      <c r="O195" s="27">
        <f>AVERAGEIFS(V36:V171,C36:C171,"=4", B36:B171,"NO OFICIAL")</f>
        <v>52.666666666666664</v>
      </c>
      <c r="P195" s="27">
        <f>AVERAGEIFS(W36:W171,C36:C171,"=4", B36:B171,"NO OFICIAL")</f>
        <v>8.2222222222222214</v>
      </c>
      <c r="Q195" s="27">
        <f>AVERAGEIFS(AE36:AE171,C36:C171,"=4", B36:B171,"OFICIAL")</f>
        <v>47</v>
      </c>
      <c r="R195" s="27">
        <f>AVERAGEIFS(AF36:AF171,C36:C171,"=4", B36:B171,"OFICIAL")</f>
        <v>9.3333333333333339</v>
      </c>
      <c r="S195" s="27">
        <f>AVERAGEIFS(AE36:AE171,C36:C171,"=4", B36:B171,"NO OFICIAL")</f>
        <v>51.75</v>
      </c>
      <c r="T195" s="71">
        <f>AVERAGEIFS(AF36:AF171,C36:C171,"=4", B36:B171,"NO OFICIAL")</f>
        <v>8.375</v>
      </c>
      <c r="U195" s="27">
        <f>AVERAGEIFS($AN$36:$AN$171,$C$36:$C$171,"=4", $B$36:$B$171,"OFICIAL")</f>
        <v>47.333333333333336</v>
      </c>
      <c r="V195" s="27">
        <f>AVERAGEIFS($AO$36:$AO$171,$C$36:$C$171,"=4", $B$36:$B$171,"OFICIAL")</f>
        <v>9.1666666666666661</v>
      </c>
      <c r="W195" s="27">
        <f>AVERAGEIFS($AN$36:$AN$171,$C$36:$C$171,"=4", $B$36:$B$171,"NO OFICIAL")</f>
        <v>50.714285714285715</v>
      </c>
      <c r="X195" s="27">
        <f>AVERAGEIFS($AO$36:$AO$171,$C$36:$C$171,"=4", $B$36:$B$171,"NO OFICIAL")</f>
        <v>9.1428571428571423</v>
      </c>
      <c r="Y195" s="27">
        <f>AVERAGEIFS($AW$36:$AW$171,$C$36:$C$171,"=4", $B$36:$B$171,"OFICIAL")</f>
        <v>47.166666666666664</v>
      </c>
      <c r="Z195" s="27">
        <f>AVERAGEIFS($AY$36:$AY$171,$C$36:$C$171,"=4", $B$36:$B$171,"OFICIAL")</f>
        <v>9</v>
      </c>
      <c r="AA195" s="27">
        <f>AVERAGEIFS($AW$36:$AW$171,$C$36:$C$171,"=4", $B$36:$B$171,"NO OFICIAL")</f>
        <v>49.5</v>
      </c>
      <c r="AB195" s="27">
        <f>AVERAGEIFS($AY$36:$AY$171,$C$36:$C$171,"=4", $B$36:$B$171,"NO OFICIAL")</f>
        <v>8.25</v>
      </c>
      <c r="AC195" s="27">
        <f>AVERAGEIFS($BH$36:$BH$171,$C$36:$C$171,"=4", $B$36:$B$171,"OFICIAL")</f>
        <v>48.333333333333336</v>
      </c>
      <c r="AD195" s="27">
        <f>AVERAGEIFS($BJ$36:$BJ$171,$C$36:$C$171,"=4", $B$36:$B$171,"OFICIAL")</f>
        <v>10</v>
      </c>
      <c r="AE195" s="27">
        <f>AVERAGEIFS($BH$36:$BH$171,$C$36:$C$171,"=4", $B$36:$B$171,"NO OFICIAL")</f>
        <v>52.5</v>
      </c>
      <c r="AF195" s="27">
        <f>AVERAGEIFS($BJ$36:$BJ$171,$C$36:$C$171,"=4", $B$36:$B$171,"NO OFICIAL")</f>
        <v>9.25</v>
      </c>
      <c r="AG195" s="27">
        <f>AVERAGEIFS($BY$36:$BY$171,$C$36:$C$171,"=4", $B$36:$B$171,"OFICIAL")</f>
        <v>48.333333333333336</v>
      </c>
      <c r="AH195" s="27">
        <f>AVERAGEIFS($CA$36:$CA$171,$C$36:$C$171,"=4", $B$36:$B$171,"OFICIAL")</f>
        <v>10.666666666666666</v>
      </c>
      <c r="AI195" s="27">
        <v>51</v>
      </c>
      <c r="AJ195" s="27">
        <f>AVERAGEIFS($CA$36:$CA$171,$C$36:$C$171,"=4", $B$36:$B$171,"NO OFICIAL")</f>
        <v>9</v>
      </c>
      <c r="AK195" s="27">
        <v>48</v>
      </c>
      <c r="AL195" s="27">
        <v>11</v>
      </c>
      <c r="AM195" s="27">
        <v>55.714285714285715</v>
      </c>
      <c r="AN195" s="27">
        <v>9.7142857142857135</v>
      </c>
    </row>
    <row r="196" spans="4:48" x14ac:dyDescent="0.2">
      <c r="D196" s="27" t="s">
        <v>248</v>
      </c>
      <c r="E196" s="27">
        <f>AVERAGEIFS(D36:D171,C36:C171,"=5", B36:B171,"OFICIAL")</f>
        <v>52.333333333333336</v>
      </c>
      <c r="F196" s="27">
        <f>AVERAGEIFS(E36:E171,C36:C171,"=5", B36:B171,"OFICIAL")</f>
        <v>8.6666666666666661</v>
      </c>
      <c r="G196" s="27">
        <f>AVERAGEIFS(D36:D171,C36:C171,"=5", B36:B171,"NO OFICIAL")</f>
        <v>54.928571428571431</v>
      </c>
      <c r="H196" s="27">
        <f>AVERAGEIFS(E36:E171,C36:C171,"=5", B36:B171,"NO OFICIAL")</f>
        <v>8.2142857142857135</v>
      </c>
      <c r="I196" s="27">
        <f>AVERAGEIFS(M36:M171,C36:C171,"=5", B36:B171,"OFICIAL")</f>
        <v>53</v>
      </c>
      <c r="J196" s="27">
        <f>AVERAGEIFS(N36:N171,C36:C171,"=5", B36:B171,"OFICIAL")</f>
        <v>9.3333333333333339</v>
      </c>
      <c r="K196" s="27">
        <f>AVERAGEIFS(M36:M171,C36:C171,"=5", B36:B171,"NO OFICIAL")</f>
        <v>55.071428571428569</v>
      </c>
      <c r="L196" s="27">
        <f>AVERAGEIFS(N36:N171,C36:C171,"=5", B36:B171,"NO OFICIAL")</f>
        <v>9.5</v>
      </c>
      <c r="M196" s="27">
        <f>AVERAGEIFS(V36:V171,C36:C171,"=5", B36:B171,"OFICIAL")</f>
        <v>52</v>
      </c>
      <c r="N196" s="27">
        <f>AVERAGEIFS(W36:W171,C36:C171,"=5", B36:B171,"OFICIAL")</f>
        <v>8.3333333333333339</v>
      </c>
      <c r="O196" s="27">
        <f>AVERAGEIFS(V36:V171,C36:C171,"=5", B36:B171,"NO OFICIAL")</f>
        <v>55.333333333333336</v>
      </c>
      <c r="P196" s="27">
        <f>AVERAGEIFS(W36:W171,C36:C171,"=5", B36:B171,"NO OFICIAL")</f>
        <v>8.4666666666666668</v>
      </c>
      <c r="Q196" s="27">
        <f>AVERAGEIFS(AE36:AE171,C36:C171,"=5", B36:B171,"OFICIAL")</f>
        <v>54</v>
      </c>
      <c r="R196" s="27">
        <f>AVERAGEIFS(AF36:AF171,C36:C171,"=5", B36:B171,"OFICIAL")</f>
        <v>8.6666666666666661</v>
      </c>
      <c r="S196" s="27">
        <f>AVERAGEIFS(AE36:AE171,C36:C171,"=5", B36:B171,"NO OFICIAL")</f>
        <v>55.625</v>
      </c>
      <c r="T196" s="71">
        <f>AVERAGEIFS(AF36:AF171,C36:C171,"=5", B36:B171,"NO OFICIAL")</f>
        <v>8.5</v>
      </c>
      <c r="U196" s="27">
        <f>AVERAGEIFS($AN$36:$AN$171,$C$36:$C$171,"=5", $B$36:$B$171,"OFICIAL")</f>
        <v>54.666666666666664</v>
      </c>
      <c r="V196" s="27">
        <f>AVERAGEIFS($AO$36:$AO$171,$C$36:$C$171,"=5", $B$36:$B$171,"OFICIAL")</f>
        <v>8.3333333333333339</v>
      </c>
      <c r="W196" s="27">
        <f>AVERAGEIFS($AN$36:$AN$171,$C$36:$C$171,"=5", $B$36:$B$171,"NO OFICIAL")</f>
        <v>56.2</v>
      </c>
      <c r="X196" s="27">
        <f>AVERAGEIFS($AO$36:$AO$171,$C$36:$C$171,"=5", $B$36:$B$171,"NO OFICIAL")</f>
        <v>9.1999999999999993</v>
      </c>
      <c r="Y196" s="27">
        <f>AVERAGEIFS($AW$36:$AW$171,$C$36:$C$171,"=5", $B$36:$B$171,"OFICIAL")</f>
        <v>52.333333333333336</v>
      </c>
      <c r="Z196" s="27">
        <f>AVERAGEIFS($AY$36:$AY$171,$C$36:$C$171,"=5", $B$36:$B$171,"OFICIAL")</f>
        <v>9</v>
      </c>
      <c r="AA196" s="27">
        <f>AVERAGEIFS($AW$36:$AW$171,$C$36:$C$171,"=5", $B$36:$B$171,"NO OFICIAL")</f>
        <v>54.666666666666664</v>
      </c>
      <c r="AB196" s="27">
        <f>AVERAGEIFS($AY$36:$AY$171,$C$36:$C$171,"=5", $B$36:$B$171,"NO OFICIAL")</f>
        <v>9</v>
      </c>
      <c r="AC196" s="27">
        <f>AVERAGEIFS($BH$36:$BH$171,$C$36:$C$171,"=5", $B$36:$B$171,"OFICIAL")</f>
        <v>54.666666666666664</v>
      </c>
      <c r="AD196" s="27">
        <f>AVERAGEIFS($BJ$36:$BJ$171,$C$36:$C$171,"=5", $B$36:$B$171,"OFICIAL")</f>
        <v>9.3333333333333339</v>
      </c>
      <c r="AE196" s="27">
        <f>AVERAGEIFS($BH$36:$BH$171,$C$36:$C$171,"=5", $B$36:$B$171,"NO OFICIAL")</f>
        <v>56.142857142857146</v>
      </c>
      <c r="AF196" s="27">
        <f>AVERAGEIFS($BJ$36:$BJ$171,$C$36:$C$171,"=5", $B$36:$B$171,"NO OFICIAL")</f>
        <v>9.0714285714285712</v>
      </c>
      <c r="AG196" s="27">
        <f>AVERAGEIFS($BY$36:$BY$171,$C$36:$C$171,"=5", $B$36:$B$171,"OFICIAL")</f>
        <v>53</v>
      </c>
      <c r="AH196" s="27">
        <f>AVERAGEIFS($CA$36:$CA$171,$C$36:$C$171,"=5", $B$36:$B$171,"OFICIAL")</f>
        <v>10.333333333333334</v>
      </c>
      <c r="AI196" s="27">
        <v>56.4</v>
      </c>
      <c r="AJ196" s="27">
        <f>AVERAGEIFS($CA$36:$CA$171,$C$36:$C$171,"=5", $B$36:$B$171,"NO OFICIAL")</f>
        <v>8.9285714285714288</v>
      </c>
      <c r="AK196" s="27">
        <v>55.666666666666664</v>
      </c>
      <c r="AL196" s="27">
        <v>10</v>
      </c>
      <c r="AM196" s="27">
        <v>55.93333333333333</v>
      </c>
      <c r="AN196" s="27">
        <v>9.4666666666666668</v>
      </c>
    </row>
    <row r="197" spans="4:48" x14ac:dyDescent="0.2">
      <c r="D197" s="27" t="s">
        <v>249</v>
      </c>
      <c r="E197" s="27">
        <f>AVERAGEIFS(D36:D171,C36:C171,"=6", B36:B171,"OFICIAL")</f>
        <v>50.75</v>
      </c>
      <c r="F197" s="27">
        <f>AVERAGEIFS(E36:E171,C36:C171,"=6", B36:B171,"OFICIAL")</f>
        <v>9.25</v>
      </c>
      <c r="G197" s="27">
        <f>AVERAGEIFS(D36:D171,C36:C171,"=6", B36:B171,"NO OFICIAL")</f>
        <v>52.81818181818182</v>
      </c>
      <c r="H197" s="27">
        <f>AVERAGEIFS(E36:E171,C36:C171,"=6", B36:B171,"NO OFICIAL")</f>
        <v>7.3636363636363633</v>
      </c>
      <c r="I197" s="27">
        <f>AVERAGEIFS(M36:M171,C36:C171,"=6", B36:B171,"OFICIAL")</f>
        <v>50.75</v>
      </c>
      <c r="J197" s="27">
        <f>AVERAGEIFS(N36:N171,C36:C171,"=6", B36:B171,"OFICIAL")</f>
        <v>9.5</v>
      </c>
      <c r="K197" s="27">
        <f>AVERAGEIFS(M36:M171,C36:C171,"=6", B36:B171,"NO OFICIAL")</f>
        <v>51.090909090909093</v>
      </c>
      <c r="L197" s="27">
        <f>AVERAGEIFS(N36:N171,C36:C171,"=6", B36:B171,"NO OFICIAL")</f>
        <v>10</v>
      </c>
      <c r="M197" s="27">
        <f>AVERAGEIFS(V36:V171,C36:C171,"=6", B36:B171,"OFICIAL")</f>
        <v>50.5</v>
      </c>
      <c r="N197" s="27">
        <f>AVERAGEIFS(W36:W171,C36:C171,"=6", B36:B171,"OFICIAL")</f>
        <v>9.25</v>
      </c>
      <c r="O197" s="27">
        <f>AVERAGEIFS(V36:V171,C36:C171,"=6", B36:B171,"NO OFICIAL")</f>
        <v>52.8</v>
      </c>
      <c r="P197" s="27">
        <f>AVERAGEIFS(W36:W171,C36:C171,"=6", B36:B171,"NO OFICIAL")</f>
        <v>8.5</v>
      </c>
      <c r="Q197" s="27">
        <f>AVERAGEIFS(AE36:AE171,C36:C171,"=6", B36:B171,"OFICIAL")</f>
        <v>51.75</v>
      </c>
      <c r="R197" s="27">
        <f>AVERAGEIFS(AF36:AF171,C36:C171,"=6", B36:B171,"OFICIAL")</f>
        <v>9.25</v>
      </c>
      <c r="S197" s="27">
        <f>AVERAGEIFS(AE36:AE171,C36:C171,"=6", B36:B171,"NO OFICIAL")</f>
        <v>54.272727272727273</v>
      </c>
      <c r="T197" s="71">
        <f>AVERAGEIFS(AF36:AF171,C36:C171,"=6", B36:B171,"NO OFICIAL")</f>
        <v>11.090909090909092</v>
      </c>
      <c r="U197" s="27">
        <f>AVERAGEIFS($AN$36:$AN$171,$C$36:$C$171,"=6", $B$36:$B$171,"OFICIAL")</f>
        <v>52.25</v>
      </c>
      <c r="V197" s="27">
        <f>AVERAGEIFS($AO$36:$AO$171,$C$36:$C$171,"=6", $B$36:$B$171,"OFICIAL")</f>
        <v>9.25</v>
      </c>
      <c r="W197" s="27">
        <f>AVERAGEIFS($AN$36:$AN$171,$C$36:$C$171,"=6", $B$36:$B$171,"NO OFICIAL")</f>
        <v>52.07692307692308</v>
      </c>
      <c r="X197" s="27">
        <f>AVERAGEIFS($AO$36:$AO$171,$C$36:$C$171,"=6", $B$36:$B$171,"NO OFICIAL")</f>
        <v>8.8461538461538467</v>
      </c>
      <c r="Y197" s="27">
        <f>AVERAGEIFS($AW$36:$AW$171,$C$36:$C$171,"=6", $B$36:$B$171,"OFICIAL")</f>
        <v>49.75</v>
      </c>
      <c r="Z197" s="27">
        <f>AVERAGEIFS($AY$36:$AY$171,$C$36:$C$171,"=6", $B$36:$B$171,"OFICIAL")</f>
        <v>8.5</v>
      </c>
      <c r="AA197" s="27">
        <f>AVERAGEIFS($AW$36:$AW$171,$C$36:$C$171,"=6", $B$36:$B$171,"NO OFICIAL")</f>
        <v>52.230769230769234</v>
      </c>
      <c r="AB197" s="27">
        <f>AVERAGEIFS($AY$36:$AY$171,$C$36:$C$171,"=6", $B$36:$B$171,"NO OFICIAL")</f>
        <v>7.2307692307692308</v>
      </c>
      <c r="AC197" s="27">
        <f>AVERAGEIFS($BH$36:$BH$171,$C$36:$C$171,"=6", $B$36:$B$171,"OFICIAL")</f>
        <v>50.25</v>
      </c>
      <c r="AD197" s="27">
        <f>AVERAGEIFS($BJ$36:$BJ$171,$C$36:$C$171,"=6", $B$36:$B$171,"OFICIAL")</f>
        <v>10.25</v>
      </c>
      <c r="AE197" s="27">
        <f>AVERAGEIFS($BH$36:$BH$171,$C$36:$C$171,"=6", $B$36:$B$171,"NO OFICIAL")</f>
        <v>52.533333333333331</v>
      </c>
      <c r="AF197" s="27">
        <f>AVERAGEIFS($BJ$36:$BJ$171,$C$36:$C$171,"=6", $B$36:$B$171,"NO OFICIAL")</f>
        <v>10.066666666666666</v>
      </c>
      <c r="AG197" s="27">
        <f>AVERAGEIFS($BY$36:$BY$171,$C$36:$C$171,"=6", $B$36:$B$171,"OFICIAL")</f>
        <v>50.5</v>
      </c>
      <c r="AH197" s="27">
        <f>AVERAGEIFS($CA$36:$CA$171,$C$36:$C$171,"=6", $B$36:$B$171,"OFICIAL")</f>
        <v>10.25</v>
      </c>
      <c r="AI197" s="27">
        <v>53.941176470588232</v>
      </c>
      <c r="AJ197" s="27">
        <f>AVERAGEIFS($CA$36:$CA$171,$C$36:$C$171,"=6", $B$36:$B$171,"NO OFICIAL")</f>
        <v>8.5</v>
      </c>
      <c r="AK197" s="27">
        <v>51.25</v>
      </c>
      <c r="AL197" s="27">
        <v>10.5</v>
      </c>
      <c r="AM197" s="27">
        <v>54.357142857142854</v>
      </c>
      <c r="AN197" s="27">
        <v>9.2142857142857135</v>
      </c>
    </row>
    <row r="198" spans="4:48" x14ac:dyDescent="0.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row>
    <row r="199" spans="4:48" x14ac:dyDescent="0.2">
      <c r="E199" s="839" t="s">
        <v>252</v>
      </c>
      <c r="F199" s="839"/>
      <c r="G199" s="839"/>
      <c r="H199" s="839"/>
      <c r="I199" s="839"/>
      <c r="J199" s="839"/>
      <c r="K199" s="839"/>
      <c r="L199" s="839"/>
      <c r="M199" s="839"/>
      <c r="N199" s="839"/>
      <c r="R199" s="994" t="s">
        <v>253</v>
      </c>
      <c r="S199" s="994"/>
      <c r="T199" s="994"/>
      <c r="U199" s="994"/>
      <c r="V199" s="994"/>
      <c r="W199" s="994"/>
      <c r="X199" s="994"/>
      <c r="Y199" s="994"/>
      <c r="Z199" s="994"/>
      <c r="AA199" s="994"/>
      <c r="AD199" s="72"/>
      <c r="AL199" s="73"/>
      <c r="AM199" s="73"/>
      <c r="AN199" s="73"/>
      <c r="AO199" s="73"/>
      <c r="AP199" s="73"/>
      <c r="AQ199" s="73"/>
    </row>
    <row r="200" spans="4:48" x14ac:dyDescent="0.2">
      <c r="E200" s="28"/>
      <c r="F200" s="28">
        <v>2016</v>
      </c>
      <c r="G200" s="29">
        <v>2017</v>
      </c>
      <c r="H200" s="28">
        <v>2018</v>
      </c>
      <c r="I200" s="28">
        <v>2019</v>
      </c>
      <c r="J200" s="28">
        <v>2020</v>
      </c>
      <c r="K200" s="28">
        <v>2021</v>
      </c>
      <c r="L200" s="29">
        <v>2022</v>
      </c>
      <c r="M200" s="29">
        <v>2023</v>
      </c>
      <c r="N200" s="29">
        <v>2024</v>
      </c>
      <c r="R200" s="28"/>
      <c r="S200" s="28">
        <v>2016</v>
      </c>
      <c r="T200" s="29">
        <v>2017</v>
      </c>
      <c r="U200" s="28">
        <v>2018</v>
      </c>
      <c r="V200" s="28">
        <v>2019</v>
      </c>
      <c r="W200" s="28">
        <v>2020</v>
      </c>
      <c r="X200" s="28">
        <v>2021</v>
      </c>
      <c r="Y200" s="29">
        <v>2022</v>
      </c>
      <c r="Z200" s="29">
        <v>2023</v>
      </c>
      <c r="AA200" s="29">
        <v>2024</v>
      </c>
      <c r="AD200" s="72"/>
      <c r="AL200" s="72"/>
      <c r="AM200" s="72"/>
    </row>
    <row r="201" spans="4:48" x14ac:dyDescent="0.2">
      <c r="E201" s="27" t="s">
        <v>244</v>
      </c>
      <c r="F201" s="27">
        <v>52.5</v>
      </c>
      <c r="G201" s="27">
        <v>51.75</v>
      </c>
      <c r="H201" s="27">
        <v>51.75</v>
      </c>
      <c r="I201" s="27">
        <v>52.5</v>
      </c>
      <c r="J201" s="27">
        <v>52.5</v>
      </c>
      <c r="K201" s="27">
        <v>51.25</v>
      </c>
      <c r="L201" s="27">
        <v>51</v>
      </c>
      <c r="M201" s="27">
        <v>52.2</v>
      </c>
      <c r="N201" s="27">
        <v>52.4</v>
      </c>
      <c r="R201" s="27" t="s">
        <v>244</v>
      </c>
      <c r="S201" s="27">
        <v>51.615384615384613</v>
      </c>
      <c r="T201" s="27">
        <v>51.583333333333336</v>
      </c>
      <c r="U201" s="27">
        <v>51.846153846153847</v>
      </c>
      <c r="V201" s="27">
        <v>52.692307692307693</v>
      </c>
      <c r="W201" s="27">
        <v>53.53846153846154</v>
      </c>
      <c r="X201" s="27">
        <v>52.846153846153847</v>
      </c>
      <c r="Y201" s="27">
        <v>53</v>
      </c>
      <c r="Z201" s="27">
        <v>54.25</v>
      </c>
      <c r="AA201" s="27">
        <v>54.384615384615387</v>
      </c>
      <c r="AD201" s="32"/>
      <c r="AL201" s="32"/>
      <c r="AM201" s="32"/>
    </row>
    <row r="202" spans="4:48" x14ac:dyDescent="0.2">
      <c r="E202" s="27" t="s">
        <v>245</v>
      </c>
      <c r="F202" s="27">
        <v>52</v>
      </c>
      <c r="G202" s="27">
        <v>51</v>
      </c>
      <c r="H202" s="27">
        <v>52.5</v>
      </c>
      <c r="I202" s="27">
        <v>52</v>
      </c>
      <c r="J202" s="27">
        <v>52.5</v>
      </c>
      <c r="K202" s="27">
        <v>50</v>
      </c>
      <c r="L202" s="27">
        <v>50.75</v>
      </c>
      <c r="M202" s="27">
        <v>51.5</v>
      </c>
      <c r="N202" s="27">
        <v>53.75</v>
      </c>
      <c r="R202" s="27" t="s">
        <v>245</v>
      </c>
      <c r="S202" s="27">
        <v>52.666666666666664</v>
      </c>
      <c r="T202" s="27">
        <v>52.294117647058826</v>
      </c>
      <c r="U202" s="27">
        <v>52.882352941176471</v>
      </c>
      <c r="V202" s="27">
        <v>53.944444444444443</v>
      </c>
      <c r="W202" s="27">
        <v>52.81818181818182</v>
      </c>
      <c r="X202" s="27">
        <v>52.4</v>
      </c>
      <c r="Y202" s="27">
        <v>54.571428571428569</v>
      </c>
      <c r="Z202" s="27">
        <v>53.045454545454547</v>
      </c>
      <c r="AA202" s="27">
        <v>55.2</v>
      </c>
      <c r="AD202" s="32"/>
      <c r="AK202" s="26"/>
      <c r="AL202" s="32"/>
    </row>
    <row r="203" spans="4:48" x14ac:dyDescent="0.2">
      <c r="E203" s="27" t="s">
        <v>246</v>
      </c>
      <c r="F203" s="27">
        <v>51</v>
      </c>
      <c r="G203" s="27">
        <v>50</v>
      </c>
      <c r="H203" s="27">
        <v>50.666666666666664</v>
      </c>
      <c r="I203" s="27">
        <v>51</v>
      </c>
      <c r="J203" s="27">
        <v>51.25</v>
      </c>
      <c r="K203" s="27">
        <v>50.2</v>
      </c>
      <c r="L203" s="27">
        <v>52.333333333333336</v>
      </c>
      <c r="M203" s="27">
        <v>51.333333333333336</v>
      </c>
      <c r="N203" s="27">
        <v>53.5</v>
      </c>
      <c r="R203" s="27" t="s">
        <v>246</v>
      </c>
      <c r="S203" s="27">
        <v>53.769230769230766</v>
      </c>
      <c r="T203" s="27">
        <v>52.5</v>
      </c>
      <c r="U203" s="27">
        <v>53.285714285714285</v>
      </c>
      <c r="V203" s="27">
        <v>53.428571428571431</v>
      </c>
      <c r="W203" s="27">
        <v>54.666666666666664</v>
      </c>
      <c r="X203" s="27">
        <v>53.4</v>
      </c>
      <c r="Y203" s="27">
        <v>54.375</v>
      </c>
      <c r="Z203" s="27">
        <v>54.6875</v>
      </c>
      <c r="AA203" s="27">
        <v>54.8125</v>
      </c>
      <c r="AD203" s="32"/>
      <c r="AK203" s="26"/>
      <c r="AL203" s="32"/>
    </row>
    <row r="204" spans="4:48" x14ac:dyDescent="0.2">
      <c r="E204" s="27" t="s">
        <v>247</v>
      </c>
      <c r="F204" s="27">
        <v>47.166666666666664</v>
      </c>
      <c r="G204" s="27">
        <v>47.5</v>
      </c>
      <c r="H204" s="27">
        <v>47.166666666666664</v>
      </c>
      <c r="I204" s="27">
        <v>47</v>
      </c>
      <c r="J204" s="27">
        <v>47.333333333333336</v>
      </c>
      <c r="K204" s="27">
        <v>47.166666666666664</v>
      </c>
      <c r="L204" s="27">
        <v>48.333333333333336</v>
      </c>
      <c r="M204" s="27">
        <v>48.333333333333336</v>
      </c>
      <c r="N204" s="27">
        <v>48</v>
      </c>
      <c r="R204" s="27" t="s">
        <v>247</v>
      </c>
      <c r="S204" s="27">
        <v>49.25</v>
      </c>
      <c r="T204" s="27">
        <v>51.111111111111114</v>
      </c>
      <c r="U204" s="27">
        <v>52.666666666666664</v>
      </c>
      <c r="V204" s="27">
        <v>51.75</v>
      </c>
      <c r="W204" s="27">
        <v>50.714285714285715</v>
      </c>
      <c r="X204" s="27">
        <v>49.5</v>
      </c>
      <c r="Y204" s="27">
        <v>52.5</v>
      </c>
      <c r="Z204" s="27">
        <v>51</v>
      </c>
      <c r="AA204" s="27">
        <v>55.714285714285715</v>
      </c>
      <c r="AD204" s="32"/>
      <c r="AK204" s="26"/>
      <c r="AL204" s="32"/>
    </row>
    <row r="205" spans="4:48" x14ac:dyDescent="0.2">
      <c r="E205" s="27" t="s">
        <v>248</v>
      </c>
      <c r="F205" s="27">
        <v>52</v>
      </c>
      <c r="G205" s="27">
        <v>51.5</v>
      </c>
      <c r="H205" s="27">
        <v>50.5</v>
      </c>
      <c r="I205" s="27">
        <v>52</v>
      </c>
      <c r="J205" s="27">
        <v>52</v>
      </c>
      <c r="K205" s="27">
        <v>50.5</v>
      </c>
      <c r="L205" s="27">
        <v>52.5</v>
      </c>
      <c r="M205" s="27">
        <v>51.5</v>
      </c>
      <c r="N205" s="27">
        <v>55.666666666666664</v>
      </c>
      <c r="R205" s="27" t="s">
        <v>248</v>
      </c>
      <c r="S205" s="27">
        <v>54.8</v>
      </c>
      <c r="T205" s="27">
        <v>55.133333333333333</v>
      </c>
      <c r="U205" s="27">
        <v>55.3125</v>
      </c>
      <c r="V205" s="27">
        <v>55.764705882352942</v>
      </c>
      <c r="W205" s="27">
        <v>56.4375</v>
      </c>
      <c r="X205" s="27">
        <v>54.75</v>
      </c>
      <c r="Y205" s="27">
        <v>56.333333333333336</v>
      </c>
      <c r="Z205" s="27">
        <v>56.4</v>
      </c>
      <c r="AA205" s="27">
        <v>56.125</v>
      </c>
      <c r="AD205" s="32"/>
      <c r="AK205" s="26"/>
      <c r="AL205" s="32"/>
    </row>
    <row r="206" spans="4:48" x14ac:dyDescent="0.2">
      <c r="E206" s="27" t="s">
        <v>249</v>
      </c>
      <c r="F206" s="27">
        <v>51</v>
      </c>
      <c r="G206" s="27">
        <v>51.333333333333336</v>
      </c>
      <c r="H206" s="27">
        <v>51</v>
      </c>
      <c r="I206" s="27">
        <v>52</v>
      </c>
      <c r="J206" s="27">
        <v>52.666666666666664</v>
      </c>
      <c r="K206" s="27">
        <v>50.333333333333336</v>
      </c>
      <c r="L206" s="27">
        <v>51.333333333333336</v>
      </c>
      <c r="M206" s="27">
        <v>51</v>
      </c>
      <c r="N206" s="27">
        <v>51.25</v>
      </c>
      <c r="R206" s="27" t="s">
        <v>249</v>
      </c>
      <c r="S206" s="27">
        <v>52.583333333333336</v>
      </c>
      <c r="T206" s="27">
        <v>50.916666666666664</v>
      </c>
      <c r="U206" s="27">
        <v>52.454545454545453</v>
      </c>
      <c r="V206" s="27">
        <v>54</v>
      </c>
      <c r="W206" s="27">
        <v>52</v>
      </c>
      <c r="X206" s="27">
        <v>51.928571428571431</v>
      </c>
      <c r="Y206" s="27">
        <v>52.1875</v>
      </c>
      <c r="Z206" s="27">
        <v>53.941176470588232</v>
      </c>
      <c r="AA206" s="27">
        <v>54.266666666666666</v>
      </c>
      <c r="AB206" s="32"/>
      <c r="AC206" s="32"/>
      <c r="AD206" s="32"/>
      <c r="AL206" s="32"/>
      <c r="AM206" s="32"/>
    </row>
    <row r="207" spans="4:48" x14ac:dyDescent="0.2">
      <c r="Y207" s="95"/>
      <c r="Z207" s="95"/>
    </row>
    <row r="208" spans="4:48" x14ac:dyDescent="0.2">
      <c r="S208" s="86"/>
      <c r="T208" s="86"/>
      <c r="U208" s="86"/>
      <c r="V208" s="86"/>
      <c r="W208" s="86"/>
      <c r="X208" s="86"/>
      <c r="Y208" s="95"/>
      <c r="Z208" s="95"/>
      <c r="AA208" s="86"/>
      <c r="AB208" s="86"/>
      <c r="AC208" s="86"/>
    </row>
    <row r="209" spans="19:55" x14ac:dyDescent="0.2">
      <c r="S209" s="86"/>
      <c r="T209" s="86"/>
      <c r="U209" s="86"/>
      <c r="V209" s="86"/>
      <c r="W209" s="86"/>
      <c r="X209" s="86"/>
      <c r="Y209" s="86"/>
      <c r="Z209" s="86"/>
      <c r="AA209" s="86"/>
      <c r="AB209" s="86"/>
      <c r="AC209" s="86"/>
    </row>
    <row r="210" spans="19:55" x14ac:dyDescent="0.2">
      <c r="S210" s="86"/>
      <c r="T210" s="95"/>
      <c r="U210" s="95"/>
      <c r="V210" s="95"/>
      <c r="W210" s="95"/>
      <c r="X210" s="95"/>
      <c r="Y210" s="95"/>
      <c r="Z210" s="95"/>
      <c r="AA210" s="95"/>
      <c r="AB210" s="95"/>
      <c r="AC210" s="95"/>
    </row>
    <row r="211" spans="19:55" x14ac:dyDescent="0.2">
      <c r="S211" s="86"/>
      <c r="T211" s="95"/>
      <c r="U211" s="95"/>
      <c r="V211" s="95"/>
      <c r="W211" s="95"/>
      <c r="X211" s="95"/>
      <c r="Y211" s="95"/>
      <c r="Z211" s="95"/>
      <c r="AA211" s="95"/>
      <c r="AB211" s="95"/>
      <c r="AC211" s="95"/>
    </row>
    <row r="212" spans="19:55" x14ac:dyDescent="0.2">
      <c r="S212" s="15"/>
      <c r="T212" s="95"/>
      <c r="U212" s="95"/>
      <c r="V212" s="95"/>
      <c r="W212" s="95"/>
      <c r="X212" s="95"/>
      <c r="Y212" s="95"/>
      <c r="Z212" s="95"/>
      <c r="AA212" s="95"/>
      <c r="AB212" s="95"/>
      <c r="AC212" s="95"/>
    </row>
    <row r="213" spans="19:55" x14ac:dyDescent="0.2">
      <c r="S213" s="15"/>
      <c r="T213" s="95"/>
      <c r="U213" s="95"/>
      <c r="V213" s="95"/>
      <c r="W213" s="95"/>
      <c r="X213" s="95"/>
      <c r="Y213" s="95"/>
      <c r="Z213" s="95"/>
      <c r="AA213" s="95"/>
      <c r="AB213" s="95"/>
      <c r="AC213" s="95"/>
    </row>
    <row r="215" spans="19:55" ht="12.75" customHeight="1" x14ac:dyDescent="0.2">
      <c r="S215" s="838" t="s">
        <v>320</v>
      </c>
      <c r="T215" s="839"/>
      <c r="U215" s="839"/>
      <c r="V215" s="839"/>
      <c r="W215" s="839"/>
      <c r="X215" s="839"/>
      <c r="Y215" s="839"/>
      <c r="Z215" s="839"/>
      <c r="AA215" s="839"/>
      <c r="AB215" s="839"/>
      <c r="AC215" s="839"/>
      <c r="AD215" s="839"/>
      <c r="AE215" s="839"/>
      <c r="AF215" s="839"/>
      <c r="AG215" s="839"/>
      <c r="AH215" s="839"/>
      <c r="AI215" s="839"/>
      <c r="AJ215" s="839"/>
      <c r="AK215" s="839"/>
      <c r="AL215" s="839"/>
      <c r="AM215" s="839"/>
    </row>
    <row r="216" spans="19:55" x14ac:dyDescent="0.2">
      <c r="S216" s="28"/>
      <c r="T216" s="838">
        <v>2016</v>
      </c>
      <c r="U216" s="839"/>
      <c r="V216" s="839"/>
      <c r="W216" s="969"/>
      <c r="X216" s="838">
        <v>2017</v>
      </c>
      <c r="Y216" s="839"/>
      <c r="Z216" s="839"/>
      <c r="AA216" s="969"/>
      <c r="AB216" s="838">
        <v>2018</v>
      </c>
      <c r="AC216" s="839"/>
      <c r="AD216" s="839"/>
      <c r="AE216" s="969"/>
      <c r="AF216" s="838">
        <v>2019</v>
      </c>
      <c r="AG216" s="839"/>
      <c r="AH216" s="839"/>
      <c r="AI216" s="969"/>
      <c r="AJ216" s="993">
        <v>2020</v>
      </c>
      <c r="AK216" s="839"/>
      <c r="AL216" s="839"/>
      <c r="AM216" s="988"/>
      <c r="AN216" s="839">
        <v>2021</v>
      </c>
      <c r="AO216" s="839"/>
      <c r="AP216" s="839"/>
      <c r="AQ216" s="988"/>
      <c r="AR216" s="839">
        <v>2022</v>
      </c>
      <c r="AS216" s="839"/>
      <c r="AT216" s="839"/>
      <c r="AU216" s="988"/>
      <c r="AV216" s="205">
        <v>2023</v>
      </c>
      <c r="AW216" s="205"/>
      <c r="AX216" s="205"/>
      <c r="AY216" s="539"/>
      <c r="AZ216" s="839">
        <v>2024</v>
      </c>
      <c r="BA216" s="839"/>
      <c r="BB216" s="839"/>
      <c r="BC216" s="839"/>
    </row>
    <row r="217" spans="19:55" x14ac:dyDescent="0.2">
      <c r="T217" s="67" t="s">
        <v>10</v>
      </c>
      <c r="U217" t="s">
        <v>0</v>
      </c>
      <c r="V217" t="s">
        <v>318</v>
      </c>
      <c r="W217" t="s">
        <v>319</v>
      </c>
      <c r="X217" s="67" t="s">
        <v>10</v>
      </c>
      <c r="Y217" s="67" t="s">
        <v>0</v>
      </c>
      <c r="Z217" t="s">
        <v>318</v>
      </c>
      <c r="AA217" t="s">
        <v>319</v>
      </c>
      <c r="AB217" s="67" t="s">
        <v>10</v>
      </c>
      <c r="AC217" s="67" t="s">
        <v>0</v>
      </c>
      <c r="AD217" t="s">
        <v>318</v>
      </c>
      <c r="AE217" t="s">
        <v>319</v>
      </c>
      <c r="AF217" s="67" t="s">
        <v>10</v>
      </c>
      <c r="AG217" s="67" t="s">
        <v>0</v>
      </c>
      <c r="AH217" t="s">
        <v>318</v>
      </c>
      <c r="AI217" t="s">
        <v>319</v>
      </c>
      <c r="AJ217" s="67" t="s">
        <v>10</v>
      </c>
      <c r="AK217" s="67" t="s">
        <v>0</v>
      </c>
      <c r="AL217" t="s">
        <v>318</v>
      </c>
      <c r="AM217" s="513" t="s">
        <v>319</v>
      </c>
      <c r="AN217" s="67" t="s">
        <v>10</v>
      </c>
      <c r="AO217" s="67" t="s">
        <v>0</v>
      </c>
      <c r="AP217" t="s">
        <v>318</v>
      </c>
      <c r="AQ217" s="513" t="s">
        <v>319</v>
      </c>
      <c r="AR217" s="67" t="s">
        <v>10</v>
      </c>
      <c r="AS217" s="67" t="s">
        <v>0</v>
      </c>
      <c r="AT217" t="s">
        <v>318</v>
      </c>
      <c r="AU217" s="513" t="s">
        <v>319</v>
      </c>
      <c r="AV217" s="67" t="s">
        <v>10</v>
      </c>
      <c r="AW217" s="67" t="s">
        <v>0</v>
      </c>
      <c r="AX217" t="s">
        <v>318</v>
      </c>
      <c r="AY217" s="513" t="s">
        <v>319</v>
      </c>
      <c r="AZ217" s="67" t="s">
        <v>10</v>
      </c>
      <c r="BA217" s="67" t="s">
        <v>0</v>
      </c>
      <c r="BB217" t="s">
        <v>318</v>
      </c>
      <c r="BC217" t="s">
        <v>319</v>
      </c>
    </row>
    <row r="218" spans="19:55" x14ac:dyDescent="0.2">
      <c r="S218" s="26">
        <v>1</v>
      </c>
      <c r="T218" s="64">
        <v>0.08</v>
      </c>
      <c r="U218" s="62">
        <v>0.04</v>
      </c>
      <c r="V218" s="95">
        <v>0.05</v>
      </c>
      <c r="W218" s="95">
        <v>0.04</v>
      </c>
      <c r="X218" s="55">
        <v>0.09</v>
      </c>
      <c r="Y218" s="56">
        <v>0.05</v>
      </c>
      <c r="Z218" s="95">
        <v>0.06</v>
      </c>
      <c r="AA218" s="95">
        <v>0.04</v>
      </c>
      <c r="AB218" s="64">
        <v>0.08</v>
      </c>
      <c r="AC218" s="62">
        <v>0.04</v>
      </c>
      <c r="AD218" s="95">
        <v>0.06</v>
      </c>
      <c r="AE218" s="95">
        <v>0.02</v>
      </c>
      <c r="AF218" s="64">
        <v>0.08</v>
      </c>
      <c r="AG218" s="62">
        <v>0.04</v>
      </c>
      <c r="AH218" s="95">
        <v>0.05</v>
      </c>
      <c r="AI218" s="95">
        <v>0.03</v>
      </c>
      <c r="AJ218" s="58">
        <v>7.0000000000000007E-2</v>
      </c>
      <c r="AK218" s="59">
        <v>0.04</v>
      </c>
      <c r="AL218" s="95">
        <v>0.04</v>
      </c>
      <c r="AM218" s="522">
        <v>0.03</v>
      </c>
      <c r="AN218" s="521">
        <v>0.1</v>
      </c>
      <c r="AO218" s="303">
        <v>0.05</v>
      </c>
      <c r="AP218" s="304">
        <v>0.06</v>
      </c>
      <c r="AQ218" s="520">
        <v>0.04</v>
      </c>
      <c r="AR218" s="519">
        <v>0.1</v>
      </c>
      <c r="AS218" s="290">
        <v>0.05</v>
      </c>
      <c r="AT218" s="293">
        <v>7.0000000000000007E-2</v>
      </c>
      <c r="AU218" s="514">
        <v>0.04</v>
      </c>
      <c r="AV218" s="516">
        <v>0.09</v>
      </c>
      <c r="AW218" s="428">
        <v>0.05</v>
      </c>
      <c r="AX218" s="429">
        <v>7.0000000000000007E-2</v>
      </c>
      <c r="AY218" s="517">
        <v>0.04</v>
      </c>
      <c r="AZ218" s="516">
        <v>0.09</v>
      </c>
      <c r="BA218" s="428">
        <v>0.05</v>
      </c>
      <c r="BB218" s="429">
        <v>0.06</v>
      </c>
      <c r="BC218" s="429">
        <v>0.03</v>
      </c>
    </row>
    <row r="219" spans="19:55" x14ac:dyDescent="0.2">
      <c r="S219" s="26">
        <v>2</v>
      </c>
      <c r="T219" s="64">
        <v>0.37</v>
      </c>
      <c r="U219" s="62">
        <v>0.39</v>
      </c>
      <c r="V219" s="95">
        <v>0.44</v>
      </c>
      <c r="W219" s="95">
        <v>0.34</v>
      </c>
      <c r="X219" s="55">
        <v>0.38</v>
      </c>
      <c r="Y219" s="56">
        <v>0.38</v>
      </c>
      <c r="Z219" s="95">
        <v>0.42</v>
      </c>
      <c r="AA219" s="95">
        <v>0.33</v>
      </c>
      <c r="AB219" s="64">
        <v>0.38</v>
      </c>
      <c r="AC219" s="62">
        <v>0.38</v>
      </c>
      <c r="AD219" s="95">
        <v>0.43</v>
      </c>
      <c r="AE219" s="95">
        <v>0.32</v>
      </c>
      <c r="AF219" s="64">
        <v>0.36</v>
      </c>
      <c r="AG219" s="62">
        <v>0.36</v>
      </c>
      <c r="AH219" s="95">
        <v>0.41</v>
      </c>
      <c r="AI219" s="95">
        <v>0.28999999999999998</v>
      </c>
      <c r="AJ219" s="58">
        <v>0.37</v>
      </c>
      <c r="AK219" s="59">
        <v>0.34</v>
      </c>
      <c r="AL219" s="95">
        <v>0.39</v>
      </c>
      <c r="AM219" s="522">
        <v>0.3</v>
      </c>
      <c r="AN219" s="521">
        <v>0.4</v>
      </c>
      <c r="AO219" s="303">
        <v>0.39</v>
      </c>
      <c r="AP219" s="304">
        <v>0.45</v>
      </c>
      <c r="AQ219" s="520">
        <v>0.32</v>
      </c>
      <c r="AR219" s="519">
        <v>0.35</v>
      </c>
      <c r="AS219" s="290">
        <v>0.33</v>
      </c>
      <c r="AT219" s="293">
        <v>0.39</v>
      </c>
      <c r="AU219" s="514">
        <v>0.27</v>
      </c>
      <c r="AV219" s="516">
        <v>0.35</v>
      </c>
      <c r="AW219" s="428">
        <v>0.34</v>
      </c>
      <c r="AX219" s="429">
        <v>0.4</v>
      </c>
      <c r="AY219" s="517">
        <v>0.27</v>
      </c>
      <c r="AZ219" s="516">
        <v>0.33</v>
      </c>
      <c r="BA219" s="428">
        <v>0.31</v>
      </c>
      <c r="BB219" s="429">
        <v>0.36</v>
      </c>
      <c r="BC219" s="429">
        <v>0.26</v>
      </c>
    </row>
    <row r="220" spans="19:55" x14ac:dyDescent="0.2">
      <c r="S220" s="26">
        <v>3</v>
      </c>
      <c r="T220" s="64">
        <v>0.5</v>
      </c>
      <c r="U220" s="62">
        <v>0.55000000000000004</v>
      </c>
      <c r="V220" s="95">
        <v>0.5</v>
      </c>
      <c r="W220" s="95">
        <v>0.6</v>
      </c>
      <c r="X220" s="55">
        <v>0.48</v>
      </c>
      <c r="Y220" s="56">
        <v>0.54</v>
      </c>
      <c r="Z220" s="95">
        <v>0.5</v>
      </c>
      <c r="AA220" s="95">
        <v>0.59</v>
      </c>
      <c r="AB220" s="64">
        <v>0.49</v>
      </c>
      <c r="AC220" s="62">
        <v>0.55000000000000004</v>
      </c>
      <c r="AD220" s="95">
        <v>0.5</v>
      </c>
      <c r="AE220" s="95">
        <v>0.62</v>
      </c>
      <c r="AF220" s="64">
        <v>0.51</v>
      </c>
      <c r="AG220" s="62">
        <v>0.56999999999999995</v>
      </c>
      <c r="AH220" s="95">
        <v>0.52</v>
      </c>
      <c r="AI220" s="95">
        <v>0.64</v>
      </c>
      <c r="AJ220" s="58">
        <v>0.5</v>
      </c>
      <c r="AK220" s="59">
        <v>0.59</v>
      </c>
      <c r="AL220" s="95">
        <v>0.54</v>
      </c>
      <c r="AM220" s="522">
        <v>0.64</v>
      </c>
      <c r="AN220" s="521">
        <v>0.46</v>
      </c>
      <c r="AO220" s="303">
        <v>0.54</v>
      </c>
      <c r="AP220" s="304">
        <v>0.48</v>
      </c>
      <c r="AQ220" s="520">
        <v>0.6</v>
      </c>
      <c r="AR220" s="519">
        <v>0.49</v>
      </c>
      <c r="AS220" s="290">
        <v>0.57999999999999996</v>
      </c>
      <c r="AT220" s="293">
        <v>0.52</v>
      </c>
      <c r="AU220" s="514">
        <v>0.64</v>
      </c>
      <c r="AV220" s="516">
        <v>0.49</v>
      </c>
      <c r="AW220" s="428">
        <v>0.56000000000000005</v>
      </c>
      <c r="AX220" s="429">
        <v>0.51</v>
      </c>
      <c r="AY220" s="517">
        <v>0.63</v>
      </c>
      <c r="AZ220" s="516">
        <v>0.5</v>
      </c>
      <c r="BA220" s="428">
        <v>0.57999999999999996</v>
      </c>
      <c r="BB220" s="429">
        <v>0.54</v>
      </c>
      <c r="BC220" s="429">
        <v>0.63</v>
      </c>
    </row>
    <row r="221" spans="19:55" x14ac:dyDescent="0.2">
      <c r="S221" s="26">
        <v>4</v>
      </c>
      <c r="T221" s="64">
        <v>0.05</v>
      </c>
      <c r="U221" s="62">
        <v>0.02</v>
      </c>
      <c r="V221" s="95">
        <v>0.02</v>
      </c>
      <c r="W221" s="95">
        <v>0.02</v>
      </c>
      <c r="X221" s="55">
        <v>0.05</v>
      </c>
      <c r="Y221" s="56">
        <v>0.03</v>
      </c>
      <c r="Z221" s="95">
        <v>0.02</v>
      </c>
      <c r="AA221" s="95">
        <v>0.03</v>
      </c>
      <c r="AB221" s="64">
        <v>0.05</v>
      </c>
      <c r="AC221" s="62">
        <v>0.02</v>
      </c>
      <c r="AD221" s="95">
        <v>0.01</v>
      </c>
      <c r="AE221" s="95">
        <v>0.03</v>
      </c>
      <c r="AF221" s="64">
        <v>0.06</v>
      </c>
      <c r="AG221" s="62">
        <v>0.03</v>
      </c>
      <c r="AH221" s="95">
        <v>0.02</v>
      </c>
      <c r="AI221" s="95">
        <v>0.04</v>
      </c>
      <c r="AJ221" s="58">
        <v>0.05</v>
      </c>
      <c r="AK221" s="59">
        <v>0.03</v>
      </c>
      <c r="AL221" s="95">
        <v>0.02</v>
      </c>
      <c r="AM221" s="522">
        <v>0.04</v>
      </c>
      <c r="AN221" s="521">
        <v>0.04</v>
      </c>
      <c r="AO221" s="303">
        <v>0.03</v>
      </c>
      <c r="AP221" s="304">
        <v>0.01</v>
      </c>
      <c r="AQ221" s="520">
        <v>0.04</v>
      </c>
      <c r="AR221" s="519">
        <v>0.05</v>
      </c>
      <c r="AS221" s="290">
        <v>0.03</v>
      </c>
      <c r="AT221" s="293">
        <v>0.02</v>
      </c>
      <c r="AU221" s="514">
        <v>0.05</v>
      </c>
      <c r="AV221" s="516">
        <v>7.0000000000000007E-2</v>
      </c>
      <c r="AW221" s="428">
        <v>0.04</v>
      </c>
      <c r="AX221" s="429">
        <v>0.03</v>
      </c>
      <c r="AY221" s="517">
        <v>0.06</v>
      </c>
      <c r="AZ221" s="516">
        <v>0.08</v>
      </c>
      <c r="BA221" s="428">
        <v>0.06</v>
      </c>
      <c r="BB221" s="429">
        <v>0.04</v>
      </c>
      <c r="BC221" s="429">
        <v>0.08</v>
      </c>
    </row>
    <row r="222" spans="19:55" x14ac:dyDescent="0.2">
      <c r="S222" s="67"/>
      <c r="T222" s="844"/>
      <c r="U222" s="844"/>
      <c r="V222" s="844"/>
      <c r="W222" s="844"/>
      <c r="X222" s="844"/>
      <c r="Y222" s="844"/>
      <c r="Z222" s="844"/>
      <c r="AA222" s="844"/>
      <c r="AB222" s="844"/>
      <c r="AC222" s="844"/>
    </row>
    <row r="223" spans="19:55" x14ac:dyDescent="0.2">
      <c r="S223" s="73"/>
      <c r="T223" s="72"/>
      <c r="U223" s="72"/>
      <c r="V223" s="72"/>
      <c r="W223" s="72"/>
      <c r="X223" s="72"/>
      <c r="Y223" s="72"/>
      <c r="Z223" s="72"/>
      <c r="AA223" s="72"/>
      <c r="AB223" s="72"/>
      <c r="AC223" s="72"/>
    </row>
    <row r="224" spans="19:55" x14ac:dyDescent="0.2">
      <c r="S224" s="47"/>
      <c r="T224" s="96"/>
      <c r="U224" s="96"/>
      <c r="V224" s="96"/>
      <c r="W224" s="96"/>
      <c r="X224" s="96"/>
      <c r="Y224" s="96"/>
      <c r="Z224" s="96"/>
      <c r="AA224" s="96"/>
      <c r="AB224" s="96"/>
      <c r="AC224" s="96"/>
    </row>
    <row r="225" spans="19:132" x14ac:dyDescent="0.2">
      <c r="S225" s="47"/>
      <c r="T225" s="96"/>
      <c r="U225" s="96"/>
      <c r="V225" s="96"/>
      <c r="W225" s="96"/>
      <c r="X225" s="96"/>
      <c r="Y225" s="96"/>
      <c r="Z225" s="96"/>
      <c r="AA225" s="96"/>
      <c r="AB225" s="96"/>
      <c r="AC225" s="96"/>
    </row>
    <row r="226" spans="19:132" x14ac:dyDescent="0.2">
      <c r="S226" s="69"/>
      <c r="T226" s="96"/>
      <c r="U226" s="96"/>
      <c r="V226" s="96"/>
      <c r="W226" s="96"/>
      <c r="X226" s="96"/>
      <c r="Y226" s="96"/>
      <c r="Z226" s="96"/>
      <c r="AA226" s="96"/>
      <c r="AB226" s="96"/>
      <c r="AC226" s="96"/>
    </row>
    <row r="227" spans="19:132" x14ac:dyDescent="0.2">
      <c r="S227" s="69"/>
      <c r="T227" s="96"/>
      <c r="U227" s="96"/>
      <c r="V227" s="96"/>
      <c r="W227" s="96"/>
      <c r="X227" s="96"/>
      <c r="Y227" s="96"/>
      <c r="Z227" s="96"/>
      <c r="AA227" s="96"/>
      <c r="AB227" s="96"/>
      <c r="AC227" s="96"/>
    </row>
    <row r="235" spans="19:132" x14ac:dyDescent="0.2">
      <c r="BF235" s="298"/>
      <c r="BG235" s="298"/>
      <c r="BH235" s="298"/>
      <c r="BI235" s="298"/>
      <c r="BJ235" s="298"/>
      <c r="BK235" s="298"/>
      <c r="BL235" s="298"/>
      <c r="BM235" s="298"/>
      <c r="BN235" s="298"/>
      <c r="BO235" s="298"/>
      <c r="BP235" s="298"/>
      <c r="BQ235" s="298"/>
      <c r="BR235" s="298"/>
      <c r="BS235" s="298"/>
      <c r="BT235" s="298"/>
      <c r="BU235" s="298"/>
      <c r="BV235" s="298"/>
      <c r="BW235" s="298"/>
      <c r="BX235" s="298"/>
      <c r="BY235" s="298"/>
      <c r="BZ235" s="298"/>
      <c r="CA235" s="298"/>
      <c r="CB235" s="298"/>
      <c r="CC235" s="298"/>
      <c r="CD235" s="298"/>
      <c r="CE235" s="298"/>
      <c r="CF235" s="298"/>
      <c r="CG235" s="298"/>
      <c r="CH235" s="298"/>
      <c r="CI235" s="298"/>
      <c r="CJ235" s="298"/>
      <c r="CK235" s="298"/>
      <c r="CL235" s="298"/>
      <c r="CM235" s="298"/>
      <c r="CN235" s="298"/>
      <c r="CO235" s="298"/>
      <c r="CP235" s="298"/>
      <c r="CQ235" s="298"/>
      <c r="CR235" s="298"/>
      <c r="CS235" s="298"/>
      <c r="CT235" s="298"/>
      <c r="CU235" s="298"/>
      <c r="CV235" s="298"/>
      <c r="CW235" s="298"/>
      <c r="CX235" s="298"/>
      <c r="CY235" s="298"/>
      <c r="CZ235" s="298"/>
      <c r="DA235" s="298"/>
      <c r="DB235" s="298"/>
      <c r="DC235" s="298"/>
      <c r="DD235" s="298"/>
      <c r="DE235" s="298"/>
      <c r="DF235" s="298"/>
      <c r="DG235" s="298"/>
      <c r="DH235" s="298"/>
      <c r="DI235" s="298"/>
      <c r="DJ235" s="298"/>
      <c r="DK235" s="298"/>
      <c r="DL235" s="298"/>
      <c r="DM235" s="298"/>
      <c r="DN235" s="298"/>
      <c r="DO235" s="298"/>
      <c r="DP235" s="298"/>
      <c r="DQ235" s="298"/>
      <c r="DR235" s="298"/>
      <c r="DS235" s="298"/>
      <c r="DT235" s="298"/>
      <c r="DU235" s="298"/>
      <c r="DV235" s="298"/>
      <c r="DW235" s="298"/>
      <c r="DX235" s="298"/>
      <c r="DY235" s="298"/>
      <c r="DZ235" s="298"/>
      <c r="EA235" s="298"/>
      <c r="EB235" s="298"/>
    </row>
    <row r="236" spans="19:132" x14ac:dyDescent="0.2">
      <c r="BF236" s="298"/>
      <c r="BG236" s="298"/>
      <c r="BH236" s="298"/>
      <c r="BI236" s="298"/>
      <c r="BJ236" s="298"/>
      <c r="BK236" s="298"/>
      <c r="BL236" s="298"/>
      <c r="BM236" s="298"/>
      <c r="BN236" s="298"/>
      <c r="BO236" s="298"/>
      <c r="BP236" s="298"/>
      <c r="BQ236" s="298"/>
      <c r="BR236" s="298"/>
      <c r="BS236" s="298"/>
      <c r="BT236" s="298"/>
      <c r="BU236" s="298"/>
      <c r="BV236" s="298"/>
      <c r="BW236" s="298"/>
      <c r="BX236" s="298"/>
      <c r="BY236" s="298"/>
      <c r="BZ236" s="298"/>
      <c r="CA236" s="298"/>
      <c r="CB236" s="298"/>
      <c r="CC236" s="298"/>
      <c r="CD236" s="298"/>
      <c r="CE236" s="298"/>
      <c r="CF236" s="298"/>
      <c r="CG236" s="298"/>
      <c r="CH236" s="298"/>
      <c r="CI236" s="298"/>
      <c r="CJ236" s="298"/>
      <c r="CK236" s="298"/>
      <c r="CL236" s="298"/>
      <c r="CM236" s="298"/>
      <c r="CN236" s="298"/>
      <c r="CO236" s="298"/>
      <c r="CP236" s="298"/>
      <c r="CQ236" s="298"/>
      <c r="CR236" s="298"/>
      <c r="CS236" s="298"/>
      <c r="CT236" s="298"/>
      <c r="CU236" s="298"/>
      <c r="CV236" s="298"/>
      <c r="CW236" s="298"/>
      <c r="CX236" s="298"/>
      <c r="CY236" s="298"/>
      <c r="CZ236" s="298"/>
      <c r="DA236" s="298"/>
      <c r="DB236" s="298"/>
      <c r="DC236" s="298"/>
      <c r="DD236" s="298"/>
      <c r="DE236" s="298"/>
      <c r="DF236" s="298"/>
      <c r="DG236" s="298"/>
      <c r="DH236" s="298"/>
      <c r="DI236" s="298"/>
      <c r="DJ236" s="298"/>
      <c r="DK236" s="298"/>
      <c r="DL236" s="298"/>
      <c r="DM236" s="298"/>
      <c r="DN236" s="298"/>
      <c r="DO236" s="298"/>
      <c r="DP236" s="298"/>
      <c r="DQ236" s="298"/>
      <c r="DR236" s="298"/>
      <c r="DS236" s="298"/>
      <c r="DT236" s="298"/>
      <c r="DU236" s="298"/>
      <c r="DV236" s="298"/>
      <c r="DW236" s="298"/>
      <c r="DX236" s="298"/>
      <c r="DY236" s="298"/>
      <c r="DZ236" s="298"/>
      <c r="EA236" s="298"/>
      <c r="EB236" s="298"/>
    </row>
    <row r="237" spans="19:132" x14ac:dyDescent="0.2">
      <c r="BF237" s="298"/>
      <c r="BG237" s="298"/>
      <c r="BH237" s="298"/>
      <c r="BI237" s="298"/>
      <c r="BJ237" s="298"/>
      <c r="BK237" s="298"/>
      <c r="BL237" s="298"/>
      <c r="BM237" s="298"/>
      <c r="BN237" s="298"/>
      <c r="BO237" s="298"/>
      <c r="BP237" s="298"/>
      <c r="BQ237" s="298"/>
      <c r="BR237" s="298"/>
      <c r="BS237" s="298"/>
      <c r="BT237" s="298"/>
      <c r="BU237" s="298"/>
      <c r="BV237" s="298"/>
      <c r="BW237" s="298"/>
      <c r="BX237" s="298"/>
      <c r="BY237" s="298"/>
      <c r="BZ237" s="298"/>
      <c r="CA237" s="298"/>
      <c r="CB237" s="298"/>
      <c r="CC237" s="298"/>
      <c r="CD237" s="298"/>
      <c r="CE237" s="298"/>
      <c r="CF237" s="298"/>
      <c r="CG237" s="298"/>
      <c r="CH237" s="298"/>
      <c r="CI237" s="298"/>
      <c r="CJ237" s="298"/>
      <c r="CK237" s="298"/>
      <c r="CL237" s="298"/>
      <c r="CM237" s="298"/>
      <c r="CN237" s="298"/>
      <c r="CO237" s="298"/>
      <c r="CP237" s="298"/>
      <c r="CQ237" s="298"/>
      <c r="CR237" s="298"/>
      <c r="CS237" s="298"/>
      <c r="CT237" s="298"/>
      <c r="CU237" s="298"/>
      <c r="CV237" s="298"/>
      <c r="CW237" s="298"/>
      <c r="CX237" s="298"/>
      <c r="CY237" s="298"/>
      <c r="CZ237" s="298"/>
      <c r="DA237" s="298"/>
      <c r="DB237" s="298"/>
      <c r="DC237" s="298"/>
      <c r="DD237" s="298"/>
      <c r="DE237" s="298"/>
      <c r="DF237" s="298"/>
      <c r="DG237" s="298"/>
      <c r="DH237" s="298"/>
      <c r="DI237" s="298"/>
      <c r="DJ237" s="298"/>
      <c r="DK237" s="298"/>
      <c r="DL237" s="298"/>
      <c r="DM237" s="298"/>
      <c r="DN237" s="298"/>
      <c r="DO237" s="298"/>
      <c r="DP237" s="298"/>
      <c r="DQ237" s="298"/>
      <c r="DR237" s="298"/>
      <c r="DS237" s="298"/>
      <c r="DT237" s="298"/>
      <c r="DU237" s="298"/>
      <c r="DV237" s="298"/>
      <c r="DW237" s="298"/>
      <c r="DX237" s="298"/>
      <c r="DY237" s="298"/>
      <c r="DZ237" s="298"/>
      <c r="EA237" s="298"/>
      <c r="EB237" s="298"/>
    </row>
    <row r="241" spans="2:152" x14ac:dyDescent="0.2">
      <c r="C241" s="999">
        <v>2016</v>
      </c>
      <c r="D241" s="999"/>
      <c r="E241" s="999"/>
      <c r="F241" s="999">
        <v>2017</v>
      </c>
      <c r="G241" s="999"/>
      <c r="H241" s="999"/>
      <c r="I241" s="999">
        <v>2018</v>
      </c>
      <c r="J241" s="999"/>
      <c r="K241" s="999"/>
      <c r="L241" s="999">
        <v>2019</v>
      </c>
      <c r="M241" s="999"/>
      <c r="N241" s="999"/>
      <c r="O241" s="999">
        <v>2020</v>
      </c>
      <c r="P241" s="999"/>
      <c r="Q241" s="999"/>
      <c r="R241" s="999">
        <v>2021</v>
      </c>
      <c r="S241" s="999"/>
      <c r="T241" s="999"/>
      <c r="U241" s="999">
        <v>2022</v>
      </c>
      <c r="V241" s="999"/>
      <c r="W241" s="999"/>
      <c r="X241" s="999">
        <v>2023</v>
      </c>
      <c r="Y241" s="999"/>
      <c r="Z241" s="1001"/>
      <c r="AA241" s="999">
        <v>2024</v>
      </c>
      <c r="AB241" s="999"/>
      <c r="AC241" s="999"/>
      <c r="BF241" t="s">
        <v>912</v>
      </c>
    </row>
    <row r="242" spans="2:152" x14ac:dyDescent="0.2">
      <c r="C242" s="556" t="s">
        <v>910</v>
      </c>
      <c r="D242" s="202" t="s">
        <v>907</v>
      </c>
      <c r="E242" s="202" t="s">
        <v>911</v>
      </c>
      <c r="F242" s="202" t="s">
        <v>911</v>
      </c>
      <c r="G242" s="202" t="s">
        <v>910</v>
      </c>
      <c r="H242" s="202" t="s">
        <v>907</v>
      </c>
      <c r="I242" s="202" t="s">
        <v>911</v>
      </c>
      <c r="J242" s="515" t="s">
        <v>907</v>
      </c>
      <c r="K242" s="202" t="s">
        <v>910</v>
      </c>
      <c r="L242" s="202" t="s">
        <v>911</v>
      </c>
      <c r="M242" s="202" t="s">
        <v>910</v>
      </c>
      <c r="N242" s="202" t="s">
        <v>907</v>
      </c>
      <c r="O242" s="202" t="s">
        <v>907</v>
      </c>
      <c r="P242" s="202" t="s">
        <v>910</v>
      </c>
      <c r="Q242" s="202" t="s">
        <v>911</v>
      </c>
      <c r="R242" s="202" t="s">
        <v>907</v>
      </c>
      <c r="S242" s="202" t="s">
        <v>911</v>
      </c>
      <c r="T242" s="202" t="s">
        <v>910</v>
      </c>
      <c r="U242" s="515" t="s">
        <v>910</v>
      </c>
      <c r="V242" s="202" t="s">
        <v>911</v>
      </c>
      <c r="W242" s="202" t="s">
        <v>907</v>
      </c>
      <c r="X242" s="515" t="s">
        <v>910</v>
      </c>
      <c r="Y242" s="202" t="s">
        <v>911</v>
      </c>
      <c r="Z242" s="202" t="s">
        <v>907</v>
      </c>
      <c r="AA242" s="559" t="s">
        <v>910</v>
      </c>
      <c r="AB242" s="202" t="s">
        <v>911</v>
      </c>
      <c r="AC242" s="515" t="s">
        <v>907</v>
      </c>
      <c r="BF242" s="534" t="s">
        <v>244</v>
      </c>
      <c r="BG242" s="535"/>
      <c r="BH242" s="535"/>
      <c r="BI242" s="535"/>
      <c r="BJ242" s="535"/>
      <c r="BK242" s="535"/>
      <c r="BL242" s="535"/>
      <c r="BM242" s="535"/>
      <c r="BN242" s="536"/>
      <c r="BO242" s="534" t="s">
        <v>245</v>
      </c>
      <c r="BP242" s="535"/>
      <c r="BQ242" s="535"/>
      <c r="BR242" s="535"/>
      <c r="BS242" s="535"/>
      <c r="BT242" s="535"/>
      <c r="BU242" s="535"/>
      <c r="BV242" s="535"/>
      <c r="BW242" s="536"/>
      <c r="BX242" s="534" t="s">
        <v>246</v>
      </c>
      <c r="BY242" s="535"/>
      <c r="BZ242" s="535"/>
      <c r="CA242" s="535"/>
      <c r="CB242" s="535"/>
      <c r="CC242" s="535"/>
      <c r="CD242" s="535"/>
      <c r="CE242" s="535"/>
      <c r="CF242" s="536"/>
      <c r="CG242" s="534" t="s">
        <v>247</v>
      </c>
      <c r="CH242" s="535"/>
      <c r="CI242" s="535"/>
      <c r="CJ242" s="535"/>
      <c r="CK242" s="535"/>
      <c r="CL242" s="535"/>
      <c r="CM242" s="535"/>
      <c r="CN242" s="535"/>
      <c r="CO242" s="536"/>
      <c r="CP242" s="537" t="s">
        <v>248</v>
      </c>
      <c r="CQ242" s="535"/>
      <c r="CR242" s="535"/>
      <c r="CS242" s="535"/>
      <c r="CT242" s="535"/>
      <c r="CU242" s="535"/>
      <c r="CV242" s="538"/>
      <c r="CW242" s="535"/>
      <c r="CX242" s="535"/>
      <c r="CY242" s="537" t="s">
        <v>249</v>
      </c>
      <c r="CZ242" s="535"/>
      <c r="DA242" s="535"/>
      <c r="DB242" s="535"/>
      <c r="DC242" s="535"/>
      <c r="DD242" s="535"/>
      <c r="DE242" s="538"/>
      <c r="DF242" s="535"/>
      <c r="DG242" s="536"/>
      <c r="EP242" s="202"/>
    </row>
    <row r="243" spans="2:152" x14ac:dyDescent="0.2">
      <c r="B243" s="548" t="s">
        <v>244</v>
      </c>
      <c r="C243" s="551">
        <f>AVERAGEIF($C$36:$C$171,"=1",$K$36:$K$171)</f>
        <v>0.4594117647058823</v>
      </c>
      <c r="D243" s="479">
        <f>AVERAGEIF($C$36:$C$171,"=1",$J$36:$J$171)</f>
        <v>0.53235294117647058</v>
      </c>
      <c r="E243" s="479">
        <f>AVERAGEIF($C$36:$C$171,"=1",$L$36:$L$171)</f>
        <v>0.53941176470588237</v>
      </c>
      <c r="F243" s="479">
        <f>AVERAGEIF($C$36:$C$171,"=1",$T$36:$T$171)</f>
        <v>0.56166666666666676</v>
      </c>
      <c r="G243" s="479">
        <f>AVERAGEIF($C$36:$C$171,"=1",$S$36:$S$171)</f>
        <v>0.48388888888888892</v>
      </c>
      <c r="H243" s="479">
        <f>AVERAGEIF($C$36:$C$171,"=1",$U$36:$U$171)</f>
        <v>0.36000000000000004</v>
      </c>
      <c r="I243" s="479">
        <f>AVERAGEIF($C$36:$C$171,"=1",$AB$36:$AB$171)</f>
        <v>0.4861111111111111</v>
      </c>
      <c r="J243" s="555">
        <f>AVERAGEIF($C$36:$C$171,"=1",$AC$36:$AC$171)</f>
        <v>0.37111111111111111</v>
      </c>
      <c r="K243" s="555">
        <f>AVERAGEIF($C$36:$C$171,"=1",$AD$36:$AD$171)</f>
        <v>0.52444444444444449</v>
      </c>
      <c r="L243" s="500">
        <f>AVERAGEIF($C$36:$C$171,"=1",$AK$36:$AK$171)</f>
        <v>0.51777777777777789</v>
      </c>
      <c r="M243" s="479">
        <f>AVERAGEIF($C$36:$C$171,"=1",$AL$36:$AL$171)</f>
        <v>0.45944444444444454</v>
      </c>
      <c r="N243" s="479">
        <f>AVERAGEIF($C$36:$C$171,"=1",$AM$36:$AM$171)</f>
        <v>0.28222222222222221</v>
      </c>
      <c r="O243" s="479">
        <f>AVERAGEIF($C$36:$C$171,"=1",$AT$36:$AT$171)</f>
        <v>0.26647058823529413</v>
      </c>
      <c r="P243" s="479">
        <f>AVERAGEIF($C$36:$C$171,"=1",$AV$36:$AV$171)</f>
        <v>0.50235294117647056</v>
      </c>
      <c r="Q243" s="479">
        <f>AVERAGEIF($C$36:$C$171,"=1",$AU$36:$AU$171)</f>
        <v>0.48882352941176471</v>
      </c>
      <c r="R243" s="479">
        <f>AVERAGEIF($C$36:$C$171,"=1",$BE$36:$BE$171)</f>
        <v>0.27411764705882347</v>
      </c>
      <c r="S243" s="479">
        <f>AVERAGEIF($C$36:$C$171,"=1",$BF$36:$BF$171)</f>
        <v>0.50000000000000011</v>
      </c>
      <c r="T243" s="479">
        <f>AVERAGEIF($C$36:$C$171,"=1",$BG$36:$BG$171)</f>
        <v>0.45941176470588241</v>
      </c>
      <c r="U243" s="479">
        <v>0.59</v>
      </c>
      <c r="V243" s="479">
        <v>0.51888888888888884</v>
      </c>
      <c r="W243" s="479">
        <v>0.37666666666666671</v>
      </c>
      <c r="X243" s="479">
        <v>0.59941176470588231</v>
      </c>
      <c r="Y243" s="479">
        <v>0.55294117647058838</v>
      </c>
      <c r="Z243" s="555">
        <v>0.35705882352941171</v>
      </c>
      <c r="AA243" s="551">
        <v>0.53166666666666673</v>
      </c>
      <c r="AB243" s="479">
        <v>0.50777777777777777</v>
      </c>
      <c r="AC243" s="514">
        <v>0.38555555555555554</v>
      </c>
      <c r="BF243" s="29">
        <v>2016</v>
      </c>
      <c r="BG243" s="29">
        <v>2017</v>
      </c>
      <c r="BH243" s="29">
        <v>2018</v>
      </c>
      <c r="BI243" s="29">
        <v>2019</v>
      </c>
      <c r="BJ243" s="29">
        <v>2020</v>
      </c>
      <c r="BK243" s="29">
        <v>2021</v>
      </c>
      <c r="BL243" s="29">
        <v>2022</v>
      </c>
      <c r="BM243" s="29">
        <v>2023</v>
      </c>
      <c r="BN243" s="29">
        <v>2024</v>
      </c>
      <c r="BO243" s="29">
        <v>2016</v>
      </c>
      <c r="BP243" s="29">
        <v>2017</v>
      </c>
      <c r="BQ243" s="29">
        <v>2018</v>
      </c>
      <c r="BR243" s="29">
        <v>2019</v>
      </c>
      <c r="BS243" s="29">
        <v>2020</v>
      </c>
      <c r="BT243" s="29">
        <v>2021</v>
      </c>
      <c r="BU243" s="29">
        <v>2022</v>
      </c>
      <c r="BV243" s="29">
        <v>2023</v>
      </c>
      <c r="BW243" s="29">
        <v>2024</v>
      </c>
      <c r="BX243" s="29">
        <v>2016</v>
      </c>
      <c r="BY243" s="29">
        <v>2017</v>
      </c>
      <c r="BZ243" s="29">
        <v>2018</v>
      </c>
      <c r="CA243" s="29">
        <v>2019</v>
      </c>
      <c r="CB243" s="29">
        <v>2020</v>
      </c>
      <c r="CC243" s="29">
        <v>2021</v>
      </c>
      <c r="CD243" s="29">
        <v>2022</v>
      </c>
      <c r="CE243" s="29">
        <v>2023</v>
      </c>
      <c r="CF243" s="29">
        <v>2024</v>
      </c>
      <c r="CG243" s="29">
        <v>2016</v>
      </c>
      <c r="CH243" s="29">
        <v>2017</v>
      </c>
      <c r="CI243" s="29">
        <v>2018</v>
      </c>
      <c r="CJ243" s="29">
        <v>2019</v>
      </c>
      <c r="CK243" s="29">
        <v>2020</v>
      </c>
      <c r="CL243" s="29">
        <v>2021</v>
      </c>
      <c r="CM243" s="29">
        <v>2022</v>
      </c>
      <c r="CN243" s="29">
        <v>2023</v>
      </c>
      <c r="CO243" s="29">
        <v>2024</v>
      </c>
      <c r="CP243" s="29">
        <v>2016</v>
      </c>
      <c r="CQ243" s="29">
        <v>2017</v>
      </c>
      <c r="CR243" s="29">
        <v>2018</v>
      </c>
      <c r="CS243" s="29">
        <v>2019</v>
      </c>
      <c r="CT243" s="29">
        <v>2020</v>
      </c>
      <c r="CU243" s="29">
        <v>2021</v>
      </c>
      <c r="CV243" s="29">
        <v>2022</v>
      </c>
      <c r="CW243" s="29">
        <v>2023</v>
      </c>
      <c r="CX243" s="29">
        <v>2024</v>
      </c>
      <c r="CY243" s="541">
        <v>2016</v>
      </c>
      <c r="CZ243" s="29">
        <v>2017</v>
      </c>
      <c r="DA243" s="29">
        <v>2018</v>
      </c>
      <c r="DB243" s="29">
        <v>2019</v>
      </c>
      <c r="DC243" s="29">
        <v>2020</v>
      </c>
      <c r="DD243" s="29">
        <v>2021</v>
      </c>
      <c r="DE243" s="29">
        <v>2022</v>
      </c>
      <c r="DF243" s="29">
        <v>2023</v>
      </c>
      <c r="DG243" s="518">
        <v>2024</v>
      </c>
    </row>
    <row r="244" spans="2:152" x14ac:dyDescent="0.2">
      <c r="B244" s="548" t="s">
        <v>245</v>
      </c>
      <c r="C244" s="551">
        <f>AVERAGEIF($C$36:$C$171,"=2",$K$36:$K$171)</f>
        <v>0.44950000000000012</v>
      </c>
      <c r="D244" s="479">
        <f>AVERAGEIF($C$36:$C$171,"=2",$J$36:$J$171)</f>
        <v>0.52899999999999991</v>
      </c>
      <c r="E244" s="479">
        <f>AVERAGEIF($C$36:$C$171,"=2",$L$36:$L$171)</f>
        <v>0.52600000000000002</v>
      </c>
      <c r="F244" s="479">
        <f>AVERAGEIF($C$36:$C$171,"=2",$T$36:$T$171)</f>
        <v>0.54315789473684217</v>
      </c>
      <c r="G244" s="479">
        <f>AVERAGEIF($C$36:$C$171,"=2",$S$36:$S$171)</f>
        <v>0.47000000000000008</v>
      </c>
      <c r="H244" s="479">
        <f>AVERAGEIF($C$36:$C$171,"=2",$U$36:$U$171)</f>
        <v>0.36526315789473685</v>
      </c>
      <c r="I244" s="479">
        <f>AVERAGEIF($C$36:$C$171,"=2",$AB$36:$AB$171)</f>
        <v>0.47210526315789469</v>
      </c>
      <c r="J244" s="555">
        <f>AVERAGEIF($C$36:$C$171,"=2",$AC$36:$AC$171)</f>
        <v>0.37157894736842106</v>
      </c>
      <c r="K244" s="555">
        <f>AVERAGEIF($C$36:$C$171,"=2",$AD$36:$AD$171)</f>
        <v>0.50421052631578944</v>
      </c>
      <c r="L244" s="500">
        <f>AVERAGEIF($C$36:$C$171,"=2",$AK$36:$AK$171)</f>
        <v>0.51800000000000002</v>
      </c>
      <c r="M244" s="479">
        <f>AVERAGEIF($C$36:$C$171,"=2",$AL$36:$AL$171)</f>
        <v>0.45650000000000002</v>
      </c>
      <c r="N244" s="479">
        <f>AVERAGEIF($C$36:$C$171,"=2",$AM$36:$AM$171)</f>
        <v>0.26900000000000002</v>
      </c>
      <c r="O244" s="479">
        <f>AVERAGEIF($C$36:$C$171,"=2",$AT$36:$AT$171)</f>
        <v>0.27666666666666667</v>
      </c>
      <c r="P244" s="479">
        <f>AVERAGEIF($C$36:$C$171,"=2",$AV$36:$AV$171)</f>
        <v>0.50833333333333341</v>
      </c>
      <c r="Q244" s="479">
        <f>AVERAGEIF($C$36:$C$171,"=2",$AU$36:$AU$171)</f>
        <v>0.49874999999999997</v>
      </c>
      <c r="R244" s="479">
        <f>AVERAGEIF($C$36:$C$171,"=2",$BE$36:$BE$171)</f>
        <v>0.28590909090909089</v>
      </c>
      <c r="S244" s="479">
        <f>AVERAGEIF($C$36:$C$171,"=2",$BF$36:$BF$171)</f>
        <v>0.5027272727272728</v>
      </c>
      <c r="T244" s="479">
        <f>AVERAGEIF($C$36:$C$171,"=2",$BG$36:$BG$171)</f>
        <v>0.46318181818181831</v>
      </c>
      <c r="U244" s="479">
        <v>0.56320000000000003</v>
      </c>
      <c r="V244" s="479">
        <v>0.48560000000000003</v>
      </c>
      <c r="W244" s="479">
        <v>0.37719999999999998</v>
      </c>
      <c r="X244" s="479">
        <v>0.59923076923076923</v>
      </c>
      <c r="Y244" s="479">
        <v>0.55615384615384622</v>
      </c>
      <c r="Z244" s="555">
        <v>0.39076923076923065</v>
      </c>
      <c r="AA244" s="551">
        <v>0.51916666666666655</v>
      </c>
      <c r="AB244" s="479">
        <v>0.48791666666666672</v>
      </c>
      <c r="AC244" s="514">
        <v>0.38999999999999996</v>
      </c>
      <c r="BE244" s="542">
        <v>1</v>
      </c>
      <c r="BF244" s="540">
        <v>4.5000000000000005E-2</v>
      </c>
      <c r="BG244" s="540">
        <v>4.2500000000000003E-2</v>
      </c>
      <c r="BH244" s="540">
        <v>3.2500000000000001E-2</v>
      </c>
      <c r="BI244" s="540">
        <v>3.7499999999999999E-2</v>
      </c>
      <c r="BJ244" s="540">
        <v>4.7499999999999994E-2</v>
      </c>
      <c r="BK244" s="540">
        <v>4.5000000000000005E-2</v>
      </c>
      <c r="BL244" s="540">
        <v>0.05</v>
      </c>
      <c r="BM244" s="540">
        <v>0.04</v>
      </c>
      <c r="BN244" s="540">
        <f>AVERAGEIFS(CN$36:CN$171,$C$36:$C$171,"=1", $B$36:$B$171,"OFICIAL")</f>
        <v>5.6000000000000008E-2</v>
      </c>
      <c r="BO244" s="540">
        <v>2.5000000000000001E-2</v>
      </c>
      <c r="BP244" s="540">
        <v>5.5E-2</v>
      </c>
      <c r="BQ244" s="540">
        <v>0.05</v>
      </c>
      <c r="BR244" s="540">
        <v>0.05</v>
      </c>
      <c r="BS244" s="540">
        <v>2.5000000000000001E-2</v>
      </c>
      <c r="BT244" s="540">
        <v>0.06</v>
      </c>
      <c r="BU244" s="540">
        <v>0.09</v>
      </c>
      <c r="BV244" s="540">
        <v>0.06</v>
      </c>
      <c r="BW244" s="540">
        <f>AVERAGEIFS(CN$36:CN$171,$C$36:$C$171,"=2", $B$36:$B$171,"OFICIAL")</f>
        <v>3.2500000000000001E-2</v>
      </c>
      <c r="BX244" s="540">
        <v>3.7999999999999999E-2</v>
      </c>
      <c r="BY244" s="540">
        <v>5.5999999999999994E-2</v>
      </c>
      <c r="BZ244" s="540">
        <v>4.4000000000000004E-2</v>
      </c>
      <c r="CA244" s="540">
        <v>5.5999999999999994E-2</v>
      </c>
      <c r="CB244" s="540">
        <v>4.4000000000000004E-2</v>
      </c>
      <c r="CC244" s="540">
        <v>0.05</v>
      </c>
      <c r="CD244" s="540">
        <v>0.06</v>
      </c>
      <c r="CE244" s="540">
        <v>0.06</v>
      </c>
      <c r="CF244" s="540">
        <f>AVERAGEIFS(CN$36:CN$171,$C$36:$C$171,"=3", $B$36:$B$171,"OFICIAL")</f>
        <v>4.9999999999999996E-2</v>
      </c>
      <c r="CG244" s="540">
        <v>9.9999999999999992E-2</v>
      </c>
      <c r="CH244" s="540">
        <v>0.115</v>
      </c>
      <c r="CI244" s="540">
        <v>0.13500000000000001</v>
      </c>
      <c r="CJ244" s="540">
        <v>9.9999999999999992E-2</v>
      </c>
      <c r="CK244" s="540">
        <v>0.10833333333333334</v>
      </c>
      <c r="CL244" s="540">
        <v>0.10666666666666667</v>
      </c>
      <c r="CM244" s="540">
        <v>0.09</v>
      </c>
      <c r="CN244" s="540">
        <v>0.12</v>
      </c>
      <c r="CO244" s="540">
        <f>AVERAGEIFS(CN$36:CN$171,$C$36:$C$171,"=4", $B$36:$B$171,"OFICIAL")</f>
        <v>0.14833333333333332</v>
      </c>
      <c r="CP244" s="540">
        <v>0.05</v>
      </c>
      <c r="CQ244" s="540">
        <v>7.0000000000000007E-2</v>
      </c>
      <c r="CR244" s="540">
        <v>0.05</v>
      </c>
      <c r="CS244" s="540">
        <v>0.04</v>
      </c>
      <c r="CT244" s="540">
        <v>0.04</v>
      </c>
      <c r="CU244" s="540">
        <v>0.06</v>
      </c>
      <c r="CV244" s="540">
        <v>0.05</v>
      </c>
      <c r="CW244" s="540">
        <v>0.08</v>
      </c>
      <c r="CX244" s="540">
        <v>3.6666666666666667E-2</v>
      </c>
      <c r="CY244" s="540">
        <v>0.03</v>
      </c>
      <c r="CZ244" s="540">
        <v>0.05</v>
      </c>
      <c r="DA244" s="540">
        <v>0.05</v>
      </c>
      <c r="DB244" s="540">
        <v>0.05</v>
      </c>
      <c r="DC244" s="540">
        <v>0.02</v>
      </c>
      <c r="DD244" s="540">
        <v>0.05</v>
      </c>
      <c r="DE244" s="540">
        <v>0.09</v>
      </c>
      <c r="DF244" s="540">
        <v>0.08</v>
      </c>
      <c r="DG244" s="540">
        <v>6.25E-2</v>
      </c>
      <c r="DM244" s="298"/>
      <c r="DN244" s="298"/>
      <c r="DO244" s="298"/>
      <c r="DP244" s="298"/>
      <c r="DQ244" s="298"/>
      <c r="DR244" s="298"/>
      <c r="DS244" s="298"/>
      <c r="DT244" s="298"/>
      <c r="DU244" s="298"/>
      <c r="DV244" s="298"/>
      <c r="DW244" s="298"/>
      <c r="DX244" s="298"/>
      <c r="DY244" s="298"/>
      <c r="DZ244" s="298"/>
      <c r="EA244" s="298"/>
      <c r="EB244" s="298"/>
      <c r="EC244" s="298"/>
      <c r="ED244" s="298"/>
      <c r="EE244" s="298"/>
      <c r="EF244" s="298"/>
      <c r="EG244" s="298"/>
      <c r="EH244" s="298"/>
      <c r="EI244" s="298"/>
      <c r="EJ244" s="298"/>
      <c r="EK244" s="298"/>
      <c r="EL244" s="298"/>
      <c r="EM244" s="298"/>
      <c r="EN244" s="298"/>
      <c r="EO244" s="298"/>
      <c r="EP244" s="298"/>
      <c r="EQ244" s="298"/>
      <c r="ER244" s="298"/>
      <c r="ES244" s="298"/>
      <c r="ET244" s="298"/>
      <c r="EU244" s="298"/>
      <c r="EV244" s="298"/>
    </row>
    <row r="245" spans="2:152" x14ac:dyDescent="0.2">
      <c r="B245" s="548" t="s">
        <v>246</v>
      </c>
      <c r="C245" s="551">
        <f>AVERAGEIF($C$36:$C$171,"=3",$K$36:$K$171)</f>
        <v>0.44611111111111107</v>
      </c>
      <c r="D245" s="479">
        <f>AVERAGEIF($C$36:$C$171,"=3",$J$36:$J$171)</f>
        <v>0.51444444444444448</v>
      </c>
      <c r="E245" s="479">
        <f>AVERAGEIF($C$36:$C$171,"=3",$L$36:$L$171)</f>
        <v>0.51777777777777778</v>
      </c>
      <c r="F245" s="479">
        <f>AVERAGEIF($C$36:$C$171,"=3",$T$36:$T$171)</f>
        <v>0.54722222222222228</v>
      </c>
      <c r="G245" s="479">
        <f>AVERAGEIF($C$36:$C$171,"=3",$S$36:$S$171)</f>
        <v>0.46666666666666667</v>
      </c>
      <c r="H245" s="479">
        <f>AVERAGEIF($C$36:$C$171,"=3",$U$36:$U$171)</f>
        <v>0.33999999999999997</v>
      </c>
      <c r="I245" s="479">
        <f>AVERAGEIF($C$36:$C$171,"=3",$AB$36:$AB$171)</f>
        <v>0.47222222222222221</v>
      </c>
      <c r="J245" s="555">
        <f>AVERAGEIF($C$36:$C$171,"=3",$AC$36:$AC$171)</f>
        <v>0.36222222222222222</v>
      </c>
      <c r="K245" s="555">
        <f>AVERAGEIF($C$36:$C$171,"=3",$AD$36:$AD$171)</f>
        <v>0.50111111111111117</v>
      </c>
      <c r="L245" s="500">
        <f>AVERAGEIF($C$36:$C$171,"=3",$AK$36:$AK$171)</f>
        <v>0.51944444444444438</v>
      </c>
      <c r="M245" s="479">
        <f>AVERAGEIF($C$36:$C$171,"=3",$AL$36:$AL$171)</f>
        <v>0.45777777777777778</v>
      </c>
      <c r="N245" s="479">
        <f>AVERAGEIF($C$36:$C$171,"=3",$AM$36:$AM$171)</f>
        <v>0.27555555555555561</v>
      </c>
      <c r="O245" s="479">
        <f>AVERAGEIF($C$36:$C$171,"=3",$AT$36:$AT$171)</f>
        <v>0.26149999999999995</v>
      </c>
      <c r="P245" s="479">
        <f>AVERAGEIF($C$36:$C$171,"=3",$AV$36:$AV$171)</f>
        <v>0.4955</v>
      </c>
      <c r="Q245" s="479">
        <f>AVERAGEIF($C$36:$C$171,"=3",$AU$36:$AU$171)</f>
        <v>0.47400000000000003</v>
      </c>
      <c r="R245" s="479">
        <f>AVERAGEIF($C$36:$C$171,"=3",$BE$36:$BE$171)</f>
        <v>0.27449999999999991</v>
      </c>
      <c r="S245" s="479">
        <f>AVERAGEIF($C$36:$C$171,"=3",$BF$36:$BF$171)</f>
        <v>0.49199999999999999</v>
      </c>
      <c r="T245" s="479">
        <f>AVERAGEIF($C$36:$C$171,"=3",$BG$36:$BG$171)</f>
        <v>0.45150000000000007</v>
      </c>
      <c r="U245" s="479">
        <v>0.55909090909090908</v>
      </c>
      <c r="V245" s="479">
        <v>0.49136363636363645</v>
      </c>
      <c r="W245" s="479">
        <v>0.34636363636363643</v>
      </c>
      <c r="X245" s="479">
        <v>0.60318181818181826</v>
      </c>
      <c r="Y245" s="479">
        <v>0.56181818181818177</v>
      </c>
      <c r="Z245" s="555">
        <v>0.33999999999999991</v>
      </c>
      <c r="AA245" s="551">
        <v>0.53863636363636358</v>
      </c>
      <c r="AB245" s="479">
        <v>0.4859090909090909</v>
      </c>
      <c r="AC245" s="514">
        <v>0.38954545454545458</v>
      </c>
      <c r="BE245" s="543">
        <v>2</v>
      </c>
      <c r="BF245" s="540">
        <v>0.36749999999999999</v>
      </c>
      <c r="BG245" s="540">
        <v>0.39249999999999996</v>
      </c>
      <c r="BH245" s="540">
        <v>0.41249999999999998</v>
      </c>
      <c r="BI245" s="540">
        <v>0.34249999999999997</v>
      </c>
      <c r="BJ245" s="540">
        <v>0.36249999999999999</v>
      </c>
      <c r="BK245" s="540">
        <v>0.40500000000000003</v>
      </c>
      <c r="BL245" s="540">
        <v>0.4</v>
      </c>
      <c r="BM245" s="540">
        <v>0.36</v>
      </c>
      <c r="BN245" s="540">
        <f>AVERAGEIFS(CO$36:CO$171,$C$36:$C$171,"=1", $B$36:$B$171,"OFICIAL")</f>
        <v>0.37</v>
      </c>
      <c r="BO245" s="540">
        <v>0.44</v>
      </c>
      <c r="BP245" s="540">
        <v>0.4</v>
      </c>
      <c r="BQ245" s="540">
        <v>0.38</v>
      </c>
      <c r="BR245" s="540">
        <v>0.38500000000000001</v>
      </c>
      <c r="BS245" s="540">
        <v>0.36499999999999999</v>
      </c>
      <c r="BT245" s="540">
        <v>0.435</v>
      </c>
      <c r="BU245" s="540">
        <v>0.38</v>
      </c>
      <c r="BV245" s="540">
        <v>0.38</v>
      </c>
      <c r="BW245" s="540">
        <f>AVERAGEIFS(CO$36:CO$171,$C$36:$C$171,"=2", $B$36:$B$171,"OFICIAL")</f>
        <v>0.35499999999999998</v>
      </c>
      <c r="BX245" s="540">
        <v>0.46600000000000003</v>
      </c>
      <c r="BY245" s="540">
        <v>0.43599999999999994</v>
      </c>
      <c r="BZ245" s="540">
        <v>0.41799999999999998</v>
      </c>
      <c r="CA245" s="540">
        <v>0.41600000000000004</v>
      </c>
      <c r="CB245" s="540">
        <v>0.372</v>
      </c>
      <c r="CC245" s="540">
        <v>0.44800000000000006</v>
      </c>
      <c r="CD245" s="540">
        <v>0.35</v>
      </c>
      <c r="CE245" s="540">
        <v>0.41</v>
      </c>
      <c r="CF245" s="540">
        <f>AVERAGEIFS(CO$36:CO$171,$C$36:$C$171,"=3", $B$36:$B$171,"OFICIAL")</f>
        <v>0.32999999999999996</v>
      </c>
      <c r="CG245" s="540">
        <v>0.54333333333333333</v>
      </c>
      <c r="CH245" s="540">
        <v>0.51666666666666672</v>
      </c>
      <c r="CI245" s="540">
        <v>0.48</v>
      </c>
      <c r="CJ245" s="540">
        <v>0.56166666666666665</v>
      </c>
      <c r="CK245" s="540">
        <v>0.48166666666666663</v>
      </c>
      <c r="CL245" s="540">
        <v>0.49499999999999994</v>
      </c>
      <c r="CM245" s="540">
        <v>0.48</v>
      </c>
      <c r="CN245" s="540">
        <v>0.48</v>
      </c>
      <c r="CO245" s="540">
        <f>AVERAGEIFS(CO$36:CO$171,$C$36:$C$171,"=4", $B$36:$B$171,"OFICIAL")</f>
        <v>0.4283333333333334</v>
      </c>
      <c r="CP245" s="540">
        <v>0.4</v>
      </c>
      <c r="CQ245" s="540">
        <v>0.39</v>
      </c>
      <c r="CR245" s="540">
        <v>0.47</v>
      </c>
      <c r="CS245" s="540">
        <v>0.41</v>
      </c>
      <c r="CT245" s="540">
        <v>0.39</v>
      </c>
      <c r="CU245" s="540">
        <v>0.43</v>
      </c>
      <c r="CV245" s="540">
        <v>0.35</v>
      </c>
      <c r="CW245" s="540">
        <v>0.38</v>
      </c>
      <c r="CX245" s="540">
        <v>0.2466666666666667</v>
      </c>
      <c r="CY245" s="540">
        <v>0.49</v>
      </c>
      <c r="CZ245" s="540">
        <v>0.41</v>
      </c>
      <c r="DA245" s="540">
        <v>0.44</v>
      </c>
      <c r="DB245" s="540">
        <v>0.36</v>
      </c>
      <c r="DC245" s="540">
        <v>0.38</v>
      </c>
      <c r="DD245" s="540">
        <v>0.47</v>
      </c>
      <c r="DE245" s="540">
        <v>0.38</v>
      </c>
      <c r="DF245" s="540">
        <v>0.41</v>
      </c>
      <c r="DG245" s="540">
        <v>0.41000000000000003</v>
      </c>
      <c r="DM245" s="298"/>
      <c r="DN245" s="298"/>
      <c r="DO245" s="298"/>
      <c r="DP245" s="298"/>
      <c r="DQ245" s="298"/>
      <c r="DR245" s="298"/>
      <c r="DS245" s="298"/>
      <c r="DT245" s="298"/>
      <c r="DU245" s="298"/>
      <c r="DV245" s="298"/>
      <c r="DW245" s="298"/>
      <c r="DX245" s="298"/>
      <c r="DY245" s="298"/>
      <c r="DZ245" s="298"/>
      <c r="EA245" s="298"/>
      <c r="EB245" s="298"/>
      <c r="EC245" s="298"/>
      <c r="ED245" s="298"/>
      <c r="EE245" s="298"/>
      <c r="EF245" s="298"/>
      <c r="EG245" s="298"/>
      <c r="EH245" s="298"/>
      <c r="EI245" s="298"/>
      <c r="EJ245" s="298"/>
      <c r="EK245" s="298"/>
      <c r="EL245" s="298"/>
      <c r="EM245" s="298"/>
      <c r="EN245" s="298"/>
      <c r="EO245" s="298"/>
      <c r="EP245" s="298"/>
      <c r="EQ245" s="298"/>
      <c r="ER245" s="298"/>
      <c r="ES245" s="298"/>
      <c r="ET245" s="298"/>
      <c r="EU245" s="298"/>
      <c r="EV245" s="298"/>
    </row>
    <row r="246" spans="2:152" x14ac:dyDescent="0.2">
      <c r="B246" s="548" t="s">
        <v>247</v>
      </c>
      <c r="C246" s="551">
        <f>AVERAGEIF($C$36:$C$171,"=4",$K$36:$K$171)</f>
        <v>0.50428571428571434</v>
      </c>
      <c r="D246" s="479">
        <f>AVERAGEIF($C$36:$C$171,"=4",$J$36:$J$171)</f>
        <v>0.57285714285714284</v>
      </c>
      <c r="E246" s="479">
        <f>AVERAGEIF($C$36:$C$171,"=4",$L$36:$L$171)</f>
        <v>0.59785714285714298</v>
      </c>
      <c r="F246" s="479">
        <f>AVERAGEIF($C$36:$C$171,"=4",$T$36:$T$171)</f>
        <v>0.57928571428571429</v>
      </c>
      <c r="G246" s="479">
        <f>AVERAGEIF($C$36:$C$171,"=4",$S$36:$S$171)</f>
        <v>0.50642857142857134</v>
      </c>
      <c r="H246" s="479">
        <f>AVERAGEIF($C$36:$C$171,"=4",$U$36:$U$171)</f>
        <v>0.38071428571428573</v>
      </c>
      <c r="I246" s="479">
        <f>AVERAGEIF($C$36:$C$171,"=4",$AB$36:$AB$171)</f>
        <v>0.50642857142857145</v>
      </c>
      <c r="J246" s="555">
        <f>AVERAGEIF($C$36:$C$171,"=4",$AC$36:$AC$171)</f>
        <v>0.40571428571428569</v>
      </c>
      <c r="K246" s="555">
        <f>AVERAGEIF($C$36:$C$171,"=4",$AD$36:$AD$171)</f>
        <v>0.5407142857142857</v>
      </c>
      <c r="L246" s="500">
        <f>AVERAGEIF($C$36:$C$171,"=4",$AK$36:$AK$171)</f>
        <v>0.57538461538461538</v>
      </c>
      <c r="M246" s="479">
        <f>AVERAGEIF($C$36:$C$171,"=4",$AL$36:$AL$171)</f>
        <v>0.51153846153846161</v>
      </c>
      <c r="N246" s="479">
        <f>AVERAGEIF($C$36:$C$171,"=4",$AM$36:$AM$171)</f>
        <v>0.34461538461538466</v>
      </c>
      <c r="O246" s="479">
        <f>AVERAGEIF($C$36:$C$171,"=4",$AT$36:$AT$171)</f>
        <v>0.31769230769230777</v>
      </c>
      <c r="P246" s="479">
        <f>AVERAGEIF($C$36:$C$171,"=4",$AV$36:$AV$171)</f>
        <v>0.54846153846153856</v>
      </c>
      <c r="Q246" s="479">
        <f>AVERAGEIF($C$36:$C$171,"=4",$AU$36:$AU$171)</f>
        <v>0.56384615384615389</v>
      </c>
      <c r="R246" s="479">
        <f>AVERAGEIF($C$36:$C$171,"=4",$BE$36:$BE$171)</f>
        <v>0.35857142857142854</v>
      </c>
      <c r="S246" s="479">
        <f>AVERAGEIF($C$36:$C$171,"=4",$BF$36:$BF$171)</f>
        <v>0.54214285714285715</v>
      </c>
      <c r="T246" s="479">
        <f>AVERAGEIF($C$36:$C$171,"=4",$BG$36:$BG$171)</f>
        <v>0.51928571428571424</v>
      </c>
      <c r="U246" s="479">
        <v>0.6171428571428571</v>
      </c>
      <c r="V246" s="479">
        <v>0.54142857142857148</v>
      </c>
      <c r="W246" s="479">
        <v>0.40857142857142853</v>
      </c>
      <c r="X246" s="479">
        <v>0.62533333333333341</v>
      </c>
      <c r="Y246" s="479">
        <v>0.61466666666666669</v>
      </c>
      <c r="Z246" s="555">
        <v>0.41866666666666663</v>
      </c>
      <c r="AA246" s="551">
        <v>0.57461538461538453</v>
      </c>
      <c r="AB246" s="479">
        <v>0.52769230769230768</v>
      </c>
      <c r="AC246" s="514">
        <v>0.4169230769230769</v>
      </c>
      <c r="BE246" s="543">
        <v>3</v>
      </c>
      <c r="BF246" s="540">
        <v>0.57250000000000001</v>
      </c>
      <c r="BG246" s="540">
        <v>0.53749999999999998</v>
      </c>
      <c r="BH246" s="540">
        <v>0.54249999999999998</v>
      </c>
      <c r="BI246" s="540">
        <v>0.59749999999999992</v>
      </c>
      <c r="BJ246" s="540">
        <v>0.5625</v>
      </c>
      <c r="BK246" s="540">
        <v>0.53249999999999997</v>
      </c>
      <c r="BL246" s="540">
        <v>0.54</v>
      </c>
      <c r="BM246" s="540">
        <v>0.57999999999999996</v>
      </c>
      <c r="BN246" s="540">
        <f>AVERAGEIFS(CP$36:CP$171,$C$36:$C$171,"=1", $B$36:$B$171,"OFICIAL")</f>
        <v>0.52799999999999991</v>
      </c>
      <c r="BO246" s="540">
        <v>0.52</v>
      </c>
      <c r="BP246" s="540">
        <v>0.52499999999999991</v>
      </c>
      <c r="BQ246" s="540">
        <v>0.54500000000000004</v>
      </c>
      <c r="BR246" s="540">
        <v>0.54500000000000004</v>
      </c>
      <c r="BS246" s="540">
        <v>0.58499999999999996</v>
      </c>
      <c r="BT246" s="540">
        <v>0.5</v>
      </c>
      <c r="BU246" s="540">
        <v>0.53</v>
      </c>
      <c r="BV246" s="540">
        <v>0.54</v>
      </c>
      <c r="BW246" s="540">
        <f>AVERAGEIFS(CP$36:CP$171,$C$36:$C$171,"=2", $B$36:$B$171,"OFICIAL")</f>
        <v>0.5625</v>
      </c>
      <c r="BX246" s="540">
        <v>0.48200000000000004</v>
      </c>
      <c r="BY246" s="540">
        <v>0.502</v>
      </c>
      <c r="BZ246" s="540">
        <v>0.53199999999999992</v>
      </c>
      <c r="CA246" s="540">
        <v>0.52000000000000013</v>
      </c>
      <c r="CB246" s="540">
        <v>0.56400000000000006</v>
      </c>
      <c r="CC246" s="540">
        <v>0.48599999999999993</v>
      </c>
      <c r="CD246" s="540">
        <v>0.56999999999999995</v>
      </c>
      <c r="CE246" s="540">
        <v>0.51</v>
      </c>
      <c r="CF246" s="540">
        <f>AVERAGEIFS(CP$36:CP$171,$C$36:$C$171,"=3", $B$36:$B$171,"OFICIAL")</f>
        <v>0.57666666666666666</v>
      </c>
      <c r="CG246" s="540">
        <v>0.34666666666666662</v>
      </c>
      <c r="CH246" s="540">
        <v>0.35833333333333334</v>
      </c>
      <c r="CI246" s="540">
        <v>0.375</v>
      </c>
      <c r="CJ246" s="540">
        <v>0.33166666666666667</v>
      </c>
      <c r="CK246" s="540">
        <v>0.41000000000000009</v>
      </c>
      <c r="CL246" s="540">
        <v>0.38999999999999996</v>
      </c>
      <c r="CM246" s="540">
        <v>0.4</v>
      </c>
      <c r="CN246" s="540">
        <v>0.4</v>
      </c>
      <c r="CO246" s="540">
        <f>AVERAGEIFS(CP$36:CP$171,$C$36:$C$171,"=4", $B$36:$B$171,"OFICIAL")</f>
        <v>0.40833333333333338</v>
      </c>
      <c r="CP246" s="540">
        <v>0.54</v>
      </c>
      <c r="CQ246" s="540">
        <v>0.52</v>
      </c>
      <c r="CR246" s="540">
        <v>0.48</v>
      </c>
      <c r="CS246" s="540">
        <v>0.53</v>
      </c>
      <c r="CT246" s="540">
        <v>0.56000000000000005</v>
      </c>
      <c r="CU246" s="540">
        <v>0.49</v>
      </c>
      <c r="CV246" s="540">
        <v>0.61</v>
      </c>
      <c r="CW246" s="540">
        <v>0.51</v>
      </c>
      <c r="CX246" s="540">
        <v>0.64333333333333331</v>
      </c>
      <c r="CY246" s="540">
        <v>0.47</v>
      </c>
      <c r="CZ246" s="540">
        <v>0.52</v>
      </c>
      <c r="DA246" s="540">
        <v>0.5</v>
      </c>
      <c r="DB246" s="540">
        <v>0.57999999999999996</v>
      </c>
      <c r="DC246" s="540">
        <v>0.56000000000000005</v>
      </c>
      <c r="DD246" s="540">
        <v>0.46</v>
      </c>
      <c r="DE246" s="540">
        <v>0.52</v>
      </c>
      <c r="DF246" s="540">
        <v>0.48</v>
      </c>
      <c r="DG246" s="540">
        <v>0.49500000000000005</v>
      </c>
      <c r="DM246" s="298"/>
      <c r="DN246" s="298"/>
      <c r="DO246" s="298"/>
      <c r="DP246" s="298"/>
      <c r="DQ246" s="298"/>
      <c r="DR246" s="298"/>
      <c r="DS246" s="298"/>
      <c r="DT246" s="298"/>
      <c r="DU246" s="298"/>
      <c r="DV246" s="298"/>
      <c r="DW246" s="298"/>
      <c r="DX246" s="298"/>
      <c r="DY246" s="298"/>
      <c r="DZ246" s="298"/>
      <c r="EA246" s="298"/>
      <c r="EB246" s="298"/>
      <c r="EC246" s="298"/>
      <c r="ED246" s="298"/>
      <c r="EE246" s="298"/>
      <c r="EF246" s="298"/>
      <c r="EG246" s="298"/>
      <c r="EH246" s="298"/>
      <c r="EI246" s="298"/>
      <c r="EJ246" s="298"/>
      <c r="EK246" s="298"/>
      <c r="EL246" s="298"/>
      <c r="EM246" s="298"/>
      <c r="EN246" s="298"/>
      <c r="EO246" s="298"/>
      <c r="EP246" s="298"/>
      <c r="EQ246" s="298"/>
      <c r="ER246" s="298"/>
      <c r="ES246" s="298"/>
      <c r="ET246" s="298"/>
      <c r="EU246" s="298"/>
      <c r="EV246" s="298"/>
    </row>
    <row r="247" spans="2:152" x14ac:dyDescent="0.2">
      <c r="B247" s="548" t="s">
        <v>248</v>
      </c>
      <c r="C247" s="551">
        <f>AVERAGEIF($C$36:$C$171,"=5",$K$36:$K$171)</f>
        <v>0.44117647058823528</v>
      </c>
      <c r="D247" s="479">
        <f>AVERAGEIF($C$36:$C$171,"=5",$J$36:$J$171)</f>
        <v>0.49294117647058816</v>
      </c>
      <c r="E247" s="479">
        <f>AVERAGEIF($C$36:$C$171,"=5",$L$36:$L$171)</f>
        <v>0.49882352941176472</v>
      </c>
      <c r="F247" s="479">
        <f>AVERAGEIF($C$36:$C$171,"=5",$T$36:$T$171)</f>
        <v>0.50352941176470589</v>
      </c>
      <c r="G247" s="479">
        <f>AVERAGEIF($C$36:$C$171,"=5",$S$36:$S$171)</f>
        <v>0.44058823529411761</v>
      </c>
      <c r="H247" s="479">
        <f>AVERAGEIF($C$36:$C$171,"=5",$U$36:$U$171)</f>
        <v>0.31882352941176478</v>
      </c>
      <c r="I247" s="479">
        <f>AVERAGEIF($C$36:$C$171,"=5",$AB$36:$AB$171)</f>
        <v>0.43999999999999995</v>
      </c>
      <c r="J247" s="555">
        <f>AVERAGEIF($C$36:$C$171,"=5",$AC$36:$AC$171)</f>
        <v>0.34823529411764703</v>
      </c>
      <c r="K247" s="555">
        <f>AVERAGEIF($C$36:$C$171,"=5",$AD$36:$AD$171)</f>
        <v>0.47882352941176465</v>
      </c>
      <c r="L247" s="500">
        <f>AVERAGEIF($C$36:$C$171,"=5",$AK$36:$AK$171)</f>
        <v>0.48222222222222222</v>
      </c>
      <c r="M247" s="479">
        <f>AVERAGEIF($C$36:$C$171,"=5",$AL$36:$AL$171)</f>
        <v>0.41555555555555557</v>
      </c>
      <c r="N247" s="479">
        <f>AVERAGEIF($C$36:$C$171,"=5",$AM$36:$AM$171)</f>
        <v>0.25000000000000006</v>
      </c>
      <c r="O247" s="479">
        <f>AVERAGEIF($C$36:$C$171,"=5",$AT$36:$AT$171)</f>
        <v>0.22444444444444439</v>
      </c>
      <c r="P247" s="479">
        <f>AVERAGEIF($C$36:$C$171,"=5",$AV$36:$AV$171)</f>
        <v>0.44555555555555554</v>
      </c>
      <c r="Q247" s="479">
        <f>AVERAGEIF($C$36:$C$171,"=5",$AU$36:$AU$171)</f>
        <v>0.45499999999999996</v>
      </c>
      <c r="R247" s="479">
        <f>AVERAGEIF($C$36:$C$171,"=5",$BE$36:$BE$171)</f>
        <v>0.24500000000000005</v>
      </c>
      <c r="S247" s="479">
        <f>AVERAGEIF($C$36:$C$171,"=5",$BF$36:$BF$171)</f>
        <v>0.47500000000000003</v>
      </c>
      <c r="T247" s="479">
        <f>AVERAGEIF($C$36:$C$171,"=5",$BG$36:$BG$171)</f>
        <v>0.42888888888888893</v>
      </c>
      <c r="U247" s="479">
        <v>0.52647058823529402</v>
      </c>
      <c r="V247" s="479">
        <v>0.45117647058823529</v>
      </c>
      <c r="W247" s="479">
        <v>0.32176470588235295</v>
      </c>
      <c r="X247" s="479">
        <v>0.57588235294117629</v>
      </c>
      <c r="Y247" s="479">
        <v>0.53764705882352937</v>
      </c>
      <c r="Z247" s="555">
        <v>0.30588235294117649</v>
      </c>
      <c r="AA247" s="551">
        <v>0.5261111111111112</v>
      </c>
      <c r="AB247" s="479">
        <v>0.46833333333333343</v>
      </c>
      <c r="AC247" s="514">
        <v>0.3816666666666666</v>
      </c>
      <c r="BE247" s="544">
        <v>4</v>
      </c>
      <c r="BF247" s="540">
        <v>1.7500000000000002E-2</v>
      </c>
      <c r="BG247" s="540">
        <v>2.5000000000000001E-2</v>
      </c>
      <c r="BH247" s="540">
        <v>1.2500000000000001E-2</v>
      </c>
      <c r="BI247" s="540">
        <v>2.2499999999999999E-2</v>
      </c>
      <c r="BJ247" s="540">
        <v>0.03</v>
      </c>
      <c r="BK247" s="540">
        <v>1.4999999999999999E-2</v>
      </c>
      <c r="BL247" s="540">
        <v>0.01</v>
      </c>
      <c r="BM247" s="540">
        <v>0.02</v>
      </c>
      <c r="BN247" s="540">
        <f>AVERAGEIFS(CQ$36:CQ$171,$C$36:$C$171,"=1", $B$36:$B$171,"OFICIAL")</f>
        <v>4.3999999999999997E-2</v>
      </c>
      <c r="BO247" s="540">
        <v>2.5000000000000001E-2</v>
      </c>
      <c r="BP247" s="540">
        <v>0.02</v>
      </c>
      <c r="BQ247" s="540">
        <v>2.5000000000000001E-2</v>
      </c>
      <c r="BR247" s="540">
        <v>0.03</v>
      </c>
      <c r="BS247" s="540">
        <v>2.5000000000000001E-2</v>
      </c>
      <c r="BT247" s="540">
        <v>5.0000000000000001E-3</v>
      </c>
      <c r="BU247" s="540">
        <v>0.02</v>
      </c>
      <c r="BV247" s="540">
        <v>0.02</v>
      </c>
      <c r="BW247" s="540">
        <f>AVERAGEIFS(CQ$36:CQ$171,$C$36:$C$171,"=2", $B$36:$B$171,"OFICIAL")</f>
        <v>5.5000000000000007E-2</v>
      </c>
      <c r="BX247" s="540">
        <v>1.6E-2</v>
      </c>
      <c r="BY247" s="540">
        <v>6.0000000000000001E-3</v>
      </c>
      <c r="BZ247" s="540">
        <v>8.0000000000000002E-3</v>
      </c>
      <c r="CA247" s="540">
        <v>0.01</v>
      </c>
      <c r="CB247" s="540">
        <v>1.9999999999999997E-2</v>
      </c>
      <c r="CC247" s="540">
        <v>1.2E-2</v>
      </c>
      <c r="CD247" s="540">
        <v>0.02</v>
      </c>
      <c r="CE247" s="540">
        <v>0.03</v>
      </c>
      <c r="CF247" s="540">
        <f>AVERAGEIFS(CQ$36:CQ$171,$C$36:$C$171,"=3", $B$36:$B$171,"OFICIAL")</f>
        <v>4.5000000000000005E-2</v>
      </c>
      <c r="CG247" s="540">
        <v>6.6666666666666671E-3</v>
      </c>
      <c r="CH247" s="540">
        <v>1.1666666666666667E-2</v>
      </c>
      <c r="CI247" s="540">
        <v>8.3333333333333332E-3</v>
      </c>
      <c r="CJ247" s="540">
        <v>6.6666666666666671E-3</v>
      </c>
      <c r="CK247" s="540">
        <v>3.3333333333333335E-3</v>
      </c>
      <c r="CL247" s="540">
        <v>3.3333333333333335E-3</v>
      </c>
      <c r="CM247" s="540">
        <v>0.02</v>
      </c>
      <c r="CN247" s="540">
        <v>0.02</v>
      </c>
      <c r="CO247" s="540">
        <f>AVERAGEIFS(CQ$36:CQ$171,$C$36:$C$171,"=4", $B$36:$B$171,"OFICIAL")</f>
        <v>0.02</v>
      </c>
      <c r="CP247" s="540">
        <v>0.02</v>
      </c>
      <c r="CQ247" s="540">
        <v>0.02</v>
      </c>
      <c r="CR247" s="540">
        <v>0.02</v>
      </c>
      <c r="CS247" s="540">
        <v>0.03</v>
      </c>
      <c r="CT247" s="540">
        <v>0.02</v>
      </c>
      <c r="CU247" s="540">
        <v>0.03</v>
      </c>
      <c r="CV247" s="540">
        <v>0.01</v>
      </c>
      <c r="CW247" s="540">
        <v>0.04</v>
      </c>
      <c r="CX247" s="540">
        <v>0.08</v>
      </c>
      <c r="CY247" s="540">
        <v>0.01</v>
      </c>
      <c r="CZ247" s="540">
        <v>0.02</v>
      </c>
      <c r="DA247" s="540">
        <v>0.02</v>
      </c>
      <c r="DB247" s="540">
        <v>0.01</v>
      </c>
      <c r="DC247" s="540">
        <v>0.04</v>
      </c>
      <c r="DD247" s="540">
        <v>0.02</v>
      </c>
      <c r="DE247" s="540">
        <v>0.01</v>
      </c>
      <c r="DF247" s="540">
        <v>0.04</v>
      </c>
      <c r="DG247" s="540">
        <v>0.03</v>
      </c>
      <c r="DM247" s="298"/>
      <c r="DN247" s="298"/>
      <c r="DO247" s="298"/>
      <c r="DP247" s="298"/>
      <c r="DQ247" s="298"/>
      <c r="DR247" s="298"/>
      <c r="DS247" s="298"/>
      <c r="DT247" s="298"/>
      <c r="DU247" s="298"/>
      <c r="DV247" s="298"/>
      <c r="DW247" s="298"/>
      <c r="DX247" s="298"/>
      <c r="DY247" s="298"/>
      <c r="DZ247" s="298"/>
      <c r="EA247" s="298"/>
      <c r="EB247" s="298"/>
      <c r="EC247" s="298"/>
      <c r="ED247" s="298"/>
      <c r="EE247" s="298"/>
      <c r="EF247" s="298"/>
      <c r="EG247" s="298"/>
      <c r="EH247" s="298"/>
      <c r="EI247" s="298"/>
      <c r="EJ247" s="298"/>
      <c r="EK247" s="298"/>
      <c r="EL247" s="298"/>
      <c r="EM247" s="298"/>
      <c r="EN247" s="298"/>
      <c r="EO247" s="298"/>
      <c r="EP247" s="298"/>
      <c r="EQ247" s="298"/>
      <c r="ER247" s="298"/>
      <c r="ES247" s="298"/>
      <c r="ET247" s="298"/>
      <c r="EU247" s="298"/>
      <c r="EV247" s="298"/>
    </row>
    <row r="248" spans="2:152" x14ac:dyDescent="0.2">
      <c r="B248" s="548" t="s">
        <v>249</v>
      </c>
      <c r="C248" s="552">
        <f>AVERAGEIF($C$36:$C$171,"=6",$K$36:$K$171)</f>
        <v>0.4393333333333333</v>
      </c>
      <c r="D248" s="553">
        <f>AVERAGEIF($C$36:$C$171,"=6",$J$36:$J$171)</f>
        <v>0.52266666666666672</v>
      </c>
      <c r="E248" s="553">
        <f>AVERAGEIF($C$36:$C$171,"=6",$L$36:$L$171)</f>
        <v>0.52666666666666673</v>
      </c>
      <c r="F248" s="553">
        <f>AVERAGEIF($C$36:$C$171,"=6",$T$36:$T$171)</f>
        <v>0.56000000000000016</v>
      </c>
      <c r="G248" s="553">
        <f>AVERAGEIF($C$36:$C$171,"=6",$S$36:$S$171)</f>
        <v>0.4913333333333334</v>
      </c>
      <c r="H248" s="553">
        <f>AVERAGEIF($C$36:$C$171,"=6",$U$36:$U$171)</f>
        <v>0.36466666666666664</v>
      </c>
      <c r="I248" s="553">
        <f>AVERAGEIF($C$36:$C$171,"=6",$AB$36:$AB$171)</f>
        <v>0.49999999999999994</v>
      </c>
      <c r="J248" s="558">
        <f>AVERAGEIF($C$36:$C$171,"=6",$AC$36:$AC$171)</f>
        <v>0.36874999999999997</v>
      </c>
      <c r="K248" s="558">
        <f>AVERAGEIF($C$36:$C$171,"=6",$AD$36:$AD$171)</f>
        <v>0.51875000000000004</v>
      </c>
      <c r="L248" s="557">
        <f>AVERAGEIF($C$36:$C$171,"=6",$AK$36:$AK$171)</f>
        <v>0.52</v>
      </c>
      <c r="M248" s="553">
        <f>AVERAGEIF($C$36:$C$171,"=6",$AL$36:$AL$171)</f>
        <v>0.4535294117647059</v>
      </c>
      <c r="N248" s="553">
        <f>AVERAGEIF($C$36:$C$171,"=6",$AM$36:$AM$171)</f>
        <v>0.29411764705882359</v>
      </c>
      <c r="O248" s="553">
        <f>AVERAGEIF($C$36:$C$171,"=6",$AT$36:$AT$171)</f>
        <v>0.29058823529411759</v>
      </c>
      <c r="P248" s="553">
        <f>AVERAGEIF($C$36:$C$171,"=6",$AV$36:$AV$171)</f>
        <v>0.50352941176470589</v>
      </c>
      <c r="Q248" s="553">
        <f>AVERAGEIF($C$36:$C$171,"=6",$AU$36:$AU$171)</f>
        <v>0.51235294117647079</v>
      </c>
      <c r="R248" s="553">
        <f>AVERAGEIF($C$36:$C$171,"=6",$BE$36:$BE$171)</f>
        <v>0.26588235294117646</v>
      </c>
      <c r="S248" s="553">
        <f>AVERAGEIF($C$36:$C$171,"=6",$BF$36:$BF$171)</f>
        <v>0.52000000000000013</v>
      </c>
      <c r="T248" s="553">
        <f>AVERAGEIF($C$36:$C$171,"=6",$BG$36:$BG$171)</f>
        <v>0.4864705882352941</v>
      </c>
      <c r="U248" s="553">
        <v>0.59526315789473694</v>
      </c>
      <c r="V248" s="553">
        <v>0.52052631578947361</v>
      </c>
      <c r="W248" s="553">
        <v>0.38999999999999996</v>
      </c>
      <c r="X248" s="553">
        <v>0.60499999999999987</v>
      </c>
      <c r="Y248" s="553">
        <v>0.56850000000000001</v>
      </c>
      <c r="Z248" s="558">
        <v>0.35299999999999998</v>
      </c>
      <c r="AA248" s="552">
        <v>0.55277777777777781</v>
      </c>
      <c r="AB248" s="553">
        <v>0.50222222222222224</v>
      </c>
      <c r="AC248" s="554">
        <v>0.4044444444444445</v>
      </c>
      <c r="BY248" s="298"/>
      <c r="CH248" s="298"/>
      <c r="CQ248" s="298"/>
      <c r="CW248" s="298"/>
    </row>
    <row r="250" spans="2:152" x14ac:dyDescent="0.2">
      <c r="B250" s="86"/>
      <c r="C250" s="999">
        <v>2016</v>
      </c>
      <c r="D250" s="999"/>
      <c r="E250" s="999"/>
      <c r="F250" s="999"/>
      <c r="G250" s="999"/>
      <c r="H250" s="999"/>
      <c r="I250" s="1000">
        <v>2017</v>
      </c>
      <c r="J250" s="1000"/>
      <c r="K250" s="1000"/>
      <c r="L250" s="1000"/>
      <c r="M250" s="1000"/>
      <c r="N250" s="1000"/>
      <c r="O250" s="999">
        <v>2018</v>
      </c>
      <c r="P250" s="999"/>
      <c r="Q250" s="999"/>
      <c r="R250" s="999"/>
      <c r="S250" s="999"/>
      <c r="T250" s="999"/>
      <c r="U250" s="999">
        <v>2019</v>
      </c>
      <c r="V250" s="999"/>
      <c r="W250" s="999"/>
      <c r="X250" s="999"/>
      <c r="Y250" s="999"/>
      <c r="Z250" s="999"/>
      <c r="AA250" s="999">
        <v>2020</v>
      </c>
      <c r="AB250" s="999"/>
      <c r="AC250" s="999"/>
      <c r="AD250" s="999"/>
      <c r="AE250" s="999"/>
      <c r="AF250" s="999"/>
      <c r="AG250" s="999">
        <v>2021</v>
      </c>
      <c r="AH250" s="999"/>
      <c r="AI250" s="999"/>
      <c r="AJ250" s="999"/>
      <c r="AK250" s="999"/>
      <c r="AL250" s="999"/>
      <c r="AM250" s="999">
        <v>2022</v>
      </c>
      <c r="AN250" s="999"/>
      <c r="AO250" s="999"/>
      <c r="AP250" s="999"/>
      <c r="AQ250" s="999"/>
      <c r="AR250" s="999"/>
      <c r="AS250" s="999">
        <v>2023</v>
      </c>
      <c r="AT250" s="999"/>
      <c r="AU250" s="999"/>
      <c r="AV250" s="999"/>
      <c r="AW250" s="999"/>
      <c r="AX250" s="999"/>
      <c r="AY250" s="999">
        <v>2024</v>
      </c>
      <c r="AZ250" s="999"/>
      <c r="BA250" s="999"/>
      <c r="BB250" s="999"/>
      <c r="BC250" s="999"/>
      <c r="BD250" s="999"/>
    </row>
    <row r="251" spans="2:152" x14ac:dyDescent="0.2">
      <c r="B251" s="86"/>
      <c r="C251" s="999" t="s">
        <v>252</v>
      </c>
      <c r="D251" s="999"/>
      <c r="E251" s="999"/>
      <c r="F251" s="999" t="s">
        <v>253</v>
      </c>
      <c r="G251" s="999"/>
      <c r="H251" s="999"/>
      <c r="I251" s="999" t="s">
        <v>252</v>
      </c>
      <c r="J251" s="999"/>
      <c r="K251" s="999"/>
      <c r="L251" s="999" t="s">
        <v>253</v>
      </c>
      <c r="M251" s="999"/>
      <c r="N251" s="999"/>
      <c r="O251" s="999" t="s">
        <v>252</v>
      </c>
      <c r="P251" s="999"/>
      <c r="Q251" s="999"/>
      <c r="R251" s="999" t="s">
        <v>253</v>
      </c>
      <c r="S251" s="999"/>
      <c r="T251" s="999"/>
      <c r="U251" s="999" t="s">
        <v>252</v>
      </c>
      <c r="V251" s="999"/>
      <c r="W251" s="999"/>
      <c r="X251" s="999" t="s">
        <v>253</v>
      </c>
      <c r="Y251" s="999"/>
      <c r="Z251" s="999"/>
      <c r="AA251" s="999" t="s">
        <v>252</v>
      </c>
      <c r="AB251" s="999"/>
      <c r="AC251" s="999"/>
      <c r="AD251" s="999" t="s">
        <v>253</v>
      </c>
      <c r="AE251" s="999"/>
      <c r="AF251" s="999"/>
      <c r="AG251" s="999" t="s">
        <v>252</v>
      </c>
      <c r="AH251" s="999"/>
      <c r="AI251" s="999"/>
      <c r="AJ251" s="999" t="s">
        <v>253</v>
      </c>
      <c r="AK251" s="999"/>
      <c r="AL251" s="999"/>
      <c r="AM251" s="999" t="s">
        <v>252</v>
      </c>
      <c r="AN251" s="999"/>
      <c r="AO251" s="999"/>
      <c r="AP251" s="999" t="s">
        <v>253</v>
      </c>
      <c r="AQ251" s="999"/>
      <c r="AR251" s="999"/>
      <c r="AS251" s="999" t="s">
        <v>252</v>
      </c>
      <c r="AT251" s="999"/>
      <c r="AU251" s="999"/>
      <c r="AV251" s="999" t="s">
        <v>253</v>
      </c>
      <c r="AW251" s="999"/>
      <c r="AX251" s="999"/>
      <c r="AY251" s="999" t="s">
        <v>252</v>
      </c>
      <c r="AZ251" s="999"/>
      <c r="BA251" s="999"/>
      <c r="BB251" s="999" t="s">
        <v>253</v>
      </c>
      <c r="BC251" s="999"/>
      <c r="BD251" s="999"/>
    </row>
    <row r="252" spans="2:152" x14ac:dyDescent="0.2">
      <c r="B252" s="86"/>
      <c r="C252" s="549" t="s">
        <v>910</v>
      </c>
      <c r="D252" s="547" t="s">
        <v>907</v>
      </c>
      <c r="E252" s="547" t="s">
        <v>911</v>
      </c>
      <c r="F252" s="547" t="s">
        <v>910</v>
      </c>
      <c r="G252" s="547" t="s">
        <v>907</v>
      </c>
      <c r="H252" s="550" t="s">
        <v>911</v>
      </c>
      <c r="I252" s="549" t="s">
        <v>911</v>
      </c>
      <c r="J252" s="547" t="s">
        <v>910</v>
      </c>
      <c r="K252" s="547" t="s">
        <v>907</v>
      </c>
      <c r="L252" s="547" t="s">
        <v>911</v>
      </c>
      <c r="M252" s="547" t="s">
        <v>910</v>
      </c>
      <c r="N252" s="550" t="s">
        <v>907</v>
      </c>
      <c r="O252" s="549" t="s">
        <v>911</v>
      </c>
      <c r="P252" s="547" t="s">
        <v>907</v>
      </c>
      <c r="Q252" s="547" t="s">
        <v>910</v>
      </c>
      <c r="R252" s="547" t="s">
        <v>911</v>
      </c>
      <c r="S252" s="547" t="s">
        <v>907</v>
      </c>
      <c r="T252" s="550" t="s">
        <v>910</v>
      </c>
      <c r="U252" s="549" t="s">
        <v>911</v>
      </c>
      <c r="V252" s="547" t="s">
        <v>910</v>
      </c>
      <c r="W252" s="547" t="s">
        <v>907</v>
      </c>
      <c r="X252" s="547" t="s">
        <v>911</v>
      </c>
      <c r="Y252" s="547" t="s">
        <v>910</v>
      </c>
      <c r="Z252" s="550" t="s">
        <v>907</v>
      </c>
      <c r="AA252" s="547" t="s">
        <v>907</v>
      </c>
      <c r="AB252" s="547" t="s">
        <v>910</v>
      </c>
      <c r="AC252" s="547" t="s">
        <v>911</v>
      </c>
      <c r="AD252" s="547" t="s">
        <v>907</v>
      </c>
      <c r="AE252" s="547" t="s">
        <v>910</v>
      </c>
      <c r="AF252" s="547" t="s">
        <v>911</v>
      </c>
      <c r="AG252" s="549" t="s">
        <v>907</v>
      </c>
      <c r="AH252" s="547" t="s">
        <v>911</v>
      </c>
      <c r="AI252" s="547" t="s">
        <v>910</v>
      </c>
      <c r="AJ252" s="547" t="s">
        <v>907</v>
      </c>
      <c r="AK252" s="547" t="s">
        <v>911</v>
      </c>
      <c r="AL252" s="550" t="s">
        <v>910</v>
      </c>
      <c r="AM252" s="559" t="s">
        <v>910</v>
      </c>
      <c r="AN252" s="202" t="s">
        <v>911</v>
      </c>
      <c r="AO252" s="515" t="s">
        <v>907</v>
      </c>
      <c r="AP252" s="559" t="s">
        <v>910</v>
      </c>
      <c r="AQ252" s="202" t="s">
        <v>911</v>
      </c>
      <c r="AR252" s="515" t="s">
        <v>907</v>
      </c>
      <c r="AS252" s="559" t="s">
        <v>910</v>
      </c>
      <c r="AT252" s="202" t="s">
        <v>911</v>
      </c>
      <c r="AU252" s="515" t="s">
        <v>907</v>
      </c>
      <c r="AV252" s="559" t="s">
        <v>910</v>
      </c>
      <c r="AW252" s="202" t="s">
        <v>911</v>
      </c>
      <c r="AX252" s="515" t="s">
        <v>907</v>
      </c>
      <c r="AY252" s="559" t="s">
        <v>910</v>
      </c>
      <c r="AZ252" s="202" t="s">
        <v>911</v>
      </c>
      <c r="BA252" s="515" t="s">
        <v>907</v>
      </c>
      <c r="BB252" s="559" t="s">
        <v>910</v>
      </c>
      <c r="BC252" s="202" t="s">
        <v>911</v>
      </c>
      <c r="BD252" s="515" t="s">
        <v>907</v>
      </c>
    </row>
    <row r="253" spans="2:152" x14ac:dyDescent="0.2">
      <c r="B253" s="548" t="s">
        <v>244</v>
      </c>
      <c r="C253" s="551">
        <f>AVERAGEIFS($K$36:$K$171,$C$36:$C$171,"=1", $B$36:$B$171,"OFICIAL")</f>
        <v>0.45749999999999996</v>
      </c>
      <c r="D253" s="479">
        <f>AVERAGEIFS($J$36:$J$171,$C$36:$C$171,"=1", $B$36:$B$171,"OFICIAL")</f>
        <v>0.53500000000000003</v>
      </c>
      <c r="E253" s="479">
        <f>AVERAGEIFS($L$36:$L$171,$C$36:$C$171,"=1", $B$36:$B$171,"OFICIAL")</f>
        <v>0.5475000000000001</v>
      </c>
      <c r="F253" s="479">
        <f>AVERAGEIFS($K$36:$K$171,$C$36:$C$171,"=1", $B$36:$B$171,"NO OFICIAL")</f>
        <v>0.45999999999999996</v>
      </c>
      <c r="G253" s="479">
        <f>AVERAGEIFS($J$36:$J$171,$C$36:$C$171,"=1", $B$36:$B$171,"NO OFICIAL")</f>
        <v>0.53153846153846152</v>
      </c>
      <c r="H253" s="514">
        <f>AVERAGEIFS($L$36:$L$171,$C$36:$C$171,"=1", $B$36:$B$171,"NO OFICIAL")</f>
        <v>0.53692307692307695</v>
      </c>
      <c r="I253" s="551">
        <f>AVERAGEIFS($T$36:$T$171,$C$36:$C$171,"=1", $B$36:$B$171,"OFICIAL")</f>
        <v>0.55499999999999994</v>
      </c>
      <c r="J253" s="479">
        <f>AVERAGEIFS($S$36:$S$171,$C$36:$C$171,"=1", $B$36:$B$171,"OFICIAL")</f>
        <v>0.47749999999999998</v>
      </c>
      <c r="K253" s="479">
        <f>AVERAGEIFS($U$36:$U$171,$C$36:$C$171,"=1", $B$36:$B$171,"OFICIAL")</f>
        <v>0.35500000000000004</v>
      </c>
      <c r="L253" s="479">
        <f>AVERAGEIFS($T$36:$T$171,$C$36:$C$171,"=1", $B$36:$B$171,"NO OFICIAL")</f>
        <v>0.56357142857142861</v>
      </c>
      <c r="M253" s="479">
        <f>AVERAGEIFS($S$36:$S$171,$C$36:$C$171,"=1", $B$36:$B$171,"NO OFICIAL")</f>
        <v>0.48571428571428577</v>
      </c>
      <c r="N253" s="514">
        <f>AVERAGEIFS($U$36:$U$171,$C$36:$C$171,"=1", $B$36:$B$171,"NO OFICIAL")</f>
        <v>0.36142857142857149</v>
      </c>
      <c r="O253" s="551">
        <f>AVERAGEIFS($AB$36:$AB$171,$C$36:$C$171,"=1", $B$36:$B$171,"OFICIAL")</f>
        <v>0.49249999999999999</v>
      </c>
      <c r="P253" s="479">
        <f>AVERAGEIFS($AC$36:$AC$171,$C$36:$C$171,"=1", $B$36:$B$171,"OFICIAL")</f>
        <v>0.3775</v>
      </c>
      <c r="Q253" s="479">
        <f>AVERAGEIFS($AD$36:$AD$171,$C$36:$C$171,"=1", $B$36:$B$171,"OFICIAL")</f>
        <v>0.53249999999999997</v>
      </c>
      <c r="R253" s="479">
        <f>AVERAGEIFS($AB$36:$AB$171,$C$36:$C$171,"=1", $B$36:$B$171,"NO OFICIAL")</f>
        <v>0.48428571428571437</v>
      </c>
      <c r="S253" s="479">
        <f>AVERAGEIFS($AC$36:$AC$171,$C$36:$C$171,"=1", $B$36:$B$171,"NO OFICIAL")</f>
        <v>0.36928571428571427</v>
      </c>
      <c r="T253" s="514">
        <f>AVERAGEIFS($AD$36:$AD$171,$C$36:$C$171,"=1", $B$36:$B$171,"NO OFICIAL")</f>
        <v>0.52214285714285713</v>
      </c>
      <c r="U253" s="551">
        <f>AVERAGEIFS($AK$36:$AK$171,$C$36:$C$171,"=1", $B$36:$B$171,"OFICIAL")</f>
        <v>0.53</v>
      </c>
      <c r="V253" s="479">
        <f>AVERAGEIFS($AL$36:$AL$171,$C$36:$C$171,"=1", $B$36:$B$171,"OFICIAL")</f>
        <v>0.45750000000000002</v>
      </c>
      <c r="W253" s="479">
        <f>AVERAGEIFS($AM$36:$AM$171,$C$36:$C$171,"=1", $B$36:$B$171,"OFICIAL")</f>
        <v>0.28749999999999998</v>
      </c>
      <c r="X253" s="479">
        <f>AVERAGEIFS($AK$36:$AK$171,$C$36:$C$171,"=1", $B$36:$B$171,"NO OFICIAL")</f>
        <v>0.51428571428571435</v>
      </c>
      <c r="Y253" s="479">
        <f>AVERAGEIFS($AL$36:$AL$171,$C$36:$C$171,"=1", $B$36:$B$171,"NO OFICIAL")</f>
        <v>0.46000000000000008</v>
      </c>
      <c r="Z253" s="514">
        <f t="shared" ref="Z253:Z258" si="108">AVERAGEIFS($AM$36:$AM$171,$C$36:$C$171,"=1", $B$36:$B$171,"NO OFICIAL")</f>
        <v>0.28071428571428569</v>
      </c>
      <c r="AA253" s="500">
        <f>AVERAGEIFS($AT$36:$AT$171,$C$36:$C$171,"=1", $B$36:$B$171,"OFICIAL")</f>
        <v>0.28250000000000003</v>
      </c>
      <c r="AB253" s="39">
        <f>AVERAGEIFS($AV$36:$AV$171,$C$36:$C$171,"=1", $B$36:$B$171,"OFICIAL")</f>
        <v>0.51250000000000007</v>
      </c>
      <c r="AC253" s="39">
        <f>AVERAGEIFS($AU$36:$AU$171,$C$36:$C$171,"=1", $B$36:$B$171,"OFICIAL")</f>
        <v>0.495</v>
      </c>
      <c r="AD253" s="39">
        <f>AVERAGEIFS($AT$36:$AT$171,$C$36:$C$171,"=1", $B$36:$B$171,"NO OFICIAL")</f>
        <v>0.26153846153846155</v>
      </c>
      <c r="AE253" s="39">
        <f>AVERAGEIFS($AV$36:$AV$171,$C$36:$C$171,"=1", $B$36:$B$171,"NO OFICIAL")</f>
        <v>0.4992307692307692</v>
      </c>
      <c r="AF253" s="555">
        <f>AVERAGEIFS($AU$36:$AU$171,$C$36:$C$171,"=1", $B$36:$B$171,"NO OFICIAL")</f>
        <v>0.4869230769230769</v>
      </c>
      <c r="AG253" s="551">
        <f>AVERAGEIFS($BE$36:$BE$171,$C$36:$C$171,"=1", $B$36:$B$171,"OFICIAL")</f>
        <v>0.29499999999999998</v>
      </c>
      <c r="AH253" s="479">
        <f>AVERAGEIFS($BF$36:$BF$171,$C$36:$C$171,"=1", $B$36:$B$171,"OFICIAL")</f>
        <v>0.52</v>
      </c>
      <c r="AI253" s="479">
        <f>AVERAGEIFS($BG$36:$BG$171,$C$36:$C$171,"=1", $B$36:$B$171,"OFICIAL")</f>
        <v>0.48</v>
      </c>
      <c r="AJ253" s="479">
        <f>AVERAGEIFS($BE$36:$BE$171,$C$36:$C$171,"=1", $B$36:$B$171,"NO OFICIAL")</f>
        <v>0.26769230769230767</v>
      </c>
      <c r="AK253" s="479">
        <f>AVERAGEIFS($BF$36:$BF$171,$C$36:$C$171,"=1", $B$36:$B$171,"NO OFICIAL")</f>
        <v>0.49384615384615399</v>
      </c>
      <c r="AL253" s="514">
        <f>AVERAGEIFS($BG$36:$BG$171,$C$36:$C$171,"=1", $B$36:$B$171,"NO OFICIAL")</f>
        <v>0.4530769230769231</v>
      </c>
      <c r="AM253" s="551">
        <v>0.61599999999999999</v>
      </c>
      <c r="AN253" s="479">
        <v>0.54</v>
      </c>
      <c r="AO253" s="479">
        <v>0.4</v>
      </c>
      <c r="AP253" s="479">
        <v>0.57999999999999996</v>
      </c>
      <c r="AQ253" s="479">
        <v>0.51076923076923086</v>
      </c>
      <c r="AR253" s="514">
        <v>0.36769230769230771</v>
      </c>
      <c r="AS253" s="551">
        <v>0.61</v>
      </c>
      <c r="AT253" s="479">
        <v>0.58199999999999996</v>
      </c>
      <c r="AU253" s="479">
        <v>0.372</v>
      </c>
      <c r="AV253" s="479">
        <v>0.59500000000000008</v>
      </c>
      <c r="AW253" s="479">
        <v>0.54083333333333339</v>
      </c>
      <c r="AX253" s="555">
        <v>0.35083333333333327</v>
      </c>
      <c r="AY253" s="551">
        <v>0.55000000000000004</v>
      </c>
      <c r="AZ253" s="479">
        <v>0.52</v>
      </c>
      <c r="BA253" s="479">
        <v>0.41399999999999998</v>
      </c>
      <c r="BB253" s="479">
        <v>0.52461538461538459</v>
      </c>
      <c r="BC253" s="479">
        <v>0.5030769230769232</v>
      </c>
      <c r="BD253" s="514">
        <v>0.37461538461538457</v>
      </c>
    </row>
    <row r="254" spans="2:152" x14ac:dyDescent="0.2">
      <c r="B254" s="548" t="s">
        <v>245</v>
      </c>
      <c r="C254" s="551">
        <f>AVERAGEIFS($K$36:$K$171,$C$36:$C$171,"=2", $B$36:$B$171,"OFICIAL")</f>
        <v>0.48</v>
      </c>
      <c r="D254" s="479">
        <f>AVERAGEIFS($J$36:$J$171,$C$36:$C$171,"=2", $B$36:$B$171,"OFICIAL")</f>
        <v>0.54500000000000004</v>
      </c>
      <c r="E254" s="479">
        <f>AVERAGEIFS($L$36:$L$171,$C$36:$C$171,"=2", $B$36:$B$171,"OFICIAL")</f>
        <v>0.53</v>
      </c>
      <c r="F254" s="479">
        <f>AVERAGEIFS($K$36:$K$171,$C$36:$C$171,"=2", $B$36:$B$171,"NO OFICIAL")</f>
        <v>0.44611111111111118</v>
      </c>
      <c r="G254" s="479">
        <f>AVERAGEIFS($J$36:$J$171,$C$36:$C$171,"=2", $B$36:$B$171,"NO OFICIAL")</f>
        <v>0.52722222222222215</v>
      </c>
      <c r="H254" s="514">
        <f>AVERAGEIFS($L$36:$L$171,$C$36:$C$171,"=2", $B$36:$B$171,"NO OFICIAL")</f>
        <v>0.52555555555555555</v>
      </c>
      <c r="I254" s="551">
        <f>AVERAGEIFS($T$36:$T$171,$C$36:$C$171,"=2", $B$36:$B$171,"OFICIAL")</f>
        <v>0.55499999999999994</v>
      </c>
      <c r="J254" s="479">
        <f>AVERAGEIFS($S$36:$S$171,$C$36:$C$171,"=2", $B$36:$B$171,"OFICIAL")</f>
        <v>0.48</v>
      </c>
      <c r="K254" s="479">
        <f>AVERAGEIFS($U$36:$U$171,$C$36:$C$171,"=2", $B$36:$B$171,"OFICIAL")</f>
        <v>0.375</v>
      </c>
      <c r="L254" s="479">
        <f>AVERAGEIFS($T$36:$T$171,$C$36:$C$171,"=2", $B$36:$B$171,"NO OFICIAL")</f>
        <v>0.54176470588235293</v>
      </c>
      <c r="M254" s="479">
        <f>AVERAGEIFS($S$36:$S$171,$C$36:$C$171,"=2", $B$36:$B$171,"NO OFICIAL")</f>
        <v>0.46882352941176475</v>
      </c>
      <c r="N254" s="514">
        <f>AVERAGEIFS($U$36:$U$171,$C$36:$C$171,"=2", $B$36:$B$171,"NO OFICIAL")</f>
        <v>0.36411764705882355</v>
      </c>
      <c r="O254" s="551">
        <f>AVERAGEIFS($AB$36:$AB$171,$C$36:$C$171,"=2", $B$36:$B$171,"OFICIAL")</f>
        <v>0.49</v>
      </c>
      <c r="P254" s="479">
        <f>AVERAGEIFS($AC$36:$AC$171,$C$36:$C$171,"=2", $B$36:$B$171,"OFICIAL")</f>
        <v>0.37</v>
      </c>
      <c r="Q254" s="479">
        <f>AVERAGEIFS($AD$36:$AD$171,$C$36:$C$171,"=2", $B$36:$B$171,"OFICIAL")</f>
        <v>0.51</v>
      </c>
      <c r="R254" s="479">
        <f>AVERAGEIFS($AB$36:$AB$171,$C$36:$C$171,"=2", $B$36:$B$171,"NO OFICIAL")</f>
        <v>0.47000000000000003</v>
      </c>
      <c r="S254" s="479">
        <f>AVERAGEIFS($AC$36:$AC$171,$C$36:$C$171,"=2", $B$36:$B$171,"NO OFICIAL")</f>
        <v>0.37176470588235294</v>
      </c>
      <c r="T254" s="514">
        <f>AVERAGEIFS($AD$36:$AD$171,$C$36:$C$171,"=2", $B$36:$B$171,"NO OFICIAL")</f>
        <v>0.50352941176470589</v>
      </c>
      <c r="U254" s="551">
        <f>AVERAGEIFS($AK$36:$AK$171,$C$36:$C$171,"=2", $B$36:$B$171,"OFICIAL")</f>
        <v>0.53</v>
      </c>
      <c r="V254" s="479">
        <f>AVERAGEIFS($AL$36:$AL$171,$C$36:$C$171,"=2", $B$36:$B$171,"OFICIAL")</f>
        <v>0.47499999999999998</v>
      </c>
      <c r="W254" s="479">
        <f>AVERAGEIFS($AM$36:$AM$171,$C$36:$C$171,"=2", $B$36:$B$171,"OFICIAL")</f>
        <v>0.3</v>
      </c>
      <c r="X254" s="479">
        <f>AVERAGEIFS($AK$36:$AK$171,$C$36:$C$171,"=2", $B$36:$B$171,"NO OFICIAL")</f>
        <v>0.51666666666666672</v>
      </c>
      <c r="Y254" s="479">
        <f>AVERAGEIFS($AL$36:$AL$171,$C$36:$C$171,"=2", $B$36:$B$171,"NO OFICIAL")</f>
        <v>0.45444444444444443</v>
      </c>
      <c r="Z254" s="514">
        <f t="shared" si="108"/>
        <v>0.28071428571428569</v>
      </c>
      <c r="AA254" s="500">
        <f>AVERAGEIFS($AT$36:$AT$171,$C$36:$C$171,"=2", $B$36:$B$171,"OFICIAL")</f>
        <v>0.28500000000000003</v>
      </c>
      <c r="AB254" s="39">
        <f>AVERAGEIFS($AV$36:$AV$171,$C$36:$C$171,"=2", $B$36:$B$171,"OFICIAL")</f>
        <v>0.51</v>
      </c>
      <c r="AC254" s="39">
        <f>AVERAGEIFS($AU$36:$AU$171,$C$36:$C$171,"=2", $B$36:$B$171,"OFICIAL")</f>
        <v>0.51</v>
      </c>
      <c r="AD254" s="39">
        <f>AVERAGEIFS($AT$36:$AT$171,$C$36:$C$171,"=2", $B$36:$B$171,"NO OFICIAL")</f>
        <v>0.27590909090909094</v>
      </c>
      <c r="AE254" s="39">
        <f>AVERAGEIFS($AV$36:$AV$171,$C$36:$C$171,"=2", $B$36:$B$171,"NO OFICIAL")</f>
        <v>0.50818181818181829</v>
      </c>
      <c r="AF254" s="555">
        <f>AVERAGEIFS($AU$36:$AU$171,$C$36:$C$171,"=2", $B$36:$B$171,"NO OFICIAL")</f>
        <v>0.49772727272727263</v>
      </c>
      <c r="AG254" s="551">
        <f>AVERAGEIFS($BE$36:$BE$171,$C$36:$C$171,"=2", $B$36:$B$171,"OFICIAL")</f>
        <v>0.315</v>
      </c>
      <c r="AH254" s="479">
        <f>AVERAGEIFS($BF$36:$BF$171,$C$36:$C$171,"=2", $B$36:$B$171,"OFICIAL")</f>
        <v>0.54</v>
      </c>
      <c r="AI254" s="479">
        <f>AVERAGEIFS($BG$36:$BG$171,$C$36:$C$171,"=2", $B$36:$B$171,"OFICIAL")</f>
        <v>0.5</v>
      </c>
      <c r="AJ254" s="479">
        <f>AVERAGEIFS($BE$36:$BE$171,$C$36:$C$171,"=2", $B$36:$B$171,"NO OFICIAL")</f>
        <v>0.28299999999999997</v>
      </c>
      <c r="AK254" s="479">
        <f>AVERAGEIFS($BF$36:$BF$171,$C$36:$C$171,"=2", $B$36:$B$171,"NO OFICIAL")</f>
        <v>0.49900000000000011</v>
      </c>
      <c r="AL254" s="514">
        <f>AVERAGEIFS($BG$36:$BG$171,$C$36:$C$171,"=2", $B$36:$B$171,"NO OFICIAL")</f>
        <v>0.45949999999999996</v>
      </c>
      <c r="AM254" s="551">
        <v>0.62750000000000006</v>
      </c>
      <c r="AN254" s="479">
        <v>0.57250000000000001</v>
      </c>
      <c r="AO254" s="479">
        <v>0.42</v>
      </c>
      <c r="AP254" s="479">
        <v>0.55095238095238097</v>
      </c>
      <c r="AQ254" s="479">
        <v>0.4690476190476191</v>
      </c>
      <c r="AR254" s="514">
        <v>0.36904761904761907</v>
      </c>
      <c r="AS254" s="551">
        <v>0.63750000000000007</v>
      </c>
      <c r="AT254" s="479">
        <v>0.58750000000000002</v>
      </c>
      <c r="AU254" s="479">
        <v>0.38749999999999996</v>
      </c>
      <c r="AV254" s="479">
        <v>0.59227272727272728</v>
      </c>
      <c r="AW254" s="479">
        <v>0.55045454545454553</v>
      </c>
      <c r="AX254" s="555">
        <v>0.39136363636363636</v>
      </c>
      <c r="AY254" s="551">
        <v>0.53750000000000009</v>
      </c>
      <c r="AZ254" s="479">
        <v>0.51750000000000007</v>
      </c>
      <c r="BA254" s="479">
        <v>0.39749999999999996</v>
      </c>
      <c r="BB254" s="479">
        <v>0.51549999999999996</v>
      </c>
      <c r="BC254" s="479">
        <v>0.48199999999999993</v>
      </c>
      <c r="BD254" s="514">
        <v>0.38850000000000001</v>
      </c>
    </row>
    <row r="255" spans="2:152" x14ac:dyDescent="0.2">
      <c r="B255" s="548" t="s">
        <v>246</v>
      </c>
      <c r="C255" s="551">
        <f>AVERAGEIFS($K$36:$K$171,$C$36:$C$171,"=3", $B$36:$B$171,"OFICIAL")</f>
        <v>0.496</v>
      </c>
      <c r="D255" s="479">
        <f>AVERAGEIFS($J$36:$J$171,$C$36:$C$171,"=3", $B$36:$B$171,"OFICIAL")</f>
        <v>0.53800000000000003</v>
      </c>
      <c r="E255" s="479">
        <f>AVERAGEIFS($L$36:$L$171,$C$36:$C$171,"=3", $B$36:$B$171,"OFICIAL")</f>
        <v>0.56199999999999994</v>
      </c>
      <c r="F255" s="479">
        <f>AVERAGEIFS($K$36:$K$171,$C$36:$C$171,"=3", $B$36:$B$171,"NO OFICIAL")</f>
        <v>0.42692307692307696</v>
      </c>
      <c r="G255" s="479">
        <f>AVERAGEIFS($J$36:$J$171,$C$36:$C$171,"=3", $B$36:$B$171,"NO OFICIAL")</f>
        <v>0.50538461538461532</v>
      </c>
      <c r="H255" s="514">
        <f>AVERAGEIFS($L$36:$L$171,$C$36:$C$171,"=3", $B$36:$B$171,"NO OFICIAL")</f>
        <v>0.50076923076923074</v>
      </c>
      <c r="I255" s="551">
        <f>AVERAGEIFS($T$36:$T$171,$C$36:$C$171,"=3", $B$36:$B$171,"OFICIAL")</f>
        <v>0.58599999999999997</v>
      </c>
      <c r="J255" s="479">
        <f>AVERAGEIFS($S$36:$S$171,$C$36:$C$171,"=3", $B$36:$B$171,"OFICIAL")</f>
        <v>0.49199999999999999</v>
      </c>
      <c r="K255" s="479">
        <f>AVERAGEIFS($U$36:$U$171,$C$36:$C$171,"=3", $B$36:$B$171,"OFICIAL")</f>
        <v>0.38400000000000001</v>
      </c>
      <c r="L255" s="479">
        <f>AVERAGEIFS($T$36:$T$171,$C$36:$C$171,"=3", $B$36:$B$171,"NO OFICIAL")</f>
        <v>0.53230769230769237</v>
      </c>
      <c r="M255" s="479">
        <f>AVERAGEIFS($S$36:$S$171,$C$36:$C$171,"=3", $B$36:$B$171,"NO OFICIAL")</f>
        <v>0.45692307692307688</v>
      </c>
      <c r="N255" s="514">
        <f>AVERAGEIFS($U$36:$U$171,$C$36:$C$171,"=3", $B$36:$B$171,"NO OFICIAL")</f>
        <v>0.32307692307692309</v>
      </c>
      <c r="O255" s="551">
        <f>AVERAGEIFS($AB$36:$AB$171,$C$36:$C$171,"=3", $B$36:$B$171,"OFICIAL")</f>
        <v>0.51</v>
      </c>
      <c r="P255" s="479">
        <f>AVERAGEIFS($AC$36:$AC$171,$C$36:$C$171,"=3", $B$36:$B$171,"OFICIAL")</f>
        <v>0.39200000000000002</v>
      </c>
      <c r="Q255" s="479">
        <f>AVERAGEIFS($AD$36:$AD$171,$C$36:$C$171,"=3", $B$36:$B$171,"OFICIAL")</f>
        <v>0.52800000000000002</v>
      </c>
      <c r="R255" s="479">
        <f>AVERAGEIFS($AB$36:$AB$171,$C$36:$C$171,"=3", $B$36:$B$171,"NO OFICIAL")</f>
        <v>0.45769230769230762</v>
      </c>
      <c r="S255" s="479">
        <f>AVERAGEIFS($AC$36:$AC$171,$C$36:$C$171,"=3", $B$36:$B$171,"NO OFICIAL")</f>
        <v>0.35076923076923072</v>
      </c>
      <c r="T255" s="514">
        <f>AVERAGEIFS($AD$36:$AD$171,$C$36:$C$171,"=3", $B$36:$B$171,"NO OFICIAL")</f>
        <v>0.49076923076923074</v>
      </c>
      <c r="U255" s="551">
        <f>AVERAGEIFS($AK$36:$AK$171,$C$36:$C$171,"=3", $B$36:$B$171,"OFICIAL")</f>
        <v>0.55399999999999994</v>
      </c>
      <c r="V255" s="479">
        <f>AVERAGEIFS($AL$36:$AL$171,$C$36:$C$171,"=3", $B$36:$B$171,"OFICIAL")</f>
        <v>0.49000000000000005</v>
      </c>
      <c r="W255" s="479">
        <f>AVERAGEIFS($AM$36:$AM$171,$C$36:$C$171,"=3", $B$36:$B$171,"OFICIAL")</f>
        <v>0.314</v>
      </c>
      <c r="X255" s="479">
        <f>AVERAGEIFS($AK$36:$AK$171,$C$36:$C$171,"=3", $B$36:$B$171,"NO OFICIAL")</f>
        <v>0.50615384615384618</v>
      </c>
      <c r="Y255" s="479">
        <f>AVERAGEIFS($AL$36:$AL$171,$C$36:$C$171,"=3", $B$36:$B$171,"NO OFICIAL")</f>
        <v>0.44538461538461543</v>
      </c>
      <c r="Z255" s="514">
        <f t="shared" si="108"/>
        <v>0.28071428571428569</v>
      </c>
      <c r="AA255" s="500">
        <f>AVERAGEIFS($AT$36:$AT$171,$C$36:$C$171,"=3", $B$36:$B$171,"OFICIAL")</f>
        <v>0.28999999999999998</v>
      </c>
      <c r="AB255" s="39">
        <f>AVERAGEIFS($AV$36:$AV$171,$C$36:$C$171,"=3", $B$36:$B$171,"OFICIAL")</f>
        <v>0.51800000000000002</v>
      </c>
      <c r="AC255" s="39">
        <f>AVERAGEIFS($AU$36:$AU$171,$C$36:$C$171,"=3", $B$36:$B$171,"OFICIAL")</f>
        <v>0.51600000000000001</v>
      </c>
      <c r="AD255" s="39">
        <f>AVERAGEIFS($AT$36:$AT$171,$C$36:$C$171,"=3", $B$36:$B$171,"NO OFICIAL")</f>
        <v>0.252</v>
      </c>
      <c r="AE255" s="39">
        <f>AVERAGEIFS($AV$36:$AV$171,$C$36:$C$171,"=3", $B$36:$B$171,"NO OFICIAL")</f>
        <v>0.48800000000000004</v>
      </c>
      <c r="AF255" s="555">
        <f>AVERAGEIFS($AU$36:$AU$171,$C$36:$C$171,"=3", $B$36:$B$171,"NO OFICIAL")</f>
        <v>0.46</v>
      </c>
      <c r="AG255" s="551">
        <f>AVERAGEIFS($BE$36:$BE$171,$C$36:$C$171,"=3", $B$36:$B$171,"OFICIAL")</f>
        <v>0.30000000000000004</v>
      </c>
      <c r="AH255" s="479">
        <f>AVERAGEIFS($BF$36:$BF$171,$C$36:$C$171,"=3", $B$36:$B$171,"OFICIAL")</f>
        <v>0.53600000000000003</v>
      </c>
      <c r="AI255" s="479">
        <f>AVERAGEIFS($BG$36:$BG$171,$C$36:$C$171,"=3", $B$36:$B$171,"OFICIAL")</f>
        <v>0.49800000000000005</v>
      </c>
      <c r="AJ255" s="479">
        <f>AVERAGEIFS($BE$36:$BE$171,$C$36:$C$171,"=3", $B$36:$B$171,"NO OFICIAL")</f>
        <v>0.26599999999999996</v>
      </c>
      <c r="AK255" s="479">
        <f>AVERAGEIFS($BF$36:$BF$171,$C$36:$C$171,"=3", $B$36:$B$171,"NO OFICIAL")</f>
        <v>0.47733333333333333</v>
      </c>
      <c r="AL255" s="514">
        <f>AVERAGEIFS($BG$36:$BG$171,$C$36:$C$171,"=3", $B$36:$B$171,"NO OFICIAL")</f>
        <v>0.43600000000000005</v>
      </c>
      <c r="AM255" s="551">
        <v>0.60499999999999998</v>
      </c>
      <c r="AN255" s="479">
        <v>0.51833333333333331</v>
      </c>
      <c r="AO255" s="479">
        <v>0.39500000000000002</v>
      </c>
      <c r="AP255" s="479">
        <v>0.54187500000000011</v>
      </c>
      <c r="AQ255" s="479">
        <v>0.4812499999999999</v>
      </c>
      <c r="AR255" s="514">
        <v>0.32812500000000006</v>
      </c>
      <c r="AS255" s="551">
        <v>0.6216666666666667</v>
      </c>
      <c r="AT255" s="479">
        <v>0.61333333333333329</v>
      </c>
      <c r="AU255" s="479">
        <v>0.375</v>
      </c>
      <c r="AV255" s="479">
        <v>0.59625000000000006</v>
      </c>
      <c r="AW255" s="479">
        <v>0.54249999999999998</v>
      </c>
      <c r="AX255" s="555">
        <v>0.32687499999999997</v>
      </c>
      <c r="AY255" s="551">
        <v>0.56666666666666676</v>
      </c>
      <c r="AZ255" s="479">
        <v>0.5033333333333333</v>
      </c>
      <c r="BA255" s="479">
        <v>0.41</v>
      </c>
      <c r="BB255" s="479">
        <v>0.52812500000000007</v>
      </c>
      <c r="BC255" s="479">
        <v>0.479375</v>
      </c>
      <c r="BD255" s="514">
        <v>0.38187499999999996</v>
      </c>
    </row>
    <row r="256" spans="2:152" x14ac:dyDescent="0.2">
      <c r="B256" s="548" t="s">
        <v>247</v>
      </c>
      <c r="C256" s="551">
        <f>AVERAGEIFS($K$36:$K$171,$C$36:$C$171,"=4", $B$36:$B$171,"OFICIAL")</f>
        <v>0.5149999999999999</v>
      </c>
      <c r="D256" s="479">
        <f>AVERAGEIFS($J$36:$J$171,$C$36:$C$171,"=4", $B$36:$B$171,"OFICIAL")</f>
        <v>0.59666666666666668</v>
      </c>
      <c r="E256" s="479">
        <f>AVERAGEIFS($L$36:$L$171,$C$36:$C$171,"=4", $B$36:$B$171,"OFICIAL")</f>
        <v>0.60666666666666669</v>
      </c>
      <c r="F256" s="479">
        <f>AVERAGEIFS($K$36:$K$171,$C$36:$C$171,"=4", $B$36:$B$171,"NO OFICIAL")</f>
        <v>0.49625000000000002</v>
      </c>
      <c r="G256" s="479">
        <f>AVERAGEIFS($J$36:$J$171,$C$36:$C$171,"=4", $B$36:$B$171,"NO OFICIAL")</f>
        <v>0.55499999999999994</v>
      </c>
      <c r="H256" s="514">
        <f>AVERAGEIFS($L$36:$L$171,$C$36:$C$171,"=4", $B$36:$B$171,"NO OFICIAL")</f>
        <v>0.59125000000000005</v>
      </c>
      <c r="I256" s="551">
        <f>AVERAGEIFS($T$36:$T$171,$C$36:$C$171,"=4", $B$36:$B$171,"OFICIAL")</f>
        <v>0.61166666666666669</v>
      </c>
      <c r="J256" s="479">
        <f>AVERAGEIFS($S$36:$S$171,$C$36:$C$171,"=4", $B$36:$B$171,"OFICIAL")</f>
        <v>0.52666666666666673</v>
      </c>
      <c r="K256" s="479">
        <f>AVERAGEIFS($U$36:$U$171,$C$36:$C$171,"=4", $B$36:$B$171,"OFICIAL")</f>
        <v>0.43166666666666664</v>
      </c>
      <c r="L256" s="479">
        <f>AVERAGEIFS($T$36:$T$171,$C$36:$C$171,"=4", $B$36:$B$171,"NO OFICIAL")</f>
        <v>0.55500000000000005</v>
      </c>
      <c r="M256" s="479">
        <f>AVERAGEIFS($S$36:$S$171,$C$36:$C$171,"=4", $B$36:$B$171,"NO OFICIAL")</f>
        <v>0.49125000000000002</v>
      </c>
      <c r="N256" s="514">
        <f>AVERAGEIFS($U$36:$U$171,$C$36:$C$171,"=4", $B$36:$B$171,"NO OFICIAL")</f>
        <v>0.34250000000000003</v>
      </c>
      <c r="O256" s="551">
        <f>AVERAGEIFS($AB$36:$AB$171,$C$36:$C$171,"=4", $B$36:$B$171,"OFICIAL")</f>
        <v>0.56166666666666665</v>
      </c>
      <c r="P256" s="479">
        <f>AVERAGEIFS($AC$36:$AC$171,$C$36:$C$171,"=4", $B$36:$B$171,"OFICIAL")</f>
        <v>0.44</v>
      </c>
      <c r="Q256" s="479">
        <f>AVERAGEIFS($AD$36:$AD$171,$C$36:$C$171,"=4", $B$36:$B$171,"OFICIAL")</f>
        <v>0.58333333333333337</v>
      </c>
      <c r="R256" s="479">
        <f>AVERAGEIFS($AB$36:$AB$171,$C$36:$C$171,"=4", $B$36:$B$171,"NO OFICIAL")</f>
        <v>0.46500000000000002</v>
      </c>
      <c r="S256" s="479">
        <f>AVERAGEIFS($AC$36:$AC$171,$C$36:$C$171,"=4", $B$36:$B$171,"NO OFICIAL")</f>
        <v>0.38</v>
      </c>
      <c r="T256" s="514">
        <f>AVERAGEIFS($AD$36:$AD$171,$C$36:$C$171,"=4", $B$36:$B$171,"NO OFICIAL")</f>
        <v>0.50875000000000004</v>
      </c>
      <c r="U256" s="551">
        <f>AVERAGEIFS($AK$36:$AK$171,$C$36:$C$171,"=4", $B$36:$B$171,"OFICIAL")</f>
        <v>0.60666666666666669</v>
      </c>
      <c r="V256" s="479">
        <f>AVERAGEIFS($AL$36:$AL$171,$C$36:$C$171,"=4", $B$36:$B$171,"OFICIAL")</f>
        <v>0.54</v>
      </c>
      <c r="W256" s="479">
        <f>AVERAGEIFS($AM$36:$AM$171,$C$36:$C$171,"=4", $B$36:$B$171,"OFICIAL")</f>
        <v>0.37666666666666665</v>
      </c>
      <c r="X256" s="479">
        <f>AVERAGEIFS($AK$36:$AK$171,$C$36:$C$171,"=4", $B$36:$B$171,"NO OFICIAL")</f>
        <v>0.5485714285714286</v>
      </c>
      <c r="Y256" s="479">
        <f>AVERAGEIFS($AL$36:$AL$171,$C$36:$C$171,"=4", $B$36:$B$171,"NO OFICIAL")</f>
        <v>0.48714285714285716</v>
      </c>
      <c r="Z256" s="514">
        <f t="shared" si="108"/>
        <v>0.28071428571428569</v>
      </c>
      <c r="AA256" s="500">
        <f>AVERAGEIFS($AT$36:$AT$171,$C$36:$C$171,"=4", $B$36:$B$171,"OFICIAL")</f>
        <v>0.35833333333333334</v>
      </c>
      <c r="AB256" s="39">
        <f>AVERAGEIFS($AV$36:$AV$171,$C$36:$C$171,"=4", $B$36:$B$171,"OFICIAL")</f>
        <v>0.57333333333333336</v>
      </c>
      <c r="AC256" s="39">
        <f>AVERAGEIFS($AU$36:$AU$171,$C$36:$C$171,"=4", $B$36:$B$171,"OFICIAL")</f>
        <v>0.57666666666666666</v>
      </c>
      <c r="AD256" s="39">
        <f>AVERAGEIFS($AT$36:$AT$171,$C$36:$C$171,"=4", $B$36:$B$171,"NO OFICIAL")</f>
        <v>0.28285714285714286</v>
      </c>
      <c r="AE256" s="39">
        <f>AVERAGEIFS($AV$36:$AV$171,$C$36:$C$171,"=4", $B$36:$B$171,"NO OFICIAL")</f>
        <v>0.52714285714285714</v>
      </c>
      <c r="AF256" s="555">
        <f>AVERAGEIFS($AU$36:$AU$171,$C$36:$C$171,"=4", $B$36:$B$171,"NO OFICIAL")</f>
        <v>0.55285714285714282</v>
      </c>
      <c r="AG256" s="551">
        <f>AVERAGEIFS($BE$36:$BE$171,$C$36:$C$171,"=4", $B$36:$B$171,"OFICIAL")</f>
        <v>0.36000000000000004</v>
      </c>
      <c r="AH256" s="479">
        <f>AVERAGEIFS($BF$36:$BF$171,$C$36:$C$171,"=4", $B$36:$B$171,"OFICIAL")</f>
        <v>0.57166666666666677</v>
      </c>
      <c r="AI256" s="479">
        <f>AVERAGEIFS($BG$36:$BG$171,$C$36:$C$171,"=4", $B$36:$B$171,"OFICIAL")</f>
        <v>0.53500000000000003</v>
      </c>
      <c r="AJ256" s="479">
        <f>AVERAGEIFS($BE$36:$BE$171,$C$36:$C$171,"=4", $B$36:$B$171,"NO OFICIAL")</f>
        <v>0.35750000000000004</v>
      </c>
      <c r="AK256" s="479">
        <f>AVERAGEIFS($BF$36:$BF$171,$C$36:$C$171,"=4", $B$36:$B$171,"NO OFICIAL")</f>
        <v>0.51999999999999991</v>
      </c>
      <c r="AL256" s="514">
        <f>AVERAGEIFS($BG$36:$BG$171,$C$36:$C$171,"=4", $B$36:$B$171,"NO OFICIAL")</f>
        <v>0.50749999999999995</v>
      </c>
      <c r="AM256" s="551">
        <v>0.65166666666666673</v>
      </c>
      <c r="AN256" s="479">
        <v>0.59</v>
      </c>
      <c r="AO256" s="479">
        <v>0.45500000000000002</v>
      </c>
      <c r="AP256" s="479">
        <v>0.59124999999999994</v>
      </c>
      <c r="AQ256" s="479">
        <v>0.505</v>
      </c>
      <c r="AR256" s="514">
        <v>0.37375000000000003</v>
      </c>
      <c r="AS256" s="551">
        <v>0.65833333333333333</v>
      </c>
      <c r="AT256" s="479">
        <v>0.63</v>
      </c>
      <c r="AU256" s="479">
        <v>0.44</v>
      </c>
      <c r="AV256" s="479">
        <v>0.60333333333333339</v>
      </c>
      <c r="AW256" s="479">
        <v>0.60444444444444445</v>
      </c>
      <c r="AX256" s="555">
        <v>0.40444444444444438</v>
      </c>
      <c r="AY256" s="551">
        <v>0.6333333333333333</v>
      </c>
      <c r="AZ256" s="479">
        <v>0.59499999999999997</v>
      </c>
      <c r="BA256" s="479">
        <v>0.47</v>
      </c>
      <c r="BB256" s="479">
        <v>0.52428571428571435</v>
      </c>
      <c r="BC256" s="479">
        <v>0.47000000000000003</v>
      </c>
      <c r="BD256" s="514">
        <v>0.37142857142857139</v>
      </c>
    </row>
    <row r="257" spans="2:91" x14ac:dyDescent="0.2">
      <c r="B257" s="548" t="s">
        <v>248</v>
      </c>
      <c r="C257" s="551">
        <f>AVERAGEIFS($K$36:$K$171,$C$36:$C$171,"=5", $B$36:$B$171,"OFICIAL")</f>
        <v>0.48333333333333334</v>
      </c>
      <c r="D257" s="479">
        <f>AVERAGEIFS($J$36:$J$171,$C$36:$C$171,"=5", $B$36:$B$171,"OFICIAL")</f>
        <v>0.52</v>
      </c>
      <c r="E257" s="479">
        <f>AVERAGEIFS($L$36:$L$171,$C$36:$C$171,"=5", $B$36:$B$171,"OFICIAL")</f>
        <v>0.54</v>
      </c>
      <c r="F257" s="479">
        <f>AVERAGEIFS($K$36:$K$171,$C$36:$C$171,"=5", $B$36:$B$171,"NO OFICIAL")</f>
        <v>0.43214285714285711</v>
      </c>
      <c r="G257" s="479">
        <f>AVERAGEIFS($J$36:$J$171,$C$36:$C$171,"=5", $B$36:$B$171,"NO OFICIAL")</f>
        <v>0.48714285714285716</v>
      </c>
      <c r="H257" s="514">
        <f>AVERAGEIFS($L$36:$L$171,$C$36:$C$171,"=5", $B$36:$B$171,"NO OFICIAL")</f>
        <v>0.48999999999999994</v>
      </c>
      <c r="I257" s="551">
        <f>AVERAGEIFS($T$36:$T$171,$C$36:$C$171,"=5", $B$36:$B$171,"OFICIAL")</f>
        <v>0.53333333333333333</v>
      </c>
      <c r="J257" s="479">
        <f>AVERAGEIFS($S$36:$S$171,$C$36:$C$171,"=5", $B$36:$B$171,"OFICIAL")</f>
        <v>0.46333333333333332</v>
      </c>
      <c r="K257" s="479">
        <f>AVERAGEIFS($U$36:$U$171,$C$36:$C$171,"=5", $B$36:$B$171,"OFICIAL")</f>
        <v>0.34</v>
      </c>
      <c r="L257" s="479">
        <f>AVERAGEIFS($T$36:$T$171,$C$36:$C$171,"=5", $B$36:$B$171,"NO OFICIAL")</f>
        <v>0.49714285714285716</v>
      </c>
      <c r="M257" s="479">
        <f>AVERAGEIFS($S$36:$S$171,$C$36:$C$171,"=5", $B$36:$B$171,"NO OFICIAL")</f>
        <v>0.43571428571428578</v>
      </c>
      <c r="N257" s="514">
        <f>AVERAGEIFS($U$36:$U$171,$C$36:$C$171,"=5", $B$36:$B$171,"NO OFICIAL")</f>
        <v>0.31428571428571433</v>
      </c>
      <c r="O257" s="551">
        <f>AVERAGEIFS($AB$36:$AB$171,$C$36:$C$171,"=5", $B$36:$B$171,"OFICIAL")</f>
        <v>0.5</v>
      </c>
      <c r="P257" s="479">
        <f>AVERAGEIFS($AC$36:$AC$171,$C$36:$C$171,"=5", $B$36:$B$171,"OFICIAL")</f>
        <v>0.37000000000000005</v>
      </c>
      <c r="Q257" s="479">
        <f>AVERAGEIFS($AD$36:$AD$171,$C$36:$C$171,"=5", $B$36:$B$171,"OFICIAL")</f>
        <v>0.5033333333333333</v>
      </c>
      <c r="R257" s="479">
        <f>AVERAGEIFS($AB$36:$AB$171,$C$36:$C$171,"=5", $B$36:$B$171,"NO OFICIAL")</f>
        <v>0.4271428571428571</v>
      </c>
      <c r="S257" s="479">
        <f>AVERAGEIFS($AC$36:$AC$171,$C$36:$C$171,"=5", $B$36:$B$171,"NO OFICIAL")</f>
        <v>0.34357142857142858</v>
      </c>
      <c r="T257" s="514">
        <f>AVERAGEIFS($AD$36:$AD$171,$C$36:$C$171,"=5", $B$36:$B$171,"NO OFICIAL")</f>
        <v>0.47357142857142859</v>
      </c>
      <c r="U257" s="551">
        <f>AVERAGEIFS($AK$36:$AK$171,$C$36:$C$171,"=5", $B$36:$B$171,"OFICIAL")</f>
        <v>0.51</v>
      </c>
      <c r="V257" s="479">
        <f>AVERAGEIFS($AL$36:$AL$171,$C$36:$C$171,"=5", $B$36:$B$171,"OFICIAL")</f>
        <v>0.45</v>
      </c>
      <c r="W257" s="479">
        <f>AVERAGEIFS($AM$36:$AM$171,$C$36:$C$171,"=5", $B$36:$B$171,"OFICIAL")</f>
        <v>0.27</v>
      </c>
      <c r="X257" s="479">
        <f>AVERAGEIFS($AK$36:$AK$171,$C$36:$C$171,"=5", $B$36:$B$171,"NO OFICIAL")</f>
        <v>0.47666666666666668</v>
      </c>
      <c r="Y257" s="479">
        <f>AVERAGEIFS($AL$36:$AL$171,$C$36:$C$171,"=5", $B$36:$B$171,"NO OFICIAL")</f>
        <v>0.40866666666666668</v>
      </c>
      <c r="Z257" s="514">
        <f t="shared" si="108"/>
        <v>0.28071428571428569</v>
      </c>
      <c r="AA257" s="500">
        <f>AVERAGEIFS($AT$36:$AT$171,$C$36:$C$171,"=5", $B$36:$B$171,"OFICIAL")</f>
        <v>0.25000000000000006</v>
      </c>
      <c r="AB257" s="39">
        <f>AVERAGEIFS($AV$36:$AV$171,$C$36:$C$171,"=5", $B$36:$B$171,"OFICIAL")</f>
        <v>0.47333333333333333</v>
      </c>
      <c r="AC257" s="39">
        <f>AVERAGEIFS($AU$36:$AU$171,$C$36:$C$171,"=5", $B$36:$B$171,"OFICIAL")</f>
        <v>0.46666666666666662</v>
      </c>
      <c r="AD257" s="39">
        <f>AVERAGEIFS($AT$36:$AT$171,$C$36:$C$171,"=5", $B$36:$B$171,"NO OFICIAL")</f>
        <v>0.21933333333333332</v>
      </c>
      <c r="AE257" s="39">
        <f>AVERAGEIFS($AV$36:$AV$171,$C$36:$C$171,"=5", $B$36:$B$171,"NO OFICIAL")</f>
        <v>0.44000000000000006</v>
      </c>
      <c r="AF257" s="555">
        <f>AVERAGEIFS($AU$36:$AU$171,$C$36:$C$171,"=5", $B$36:$B$171,"NO OFICIAL")</f>
        <v>0.45266666666666666</v>
      </c>
      <c r="AG257" s="551">
        <f>AVERAGEIFS($BE$36:$BE$171,$C$36:$C$171,"=5", $B$36:$B$171,"OFICIAL")</f>
        <v>0.27</v>
      </c>
      <c r="AH257" s="479">
        <f>AVERAGEIFS($BF$36:$BF$171,$C$36:$C$171,"=5", $B$36:$B$171,"OFICIAL")</f>
        <v>0.5</v>
      </c>
      <c r="AI257" s="479">
        <f>AVERAGEIFS($BG$36:$BG$171,$C$36:$C$171,"=5", $B$36:$B$171,"OFICIAL")</f>
        <v>0.45333333333333331</v>
      </c>
      <c r="AJ257" s="479">
        <f>AVERAGEIFS($BE$36:$BE$171,$C$36:$C$171,"=5", $B$36:$B$171,"NO OFICIAL")</f>
        <v>0.24000000000000005</v>
      </c>
      <c r="AK257" s="479">
        <f>AVERAGEIFS($BF$36:$BF$171,$C$36:$C$171,"=5", $B$36:$B$171,"NO OFICIAL")</f>
        <v>0.47000000000000003</v>
      </c>
      <c r="AL257" s="514">
        <f>AVERAGEIFS($BG$36:$BG$171,$C$36:$C$171,"=5", $B$36:$B$171,"NO OFICIAL")</f>
        <v>0.42400000000000004</v>
      </c>
      <c r="AM257" s="551">
        <v>0.57499999999999996</v>
      </c>
      <c r="AN257" s="479">
        <v>0.54500000000000004</v>
      </c>
      <c r="AO257" s="479">
        <v>0.39</v>
      </c>
      <c r="AP257" s="479">
        <v>0.52</v>
      </c>
      <c r="AQ257" s="479">
        <v>0.43866666666666665</v>
      </c>
      <c r="AR257" s="514">
        <v>0.31266666666666676</v>
      </c>
      <c r="AS257" s="551">
        <v>0.63</v>
      </c>
      <c r="AT257" s="479">
        <v>0.59499999999999997</v>
      </c>
      <c r="AU257" s="479">
        <v>0.41000000000000003</v>
      </c>
      <c r="AV257" s="479">
        <v>0.56866666666666665</v>
      </c>
      <c r="AW257" s="479">
        <v>0.53</v>
      </c>
      <c r="AX257" s="555">
        <v>0.29199999999999998</v>
      </c>
      <c r="AY257" s="551">
        <v>0.54333333333333333</v>
      </c>
      <c r="AZ257" s="479">
        <v>0.47</v>
      </c>
      <c r="BA257" s="479">
        <v>0.37666666666666671</v>
      </c>
      <c r="BB257" s="479">
        <v>0.52266666666666672</v>
      </c>
      <c r="BC257" s="479">
        <v>0.46800000000000003</v>
      </c>
      <c r="BD257" s="514">
        <v>0.3826666666666666</v>
      </c>
    </row>
    <row r="258" spans="2:91" x14ac:dyDescent="0.2">
      <c r="B258" s="548" t="s">
        <v>249</v>
      </c>
      <c r="C258" s="552">
        <f>AVERAGEIFS($K$36:$K$171,$C$36:$C$171,"=6", $B$36:$B$171,"OFICIAL")</f>
        <v>0.45750000000000002</v>
      </c>
      <c r="D258" s="553">
        <f>AVERAGEIFS($J$36:$J$171,$C$36:$C$171,"=6", $B$36:$B$171,"OFICIAL")</f>
        <v>0.53749999999999998</v>
      </c>
      <c r="E258" s="553">
        <f>AVERAGEIFS($L$36:$L$171,$C$36:$C$171,"=6", $B$36:$B$171,"OFICIAL")</f>
        <v>0.55000000000000004</v>
      </c>
      <c r="F258" s="553">
        <f>AVERAGEIFS($K$36:$K$171,$C$36:$C$171,"=6", $B$36:$B$171,"NO OFICIAL")</f>
        <v>0.43272727272727268</v>
      </c>
      <c r="G258" s="553">
        <f>AVERAGEIFS($J$36:$J$171,$C$36:$C$171,"=6", $B$36:$B$171,"NO OFICIAL")</f>
        <v>0.51727272727272711</v>
      </c>
      <c r="H258" s="554">
        <f>AVERAGEIFS($L$36:$L$171,$C$36:$C$171,"=6", $B$36:$B$171,"NO OFICIAL")</f>
        <v>0.51818181818181808</v>
      </c>
      <c r="I258" s="552">
        <f>AVERAGEIFS($T$36:$T$171,$C$36:$C$171,"=6", $B$36:$B$171,"OFICIAL")</f>
        <v>0.5675</v>
      </c>
      <c r="J258" s="553">
        <f>AVERAGEIFS($S$36:$S$171,$C$36:$C$171,"=6", $B$36:$B$171,"OFICIAL")</f>
        <v>0.495</v>
      </c>
      <c r="K258" s="553">
        <f>AVERAGEIFS($U$36:$U$171,$C$36:$C$171,"=6", $B$36:$B$171,"OFICIAL")</f>
        <v>0.36499999999999999</v>
      </c>
      <c r="L258" s="553">
        <f>AVERAGEIFS($T$36:$T$171,$C$36:$C$171,"=6", $B$36:$B$171,"NO OFICIAL")</f>
        <v>0.55727272727272736</v>
      </c>
      <c r="M258" s="553">
        <f>AVERAGEIFS($S$36:$S$171,$C$36:$C$171,"=6", $B$36:$B$171,"NO OFICIAL")</f>
        <v>0.49000000000000005</v>
      </c>
      <c r="N258" s="554">
        <f>AVERAGEIFS($U$36:$U$171,$C$36:$C$171,"=6", $B$36:$B$171,"NO OFICIAL")</f>
        <v>0.36454545454545451</v>
      </c>
      <c r="O258" s="552">
        <f>AVERAGEIFS($AB$36:$AB$171,$C$36:$C$171,"=6", $B$36:$B$171,"OFICIAL")</f>
        <v>0.51249999999999996</v>
      </c>
      <c r="P258" s="553">
        <f>AVERAGEIFS($AC$36:$AC$171,$C$36:$C$171,"=6", $B$36:$B$171,"OFICIAL")</f>
        <v>0.38750000000000007</v>
      </c>
      <c r="Q258" s="553">
        <f>AVERAGEIFS($AD$36:$AD$171,$C$36:$C$171,"=6", $B$36:$B$171,"OFICIAL")</f>
        <v>0.54249999999999998</v>
      </c>
      <c r="R258" s="553">
        <f>AVERAGEIFS($AB$36:$AB$171,$C$36:$C$171,"=6", $B$36:$B$171,"NO OFICIAL")</f>
        <v>0.49583333333333335</v>
      </c>
      <c r="S258" s="553">
        <f>AVERAGEIFS($AC$36:$AC$171,$C$36:$C$171,"=6", $B$36:$B$171,"NO OFICIAL")</f>
        <v>0.36250000000000004</v>
      </c>
      <c r="T258" s="554">
        <f>AVERAGEIFS($AD$36:$AD$171,$C$36:$C$171,"=6", $B$36:$B$171,"NO OFICIAL")</f>
        <v>0.51083333333333336</v>
      </c>
      <c r="U258" s="552">
        <f>AVERAGEIFS($AK$36:$AK$171,$C$36:$C$171,"=6", $B$36:$B$171,"OFICIAL")</f>
        <v>0.54500000000000004</v>
      </c>
      <c r="V258" s="553">
        <f>AVERAGEIFS($AL$36:$AL$171,$C$36:$C$171,"=6", $B$36:$B$171,"OFICIAL")</f>
        <v>0.47499999999999998</v>
      </c>
      <c r="W258" s="553">
        <f>AVERAGEIFS($AM$36:$AM$171,$C$36:$C$171,"=6", $B$36:$B$171,"OFICIAL")</f>
        <v>0.30499999999999999</v>
      </c>
      <c r="X258" s="553">
        <f>AVERAGEIFS($AK$36:$AK$171,$C$36:$C$171,"=6", $B$36:$B$171,"NO OFICIAL")</f>
        <v>0.51230769230769235</v>
      </c>
      <c r="Y258" s="553">
        <f>AVERAGEIFS($AL$36:$AL$171,$C$36:$C$171,"=6", $B$36:$B$171,"NO OFICIAL")</f>
        <v>0.44692307692307698</v>
      </c>
      <c r="Z258" s="554">
        <f t="shared" si="108"/>
        <v>0.28071428571428569</v>
      </c>
      <c r="AA258" s="500">
        <f>AVERAGEIFS($AT$36:$AT$171,$C$36:$C$171,"=6", $B$36:$B$171,"OFICIAL")</f>
        <v>0.28000000000000003</v>
      </c>
      <c r="AB258" s="39">
        <f>AVERAGEIFS($AV$36:$AV$171,$C$36:$C$171,"=6", $B$36:$B$171,"OFICIAL")</f>
        <v>0.50750000000000006</v>
      </c>
      <c r="AC258" s="39">
        <f>AVERAGEIFS($AU$36:$AU$171,$C$36:$C$171,"=6", $B$36:$B$171,"OFICIAL")</f>
        <v>0.51</v>
      </c>
      <c r="AD258" s="39">
        <f>AVERAGEIFS($AT$36:$AT$171,$C$36:$C$171,"=6", $B$36:$B$171,"NO OFICIAL")</f>
        <v>0.29384615384615381</v>
      </c>
      <c r="AE258" s="39">
        <f>AVERAGEIFS($AV$36:$AV$171,$C$36:$C$171,"=6", $B$36:$B$171,"NO OFICIAL")</f>
        <v>0.50230769230769234</v>
      </c>
      <c r="AF258" s="555">
        <f>AVERAGEIFS($AU$36:$AU$171,$C$36:$C$171,"=6", $B$36:$B$171,"NO OFICIAL")</f>
        <v>0.5130769230769231</v>
      </c>
      <c r="AG258" s="552">
        <f>AVERAGEIFS($BE$36:$BE$171,$C$36:$C$171,"=6", $B$36:$B$171,"OFICIAL")</f>
        <v>0.3175</v>
      </c>
      <c r="AH258" s="553">
        <f>AVERAGEIFS($BF$36:$BF$171,$C$36:$C$171,"=6", $B$36:$B$171,"OFICIAL")</f>
        <v>0.54500000000000004</v>
      </c>
      <c r="AI258" s="553">
        <f>AVERAGEIFS($BG$36:$BG$171,$C$36:$C$171,"=6", $B$36:$B$171,"OFICIAL")</f>
        <v>0.51500000000000001</v>
      </c>
      <c r="AJ258" s="553">
        <f>AVERAGEIFS($BE$36:$BE$171,$C$36:$C$171,"=6", $B$36:$B$171,"NO OFICIAL")</f>
        <v>0.24999999999999997</v>
      </c>
      <c r="AK258" s="553">
        <f>AVERAGEIFS($BF$36:$BF$171,$C$36:$C$171,"=6", $B$36:$B$171,"NO OFICIAL")</f>
        <v>0.51230769230769235</v>
      </c>
      <c r="AL258" s="554">
        <f>AVERAGEIFS($BG$36:$BG$171,$C$36:$C$171,"=6", $B$36:$B$171,"NO OFICIAL")</f>
        <v>0.47769230769230769</v>
      </c>
      <c r="AM258" s="552">
        <v>0.59666666666666668</v>
      </c>
      <c r="AN258" s="553">
        <v>0.51666666666666672</v>
      </c>
      <c r="AO258" s="553">
        <v>0.38666666666666666</v>
      </c>
      <c r="AP258" s="553">
        <v>0.59499999999999997</v>
      </c>
      <c r="AQ258" s="553">
        <v>0.52124999999999999</v>
      </c>
      <c r="AR258" s="554">
        <v>0.390625</v>
      </c>
      <c r="AS258" s="552">
        <v>0.63</v>
      </c>
      <c r="AT258" s="553">
        <v>0.59</v>
      </c>
      <c r="AU258" s="553">
        <v>0.39999999999999997</v>
      </c>
      <c r="AV258" s="553">
        <v>0.60058823529411764</v>
      </c>
      <c r="AW258" s="553">
        <v>0.56470588235294128</v>
      </c>
      <c r="AX258" s="558">
        <v>0.34470588235294114</v>
      </c>
      <c r="AY258" s="552">
        <v>0.59750000000000003</v>
      </c>
      <c r="AZ258" s="553">
        <v>0.54249999999999998</v>
      </c>
      <c r="BA258" s="553">
        <v>0.42999999999999994</v>
      </c>
      <c r="BB258" s="553">
        <v>0.53999999999999992</v>
      </c>
      <c r="BC258" s="553">
        <v>0.49071428571428566</v>
      </c>
      <c r="BD258" s="554">
        <v>0.39714285714285719</v>
      </c>
    </row>
    <row r="267" spans="2:91" x14ac:dyDescent="0.2">
      <c r="AY267" s="85"/>
      <c r="AZ267" s="85"/>
      <c r="BA267" s="85"/>
    </row>
    <row r="268" spans="2:91" x14ac:dyDescent="0.2">
      <c r="AY268" s="85"/>
      <c r="AZ268" s="85"/>
      <c r="BA268" s="85"/>
      <c r="CJ268" s="85"/>
      <c r="CK268" s="85"/>
      <c r="CL268" s="85"/>
      <c r="CM268" s="85"/>
    </row>
    <row r="269" spans="2:91" x14ac:dyDescent="0.2">
      <c r="AY269" s="85"/>
      <c r="AZ269" s="85"/>
      <c r="BA269" s="85"/>
      <c r="CJ269" s="85"/>
      <c r="CK269" s="85"/>
      <c r="CL269" s="85"/>
      <c r="CM269" s="85"/>
    </row>
    <row r="270" spans="2:91" x14ac:dyDescent="0.2">
      <c r="AY270" s="85"/>
      <c r="AZ270" s="85"/>
      <c r="BA270" s="85"/>
      <c r="CJ270" s="85"/>
      <c r="CK270" s="85"/>
      <c r="CL270" s="85"/>
      <c r="CM270" s="85"/>
    </row>
    <row r="271" spans="2:91" x14ac:dyDescent="0.2">
      <c r="CJ271" s="85"/>
      <c r="CK271" s="85"/>
      <c r="CL271" s="85"/>
      <c r="CM271" s="85"/>
    </row>
    <row r="289" spans="57:111" x14ac:dyDescent="0.2">
      <c r="BF289" s="202" t="s">
        <v>913</v>
      </c>
    </row>
    <row r="290" spans="57:111" x14ac:dyDescent="0.2">
      <c r="BF290" s="534" t="s">
        <v>244</v>
      </c>
      <c r="BG290" s="535"/>
      <c r="BH290" s="535"/>
      <c r="BI290" s="535"/>
      <c r="BJ290" s="535"/>
      <c r="BK290" s="535"/>
      <c r="BL290" s="535"/>
      <c r="BM290" s="535"/>
      <c r="BN290" s="536"/>
      <c r="BO290" s="534" t="s">
        <v>245</v>
      </c>
      <c r="BP290" s="535"/>
      <c r="BQ290" s="535"/>
      <c r="BR290" s="535"/>
      <c r="BS290" s="535"/>
      <c r="BT290" s="535"/>
      <c r="BU290" s="535"/>
      <c r="BV290" s="535"/>
      <c r="BW290" s="536"/>
      <c r="BX290" s="534" t="s">
        <v>246</v>
      </c>
      <c r="BY290" s="535"/>
      <c r="BZ290" s="535"/>
      <c r="CA290" s="535"/>
      <c r="CB290" s="535"/>
      <c r="CC290" s="535"/>
      <c r="CD290" s="535"/>
      <c r="CE290" s="535"/>
      <c r="CF290" s="536"/>
      <c r="CG290" s="534" t="s">
        <v>247</v>
      </c>
      <c r="CH290" s="535"/>
      <c r="CI290" s="535"/>
      <c r="CJ290" s="535"/>
      <c r="CK290" s="535"/>
      <c r="CL290" s="535"/>
      <c r="CM290" s="535"/>
      <c r="CN290" s="535"/>
      <c r="CO290" s="536"/>
      <c r="CP290" s="537" t="s">
        <v>248</v>
      </c>
      <c r="CQ290" s="535"/>
      <c r="CR290" s="535"/>
      <c r="CS290" s="535"/>
      <c r="CT290" s="535"/>
      <c r="CU290" s="535"/>
      <c r="CV290" s="538"/>
      <c r="CW290" s="535"/>
      <c r="CX290" s="535"/>
      <c r="CY290" s="537" t="s">
        <v>249</v>
      </c>
      <c r="CZ290" s="535"/>
      <c r="DA290" s="535"/>
      <c r="DB290" s="535"/>
      <c r="DC290" s="535"/>
      <c r="DD290" s="535"/>
      <c r="DE290" s="538"/>
      <c r="DF290" s="535"/>
      <c r="DG290" s="536"/>
    </row>
    <row r="291" spans="57:111" x14ac:dyDescent="0.2">
      <c r="BF291" s="29">
        <v>2016</v>
      </c>
      <c r="BG291" s="29">
        <v>2017</v>
      </c>
      <c r="BH291" s="29">
        <v>2018</v>
      </c>
      <c r="BI291" s="29">
        <v>2019</v>
      </c>
      <c r="BJ291" s="29">
        <v>2020</v>
      </c>
      <c r="BK291" s="29">
        <v>2021</v>
      </c>
      <c r="BL291" s="29">
        <v>2022</v>
      </c>
      <c r="BM291" s="29">
        <v>2023</v>
      </c>
      <c r="BN291" s="29">
        <v>2024</v>
      </c>
      <c r="BO291" s="29">
        <v>2016</v>
      </c>
      <c r="BP291" s="29">
        <v>2017</v>
      </c>
      <c r="BQ291" s="29">
        <v>2018</v>
      </c>
      <c r="BR291" s="29">
        <v>2019</v>
      </c>
      <c r="BS291" s="29">
        <v>2020</v>
      </c>
      <c r="BT291" s="29">
        <v>2021</v>
      </c>
      <c r="BU291" s="29">
        <v>2022</v>
      </c>
      <c r="BV291" s="29">
        <v>2023</v>
      </c>
      <c r="BW291" s="29">
        <v>2024</v>
      </c>
      <c r="BX291" s="29">
        <v>2016</v>
      </c>
      <c r="BY291" s="29">
        <v>2017</v>
      </c>
      <c r="BZ291" s="29">
        <v>2018</v>
      </c>
      <c r="CA291" s="29">
        <v>2019</v>
      </c>
      <c r="CB291" s="29">
        <v>2020</v>
      </c>
      <c r="CC291" s="29">
        <v>2021</v>
      </c>
      <c r="CD291" s="29">
        <v>2022</v>
      </c>
      <c r="CE291" s="29">
        <v>2023</v>
      </c>
      <c r="CF291" s="29">
        <v>2024</v>
      </c>
      <c r="CG291" s="29">
        <v>2016</v>
      </c>
      <c r="CH291" s="29">
        <v>2017</v>
      </c>
      <c r="CI291" s="29">
        <v>2018</v>
      </c>
      <c r="CJ291" s="29">
        <v>2019</v>
      </c>
      <c r="CK291" s="29">
        <v>2020</v>
      </c>
      <c r="CL291" s="29">
        <v>2021</v>
      </c>
      <c r="CM291" s="29">
        <v>2022</v>
      </c>
      <c r="CN291" s="29">
        <v>2023</v>
      </c>
      <c r="CO291" s="29">
        <v>2024</v>
      </c>
      <c r="CP291" s="29">
        <v>2016</v>
      </c>
      <c r="CQ291" s="29">
        <v>2017</v>
      </c>
      <c r="CR291" s="29">
        <v>2018</v>
      </c>
      <c r="CS291" s="29">
        <v>2019</v>
      </c>
      <c r="CT291" s="29">
        <v>2020</v>
      </c>
      <c r="CU291" s="29">
        <v>2021</v>
      </c>
      <c r="CV291" s="29">
        <v>2022</v>
      </c>
      <c r="CW291" s="29">
        <v>2023</v>
      </c>
      <c r="CX291" s="29">
        <v>2024</v>
      </c>
      <c r="CY291" s="541">
        <v>2016</v>
      </c>
      <c r="CZ291" s="29">
        <v>2017</v>
      </c>
      <c r="DA291" s="29">
        <v>2018</v>
      </c>
      <c r="DB291" s="29">
        <v>2019</v>
      </c>
      <c r="DC291" s="29">
        <v>2020</v>
      </c>
      <c r="DD291" s="29">
        <v>2021</v>
      </c>
      <c r="DE291" s="29">
        <v>2022</v>
      </c>
      <c r="DF291" s="29">
        <v>2023</v>
      </c>
      <c r="DG291" s="518">
        <v>2024</v>
      </c>
    </row>
    <row r="292" spans="57:111" x14ac:dyDescent="0.2">
      <c r="BE292" s="542">
        <v>1</v>
      </c>
      <c r="BF292" s="540">
        <v>5.5833333333333339E-2</v>
      </c>
      <c r="BG292" s="540">
        <v>5.0769230769230761E-2</v>
      </c>
      <c r="BH292" s="540">
        <v>4.9230769230769231E-2</v>
      </c>
      <c r="BI292" s="540">
        <v>3.3846153846153845E-2</v>
      </c>
      <c r="BJ292" s="540">
        <v>3.1538461538461543E-2</v>
      </c>
      <c r="BK292" s="540">
        <v>4.3076923076923082E-2</v>
      </c>
      <c r="BL292" s="540">
        <v>0.05</v>
      </c>
      <c r="BM292" s="540">
        <v>0.03</v>
      </c>
      <c r="BN292" s="540">
        <f>AVERAGEIFS(CN$36:CN$171,$C$36:$C$171,"=1", $B$36:$B$171,"NO OFICIAL")</f>
        <v>3.4615384615384617E-2</v>
      </c>
      <c r="BO292" s="540">
        <v>5.4000000000000006E-2</v>
      </c>
      <c r="BP292" s="540">
        <v>5.9374999999999997E-2</v>
      </c>
      <c r="BQ292" s="540">
        <v>3.5625000000000004E-2</v>
      </c>
      <c r="BR292" s="540">
        <v>3.5294117647058823E-2</v>
      </c>
      <c r="BS292" s="540">
        <v>3.2222222222222215E-2</v>
      </c>
      <c r="BT292" s="540">
        <v>6.1176470588235297E-2</v>
      </c>
      <c r="BU292" s="540">
        <v>7.0000000000000007E-2</v>
      </c>
      <c r="BV292" s="540">
        <v>0.06</v>
      </c>
      <c r="BW292" s="540">
        <f>AVERAGEIFS(CN$36:CN$171,$C$36:$C$171,"=2", $B$36:$B$171,"NO OFICIAL")</f>
        <v>3.1E-2</v>
      </c>
      <c r="BX292" s="540">
        <v>3.7999999999999999E-2</v>
      </c>
      <c r="BY292" s="540">
        <v>5.5999999999999994E-2</v>
      </c>
      <c r="BZ292" s="540">
        <v>4.4000000000000004E-2</v>
      </c>
      <c r="CA292" s="540">
        <v>5.5999999999999994E-2</v>
      </c>
      <c r="CB292" s="540">
        <v>4.4000000000000004E-2</v>
      </c>
      <c r="CC292" s="540">
        <v>0.05</v>
      </c>
      <c r="CD292" s="540">
        <v>0.05</v>
      </c>
      <c r="CE292" s="540">
        <v>0.06</v>
      </c>
      <c r="CF292" s="540">
        <f>AVERAGEIFS(CN$36:CN$171,$C$36:$C$171,"=3", $B$36:$B$171,"NO OFICIAL")</f>
        <v>5.6249999999999994E-2</v>
      </c>
      <c r="CG292" s="540">
        <v>0.14000000000000001</v>
      </c>
      <c r="CH292" s="540">
        <v>0.09</v>
      </c>
      <c r="CI292" s="540">
        <v>0.04</v>
      </c>
      <c r="CJ292" s="540">
        <v>0.04</v>
      </c>
      <c r="CK292" s="540">
        <v>0.04</v>
      </c>
      <c r="CL292" s="540">
        <v>0.02</v>
      </c>
      <c r="CM292" s="540">
        <v>0.05</v>
      </c>
      <c r="CN292" s="540">
        <v>0.04</v>
      </c>
      <c r="CO292" s="540">
        <v>0.04</v>
      </c>
      <c r="CP292" s="540">
        <v>0.02</v>
      </c>
      <c r="CQ292" s="540">
        <v>0.03</v>
      </c>
      <c r="CR292" s="540">
        <v>0.02</v>
      </c>
      <c r="CS292" s="540">
        <v>0.01</v>
      </c>
      <c r="CT292" s="540">
        <v>0.02</v>
      </c>
      <c r="CU292" s="540">
        <v>0.02</v>
      </c>
      <c r="CV292" s="540">
        <v>0.02</v>
      </c>
      <c r="CW292" s="540">
        <v>0.02</v>
      </c>
      <c r="CX292" s="540">
        <v>4.0000000000000001E-3</v>
      </c>
      <c r="CY292" s="540">
        <v>0.1</v>
      </c>
      <c r="CZ292" s="540">
        <v>0.09</v>
      </c>
      <c r="DA292" s="540">
        <v>0.03</v>
      </c>
      <c r="DB292" s="540">
        <v>0.04</v>
      </c>
      <c r="DC292" s="540">
        <v>0.03</v>
      </c>
      <c r="DD292" s="540">
        <v>0.03</v>
      </c>
      <c r="DE292" s="540">
        <v>0.08</v>
      </c>
      <c r="DF292" s="540">
        <v>0.04</v>
      </c>
      <c r="DG292" s="540">
        <v>3.2857142857142863E-2</v>
      </c>
    </row>
    <row r="293" spans="57:111" x14ac:dyDescent="0.2">
      <c r="BE293" s="543">
        <v>2</v>
      </c>
      <c r="BF293" s="540">
        <v>0.39666666666666667</v>
      </c>
      <c r="BG293" s="540">
        <v>0.38923076923076927</v>
      </c>
      <c r="BH293" s="540">
        <v>0.38923076923076916</v>
      </c>
      <c r="BI293" s="540">
        <v>0.35461538461538467</v>
      </c>
      <c r="BJ293" s="540">
        <v>0.35923076923076924</v>
      </c>
      <c r="BK293" s="540">
        <v>0.35615384615384621</v>
      </c>
      <c r="BL293" s="540">
        <v>0.34</v>
      </c>
      <c r="BM293" s="540">
        <v>0.35</v>
      </c>
      <c r="BN293" s="540">
        <f>AVERAGEIFS(CO$36:CO$171,$C$36:$C$171,"=1", $B$36:$B$171,"NO OFICIAL")</f>
        <v>0.30384615384615388</v>
      </c>
      <c r="BO293" s="540">
        <v>0.35533333333333333</v>
      </c>
      <c r="BP293" s="540">
        <v>0.33500000000000008</v>
      </c>
      <c r="BQ293" s="540">
        <v>0.33750000000000002</v>
      </c>
      <c r="BR293" s="540">
        <v>0.30941176470588239</v>
      </c>
      <c r="BS293" s="540">
        <v>0.28611111111111115</v>
      </c>
      <c r="BT293" s="540">
        <v>0.35352941176470598</v>
      </c>
      <c r="BU293" s="540">
        <v>0.24</v>
      </c>
      <c r="BV293" s="540">
        <v>0.35</v>
      </c>
      <c r="BW293" s="540">
        <f>AVERAGEIFS(CO$36:CO$171,$C$36:$C$171,"=2", $B$36:$B$171,"NO OFICIAL")</f>
        <v>0.26950000000000002</v>
      </c>
      <c r="BX293" s="540">
        <v>0.46600000000000003</v>
      </c>
      <c r="BY293" s="540">
        <v>0.43599999999999994</v>
      </c>
      <c r="BZ293" s="540">
        <v>0.41799999999999998</v>
      </c>
      <c r="CA293" s="540">
        <v>0.41600000000000004</v>
      </c>
      <c r="CB293" s="540">
        <v>0.372</v>
      </c>
      <c r="CC293" s="540">
        <v>0.44800000000000006</v>
      </c>
      <c r="CD293" s="540">
        <v>0.28000000000000003</v>
      </c>
      <c r="CE293" s="540">
        <v>0.27</v>
      </c>
      <c r="CF293" s="540">
        <f>AVERAGEIFS(CO$36:CO$171,$C$36:$C$171,"=3", $B$36:$B$171,"NO OFICIAL")</f>
        <v>0.28562500000000007</v>
      </c>
      <c r="CG293" s="540">
        <v>0.4</v>
      </c>
      <c r="CH293" s="540">
        <v>0.36</v>
      </c>
      <c r="CI293" s="540">
        <v>0.32</v>
      </c>
      <c r="CJ293" s="540">
        <v>0.43</v>
      </c>
      <c r="CK293" s="540">
        <v>0.48</v>
      </c>
      <c r="CL293" s="540">
        <v>0.32</v>
      </c>
      <c r="CM293" s="540">
        <v>0.36</v>
      </c>
      <c r="CN293" s="540">
        <v>0.41</v>
      </c>
      <c r="CO293" s="540">
        <v>0.3</v>
      </c>
      <c r="CP293" s="540">
        <v>0.28999999999999998</v>
      </c>
      <c r="CQ293" s="540">
        <v>0.27</v>
      </c>
      <c r="CR293" s="540">
        <v>0.31</v>
      </c>
      <c r="CS293" s="540">
        <v>0.27</v>
      </c>
      <c r="CT293" s="540">
        <v>0.24</v>
      </c>
      <c r="CU293" s="540">
        <v>0.32</v>
      </c>
      <c r="CV293" s="540">
        <v>0.22</v>
      </c>
      <c r="CW293" s="540">
        <v>0.26</v>
      </c>
      <c r="CX293" s="540">
        <v>0.316</v>
      </c>
      <c r="CY293" s="540">
        <v>0.31</v>
      </c>
      <c r="CZ293" s="540">
        <v>0.38</v>
      </c>
      <c r="DA293" s="540">
        <v>0.41</v>
      </c>
      <c r="DB293" s="540">
        <v>0.35</v>
      </c>
      <c r="DC293" s="540">
        <v>0.37</v>
      </c>
      <c r="DD293" s="540">
        <v>0.44</v>
      </c>
      <c r="DE293" s="540">
        <v>0.36</v>
      </c>
      <c r="DF293" s="540">
        <v>0.27</v>
      </c>
      <c r="DG293" s="540">
        <v>0.33785714285714291</v>
      </c>
    </row>
    <row r="294" spans="57:111" x14ac:dyDescent="0.2">
      <c r="BE294" s="543">
        <v>3</v>
      </c>
      <c r="BF294" s="540">
        <v>0.53</v>
      </c>
      <c r="BG294" s="540">
        <v>0.53307692307692311</v>
      </c>
      <c r="BH294" s="540">
        <v>0.52615384615384619</v>
      </c>
      <c r="BI294" s="540">
        <v>0.58615384615384625</v>
      </c>
      <c r="BJ294" s="540">
        <v>0.57692307692307687</v>
      </c>
      <c r="BK294" s="540">
        <v>0.57076923076923081</v>
      </c>
      <c r="BL294" s="540">
        <v>0.57999999999999996</v>
      </c>
      <c r="BM294" s="540">
        <v>0.56000000000000005</v>
      </c>
      <c r="BN294" s="540">
        <f>AVERAGEIFS(CP$36:CP$171,$C$36:$C$171,"=1", $B$36:$B$171,"NO OFICIAL")</f>
        <v>0.60615384615384615</v>
      </c>
      <c r="BO294" s="540">
        <v>0.57133333333333336</v>
      </c>
      <c r="BP294" s="540">
        <v>0.55937499999999996</v>
      </c>
      <c r="BQ294" s="540">
        <v>0.61312499999999992</v>
      </c>
      <c r="BR294" s="540">
        <v>0.6164705882352941</v>
      </c>
      <c r="BS294" s="540">
        <v>0.6399999999999999</v>
      </c>
      <c r="BT294" s="540">
        <v>0.55588235294117638</v>
      </c>
      <c r="BU294" s="540">
        <v>0.65</v>
      </c>
      <c r="BV294" s="540">
        <v>0.54</v>
      </c>
      <c r="BW294" s="540">
        <f>AVERAGEIFS(CP$36:CP$171,$C$36:$C$171,"=2", $B$36:$B$171,"NO OFICIAL")</f>
        <v>0.6399999999999999</v>
      </c>
      <c r="BX294" s="540">
        <v>0.48200000000000004</v>
      </c>
      <c r="BY294" s="540">
        <v>0.502</v>
      </c>
      <c r="BZ294" s="540">
        <v>0.53199999999999992</v>
      </c>
      <c r="CA294" s="540">
        <v>0.52000000000000013</v>
      </c>
      <c r="CB294" s="540">
        <v>0.56400000000000006</v>
      </c>
      <c r="CC294" s="540">
        <v>0.48599999999999993</v>
      </c>
      <c r="CD294" s="540">
        <v>0.62</v>
      </c>
      <c r="CE294" s="540">
        <v>0.62</v>
      </c>
      <c r="CF294" s="540">
        <f>AVERAGEIFS(CP$36:CP$171,$C$36:$C$171,"=3", $B$36:$B$171,"NO OFICIAL")</f>
        <v>0.59750000000000003</v>
      </c>
      <c r="CG294" s="540">
        <v>0.46</v>
      </c>
      <c r="CH294" s="540">
        <v>0.54</v>
      </c>
      <c r="CI294" s="540">
        <v>0.63</v>
      </c>
      <c r="CJ294" s="540">
        <v>0.5</v>
      </c>
      <c r="CK294" s="540">
        <v>0.44</v>
      </c>
      <c r="CL294" s="540">
        <v>0.61</v>
      </c>
      <c r="CM294" s="540">
        <v>0.56999999999999995</v>
      </c>
      <c r="CN294" s="540">
        <v>0.53</v>
      </c>
      <c r="CO294" s="540">
        <v>0.6</v>
      </c>
      <c r="CP294" s="540">
        <v>0.66</v>
      </c>
      <c r="CQ294" s="540">
        <v>0.65</v>
      </c>
      <c r="CR294" s="540">
        <v>0.62</v>
      </c>
      <c r="CS294" s="540">
        <v>0.67</v>
      </c>
      <c r="CT294" s="540">
        <v>0.7</v>
      </c>
      <c r="CU294" s="540">
        <v>0.61</v>
      </c>
      <c r="CV294" s="540">
        <v>0.71</v>
      </c>
      <c r="CW294" s="540">
        <v>0.64</v>
      </c>
      <c r="CX294" s="540">
        <v>0.61399999999999999</v>
      </c>
      <c r="CY294" s="540">
        <v>0.57999999999999996</v>
      </c>
      <c r="CZ294" s="540">
        <v>0.51</v>
      </c>
      <c r="DA294" s="540">
        <v>0.55000000000000004</v>
      </c>
      <c r="DB294" s="540">
        <v>0.56999999999999995</v>
      </c>
      <c r="DC294" s="540">
        <v>0.56999999999999995</v>
      </c>
      <c r="DD294" s="540">
        <v>0.49</v>
      </c>
      <c r="DE294" s="540">
        <v>0.51</v>
      </c>
      <c r="DF294" s="540">
        <v>0.65</v>
      </c>
      <c r="DG294" s="540">
        <v>0.56999999999999995</v>
      </c>
    </row>
    <row r="295" spans="57:111" x14ac:dyDescent="0.2">
      <c r="BE295" s="544">
        <v>4</v>
      </c>
      <c r="BF295" s="540">
        <v>7.4999999999999997E-3</v>
      </c>
      <c r="BG295" s="540">
        <v>2.8461538461538465E-2</v>
      </c>
      <c r="BH295" s="540">
        <v>3.692307692307692E-2</v>
      </c>
      <c r="BI295" s="540">
        <v>2.6923076923076925E-2</v>
      </c>
      <c r="BJ295" s="540">
        <v>3.3846153846153845E-2</v>
      </c>
      <c r="BK295" s="540">
        <v>3.0769230769230774E-2</v>
      </c>
      <c r="BL295" s="540">
        <v>0.03</v>
      </c>
      <c r="BM295" s="540">
        <v>0.06</v>
      </c>
      <c r="BN295" s="540">
        <f>AVERAGEIFS(CQ$36:CQ$171,$C$36:$C$171,"=1", $B$36:$B$171,"NO OFICIAL")</f>
        <v>5.692307692307693E-2</v>
      </c>
      <c r="BO295" s="540">
        <v>1.9333333333333334E-2</v>
      </c>
      <c r="BP295" s="540">
        <v>4.4375000000000005E-2</v>
      </c>
      <c r="BQ295" s="540">
        <v>1.6250000000000001E-2</v>
      </c>
      <c r="BR295" s="540">
        <v>4.0000000000000008E-2</v>
      </c>
      <c r="BS295" s="540">
        <v>4.055555555555556E-2</v>
      </c>
      <c r="BT295" s="540">
        <v>3.1176470588235295E-2</v>
      </c>
      <c r="BU295" s="540">
        <v>0.04</v>
      </c>
      <c r="BV295" s="540">
        <v>0.05</v>
      </c>
      <c r="BW295" s="540">
        <f>AVERAGEIFS(CQ$36:CQ$171,$C$36:$C$171,"=2", $B$36:$B$171,"NO OFICIAL")</f>
        <v>6.2000000000000013E-2</v>
      </c>
      <c r="BX295" s="540">
        <v>1.6E-2</v>
      </c>
      <c r="BY295" s="540">
        <v>6.0000000000000001E-3</v>
      </c>
      <c r="BZ295" s="540">
        <v>8.0000000000000002E-3</v>
      </c>
      <c r="CA295" s="540">
        <v>0.01</v>
      </c>
      <c r="CB295" s="540">
        <v>1.9999999999999997E-2</v>
      </c>
      <c r="CC295" s="540">
        <v>1.2E-2</v>
      </c>
      <c r="CD295" s="540">
        <v>0.06</v>
      </c>
      <c r="CE295" s="540">
        <v>0.06</v>
      </c>
      <c r="CF295" s="540">
        <f>AVERAGEIFS(CQ$36:CQ$171,$C$36:$C$171,"=3", $B$36:$B$171,"NO OFICIAL")</f>
        <v>6.1874999999999999E-2</v>
      </c>
      <c r="CG295" s="540">
        <v>0</v>
      </c>
      <c r="CH295" s="540">
        <v>0.01</v>
      </c>
      <c r="CI295" s="540">
        <v>0.01</v>
      </c>
      <c r="CJ295" s="540">
        <v>0.03</v>
      </c>
      <c r="CK295" s="540">
        <v>0.04</v>
      </c>
      <c r="CL295" s="540">
        <v>0.05</v>
      </c>
      <c r="CM295" s="540">
        <v>0.02</v>
      </c>
      <c r="CN295" s="540">
        <v>0.02</v>
      </c>
      <c r="CO295" s="540">
        <v>0.06</v>
      </c>
      <c r="CP295" s="540">
        <v>0.03</v>
      </c>
      <c r="CQ295" s="540">
        <v>0.05</v>
      </c>
      <c r="CR295" s="540">
        <v>0.05</v>
      </c>
      <c r="CS295" s="540">
        <v>0.05</v>
      </c>
      <c r="CT295" s="540">
        <v>0.05</v>
      </c>
      <c r="CU295" s="540">
        <v>0.05</v>
      </c>
      <c r="CV295" s="540">
        <v>0.05</v>
      </c>
      <c r="CW295" s="540">
        <v>0.08</v>
      </c>
      <c r="CX295" s="540">
        <v>6.5333333333333327E-2</v>
      </c>
      <c r="CY295" s="540">
        <v>0.01</v>
      </c>
      <c r="CZ295" s="540">
        <v>0.02</v>
      </c>
      <c r="DA295" s="540">
        <v>0.02</v>
      </c>
      <c r="DB295" s="540">
        <v>0.04</v>
      </c>
      <c r="DC295" s="540">
        <v>0.03</v>
      </c>
      <c r="DD295" s="540">
        <v>0.03</v>
      </c>
      <c r="DE295" s="540">
        <v>0.05</v>
      </c>
      <c r="DF295" s="540">
        <v>0.04</v>
      </c>
      <c r="DG295" s="540">
        <v>0.06</v>
      </c>
    </row>
  </sheetData>
  <sheetProtection algorithmName="SHA-512" hashValue="jGNijY1XKumFhKegeN0BSJjKa9QlUSjDqqPH9Kr9RvnTich7rjn/VLEv8edpwyzJIP6ISIBkca4Brv5OsTK1LQ==" saltValue="Ph5+HAeyQfqTqls7omkkVA==" spinCount="100000" sheet="1" objects="1" scenarios="1"/>
  <sortState ref="A38:AV171">
    <sortCondition ref="A38:A171"/>
  </sortState>
  <mergeCells count="136">
    <mergeCell ref="I251:K251"/>
    <mergeCell ref="L251:N251"/>
    <mergeCell ref="F251:H251"/>
    <mergeCell ref="C251:E251"/>
    <mergeCell ref="O251:Q251"/>
    <mergeCell ref="R251:T251"/>
    <mergeCell ref="U251:W251"/>
    <mergeCell ref="X251:Z251"/>
    <mergeCell ref="AA251:AC251"/>
    <mergeCell ref="C250:H250"/>
    <mergeCell ref="I250:N250"/>
    <mergeCell ref="O250:T250"/>
    <mergeCell ref="U250:Z250"/>
    <mergeCell ref="AA250:AF250"/>
    <mergeCell ref="AG250:AL250"/>
    <mergeCell ref="AM250:AR250"/>
    <mergeCell ref="C241:E241"/>
    <mergeCell ref="F241:H241"/>
    <mergeCell ref="I241:K241"/>
    <mergeCell ref="L241:N241"/>
    <mergeCell ref="O241:Q241"/>
    <mergeCell ref="R241:T241"/>
    <mergeCell ref="U241:W241"/>
    <mergeCell ref="X241:Z241"/>
    <mergeCell ref="AA241:AC241"/>
    <mergeCell ref="AS250:AX250"/>
    <mergeCell ref="AY250:BD250"/>
    <mergeCell ref="AD251:AF251"/>
    <mergeCell ref="AG251:AI251"/>
    <mergeCell ref="AJ251:AL251"/>
    <mergeCell ref="AM251:AO251"/>
    <mergeCell ref="AP251:AR251"/>
    <mergeCell ref="AS251:AU251"/>
    <mergeCell ref="AV251:AX251"/>
    <mergeCell ref="AY251:BA251"/>
    <mergeCell ref="BB251:BD251"/>
    <mergeCell ref="CJ7:CT7"/>
    <mergeCell ref="AZ216:BC216"/>
    <mergeCell ref="Y176:AH176"/>
    <mergeCell ref="BY7:CI7"/>
    <mergeCell ref="AW7:BG7"/>
    <mergeCell ref="AW8:AW9"/>
    <mergeCell ref="AY8:AY9"/>
    <mergeCell ref="AX8:AX9"/>
    <mergeCell ref="AZ8:AZ9"/>
    <mergeCell ref="AE7:AM7"/>
    <mergeCell ref="BY8:BY9"/>
    <mergeCell ref="BZ8:BZ9"/>
    <mergeCell ref="CA8:CA9"/>
    <mergeCell ref="CB8:CB9"/>
    <mergeCell ref="BH7:BX7"/>
    <mergeCell ref="BH8:BH9"/>
    <mergeCell ref="BI8:BI9"/>
    <mergeCell ref="BJ8:BJ9"/>
    <mergeCell ref="BK8:BK9"/>
    <mergeCell ref="AN7:AV7"/>
    <mergeCell ref="AF8:AF9"/>
    <mergeCell ref="AN8:AN9"/>
    <mergeCell ref="AO8:AO9"/>
    <mergeCell ref="AG8:AJ8"/>
    <mergeCell ref="AK8:AM8"/>
    <mergeCell ref="S215:AM215"/>
    <mergeCell ref="T216:W216"/>
    <mergeCell ref="X216:AA216"/>
    <mergeCell ref="AB216:AE216"/>
    <mergeCell ref="AF216:AI216"/>
    <mergeCell ref="AJ216:AM216"/>
    <mergeCell ref="W189:X189"/>
    <mergeCell ref="E177:F177"/>
    <mergeCell ref="G177:H177"/>
    <mergeCell ref="I177:J177"/>
    <mergeCell ref="K177:L177"/>
    <mergeCell ref="S177:T177"/>
    <mergeCell ref="AC188:AF188"/>
    <mergeCell ref="AC189:AD189"/>
    <mergeCell ref="AE189:AF189"/>
    <mergeCell ref="AG188:AJ188"/>
    <mergeCell ref="AG189:AH189"/>
    <mergeCell ref="E199:N199"/>
    <mergeCell ref="R199:AA199"/>
    <mergeCell ref="U177:V177"/>
    <mergeCell ref="AK188:AN188"/>
    <mergeCell ref="AK189:AL189"/>
    <mergeCell ref="AM189:AN189"/>
    <mergeCell ref="V8:V9"/>
    <mergeCell ref="W8:W9"/>
    <mergeCell ref="AE8:AE9"/>
    <mergeCell ref="A1:N1"/>
    <mergeCell ref="A3:N3"/>
    <mergeCell ref="D7:L7"/>
    <mergeCell ref="D8:D9"/>
    <mergeCell ref="E8:E9"/>
    <mergeCell ref="M8:M9"/>
    <mergeCell ref="N8:N9"/>
    <mergeCell ref="M7:U7"/>
    <mergeCell ref="A7:A9"/>
    <mergeCell ref="B7:B9"/>
    <mergeCell ref="A4:N4"/>
    <mergeCell ref="F8:I8"/>
    <mergeCell ref="J8:L8"/>
    <mergeCell ref="O8:R8"/>
    <mergeCell ref="S8:U8"/>
    <mergeCell ref="C7:C9"/>
    <mergeCell ref="V7:AD7"/>
    <mergeCell ref="X8:AA8"/>
    <mergeCell ref="AB8:AD8"/>
    <mergeCell ref="Q177:R177"/>
    <mergeCell ref="D177:D178"/>
    <mergeCell ref="O177:P177"/>
    <mergeCell ref="Y188:AB188"/>
    <mergeCell ref="Y189:Z189"/>
    <mergeCell ref="AA189:AB189"/>
    <mergeCell ref="AN216:AQ216"/>
    <mergeCell ref="D176:P176"/>
    <mergeCell ref="E189:F189"/>
    <mergeCell ref="G189:H189"/>
    <mergeCell ref="E188:H188"/>
    <mergeCell ref="I188:L188"/>
    <mergeCell ref="I189:J189"/>
    <mergeCell ref="K189:L189"/>
    <mergeCell ref="O189:P189"/>
    <mergeCell ref="Q189:R189"/>
    <mergeCell ref="M188:P188"/>
    <mergeCell ref="Q188:T188"/>
    <mergeCell ref="M177:N177"/>
    <mergeCell ref="M189:N189"/>
    <mergeCell ref="AR216:AU216"/>
    <mergeCell ref="AI189:AJ189"/>
    <mergeCell ref="T222:U222"/>
    <mergeCell ref="V222:W222"/>
    <mergeCell ref="X222:Y222"/>
    <mergeCell ref="Z222:AA222"/>
    <mergeCell ref="AB222:AC222"/>
    <mergeCell ref="S189:T189"/>
    <mergeCell ref="U188:X188"/>
    <mergeCell ref="U189:V189"/>
  </mergeCells>
  <phoneticPr fontId="23" type="noConversion"/>
  <conditionalFormatting sqref="A130">
    <cfRule type="duplicateValues" dxfId="47" priority="1"/>
    <cfRule type="duplicateValues" dxfId="46" priority="2"/>
  </conditionalFormatting>
  <conditionalFormatting sqref="A163">
    <cfRule type="duplicateValues" dxfId="45" priority="3"/>
    <cfRule type="duplicateValues" dxfId="44" priority="4"/>
  </conditionalFormatting>
  <pageMargins left="0.75" right="0.75" top="1" bottom="1" header="0.5" footer="0.5"/>
  <pageSetup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pageSetUpPr autoPageBreaks="0"/>
  </sheetPr>
  <dimension ref="A1:DO286"/>
  <sheetViews>
    <sheetView topLeftCell="A22" zoomScale="90" zoomScaleNormal="90" workbookViewId="0">
      <pane xSplit="1" topLeftCell="B1" activePane="topRight" state="frozen"/>
      <selection activeCell="K23" sqref="K23"/>
      <selection pane="topRight" activeCell="D139" sqref="D139:E139"/>
    </sheetView>
  </sheetViews>
  <sheetFormatPr baseColWidth="10" defaultColWidth="9.140625" defaultRowHeight="12.75" x14ac:dyDescent="0.2"/>
  <cols>
    <col min="1" max="1" width="71.42578125" bestFit="1" customWidth="1"/>
    <col min="2" max="2" width="15.140625" bestFit="1" customWidth="1"/>
    <col min="3" max="3" width="10" customWidth="1"/>
    <col min="4" max="4" width="11.42578125" customWidth="1"/>
    <col min="5" max="15" width="14.28515625" customWidth="1"/>
    <col min="16" max="16" width="12" customWidth="1"/>
    <col min="17" max="21" width="12.5703125" customWidth="1"/>
    <col min="22" max="22" width="13" customWidth="1"/>
    <col min="23" max="23" width="13.140625" customWidth="1"/>
    <col min="24" max="24" width="12.5703125" customWidth="1"/>
    <col min="25" max="25" width="14.85546875" customWidth="1"/>
    <col min="26" max="26" width="14" customWidth="1"/>
    <col min="27" max="27" width="13.7109375" customWidth="1"/>
    <col min="28" max="28" width="10.7109375" customWidth="1"/>
    <col min="29" max="39" width="14" customWidth="1"/>
    <col min="40" max="40" width="10.5703125" customWidth="1"/>
    <col min="41" max="46" width="11.7109375" customWidth="1"/>
    <col min="47" max="47" width="13.5703125" customWidth="1"/>
    <col min="48" max="48" width="14.42578125" customWidth="1"/>
    <col min="49" max="49" width="13.140625" customWidth="1"/>
    <col min="50" max="51" width="13.7109375" customWidth="1"/>
    <col min="52" max="52" width="11" customWidth="1"/>
    <col min="53" max="53" width="12" customWidth="1"/>
    <col min="54" max="54" width="10.42578125" customWidth="1"/>
    <col min="55" max="55" width="12.140625" customWidth="1"/>
    <col min="56" max="56" width="10.42578125" customWidth="1"/>
    <col min="57" max="57" width="11.7109375" customWidth="1"/>
    <col min="58" max="58" width="12.85546875" customWidth="1"/>
    <col min="59" max="59" width="14.140625" customWidth="1"/>
    <col min="60" max="61" width="13.28515625" customWidth="1"/>
    <col min="62" max="62" width="12.85546875" customWidth="1"/>
    <col min="63" max="63" width="13.85546875" customWidth="1"/>
    <col min="64" max="64" width="11.7109375" customWidth="1"/>
    <col min="65" max="65" width="13.28515625" customWidth="1"/>
    <col min="66" max="66" width="12.28515625" customWidth="1"/>
    <col min="67" max="67" width="13.7109375" customWidth="1"/>
    <col min="72" max="72" width="13.7109375" customWidth="1"/>
    <col min="73" max="73" width="14.7109375" customWidth="1"/>
    <col min="74" max="74" width="14.42578125" customWidth="1"/>
    <col min="75" max="75" width="15.28515625" customWidth="1"/>
    <col min="76" max="76" width="14.7109375" customWidth="1"/>
    <col min="77" max="77" width="15.5703125" customWidth="1"/>
    <col min="86" max="86" width="13.7109375" customWidth="1"/>
    <col min="87" max="87" width="14.7109375" customWidth="1"/>
    <col min="88" max="88" width="12.7109375" customWidth="1"/>
    <col min="89" max="90" width="14.7109375" customWidth="1"/>
    <col min="91" max="91" width="15.85546875" customWidth="1"/>
    <col min="100" max="100" width="14.140625" customWidth="1"/>
    <col min="101" max="101" width="16.42578125" customWidth="1"/>
    <col min="102" max="102" width="15" customWidth="1"/>
    <col min="103" max="103" width="15.28515625" customWidth="1"/>
    <col min="104" max="104" width="15.85546875" customWidth="1"/>
    <col min="105" max="105" width="14.7109375" customWidth="1"/>
    <col min="114" max="114" width="16.42578125" customWidth="1"/>
    <col min="115" max="115" width="15.28515625" customWidth="1"/>
    <col min="116" max="116" width="15" customWidth="1"/>
    <col min="117" max="117" width="15.85546875" customWidth="1"/>
    <col min="118" max="118" width="14.7109375" customWidth="1"/>
    <col min="119" max="119" width="14.140625" customWidth="1"/>
  </cols>
  <sheetData>
    <row r="1" spans="1:119" x14ac:dyDescent="0.2">
      <c r="A1" s="846"/>
      <c r="B1" s="846"/>
      <c r="C1" s="846"/>
      <c r="D1" s="846"/>
      <c r="E1" s="846"/>
      <c r="F1" s="846"/>
      <c r="G1" s="846"/>
      <c r="H1" s="846"/>
      <c r="I1" s="846"/>
      <c r="J1" s="846"/>
      <c r="K1" s="846"/>
      <c r="L1" s="846"/>
      <c r="M1" s="846"/>
      <c r="N1" s="846"/>
      <c r="O1" s="846"/>
      <c r="P1" s="846"/>
      <c r="Q1" s="846"/>
    </row>
    <row r="3" spans="1:119" x14ac:dyDescent="0.2">
      <c r="A3" s="846"/>
      <c r="B3" s="846"/>
      <c r="C3" s="846"/>
      <c r="D3" s="846"/>
      <c r="E3" s="846"/>
      <c r="F3" s="846"/>
      <c r="G3" s="846"/>
      <c r="H3" s="846"/>
      <c r="I3" s="846"/>
      <c r="J3" s="846"/>
      <c r="K3" s="846"/>
      <c r="L3" s="846"/>
      <c r="M3" s="846"/>
      <c r="N3" s="846"/>
      <c r="O3" s="846"/>
      <c r="P3" s="846"/>
      <c r="Q3" s="846"/>
    </row>
    <row r="4" spans="1:119" x14ac:dyDescent="0.2">
      <c r="A4" s="846"/>
      <c r="B4" s="846"/>
      <c r="C4" s="846"/>
      <c r="D4" s="846"/>
      <c r="E4" s="846"/>
      <c r="F4" s="846"/>
      <c r="G4" s="846"/>
      <c r="H4" s="846"/>
      <c r="I4" s="846"/>
      <c r="J4" s="846"/>
      <c r="K4" s="846"/>
      <c r="L4" s="846"/>
      <c r="M4" s="846"/>
      <c r="N4" s="846"/>
      <c r="O4" s="846"/>
      <c r="P4" s="846"/>
      <c r="Q4" s="846"/>
    </row>
    <row r="6" spans="1:119" x14ac:dyDescent="0.2">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54</v>
      </c>
      <c r="BC6">
        <v>55</v>
      </c>
      <c r="BD6">
        <v>56</v>
      </c>
      <c r="BE6">
        <v>57</v>
      </c>
      <c r="BF6">
        <v>58</v>
      </c>
      <c r="BG6">
        <v>59</v>
      </c>
      <c r="BH6">
        <v>60</v>
      </c>
      <c r="BI6">
        <v>61</v>
      </c>
      <c r="BJ6">
        <v>62</v>
      </c>
      <c r="BK6">
        <v>63</v>
      </c>
      <c r="BL6">
        <v>64</v>
      </c>
      <c r="BM6">
        <v>65</v>
      </c>
      <c r="BN6">
        <v>66</v>
      </c>
      <c r="BO6">
        <v>67</v>
      </c>
      <c r="BP6">
        <v>68</v>
      </c>
      <c r="BQ6">
        <v>69</v>
      </c>
      <c r="BR6">
        <v>70</v>
      </c>
      <c r="BS6">
        <v>71</v>
      </c>
      <c r="BT6">
        <v>72</v>
      </c>
      <c r="BU6">
        <v>73</v>
      </c>
      <c r="BV6">
        <v>74</v>
      </c>
      <c r="BW6">
        <v>75</v>
      </c>
      <c r="BX6">
        <v>76</v>
      </c>
      <c r="BY6">
        <v>77</v>
      </c>
      <c r="BZ6">
        <v>78</v>
      </c>
      <c r="CA6">
        <v>79</v>
      </c>
      <c r="CB6">
        <v>80</v>
      </c>
      <c r="CC6">
        <v>81</v>
      </c>
      <c r="CD6">
        <v>82</v>
      </c>
      <c r="CE6">
        <v>83</v>
      </c>
      <c r="CF6">
        <v>84</v>
      </c>
      <c r="CG6">
        <v>85</v>
      </c>
      <c r="CH6">
        <v>86</v>
      </c>
      <c r="CI6">
        <v>87</v>
      </c>
      <c r="CJ6">
        <v>88</v>
      </c>
      <c r="CK6">
        <v>89</v>
      </c>
      <c r="CL6">
        <v>90</v>
      </c>
      <c r="CM6">
        <v>91</v>
      </c>
      <c r="CN6">
        <v>92</v>
      </c>
      <c r="CO6">
        <v>93</v>
      </c>
      <c r="CP6">
        <v>94</v>
      </c>
      <c r="CQ6">
        <v>95</v>
      </c>
      <c r="CR6">
        <v>96</v>
      </c>
      <c r="CS6">
        <v>97</v>
      </c>
      <c r="CT6">
        <v>98</v>
      </c>
      <c r="CU6">
        <v>99</v>
      </c>
      <c r="CV6">
        <v>100</v>
      </c>
      <c r="CW6">
        <v>101</v>
      </c>
      <c r="CX6">
        <v>102</v>
      </c>
      <c r="CY6">
        <v>103</v>
      </c>
      <c r="CZ6">
        <v>104</v>
      </c>
      <c r="DA6">
        <v>105</v>
      </c>
      <c r="DB6">
        <v>106</v>
      </c>
      <c r="DC6">
        <v>107</v>
      </c>
      <c r="DD6">
        <v>108</v>
      </c>
      <c r="DE6">
        <v>109</v>
      </c>
      <c r="DF6">
        <v>110</v>
      </c>
      <c r="DG6">
        <v>111</v>
      </c>
      <c r="DH6">
        <v>112</v>
      </c>
      <c r="DI6">
        <v>113</v>
      </c>
      <c r="DJ6">
        <v>114</v>
      </c>
      <c r="DK6">
        <v>115</v>
      </c>
      <c r="DL6">
        <v>116</v>
      </c>
      <c r="DM6">
        <v>117</v>
      </c>
      <c r="DN6">
        <v>118</v>
      </c>
      <c r="DO6">
        <v>119</v>
      </c>
    </row>
    <row r="7" spans="1:119" ht="12.75" customHeight="1" x14ac:dyDescent="0.2">
      <c r="A7" s="839" t="s">
        <v>5</v>
      </c>
      <c r="B7" s="839" t="s">
        <v>242</v>
      </c>
      <c r="C7" s="839" t="s">
        <v>243</v>
      </c>
      <c r="D7" s="838">
        <v>2016</v>
      </c>
      <c r="E7" s="839"/>
      <c r="F7" s="839"/>
      <c r="G7" s="839"/>
      <c r="H7" s="839"/>
      <c r="I7" s="839"/>
      <c r="J7" s="839"/>
      <c r="K7" s="839"/>
      <c r="L7" s="839"/>
      <c r="M7" s="839"/>
      <c r="N7" s="839"/>
      <c r="O7" s="839"/>
      <c r="P7" s="838">
        <v>2017</v>
      </c>
      <c r="Q7" s="839"/>
      <c r="R7" s="839"/>
      <c r="S7" s="839"/>
      <c r="T7" s="839"/>
      <c r="U7" s="839"/>
      <c r="V7" s="839"/>
      <c r="W7" s="839"/>
      <c r="X7" s="839"/>
      <c r="Y7" s="839"/>
      <c r="Z7" s="839"/>
      <c r="AA7" s="839"/>
      <c r="AB7" s="838">
        <v>2018</v>
      </c>
      <c r="AC7" s="839"/>
      <c r="AD7" s="839"/>
      <c r="AE7" s="839"/>
      <c r="AF7" s="839"/>
      <c r="AG7" s="839"/>
      <c r="AH7" s="839"/>
      <c r="AI7" s="839"/>
      <c r="AJ7" s="839"/>
      <c r="AK7" s="839"/>
      <c r="AL7" s="839"/>
      <c r="AM7" s="839"/>
      <c r="AN7" s="838">
        <v>2019</v>
      </c>
      <c r="AO7" s="839"/>
      <c r="AP7" s="839"/>
      <c r="AQ7" s="839"/>
      <c r="AR7" s="839"/>
      <c r="AS7" s="839"/>
      <c r="AT7" s="839"/>
      <c r="AU7" s="839"/>
      <c r="AV7" s="839"/>
      <c r="AW7" s="839"/>
      <c r="AX7" s="839"/>
      <c r="AY7" s="839"/>
      <c r="AZ7" s="838">
        <v>2020</v>
      </c>
      <c r="BA7" s="839"/>
      <c r="BB7" s="839"/>
      <c r="BC7" s="839"/>
      <c r="BD7" s="839"/>
      <c r="BE7" s="839"/>
      <c r="BF7" s="839"/>
      <c r="BG7" s="839"/>
      <c r="BH7" s="839"/>
      <c r="BI7" s="839"/>
      <c r="BJ7" s="839"/>
      <c r="BK7" s="839"/>
      <c r="BL7" s="838">
        <v>2021</v>
      </c>
      <c r="BM7" s="839"/>
      <c r="BN7" s="839"/>
      <c r="BO7" s="839"/>
      <c r="BP7" s="839"/>
      <c r="BQ7" s="839"/>
      <c r="BR7" s="839"/>
      <c r="BS7" s="839"/>
      <c r="BT7" s="839"/>
      <c r="BU7" s="839"/>
      <c r="BV7" s="839"/>
      <c r="BW7" s="839"/>
      <c r="BX7" s="839"/>
      <c r="BY7" s="839"/>
      <c r="BZ7" s="838">
        <v>2022</v>
      </c>
      <c r="CA7" s="839"/>
      <c r="CB7" s="839"/>
      <c r="CC7" s="839"/>
      <c r="CD7" s="839"/>
      <c r="CE7" s="839"/>
      <c r="CF7" s="839"/>
      <c r="CG7" s="839"/>
      <c r="CH7" s="839"/>
      <c r="CI7" s="839"/>
      <c r="CJ7" s="839"/>
      <c r="CK7" s="839"/>
      <c r="CL7" s="839"/>
      <c r="CM7" s="839"/>
      <c r="CN7" s="838">
        <v>2023</v>
      </c>
      <c r="CO7" s="839"/>
      <c r="CP7" s="839"/>
      <c r="CQ7" s="839"/>
      <c r="CR7" s="839"/>
      <c r="CS7" s="839"/>
      <c r="CT7" s="839"/>
      <c r="CU7" s="839"/>
      <c r="CV7" s="839"/>
      <c r="CW7" s="839"/>
      <c r="CX7" s="839"/>
      <c r="CY7" s="839"/>
      <c r="CZ7" s="839"/>
      <c r="DA7" s="839"/>
      <c r="DB7" s="1002">
        <v>2024</v>
      </c>
      <c r="DC7" s="1003"/>
      <c r="DD7" s="1003"/>
      <c r="DE7" s="1003"/>
      <c r="DF7" s="1003"/>
      <c r="DG7" s="1003"/>
      <c r="DH7" s="1003"/>
      <c r="DI7" s="1003"/>
      <c r="DJ7" s="1003"/>
      <c r="DK7" s="1003"/>
      <c r="DL7" s="1003"/>
      <c r="DM7" s="1003"/>
      <c r="DN7" s="1003"/>
      <c r="DO7" s="1003"/>
    </row>
    <row r="8" spans="1:119" x14ac:dyDescent="0.2">
      <c r="A8" s="839"/>
      <c r="B8" s="839"/>
      <c r="C8" s="839"/>
      <c r="D8" s="981" t="s">
        <v>218</v>
      </c>
      <c r="E8" s="980" t="s">
        <v>217</v>
      </c>
      <c r="F8" s="973" t="s">
        <v>278</v>
      </c>
      <c r="G8" s="983"/>
      <c r="H8" s="983"/>
      <c r="I8" s="983"/>
      <c r="J8" s="973" t="s">
        <v>279</v>
      </c>
      <c r="K8" s="983"/>
      <c r="L8" s="983"/>
      <c r="M8" s="983"/>
      <c r="N8" s="983"/>
      <c r="O8" s="983"/>
      <c r="P8" s="981" t="s">
        <v>218</v>
      </c>
      <c r="Q8" s="980" t="s">
        <v>217</v>
      </c>
      <c r="R8" s="982" t="s">
        <v>278</v>
      </c>
      <c r="S8" s="983"/>
      <c r="T8" s="983"/>
      <c r="U8" s="983"/>
      <c r="V8" s="982" t="s">
        <v>279</v>
      </c>
      <c r="W8" s="983"/>
      <c r="X8" s="983"/>
      <c r="Y8" s="983"/>
      <c r="Z8" s="983"/>
      <c r="AA8" s="983"/>
      <c r="AB8" s="970" t="s">
        <v>218</v>
      </c>
      <c r="AC8" s="969" t="s">
        <v>217</v>
      </c>
      <c r="AD8" s="973" t="s">
        <v>278</v>
      </c>
      <c r="AE8" s="846"/>
      <c r="AF8" s="846"/>
      <c r="AG8" s="846"/>
      <c r="AH8" s="973" t="s">
        <v>279</v>
      </c>
      <c r="AI8" s="846"/>
      <c r="AJ8" s="846"/>
      <c r="AK8" s="846"/>
      <c r="AL8" s="846"/>
      <c r="AM8" s="846"/>
      <c r="AN8" s="970" t="s">
        <v>218</v>
      </c>
      <c r="AO8" s="969" t="s">
        <v>217</v>
      </c>
      <c r="AP8" s="973" t="s">
        <v>278</v>
      </c>
      <c r="AQ8" s="846"/>
      <c r="AR8" s="846"/>
      <c r="AS8" s="846"/>
      <c r="AT8" s="973" t="s">
        <v>279</v>
      </c>
      <c r="AU8" s="846"/>
      <c r="AV8" s="846"/>
      <c r="AW8" s="846"/>
      <c r="AX8" s="846"/>
      <c r="AY8" s="846"/>
      <c r="AZ8" s="970" t="s">
        <v>218</v>
      </c>
      <c r="BA8" s="969" t="s">
        <v>217</v>
      </c>
      <c r="BB8" s="51" t="s">
        <v>278</v>
      </c>
      <c r="BC8" s="52"/>
      <c r="BD8" s="52"/>
      <c r="BE8" s="53"/>
      <c r="BF8" s="51" t="s">
        <v>279</v>
      </c>
      <c r="BG8" s="52"/>
      <c r="BH8" s="52"/>
      <c r="BI8" s="52"/>
      <c r="BJ8" s="52"/>
      <c r="BK8" s="53"/>
      <c r="BL8" s="970" t="s">
        <v>218</v>
      </c>
      <c r="BM8" s="1006" t="s">
        <v>888</v>
      </c>
      <c r="BN8" s="969" t="s">
        <v>217</v>
      </c>
      <c r="BO8" s="1006" t="s">
        <v>889</v>
      </c>
      <c r="BP8" s="1007" t="s">
        <v>278</v>
      </c>
      <c r="BQ8" s="1008"/>
      <c r="BR8" s="1008"/>
      <c r="BS8" s="1009"/>
      <c r="BT8" s="1010" t="s">
        <v>279</v>
      </c>
      <c r="BU8" s="1011"/>
      <c r="BV8" s="1011"/>
      <c r="BW8" s="1011"/>
      <c r="BX8" s="1011"/>
      <c r="BY8" s="1012"/>
      <c r="BZ8" s="970" t="s">
        <v>218</v>
      </c>
      <c r="CA8" s="1006" t="s">
        <v>888</v>
      </c>
      <c r="CB8" s="969" t="s">
        <v>217</v>
      </c>
      <c r="CC8" s="1006" t="s">
        <v>889</v>
      </c>
      <c r="CD8" s="1007" t="s">
        <v>278</v>
      </c>
      <c r="CE8" s="1008"/>
      <c r="CF8" s="1008"/>
      <c r="CG8" s="1009"/>
      <c r="CH8" s="1010" t="s">
        <v>279</v>
      </c>
      <c r="CI8" s="1011"/>
      <c r="CJ8" s="1011"/>
      <c r="CK8" s="1011"/>
      <c r="CL8" s="1011"/>
      <c r="CM8" s="1012"/>
      <c r="CN8" s="970" t="s">
        <v>218</v>
      </c>
      <c r="CO8" s="1006" t="s">
        <v>888</v>
      </c>
      <c r="CP8" s="969" t="s">
        <v>217</v>
      </c>
      <c r="CQ8" s="1006" t="s">
        <v>889</v>
      </c>
      <c r="CR8" s="1007" t="s">
        <v>278</v>
      </c>
      <c r="CS8" s="1008"/>
      <c r="CT8" s="1008"/>
      <c r="CU8" s="1009"/>
      <c r="CV8" s="1010" t="s">
        <v>279</v>
      </c>
      <c r="CW8" s="1011"/>
      <c r="CX8" s="1011"/>
      <c r="CY8" s="1011"/>
      <c r="CZ8" s="1011"/>
      <c r="DA8" s="1012"/>
      <c r="DB8" s="970" t="s">
        <v>218</v>
      </c>
      <c r="DC8" s="1006" t="s">
        <v>888</v>
      </c>
      <c r="DD8" s="969" t="s">
        <v>217</v>
      </c>
      <c r="DE8" s="1006" t="s">
        <v>889</v>
      </c>
      <c r="DF8" s="1007" t="s">
        <v>278</v>
      </c>
      <c r="DG8" s="1008"/>
      <c r="DH8" s="1008"/>
      <c r="DI8" s="1009"/>
      <c r="DJ8" s="593" t="s">
        <v>279</v>
      </c>
      <c r="DK8" s="593" t="s">
        <v>279</v>
      </c>
      <c r="DL8" s="593" t="s">
        <v>279</v>
      </c>
      <c r="DM8" s="593" t="s">
        <v>279</v>
      </c>
      <c r="DN8" s="593" t="s">
        <v>279</v>
      </c>
      <c r="DO8" s="593" t="s">
        <v>279</v>
      </c>
    </row>
    <row r="9" spans="1:119" ht="49.5" customHeight="1" x14ac:dyDescent="0.2">
      <c r="A9" s="855"/>
      <c r="B9" s="855"/>
      <c r="C9" s="855"/>
      <c r="D9" s="971"/>
      <c r="E9" s="972"/>
      <c r="F9" s="7" t="s">
        <v>190</v>
      </c>
      <c r="G9" s="7" t="s">
        <v>79</v>
      </c>
      <c r="H9" s="7" t="s">
        <v>156</v>
      </c>
      <c r="I9" s="7" t="s">
        <v>95</v>
      </c>
      <c r="J9" s="7" t="s">
        <v>351</v>
      </c>
      <c r="K9" s="7" t="s">
        <v>356</v>
      </c>
      <c r="L9" s="7" t="s">
        <v>357</v>
      </c>
      <c r="M9" s="7" t="s">
        <v>349</v>
      </c>
      <c r="N9" s="7" t="s">
        <v>345</v>
      </c>
      <c r="O9" s="7" t="s">
        <v>341</v>
      </c>
      <c r="P9" s="971"/>
      <c r="Q9" s="972"/>
      <c r="R9" s="16" t="s">
        <v>190</v>
      </c>
      <c r="S9" s="16" t="s">
        <v>79</v>
      </c>
      <c r="T9" s="16" t="s">
        <v>156</v>
      </c>
      <c r="U9" s="16" t="s">
        <v>95</v>
      </c>
      <c r="V9" s="16" t="s">
        <v>351</v>
      </c>
      <c r="W9" s="16" t="s">
        <v>356</v>
      </c>
      <c r="X9" s="16" t="s">
        <v>357</v>
      </c>
      <c r="Y9" s="16" t="s">
        <v>349</v>
      </c>
      <c r="Z9" s="16" t="s">
        <v>345</v>
      </c>
      <c r="AA9" s="16" t="s">
        <v>341</v>
      </c>
      <c r="AB9" s="971"/>
      <c r="AC9" s="972"/>
      <c r="AD9" s="7" t="s">
        <v>190</v>
      </c>
      <c r="AE9" s="7" t="s">
        <v>79</v>
      </c>
      <c r="AF9" s="7" t="s">
        <v>156</v>
      </c>
      <c r="AG9" s="7" t="s">
        <v>95</v>
      </c>
      <c r="AH9" s="7" t="s">
        <v>347</v>
      </c>
      <c r="AI9" s="7" t="s">
        <v>356</v>
      </c>
      <c r="AJ9" s="7" t="s">
        <v>350</v>
      </c>
      <c r="AK9" s="7" t="s">
        <v>352</v>
      </c>
      <c r="AL9" s="7" t="s">
        <v>342</v>
      </c>
      <c r="AM9" s="7" t="s">
        <v>358</v>
      </c>
      <c r="AN9" s="971"/>
      <c r="AO9" s="972"/>
      <c r="AP9" s="7">
        <v>1</v>
      </c>
      <c r="AQ9" s="7">
        <v>2</v>
      </c>
      <c r="AR9" s="7">
        <v>3</v>
      </c>
      <c r="AS9" s="7">
        <v>4</v>
      </c>
      <c r="AT9" s="7" t="s">
        <v>359</v>
      </c>
      <c r="AU9" s="7" t="s">
        <v>343</v>
      </c>
      <c r="AV9" s="7" t="s">
        <v>346</v>
      </c>
      <c r="AW9" s="7" t="s">
        <v>349</v>
      </c>
      <c r="AX9" s="7" t="s">
        <v>353</v>
      </c>
      <c r="AY9" s="7" t="s">
        <v>355</v>
      </c>
      <c r="AZ9" s="971"/>
      <c r="BA9" s="972"/>
      <c r="BB9" s="54" t="s">
        <v>190</v>
      </c>
      <c r="BC9" s="54" t="s">
        <v>79</v>
      </c>
      <c r="BD9" s="54" t="s">
        <v>156</v>
      </c>
      <c r="BE9" s="54" t="s">
        <v>95</v>
      </c>
      <c r="BF9" s="16" t="s">
        <v>344</v>
      </c>
      <c r="BG9" s="16" t="s">
        <v>348</v>
      </c>
      <c r="BH9" s="16" t="s">
        <v>354</v>
      </c>
      <c r="BI9" s="16" t="s">
        <v>360</v>
      </c>
      <c r="BJ9" s="16" t="s">
        <v>345</v>
      </c>
      <c r="BK9" s="16" t="s">
        <v>355</v>
      </c>
      <c r="BL9" s="971"/>
      <c r="BM9" s="1006" t="s">
        <v>11</v>
      </c>
      <c r="BN9" s="972"/>
      <c r="BO9" s="1006"/>
      <c r="BP9" s="54" t="s">
        <v>190</v>
      </c>
      <c r="BQ9" s="54" t="s">
        <v>79</v>
      </c>
      <c r="BR9" s="54" t="s">
        <v>156</v>
      </c>
      <c r="BS9" s="54" t="s">
        <v>95</v>
      </c>
      <c r="BT9" s="7" t="s">
        <v>359</v>
      </c>
      <c r="BU9" s="7" t="s">
        <v>884</v>
      </c>
      <c r="BV9" s="7" t="s">
        <v>885</v>
      </c>
      <c r="BW9" s="7" t="s">
        <v>886</v>
      </c>
      <c r="BX9" s="7" t="s">
        <v>887</v>
      </c>
      <c r="BY9" s="7" t="s">
        <v>355</v>
      </c>
      <c r="BZ9" s="971"/>
      <c r="CA9" s="1006" t="s">
        <v>11</v>
      </c>
      <c r="CB9" s="972"/>
      <c r="CC9" s="1006"/>
      <c r="CD9" s="54" t="s">
        <v>190</v>
      </c>
      <c r="CE9" s="54" t="s">
        <v>79</v>
      </c>
      <c r="CF9" s="54" t="s">
        <v>156</v>
      </c>
      <c r="CG9" s="54" t="s">
        <v>95</v>
      </c>
      <c r="CH9" s="7" t="s">
        <v>938</v>
      </c>
      <c r="CI9" s="7" t="s">
        <v>356</v>
      </c>
      <c r="CJ9" s="7" t="s">
        <v>354</v>
      </c>
      <c r="CK9" s="7" t="s">
        <v>937</v>
      </c>
      <c r="CL9" s="7" t="s">
        <v>345</v>
      </c>
      <c r="CM9" s="7" t="s">
        <v>358</v>
      </c>
      <c r="CN9" s="971"/>
      <c r="CO9" s="1006" t="s">
        <v>11</v>
      </c>
      <c r="CP9" s="972"/>
      <c r="CQ9" s="1006"/>
      <c r="CR9" s="54" t="s">
        <v>190</v>
      </c>
      <c r="CS9" s="54" t="s">
        <v>79</v>
      </c>
      <c r="CT9" s="54" t="s">
        <v>156</v>
      </c>
      <c r="CU9" s="54" t="s">
        <v>95</v>
      </c>
      <c r="CV9" s="7" t="s">
        <v>938</v>
      </c>
      <c r="CW9" s="7" t="s">
        <v>356</v>
      </c>
      <c r="CX9" s="7" t="s">
        <v>354</v>
      </c>
      <c r="CY9" s="7" t="s">
        <v>937</v>
      </c>
      <c r="CZ9" s="7" t="s">
        <v>345</v>
      </c>
      <c r="DA9" s="7" t="s">
        <v>358</v>
      </c>
      <c r="DB9" s="971"/>
      <c r="DC9" s="1006" t="s">
        <v>11</v>
      </c>
      <c r="DD9" s="972"/>
      <c r="DE9" s="1006"/>
      <c r="DF9" s="54">
        <v>1</v>
      </c>
      <c r="DG9" s="54">
        <v>2</v>
      </c>
      <c r="DH9" s="54">
        <v>3</v>
      </c>
      <c r="DI9" s="54">
        <v>4</v>
      </c>
      <c r="DJ9" s="476" t="s">
        <v>280</v>
      </c>
      <c r="DK9" s="476" t="s">
        <v>281</v>
      </c>
      <c r="DL9" s="476" t="s">
        <v>282</v>
      </c>
      <c r="DM9" s="476" t="s">
        <v>288</v>
      </c>
      <c r="DN9" s="476" t="s">
        <v>289</v>
      </c>
      <c r="DO9" s="476" t="s">
        <v>290</v>
      </c>
    </row>
    <row r="10" spans="1:119" ht="24.95" customHeight="1" x14ac:dyDescent="0.2">
      <c r="A10" s="3" t="s">
        <v>10</v>
      </c>
      <c r="B10" s="3"/>
      <c r="C10" s="3"/>
      <c r="D10" s="17">
        <v>52</v>
      </c>
      <c r="E10" s="17">
        <v>11</v>
      </c>
      <c r="F10" s="64">
        <v>0.17</v>
      </c>
      <c r="G10" s="64">
        <v>0.47</v>
      </c>
      <c r="H10" s="64">
        <v>0.32</v>
      </c>
      <c r="I10" s="64">
        <v>0.03</v>
      </c>
      <c r="J10" s="64">
        <v>0.55000000000000004</v>
      </c>
      <c r="K10" s="64">
        <v>0.51</v>
      </c>
      <c r="L10" s="64">
        <v>0.57999999999999996</v>
      </c>
      <c r="M10" s="64">
        <v>0.43</v>
      </c>
      <c r="N10" s="64">
        <v>0.44</v>
      </c>
      <c r="O10" s="64">
        <v>0.49</v>
      </c>
      <c r="P10" s="17">
        <v>51</v>
      </c>
      <c r="Q10" s="17">
        <v>11</v>
      </c>
      <c r="R10" s="58">
        <v>0.17</v>
      </c>
      <c r="S10" s="58">
        <v>0.47</v>
      </c>
      <c r="T10" s="58">
        <v>0.32</v>
      </c>
      <c r="U10" s="58">
        <v>0.04</v>
      </c>
      <c r="V10" s="58">
        <v>0.43</v>
      </c>
      <c r="W10" s="58">
        <v>0.48</v>
      </c>
      <c r="X10" s="58">
        <v>0.54</v>
      </c>
      <c r="Y10" s="58">
        <v>0.44</v>
      </c>
      <c r="Z10" s="58">
        <v>0.41</v>
      </c>
      <c r="AA10" s="58">
        <v>0.48</v>
      </c>
      <c r="AB10" s="17">
        <v>49</v>
      </c>
      <c r="AC10" s="17">
        <v>12</v>
      </c>
      <c r="AD10" s="37">
        <v>0.25</v>
      </c>
      <c r="AE10" s="37">
        <v>0.43</v>
      </c>
      <c r="AF10" s="37">
        <v>0.28000000000000003</v>
      </c>
      <c r="AG10" s="37">
        <v>0.04</v>
      </c>
      <c r="AH10" s="37">
        <v>0.43</v>
      </c>
      <c r="AI10" s="37">
        <v>0.44</v>
      </c>
      <c r="AJ10" s="37">
        <v>0.42</v>
      </c>
      <c r="AK10" s="37">
        <v>0.5</v>
      </c>
      <c r="AL10" s="37">
        <v>0.53</v>
      </c>
      <c r="AM10" s="37">
        <v>0.52</v>
      </c>
      <c r="AN10" s="17">
        <v>48</v>
      </c>
      <c r="AO10" s="17">
        <v>12</v>
      </c>
      <c r="AP10" s="37">
        <v>0.32</v>
      </c>
      <c r="AQ10" s="37">
        <v>0.41</v>
      </c>
      <c r="AR10" s="37">
        <v>0.24</v>
      </c>
      <c r="AS10" s="37">
        <v>0.03</v>
      </c>
      <c r="AT10" s="37">
        <v>0.55000000000000004</v>
      </c>
      <c r="AU10" s="37">
        <v>0.48</v>
      </c>
      <c r="AV10" s="37">
        <v>0.46</v>
      </c>
      <c r="AW10" s="37">
        <v>0.48</v>
      </c>
      <c r="AX10" s="37">
        <v>0.49</v>
      </c>
      <c r="AY10" s="37">
        <v>0.49</v>
      </c>
      <c r="AZ10" s="48">
        <v>49</v>
      </c>
      <c r="BA10" s="48">
        <v>12</v>
      </c>
      <c r="BB10" s="55">
        <v>0.27</v>
      </c>
      <c r="BC10" s="55">
        <v>0.42</v>
      </c>
      <c r="BD10" s="55">
        <v>0.27</v>
      </c>
      <c r="BE10" s="55">
        <v>0.04</v>
      </c>
      <c r="BF10" s="55">
        <v>0.5</v>
      </c>
      <c r="BG10" s="55">
        <v>0.49</v>
      </c>
      <c r="BH10" s="55">
        <v>0.49</v>
      </c>
      <c r="BI10" s="55">
        <v>0.56000000000000005</v>
      </c>
      <c r="BJ10" s="55">
        <v>0.44</v>
      </c>
      <c r="BK10" s="55">
        <v>0.45</v>
      </c>
      <c r="BL10" s="246">
        <v>48</v>
      </c>
      <c r="BM10" s="246" t="s">
        <v>874</v>
      </c>
      <c r="BN10" s="246">
        <v>12</v>
      </c>
      <c r="BO10" s="246" t="s">
        <v>874</v>
      </c>
      <c r="BP10" s="261">
        <v>0.31</v>
      </c>
      <c r="BQ10" s="261">
        <v>0.42</v>
      </c>
      <c r="BR10" s="261">
        <v>0.24</v>
      </c>
      <c r="BS10" s="261">
        <v>0.03</v>
      </c>
      <c r="BT10" s="261">
        <v>0.46</v>
      </c>
      <c r="BU10" s="261">
        <v>0.51</v>
      </c>
      <c r="BV10" s="261">
        <v>0.57999999999999996</v>
      </c>
      <c r="BW10" s="261">
        <v>0.46</v>
      </c>
      <c r="BX10" s="261">
        <v>0.5</v>
      </c>
      <c r="BY10" s="261">
        <v>0.55000000000000004</v>
      </c>
      <c r="BZ10" s="315">
        <v>48</v>
      </c>
      <c r="CA10" s="315" t="s">
        <v>874</v>
      </c>
      <c r="CB10" s="315">
        <v>12</v>
      </c>
      <c r="CC10" s="315" t="s">
        <v>874</v>
      </c>
      <c r="CD10" s="289">
        <v>0.28999999999999998</v>
      </c>
      <c r="CE10" s="289">
        <v>0.41</v>
      </c>
      <c r="CF10" s="289">
        <v>0.27</v>
      </c>
      <c r="CG10" s="289">
        <v>0.03</v>
      </c>
      <c r="CH10" s="289">
        <v>0.52</v>
      </c>
      <c r="CI10" s="289">
        <v>0.43</v>
      </c>
      <c r="CJ10" s="289">
        <v>0.57999999999999996</v>
      </c>
      <c r="CK10" s="289">
        <v>0.56000000000000005</v>
      </c>
      <c r="CL10" s="289">
        <v>0.45</v>
      </c>
      <c r="CM10" s="289">
        <v>0.57999999999999996</v>
      </c>
      <c r="CN10" s="423">
        <v>49</v>
      </c>
      <c r="CO10" s="423" t="s">
        <v>874</v>
      </c>
      <c r="CP10" s="423">
        <v>12</v>
      </c>
      <c r="CQ10" s="423" t="s">
        <v>874</v>
      </c>
      <c r="CR10" s="427">
        <v>0.27</v>
      </c>
      <c r="CS10" s="427">
        <v>0.42</v>
      </c>
      <c r="CT10" s="427">
        <v>0.27</v>
      </c>
      <c r="CU10" s="427">
        <v>0.04</v>
      </c>
      <c r="CV10" s="427">
        <v>0.39</v>
      </c>
      <c r="CW10" s="427">
        <v>0.55000000000000004</v>
      </c>
      <c r="CX10" s="427">
        <v>0.56999999999999995</v>
      </c>
      <c r="CY10" s="427">
        <v>0.61</v>
      </c>
      <c r="CZ10" s="427">
        <v>0.56000000000000005</v>
      </c>
      <c r="DA10" s="427">
        <v>0.55000000000000004</v>
      </c>
      <c r="DB10" s="423">
        <v>49</v>
      </c>
      <c r="DC10" s="423" t="s">
        <v>874</v>
      </c>
      <c r="DD10" s="423">
        <v>12</v>
      </c>
      <c r="DE10" s="423" t="s">
        <v>874</v>
      </c>
      <c r="DF10" s="427">
        <v>0.27</v>
      </c>
      <c r="DG10" s="427">
        <v>0.41</v>
      </c>
      <c r="DH10" s="427">
        <v>0.28000000000000003</v>
      </c>
      <c r="DI10" s="427">
        <v>0.04</v>
      </c>
      <c r="DJ10" s="427">
        <v>0.51</v>
      </c>
      <c r="DK10" s="427">
        <v>0.5</v>
      </c>
      <c r="DL10" s="427">
        <v>0.51</v>
      </c>
      <c r="DM10" s="427">
        <v>0.62</v>
      </c>
      <c r="DN10" s="427">
        <v>0.53</v>
      </c>
      <c r="DO10" s="427">
        <v>0.41</v>
      </c>
    </row>
    <row r="11" spans="1:119" ht="24.95" customHeight="1" x14ac:dyDescent="0.2">
      <c r="A11" s="4" t="s">
        <v>0</v>
      </c>
      <c r="B11" s="4"/>
      <c r="C11" s="4"/>
      <c r="D11" s="19">
        <v>52</v>
      </c>
      <c r="E11" s="19">
        <v>9</v>
      </c>
      <c r="F11" s="62">
        <v>0.13</v>
      </c>
      <c r="G11" s="62">
        <v>0.52</v>
      </c>
      <c r="H11" s="62">
        <v>0.33</v>
      </c>
      <c r="I11" s="62">
        <v>0.01</v>
      </c>
      <c r="J11" s="62">
        <v>0.53</v>
      </c>
      <c r="K11" s="62">
        <v>0.49</v>
      </c>
      <c r="L11" s="62">
        <v>0.57999999999999996</v>
      </c>
      <c r="M11" s="62">
        <v>0.41</v>
      </c>
      <c r="N11" s="62">
        <v>0.41</v>
      </c>
      <c r="O11" s="62">
        <v>0.5</v>
      </c>
      <c r="P11" s="19">
        <v>52</v>
      </c>
      <c r="Q11" s="19">
        <v>10</v>
      </c>
      <c r="R11" s="59">
        <v>0.13</v>
      </c>
      <c r="S11" s="59">
        <v>0.51</v>
      </c>
      <c r="T11" s="59">
        <v>0.33</v>
      </c>
      <c r="U11" s="59">
        <v>0.02</v>
      </c>
      <c r="V11" s="59">
        <v>0.41</v>
      </c>
      <c r="W11" s="59">
        <v>0.47</v>
      </c>
      <c r="X11" s="59">
        <v>0.55000000000000004</v>
      </c>
      <c r="Y11" s="59">
        <v>0.44</v>
      </c>
      <c r="Z11" s="59">
        <v>0.42</v>
      </c>
      <c r="AA11" s="59">
        <v>0.49</v>
      </c>
      <c r="AB11" s="19">
        <v>50</v>
      </c>
      <c r="AC11" s="19">
        <v>10</v>
      </c>
      <c r="AD11" s="38">
        <v>0.21</v>
      </c>
      <c r="AE11" s="38">
        <v>0.49</v>
      </c>
      <c r="AF11" s="38">
        <v>0.28999999999999998</v>
      </c>
      <c r="AG11" s="38">
        <v>0.02</v>
      </c>
      <c r="AH11" s="38">
        <v>0.43</v>
      </c>
      <c r="AI11" s="38">
        <v>0.43</v>
      </c>
      <c r="AJ11" s="38">
        <v>0.41</v>
      </c>
      <c r="AK11" s="38">
        <v>0.5</v>
      </c>
      <c r="AL11" s="38">
        <v>0.55000000000000004</v>
      </c>
      <c r="AM11" s="38">
        <v>0.52</v>
      </c>
      <c r="AN11" s="19">
        <v>48</v>
      </c>
      <c r="AO11" s="19">
        <v>11</v>
      </c>
      <c r="AP11" s="38">
        <v>0.26</v>
      </c>
      <c r="AQ11" s="38">
        <v>0.47</v>
      </c>
      <c r="AR11" s="38">
        <v>0.25</v>
      </c>
      <c r="AS11" s="38">
        <v>0.01</v>
      </c>
      <c r="AT11" s="38">
        <v>0.55000000000000004</v>
      </c>
      <c r="AU11" s="38">
        <v>0.48</v>
      </c>
      <c r="AV11" s="38">
        <v>0.46</v>
      </c>
      <c r="AW11" s="38">
        <v>0.47</v>
      </c>
      <c r="AX11" s="38">
        <v>0.48</v>
      </c>
      <c r="AY11" s="38">
        <v>0.48</v>
      </c>
      <c r="AZ11" s="49">
        <v>50</v>
      </c>
      <c r="BA11" s="49">
        <v>11</v>
      </c>
      <c r="BB11" s="56">
        <v>0.19</v>
      </c>
      <c r="BC11" s="56">
        <v>0.47</v>
      </c>
      <c r="BD11" s="56">
        <v>0.31</v>
      </c>
      <c r="BE11" s="56">
        <v>0.02</v>
      </c>
      <c r="BF11" s="56">
        <v>0.48</v>
      </c>
      <c r="BG11" s="56">
        <v>0.47</v>
      </c>
      <c r="BH11" s="56">
        <v>0.46</v>
      </c>
      <c r="BI11" s="56">
        <v>0.54</v>
      </c>
      <c r="BJ11" s="56">
        <v>0.42</v>
      </c>
      <c r="BK11" s="56">
        <v>0.41</v>
      </c>
      <c r="BL11" s="244">
        <v>49</v>
      </c>
      <c r="BM11" s="244" t="s">
        <v>11</v>
      </c>
      <c r="BN11" s="244">
        <v>11</v>
      </c>
      <c r="BO11" s="244" t="s">
        <v>11</v>
      </c>
      <c r="BP11" s="262">
        <v>0.23</v>
      </c>
      <c r="BQ11" s="262">
        <v>0.48</v>
      </c>
      <c r="BR11" s="262">
        <v>0.27</v>
      </c>
      <c r="BS11" s="262">
        <v>0.02</v>
      </c>
      <c r="BT11" s="262">
        <v>0.46</v>
      </c>
      <c r="BU11" s="262">
        <v>0.48</v>
      </c>
      <c r="BV11" s="262">
        <v>0.56000000000000005</v>
      </c>
      <c r="BW11" s="262">
        <v>0.43</v>
      </c>
      <c r="BX11" s="262">
        <v>0.47</v>
      </c>
      <c r="BY11" s="262">
        <v>0.53</v>
      </c>
      <c r="BZ11" s="316">
        <v>50</v>
      </c>
      <c r="CA11" s="316" t="s">
        <v>11</v>
      </c>
      <c r="CB11" s="316">
        <v>11</v>
      </c>
      <c r="CC11" s="316" t="s">
        <v>11</v>
      </c>
      <c r="CD11" s="290">
        <v>0.21</v>
      </c>
      <c r="CE11" s="290">
        <v>0.46</v>
      </c>
      <c r="CF11" s="290">
        <v>0.31</v>
      </c>
      <c r="CG11" s="290">
        <v>0.02</v>
      </c>
      <c r="CH11" s="290">
        <v>0.49</v>
      </c>
      <c r="CI11" s="290">
        <v>0.39</v>
      </c>
      <c r="CJ11" s="290">
        <v>0.56000000000000005</v>
      </c>
      <c r="CK11" s="290">
        <v>0.54</v>
      </c>
      <c r="CL11" s="290">
        <v>0.43</v>
      </c>
      <c r="CM11" s="290">
        <v>0.56999999999999995</v>
      </c>
      <c r="CN11" s="424">
        <v>50</v>
      </c>
      <c r="CO11" s="424" t="s">
        <v>11</v>
      </c>
      <c r="CP11" s="424">
        <v>11</v>
      </c>
      <c r="CQ11" s="424" t="s">
        <v>11</v>
      </c>
      <c r="CR11" s="428">
        <v>0.2</v>
      </c>
      <c r="CS11" s="428">
        <v>0.48</v>
      </c>
      <c r="CT11" s="428">
        <v>0.31</v>
      </c>
      <c r="CU11" s="428">
        <v>0.02</v>
      </c>
      <c r="CV11" s="428">
        <v>0.36</v>
      </c>
      <c r="CW11" s="428">
        <v>0.54</v>
      </c>
      <c r="CX11" s="428">
        <v>0.56000000000000005</v>
      </c>
      <c r="CY11" s="428">
        <v>0.63</v>
      </c>
      <c r="CZ11" s="523">
        <v>0.55000000000000004</v>
      </c>
      <c r="DA11" s="523">
        <v>0.55000000000000004</v>
      </c>
      <c r="DB11" s="524">
        <v>50</v>
      </c>
      <c r="DC11" s="524" t="s">
        <v>11</v>
      </c>
      <c r="DD11" s="524">
        <v>11</v>
      </c>
      <c r="DE11" s="524" t="s">
        <v>11</v>
      </c>
      <c r="DF11" s="523">
        <v>0.2</v>
      </c>
      <c r="DG11" s="523">
        <v>0.46</v>
      </c>
      <c r="DH11" s="523">
        <v>0.31</v>
      </c>
      <c r="DI11" s="523">
        <v>0.03</v>
      </c>
      <c r="DJ11" s="523">
        <v>0.49</v>
      </c>
      <c r="DK11" s="523">
        <v>0.48</v>
      </c>
      <c r="DL11" s="523">
        <v>0.48</v>
      </c>
      <c r="DM11" s="523">
        <v>0.63</v>
      </c>
      <c r="DN11" s="523">
        <v>0.52</v>
      </c>
      <c r="DO11" s="523">
        <v>0.4</v>
      </c>
    </row>
    <row r="12" spans="1:119" ht="24.95" customHeight="1" x14ac:dyDescent="0.2">
      <c r="A12" s="6" t="s">
        <v>12</v>
      </c>
      <c r="B12" s="6"/>
      <c r="C12" s="6"/>
      <c r="D12" s="21">
        <v>51</v>
      </c>
      <c r="E12" s="21">
        <v>9</v>
      </c>
      <c r="F12" s="65">
        <v>0.16</v>
      </c>
      <c r="G12" s="65">
        <v>0.55000000000000004</v>
      </c>
      <c r="H12" s="65">
        <v>0.28000000000000003</v>
      </c>
      <c r="I12" s="65">
        <v>0.01</v>
      </c>
      <c r="J12" s="39">
        <f t="shared" ref="J12:O12" si="0">AVERAGEIFS(J$36:J$171,$B$36:$B$171,"=oficial")</f>
        <v>0.56159999999999999</v>
      </c>
      <c r="K12" s="39">
        <f t="shared" si="0"/>
        <v>0.51200000000000001</v>
      </c>
      <c r="L12" s="39">
        <f t="shared" si="0"/>
        <v>0.5960000000000002</v>
      </c>
      <c r="M12" s="39">
        <f t="shared" si="0"/>
        <v>0.44279999999999992</v>
      </c>
      <c r="N12" s="39">
        <f t="shared" si="0"/>
        <v>0.44640000000000002</v>
      </c>
      <c r="O12" s="39">
        <f t="shared" si="0"/>
        <v>0.53079999999999994</v>
      </c>
      <c r="P12" s="21">
        <v>50</v>
      </c>
      <c r="Q12" s="21">
        <v>10</v>
      </c>
      <c r="R12" s="60">
        <v>0.16</v>
      </c>
      <c r="S12" s="60">
        <v>0.54</v>
      </c>
      <c r="T12" s="60">
        <v>0.28999999999999998</v>
      </c>
      <c r="U12" s="60">
        <v>0.01</v>
      </c>
      <c r="V12" s="39">
        <f t="shared" ref="V12:AA12" si="1">AVERAGEIFS(V$36:V$171,$B$36:$B$171,"=oficial")</f>
        <v>0.44240000000000002</v>
      </c>
      <c r="W12" s="39">
        <f t="shared" si="1"/>
        <v>0.49920000000000003</v>
      </c>
      <c r="X12" s="39">
        <f t="shared" si="1"/>
        <v>0.56600000000000017</v>
      </c>
      <c r="Y12" s="39">
        <f t="shared" si="1"/>
        <v>0.46920000000000006</v>
      </c>
      <c r="Z12" s="39">
        <f t="shared" si="1"/>
        <v>0.43800000000000006</v>
      </c>
      <c r="AA12" s="39">
        <f t="shared" si="1"/>
        <v>0.51880000000000004</v>
      </c>
      <c r="AB12" s="21">
        <v>48</v>
      </c>
      <c r="AC12" s="21">
        <v>10</v>
      </c>
      <c r="AD12" s="39">
        <v>0.25</v>
      </c>
      <c r="AE12" s="39">
        <v>0.51</v>
      </c>
      <c r="AF12" s="39">
        <v>0.24</v>
      </c>
      <c r="AG12" s="39">
        <v>0.01</v>
      </c>
      <c r="AH12" s="39">
        <f t="shared" ref="AH12:AM12" si="2">AVERAGEIFS(AH$36:AH$171,$B$36:$B$171,"=oficial")</f>
        <v>0.46</v>
      </c>
      <c r="AI12" s="39">
        <f t="shared" si="2"/>
        <v>0.46159999999999995</v>
      </c>
      <c r="AJ12" s="39">
        <f t="shared" si="2"/>
        <v>0.44</v>
      </c>
      <c r="AK12" s="39">
        <f t="shared" si="2"/>
        <v>0.53039999999999987</v>
      </c>
      <c r="AL12" s="39">
        <f t="shared" si="2"/>
        <v>0.57920000000000005</v>
      </c>
      <c r="AM12" s="39">
        <f t="shared" si="2"/>
        <v>0.54719999999999991</v>
      </c>
      <c r="AN12" s="21">
        <v>47</v>
      </c>
      <c r="AO12" s="21">
        <v>11</v>
      </c>
      <c r="AP12" s="39">
        <v>0.31</v>
      </c>
      <c r="AQ12" s="39">
        <v>0.48</v>
      </c>
      <c r="AR12" s="39">
        <v>0.2</v>
      </c>
      <c r="AS12" s="39">
        <v>0.01</v>
      </c>
      <c r="AT12" s="39">
        <f t="shared" ref="AT12:AY12" si="3">AVERAGEIFS(AT$36:AT$171,$B$36:$B$171,"=oficial")</f>
        <v>0.5776</v>
      </c>
      <c r="AU12" s="39">
        <f t="shared" si="3"/>
        <v>0.50240000000000007</v>
      </c>
      <c r="AV12" s="39">
        <f t="shared" si="3"/>
        <v>0.48720000000000013</v>
      </c>
      <c r="AW12" s="39">
        <f t="shared" si="3"/>
        <v>0.50120000000000009</v>
      </c>
      <c r="AX12" s="39">
        <f t="shared" si="3"/>
        <v>0.51480000000000004</v>
      </c>
      <c r="AY12" s="39">
        <f t="shared" si="3"/>
        <v>0.50599999999999989</v>
      </c>
      <c r="AZ12" s="50">
        <v>49</v>
      </c>
      <c r="BA12" s="50">
        <v>10</v>
      </c>
      <c r="BB12" s="57">
        <v>0.22</v>
      </c>
      <c r="BC12" s="57">
        <v>0.5</v>
      </c>
      <c r="BD12" s="57">
        <v>0.26</v>
      </c>
      <c r="BE12" s="57">
        <v>0.01</v>
      </c>
      <c r="BF12" s="39">
        <f t="shared" ref="BF12:BK12" si="4">AVERAGEIFS(BF$36:BF$171,$B$36:$B$171,"=oficial")</f>
        <v>0.51400000000000001</v>
      </c>
      <c r="BG12" s="39">
        <f t="shared" si="4"/>
        <v>0.49400000000000005</v>
      </c>
      <c r="BH12" s="39">
        <f t="shared" si="4"/>
        <v>0.49599999999999994</v>
      </c>
      <c r="BI12" s="39">
        <f t="shared" si="4"/>
        <v>0.57719999999999994</v>
      </c>
      <c r="BJ12" s="39">
        <f t="shared" si="4"/>
        <v>0.44359999999999999</v>
      </c>
      <c r="BK12" s="39">
        <f t="shared" si="4"/>
        <v>0.44160000000000005</v>
      </c>
      <c r="BL12" s="245">
        <v>47</v>
      </c>
      <c r="BM12" s="245" t="s">
        <v>874</v>
      </c>
      <c r="BN12" s="245">
        <v>10</v>
      </c>
      <c r="BO12" s="245" t="s">
        <v>874</v>
      </c>
      <c r="BP12" s="263">
        <v>0.28000000000000003</v>
      </c>
      <c r="BQ12" s="263">
        <v>0.5</v>
      </c>
      <c r="BR12" s="263">
        <v>0.21</v>
      </c>
      <c r="BS12" s="263">
        <v>0.01</v>
      </c>
      <c r="BT12" s="39">
        <f t="shared" ref="BT12:BY12" si="5">AVERAGEIFS(BT$36:BT$171,$B$36:$B$171,"=oficial")</f>
        <v>0.49240000000000012</v>
      </c>
      <c r="BU12" s="39">
        <f t="shared" si="5"/>
        <v>0.52039999999999986</v>
      </c>
      <c r="BV12" s="39">
        <f t="shared" si="5"/>
        <v>0.60280000000000011</v>
      </c>
      <c r="BW12" s="39">
        <f t="shared" si="5"/>
        <v>0.4632</v>
      </c>
      <c r="BX12" s="39">
        <f t="shared" si="5"/>
        <v>0.50519999999999998</v>
      </c>
      <c r="BY12" s="39">
        <f t="shared" si="5"/>
        <v>0.57040000000000002</v>
      </c>
      <c r="BZ12" s="317">
        <v>48</v>
      </c>
      <c r="CA12" s="317" t="s">
        <v>874</v>
      </c>
      <c r="CB12" s="317">
        <v>10</v>
      </c>
      <c r="CC12" s="317" t="s">
        <v>874</v>
      </c>
      <c r="CD12" s="293">
        <v>0.25</v>
      </c>
      <c r="CE12" s="293">
        <v>0.5</v>
      </c>
      <c r="CF12" s="293">
        <v>0.23</v>
      </c>
      <c r="CG12" s="293">
        <v>0.01</v>
      </c>
      <c r="CH12" s="39">
        <f t="shared" ref="CH12:CM12" si="6">AVERAGEIFS(CH$36:CH$171,$B$36:$B$171,"=oficial")</f>
        <v>0.51034482758620681</v>
      </c>
      <c r="CI12" s="39">
        <f t="shared" si="6"/>
        <v>0.43793103448275855</v>
      </c>
      <c r="CJ12" s="39">
        <f t="shared" si="6"/>
        <v>0.59551724137931028</v>
      </c>
      <c r="CK12" s="39">
        <f t="shared" si="6"/>
        <v>0.57172413793103471</v>
      </c>
      <c r="CL12" s="39">
        <f t="shared" si="6"/>
        <v>0.45689655172413796</v>
      </c>
      <c r="CM12" s="39">
        <f t="shared" si="6"/>
        <v>0.59586206896551719</v>
      </c>
      <c r="CN12" s="425">
        <v>48</v>
      </c>
      <c r="CO12" s="425" t="s">
        <v>874</v>
      </c>
      <c r="CP12" s="425">
        <v>10</v>
      </c>
      <c r="CQ12" s="425" t="s">
        <v>874</v>
      </c>
      <c r="CR12" s="429">
        <v>0.24</v>
      </c>
      <c r="CS12" s="429">
        <v>0.51</v>
      </c>
      <c r="CT12" s="429">
        <v>0.24</v>
      </c>
      <c r="CU12" s="429">
        <v>0.01</v>
      </c>
      <c r="CV12" s="425" t="s">
        <v>283</v>
      </c>
      <c r="CW12" s="425" t="s">
        <v>283</v>
      </c>
      <c r="CX12" s="425" t="s">
        <v>283</v>
      </c>
      <c r="CY12" s="425" t="s">
        <v>283</v>
      </c>
      <c r="CZ12" s="525" t="s">
        <v>283</v>
      </c>
      <c r="DA12" s="525" t="s">
        <v>283</v>
      </c>
      <c r="DB12" s="525">
        <v>49</v>
      </c>
      <c r="DC12" s="525" t="s">
        <v>874</v>
      </c>
      <c r="DD12" s="525">
        <v>11</v>
      </c>
      <c r="DE12" s="525" t="s">
        <v>874</v>
      </c>
      <c r="DF12" s="490">
        <v>0.24</v>
      </c>
      <c r="DG12" s="490">
        <v>0.49</v>
      </c>
      <c r="DH12" s="490">
        <v>0.26</v>
      </c>
      <c r="DI12" s="490">
        <v>0.02</v>
      </c>
      <c r="DJ12" s="525" t="s">
        <v>283</v>
      </c>
      <c r="DK12" s="525" t="s">
        <v>283</v>
      </c>
      <c r="DL12" s="525" t="s">
        <v>283</v>
      </c>
      <c r="DM12" s="525" t="s">
        <v>283</v>
      </c>
      <c r="DN12" s="525" t="s">
        <v>283</v>
      </c>
      <c r="DO12" s="525" t="s">
        <v>283</v>
      </c>
    </row>
    <row r="13" spans="1:119" ht="24.95" customHeight="1" x14ac:dyDescent="0.2">
      <c r="A13" s="6" t="s">
        <v>13</v>
      </c>
      <c r="B13" s="6"/>
      <c r="C13" s="6"/>
      <c r="D13" s="21">
        <v>50</v>
      </c>
      <c r="E13" s="21">
        <v>9</v>
      </c>
      <c r="F13" s="65">
        <v>0.15</v>
      </c>
      <c r="G13" s="65">
        <v>0.54</v>
      </c>
      <c r="H13" s="65">
        <v>0.32</v>
      </c>
      <c r="I13" s="65">
        <v>0</v>
      </c>
      <c r="J13" s="39">
        <f t="shared" ref="J13:O13" si="7">J99</f>
        <v>0</v>
      </c>
      <c r="K13" s="39">
        <f t="shared" si="7"/>
        <v>0</v>
      </c>
      <c r="L13" s="39">
        <f t="shared" si="7"/>
        <v>0</v>
      </c>
      <c r="M13" s="39">
        <f t="shared" si="7"/>
        <v>0</v>
      </c>
      <c r="N13" s="39">
        <f t="shared" si="7"/>
        <v>0</v>
      </c>
      <c r="O13" s="39">
        <f t="shared" si="7"/>
        <v>0</v>
      </c>
      <c r="P13" s="21">
        <v>49</v>
      </c>
      <c r="Q13" s="21">
        <v>9</v>
      </c>
      <c r="R13" s="60">
        <v>0.19</v>
      </c>
      <c r="S13" s="60">
        <v>0.6</v>
      </c>
      <c r="T13" s="60">
        <v>0.21</v>
      </c>
      <c r="U13" s="60">
        <v>0</v>
      </c>
      <c r="V13" s="39">
        <f t="shared" ref="V13:AA13" si="8">V99</f>
        <v>0.3</v>
      </c>
      <c r="W13" s="39">
        <f t="shared" si="8"/>
        <v>0.25</v>
      </c>
      <c r="X13" s="39">
        <f t="shared" si="8"/>
        <v>0.25</v>
      </c>
      <c r="Y13" s="39">
        <f t="shared" si="8"/>
        <v>0.25</v>
      </c>
      <c r="Z13" s="39">
        <f t="shared" si="8"/>
        <v>0.27</v>
      </c>
      <c r="AA13" s="39">
        <f t="shared" si="8"/>
        <v>0</v>
      </c>
      <c r="AB13" s="21">
        <v>46</v>
      </c>
      <c r="AC13" s="21">
        <v>11</v>
      </c>
      <c r="AD13" s="39">
        <v>0.32</v>
      </c>
      <c r="AE13" s="39">
        <v>0.41</v>
      </c>
      <c r="AF13" s="39">
        <v>0.26</v>
      </c>
      <c r="AG13" s="39">
        <v>0</v>
      </c>
      <c r="AH13" s="39">
        <f t="shared" ref="AH13:AM13" si="9">AH99</f>
        <v>0</v>
      </c>
      <c r="AI13" s="39">
        <f t="shared" si="9"/>
        <v>0</v>
      </c>
      <c r="AJ13" s="39">
        <f t="shared" si="9"/>
        <v>0</v>
      </c>
      <c r="AK13" s="39">
        <f t="shared" si="9"/>
        <v>0</v>
      </c>
      <c r="AL13" s="39">
        <f t="shared" si="9"/>
        <v>0</v>
      </c>
      <c r="AM13" s="39">
        <f t="shared" si="9"/>
        <v>0</v>
      </c>
      <c r="AN13" s="21">
        <v>46</v>
      </c>
      <c r="AO13" s="21">
        <v>12</v>
      </c>
      <c r="AP13" s="39">
        <v>0.35</v>
      </c>
      <c r="AQ13" s="39">
        <v>0.41</v>
      </c>
      <c r="AR13" s="39">
        <v>0.22</v>
      </c>
      <c r="AS13" s="39">
        <v>0.02</v>
      </c>
      <c r="AT13" s="39">
        <f t="shared" ref="AT13:AY13" si="10">AT99</f>
        <v>0</v>
      </c>
      <c r="AU13" s="39">
        <f t="shared" si="10"/>
        <v>0</v>
      </c>
      <c r="AV13" s="39">
        <f t="shared" si="10"/>
        <v>0</v>
      </c>
      <c r="AW13" s="39">
        <f t="shared" si="10"/>
        <v>0</v>
      </c>
      <c r="AX13" s="39">
        <f t="shared" si="10"/>
        <v>0</v>
      </c>
      <c r="AY13" s="39">
        <f t="shared" si="10"/>
        <v>0</v>
      </c>
      <c r="AZ13" s="50">
        <v>48</v>
      </c>
      <c r="BA13" s="50">
        <v>12</v>
      </c>
      <c r="BB13" s="57">
        <v>0.28999999999999998</v>
      </c>
      <c r="BC13" s="57">
        <v>0.47</v>
      </c>
      <c r="BD13" s="57">
        <v>0.24</v>
      </c>
      <c r="BE13" s="57">
        <v>0</v>
      </c>
      <c r="BF13" s="39">
        <f t="shared" ref="BF13:BK13" si="11">BF99</f>
        <v>0</v>
      </c>
      <c r="BG13" s="39">
        <f t="shared" si="11"/>
        <v>0</v>
      </c>
      <c r="BH13" s="39">
        <f t="shared" si="11"/>
        <v>0</v>
      </c>
      <c r="BI13" s="39">
        <f t="shared" si="11"/>
        <v>0</v>
      </c>
      <c r="BJ13" s="39">
        <f t="shared" si="11"/>
        <v>0</v>
      </c>
      <c r="BK13" s="39">
        <f t="shared" si="11"/>
        <v>0</v>
      </c>
      <c r="BL13" s="245">
        <v>46</v>
      </c>
      <c r="BM13" s="245" t="s">
        <v>874</v>
      </c>
      <c r="BN13" s="245">
        <v>10</v>
      </c>
      <c r="BO13" s="245" t="s">
        <v>874</v>
      </c>
      <c r="BP13" s="263">
        <v>0.3</v>
      </c>
      <c r="BQ13" s="263">
        <v>0.5</v>
      </c>
      <c r="BR13" s="263">
        <v>0.2</v>
      </c>
      <c r="BS13" s="263">
        <v>0</v>
      </c>
      <c r="BT13" s="39">
        <f t="shared" ref="BT13:BY13" si="12">BT99</f>
        <v>0</v>
      </c>
      <c r="BU13" s="39">
        <f t="shared" si="12"/>
        <v>0</v>
      </c>
      <c r="BV13" s="39">
        <f t="shared" si="12"/>
        <v>0</v>
      </c>
      <c r="BW13" s="39">
        <f t="shared" si="12"/>
        <v>0</v>
      </c>
      <c r="BX13" s="39">
        <f t="shared" si="12"/>
        <v>0</v>
      </c>
      <c r="BY13" s="39">
        <f t="shared" si="12"/>
        <v>0</v>
      </c>
      <c r="BZ13" s="317">
        <v>46</v>
      </c>
      <c r="CA13" s="317" t="s">
        <v>876</v>
      </c>
      <c r="CB13" s="317">
        <v>11</v>
      </c>
      <c r="CC13" s="317" t="s">
        <v>874</v>
      </c>
      <c r="CD13" s="293">
        <v>0.33</v>
      </c>
      <c r="CE13" s="293">
        <v>0.48</v>
      </c>
      <c r="CF13" s="293">
        <v>0.2</v>
      </c>
      <c r="CG13" s="293">
        <v>0</v>
      </c>
      <c r="CH13" s="39">
        <f t="shared" ref="CH13:CM13" si="13">CH99</f>
        <v>0</v>
      </c>
      <c r="CI13" s="39">
        <f t="shared" si="13"/>
        <v>0</v>
      </c>
      <c r="CJ13" s="39">
        <f t="shared" si="13"/>
        <v>0</v>
      </c>
      <c r="CK13" s="39">
        <f t="shared" si="13"/>
        <v>0</v>
      </c>
      <c r="CL13" s="39">
        <f t="shared" si="13"/>
        <v>0</v>
      </c>
      <c r="CM13" s="39">
        <f t="shared" si="13"/>
        <v>0</v>
      </c>
      <c r="CN13" s="425">
        <v>46</v>
      </c>
      <c r="CO13" s="425" t="s">
        <v>876</v>
      </c>
      <c r="CP13" s="425">
        <v>11</v>
      </c>
      <c r="CQ13" s="425" t="s">
        <v>874</v>
      </c>
      <c r="CR13" s="429">
        <v>0.38</v>
      </c>
      <c r="CS13" s="429">
        <v>0.42</v>
      </c>
      <c r="CT13" s="429">
        <v>0.18</v>
      </c>
      <c r="CU13" s="429">
        <v>0.02</v>
      </c>
      <c r="CV13" s="425" t="s">
        <v>283</v>
      </c>
      <c r="CW13" s="425" t="s">
        <v>283</v>
      </c>
      <c r="CX13" s="425" t="s">
        <v>283</v>
      </c>
      <c r="CY13" s="425" t="s">
        <v>283</v>
      </c>
      <c r="CZ13" s="525" t="s">
        <v>283</v>
      </c>
      <c r="DA13" s="525" t="s">
        <v>283</v>
      </c>
      <c r="DB13" s="525">
        <v>44</v>
      </c>
      <c r="DC13" s="525" t="s">
        <v>876</v>
      </c>
      <c r="DD13" s="525">
        <v>10</v>
      </c>
      <c r="DE13" s="525" t="s">
        <v>874</v>
      </c>
      <c r="DF13" s="490">
        <v>0.4</v>
      </c>
      <c r="DG13" s="490">
        <v>0.49</v>
      </c>
      <c r="DH13" s="490">
        <v>0.11</v>
      </c>
      <c r="DI13" s="490">
        <v>0</v>
      </c>
      <c r="DJ13" s="525" t="s">
        <v>283</v>
      </c>
      <c r="DK13" s="525" t="s">
        <v>283</v>
      </c>
      <c r="DL13" s="525" t="s">
        <v>283</v>
      </c>
      <c r="DM13" s="525" t="s">
        <v>283</v>
      </c>
      <c r="DN13" s="525" t="s">
        <v>283</v>
      </c>
      <c r="DO13" s="525" t="s">
        <v>283</v>
      </c>
    </row>
    <row r="14" spans="1:119" ht="24.95" customHeight="1" x14ac:dyDescent="0.2">
      <c r="A14" s="6" t="s">
        <v>14</v>
      </c>
      <c r="B14" s="6"/>
      <c r="C14" s="6"/>
      <c r="D14" s="21">
        <v>53</v>
      </c>
      <c r="E14" s="21">
        <v>9</v>
      </c>
      <c r="F14" s="65">
        <v>0.11</v>
      </c>
      <c r="G14" s="65">
        <v>0.5</v>
      </c>
      <c r="H14" s="65">
        <v>0.38</v>
      </c>
      <c r="I14" s="65">
        <v>0.02</v>
      </c>
      <c r="J14" s="39">
        <f t="shared" ref="J14:O14" si="14">AVERAGEIFS(J$36:J$171,$B$36:$B$171,"=no oficial")</f>
        <v>0.52</v>
      </c>
      <c r="K14" s="39">
        <f t="shared" si="14"/>
        <v>0.48246753246753238</v>
      </c>
      <c r="L14" s="39">
        <f t="shared" si="14"/>
        <v>0.57129870129870119</v>
      </c>
      <c r="M14" s="39">
        <f t="shared" si="14"/>
        <v>0.39571428571428574</v>
      </c>
      <c r="N14" s="39">
        <f t="shared" si="14"/>
        <v>0.41818181818181821</v>
      </c>
      <c r="O14" s="39">
        <f t="shared" si="14"/>
        <v>0.48324675324675326</v>
      </c>
      <c r="P14" s="21">
        <v>53</v>
      </c>
      <c r="Q14" s="21">
        <v>10</v>
      </c>
      <c r="R14" s="60">
        <v>0.11</v>
      </c>
      <c r="S14" s="60">
        <v>0.48</v>
      </c>
      <c r="T14" s="60">
        <v>0.39</v>
      </c>
      <c r="U14" s="60">
        <v>0.03</v>
      </c>
      <c r="V14" s="39">
        <f t="shared" ref="V14:AA14" si="15">AVERAGEIFS(V$36:V$171,$B$36:$B$171,"=no oficial")</f>
        <v>0.39103896103896113</v>
      </c>
      <c r="W14" s="39">
        <f t="shared" si="15"/>
        <v>0.45688311688311689</v>
      </c>
      <c r="X14" s="39">
        <f t="shared" si="15"/>
        <v>0.53779220779220782</v>
      </c>
      <c r="Y14" s="39">
        <f t="shared" si="15"/>
        <v>0.43363636363636365</v>
      </c>
      <c r="Z14" s="39">
        <f t="shared" si="15"/>
        <v>0.41623376623376618</v>
      </c>
      <c r="AA14" s="39">
        <f t="shared" si="15"/>
        <v>0.47207792207792193</v>
      </c>
      <c r="AB14" s="21">
        <v>52</v>
      </c>
      <c r="AC14" s="21">
        <v>10</v>
      </c>
      <c r="AD14" s="39">
        <v>0.16</v>
      </c>
      <c r="AE14" s="39">
        <v>0.47</v>
      </c>
      <c r="AF14" s="39">
        <v>0.35</v>
      </c>
      <c r="AG14" s="39">
        <v>0.03</v>
      </c>
      <c r="AH14" s="39">
        <f t="shared" ref="AH14:AM14" si="16">AVERAGEIFS(AH$36:AH$171,$B$36:$B$171,"=no oficial")</f>
        <v>0.40910256410256407</v>
      </c>
      <c r="AI14" s="39">
        <f t="shared" si="16"/>
        <v>0.41076923076923083</v>
      </c>
      <c r="AJ14" s="39">
        <f t="shared" si="16"/>
        <v>0.38038461538461538</v>
      </c>
      <c r="AK14" s="39">
        <f t="shared" si="16"/>
        <v>0.46807692307692306</v>
      </c>
      <c r="AL14" s="39">
        <f t="shared" si="16"/>
        <v>0.53307692307692311</v>
      </c>
      <c r="AM14" s="39">
        <f t="shared" si="16"/>
        <v>0.50500000000000023</v>
      </c>
      <c r="AN14" s="21">
        <v>50</v>
      </c>
      <c r="AO14" s="21">
        <v>11</v>
      </c>
      <c r="AP14" s="39">
        <v>0.21</v>
      </c>
      <c r="AQ14" s="39">
        <v>0.46</v>
      </c>
      <c r="AR14" s="39">
        <v>0.31</v>
      </c>
      <c r="AS14" s="39">
        <v>0.02</v>
      </c>
      <c r="AT14" s="39">
        <f t="shared" ref="AT14:AY14" si="17">AVERAGEIFS(AT$36:AT$171,$B$36:$B$171,"=no oficial")</f>
        <v>0.52912500000000007</v>
      </c>
      <c r="AU14" s="39">
        <f t="shared" si="17"/>
        <v>0.45212499999999994</v>
      </c>
      <c r="AV14" s="39">
        <f t="shared" si="17"/>
        <v>0.43899999999999989</v>
      </c>
      <c r="AW14" s="39">
        <f t="shared" si="17"/>
        <v>0.45337499999999986</v>
      </c>
      <c r="AX14" s="39">
        <f t="shared" si="17"/>
        <v>0.4592500000000001</v>
      </c>
      <c r="AY14" s="39">
        <f t="shared" si="17"/>
        <v>0.46799999999999997</v>
      </c>
      <c r="AZ14" s="50">
        <v>52</v>
      </c>
      <c r="BA14" s="50">
        <v>11</v>
      </c>
      <c r="BB14" s="57">
        <v>0.16</v>
      </c>
      <c r="BC14" s="57">
        <v>0.45</v>
      </c>
      <c r="BD14" s="57">
        <v>0.36</v>
      </c>
      <c r="BE14" s="57">
        <v>0.03</v>
      </c>
      <c r="BF14" s="39">
        <f t="shared" ref="BF14:BK14" si="18">AVERAGEIFS(BF$36:BF$171,$B$36:$B$171,"=no oficial")</f>
        <v>0.46976470588235292</v>
      </c>
      <c r="BG14" s="39">
        <f t="shared" si="18"/>
        <v>0.45235294117647068</v>
      </c>
      <c r="BH14" s="39">
        <f t="shared" si="18"/>
        <v>0.44741176470588234</v>
      </c>
      <c r="BI14" s="39">
        <f t="shared" si="18"/>
        <v>0.52564705882352936</v>
      </c>
      <c r="BJ14" s="39">
        <f t="shared" si="18"/>
        <v>0.40576470588235297</v>
      </c>
      <c r="BK14" s="39">
        <f t="shared" si="18"/>
        <v>0.38917647058823535</v>
      </c>
      <c r="BL14" s="245">
        <v>51</v>
      </c>
      <c r="BM14" s="245" t="s">
        <v>874</v>
      </c>
      <c r="BN14" s="245">
        <v>11</v>
      </c>
      <c r="BO14" s="245" t="s">
        <v>874</v>
      </c>
      <c r="BP14" s="263">
        <v>0.19</v>
      </c>
      <c r="BQ14" s="263">
        <v>0.45</v>
      </c>
      <c r="BR14" s="263">
        <v>0.33</v>
      </c>
      <c r="BS14" s="263">
        <v>0.03</v>
      </c>
      <c r="BT14" s="39">
        <f t="shared" ref="BT14:BY14" si="19">AVERAGEIFS(BT$36:BT$171,$B$36:$B$171,"=no oficial")</f>
        <v>0.43202380952380942</v>
      </c>
      <c r="BU14" s="39">
        <f t="shared" si="19"/>
        <v>0.45773809523809544</v>
      </c>
      <c r="BV14" s="39">
        <f t="shared" si="19"/>
        <v>0.53892857142857142</v>
      </c>
      <c r="BW14" s="39">
        <f t="shared" si="19"/>
        <v>0.42488095238095225</v>
      </c>
      <c r="BX14" s="39">
        <f t="shared" si="19"/>
        <v>0.45714285714285696</v>
      </c>
      <c r="BY14" s="39">
        <f t="shared" si="19"/>
        <v>0.52380952380952395</v>
      </c>
      <c r="BZ14" s="317">
        <v>52</v>
      </c>
      <c r="CA14" s="317" t="s">
        <v>874</v>
      </c>
      <c r="CB14" s="317">
        <v>11</v>
      </c>
      <c r="CC14" s="317" t="s">
        <v>874</v>
      </c>
      <c r="CD14" s="293">
        <v>0.16</v>
      </c>
      <c r="CE14" s="293">
        <v>0.42</v>
      </c>
      <c r="CF14" s="293">
        <v>0.39</v>
      </c>
      <c r="CG14" s="293">
        <v>0.03</v>
      </c>
      <c r="CH14" s="39">
        <f t="shared" ref="CH14:CM14" si="20">AVERAGEIFS(CH$36:CH$171,$B$36:$B$171,"=no oficial")</f>
        <v>0.47883720930232559</v>
      </c>
      <c r="CI14" s="39">
        <f t="shared" si="20"/>
        <v>0.36264367816091969</v>
      </c>
      <c r="CJ14" s="39">
        <f t="shared" si="20"/>
        <v>0.54816091954022983</v>
      </c>
      <c r="CK14" s="39">
        <f t="shared" si="20"/>
        <v>0.51425287356321847</v>
      </c>
      <c r="CL14" s="39">
        <f t="shared" si="20"/>
        <v>0.42080459770114925</v>
      </c>
      <c r="CM14" s="39">
        <f t="shared" si="20"/>
        <v>0.53655172413793084</v>
      </c>
      <c r="CN14" s="425">
        <v>53</v>
      </c>
      <c r="CO14" s="425" t="s">
        <v>874</v>
      </c>
      <c r="CP14" s="425">
        <v>11</v>
      </c>
      <c r="CQ14" s="425" t="s">
        <v>874</v>
      </c>
      <c r="CR14" s="429">
        <v>0.14000000000000001</v>
      </c>
      <c r="CS14" s="429">
        <v>0.44</v>
      </c>
      <c r="CT14" s="429">
        <v>0.38</v>
      </c>
      <c r="CU14" s="429">
        <v>0.03</v>
      </c>
      <c r="CV14" s="425" t="s">
        <v>283</v>
      </c>
      <c r="CW14" s="425" t="s">
        <v>283</v>
      </c>
      <c r="CX14" s="425" t="s">
        <v>283</v>
      </c>
      <c r="CY14" s="425" t="s">
        <v>283</v>
      </c>
      <c r="CZ14" s="525" t="s">
        <v>283</v>
      </c>
      <c r="DA14" s="525" t="s">
        <v>283</v>
      </c>
      <c r="DB14" s="525">
        <v>53</v>
      </c>
      <c r="DC14" s="525" t="s">
        <v>874</v>
      </c>
      <c r="DD14" s="525">
        <v>11</v>
      </c>
      <c r="DE14" s="525" t="s">
        <v>874</v>
      </c>
      <c r="DF14" s="490">
        <v>0.15</v>
      </c>
      <c r="DG14" s="490">
        <v>0.43</v>
      </c>
      <c r="DH14" s="490">
        <v>0.37</v>
      </c>
      <c r="DI14" s="490">
        <v>0.04</v>
      </c>
      <c r="DJ14" s="525" t="s">
        <v>283</v>
      </c>
      <c r="DK14" s="525" t="s">
        <v>283</v>
      </c>
      <c r="DL14" s="525" t="s">
        <v>283</v>
      </c>
      <c r="DM14" s="525" t="s">
        <v>283</v>
      </c>
      <c r="DN14" s="525" t="s">
        <v>283</v>
      </c>
      <c r="DO14" s="525" t="s">
        <v>283</v>
      </c>
    </row>
    <row r="15" spans="1:119" ht="24.95" customHeight="1" x14ac:dyDescent="0.2">
      <c r="A15" s="6" t="s">
        <v>15</v>
      </c>
      <c r="B15" s="6"/>
      <c r="C15" s="6"/>
      <c r="D15" s="21">
        <v>50</v>
      </c>
      <c r="E15" s="21">
        <v>9</v>
      </c>
      <c r="F15" s="65">
        <v>0.18</v>
      </c>
      <c r="G15" s="65">
        <v>0.56000000000000005</v>
      </c>
      <c r="H15" s="65">
        <v>0.25</v>
      </c>
      <c r="I15" s="65">
        <v>0</v>
      </c>
      <c r="J15" s="11" t="s">
        <v>283</v>
      </c>
      <c r="K15" s="11" t="s">
        <v>283</v>
      </c>
      <c r="L15" s="11" t="s">
        <v>283</v>
      </c>
      <c r="M15" s="21" t="s">
        <v>283</v>
      </c>
      <c r="N15" s="21" t="s">
        <v>283</v>
      </c>
      <c r="O15" s="21" t="s">
        <v>283</v>
      </c>
      <c r="P15" s="21">
        <v>50</v>
      </c>
      <c r="Q15" s="21">
        <v>10</v>
      </c>
      <c r="R15" s="60">
        <v>0.17</v>
      </c>
      <c r="S15" s="60">
        <v>0.53</v>
      </c>
      <c r="T15" s="60">
        <v>0.28000000000000003</v>
      </c>
      <c r="U15" s="60">
        <v>0.01</v>
      </c>
      <c r="V15" s="11" t="s">
        <v>283</v>
      </c>
      <c r="W15" s="11" t="s">
        <v>283</v>
      </c>
      <c r="X15" s="11" t="s">
        <v>283</v>
      </c>
      <c r="Y15" s="21" t="s">
        <v>283</v>
      </c>
      <c r="Z15" s="21" t="s">
        <v>283</v>
      </c>
      <c r="AA15" s="21" t="s">
        <v>283</v>
      </c>
      <c r="AB15" s="21">
        <v>48</v>
      </c>
      <c r="AC15" s="21">
        <v>10</v>
      </c>
      <c r="AD15" s="39">
        <v>0.26</v>
      </c>
      <c r="AE15" s="39">
        <v>0.51</v>
      </c>
      <c r="AF15" s="39">
        <v>0.23</v>
      </c>
      <c r="AG15" s="39">
        <v>0.01</v>
      </c>
      <c r="AH15" s="11" t="s">
        <v>283</v>
      </c>
      <c r="AI15" s="11" t="s">
        <v>283</v>
      </c>
      <c r="AJ15" s="11" t="s">
        <v>283</v>
      </c>
      <c r="AK15" s="21" t="s">
        <v>283</v>
      </c>
      <c r="AL15" s="21" t="s">
        <v>283</v>
      </c>
      <c r="AM15" s="21" t="s">
        <v>283</v>
      </c>
      <c r="AN15" s="21">
        <v>46</v>
      </c>
      <c r="AO15" s="21">
        <v>11</v>
      </c>
      <c r="AP15" s="39">
        <v>0.33</v>
      </c>
      <c r="AQ15" s="39">
        <v>0.46</v>
      </c>
      <c r="AR15" s="39">
        <v>0.2</v>
      </c>
      <c r="AS15" s="39">
        <v>0.01</v>
      </c>
      <c r="AT15" s="11" t="s">
        <v>283</v>
      </c>
      <c r="AU15" s="11" t="s">
        <v>283</v>
      </c>
      <c r="AV15" s="11" t="s">
        <v>283</v>
      </c>
      <c r="AW15" s="21" t="s">
        <v>283</v>
      </c>
      <c r="AX15" s="21" t="s">
        <v>283</v>
      </c>
      <c r="AY15" s="21" t="s">
        <v>283</v>
      </c>
      <c r="AZ15" s="50">
        <v>48</v>
      </c>
      <c r="BA15" s="50">
        <v>10</v>
      </c>
      <c r="BB15" s="57">
        <v>0.24</v>
      </c>
      <c r="BC15" s="57">
        <v>0.52</v>
      </c>
      <c r="BD15" s="57">
        <v>0.22</v>
      </c>
      <c r="BE15" s="57">
        <v>0.01</v>
      </c>
      <c r="BF15" s="11" t="s">
        <v>283</v>
      </c>
      <c r="BG15" s="11" t="s">
        <v>283</v>
      </c>
      <c r="BH15" s="11" t="s">
        <v>283</v>
      </c>
      <c r="BI15" s="21" t="s">
        <v>283</v>
      </c>
      <c r="BJ15" s="21" t="s">
        <v>283</v>
      </c>
      <c r="BK15" s="21" t="s">
        <v>283</v>
      </c>
      <c r="BL15" s="245">
        <v>46</v>
      </c>
      <c r="BM15" s="245" t="s">
        <v>874</v>
      </c>
      <c r="BN15" s="245">
        <v>10</v>
      </c>
      <c r="BO15" s="245" t="s">
        <v>874</v>
      </c>
      <c r="BP15" s="263">
        <v>0.31</v>
      </c>
      <c r="BQ15" s="263">
        <v>0.49</v>
      </c>
      <c r="BR15" s="263">
        <v>0.19</v>
      </c>
      <c r="BS15" s="263">
        <v>0.01</v>
      </c>
      <c r="BT15" s="245" t="s">
        <v>283</v>
      </c>
      <c r="BU15" s="245" t="s">
        <v>283</v>
      </c>
      <c r="BV15" s="245" t="s">
        <v>283</v>
      </c>
      <c r="BW15" s="245" t="s">
        <v>283</v>
      </c>
      <c r="BX15" s="245" t="s">
        <v>283</v>
      </c>
      <c r="BY15" s="245" t="s">
        <v>283</v>
      </c>
      <c r="BZ15" s="317">
        <v>47</v>
      </c>
      <c r="CA15" s="317" t="s">
        <v>874</v>
      </c>
      <c r="CB15" s="317">
        <v>10</v>
      </c>
      <c r="CC15" s="317" t="s">
        <v>874</v>
      </c>
      <c r="CD15" s="293">
        <v>0.28999999999999998</v>
      </c>
      <c r="CE15" s="293">
        <v>0.49</v>
      </c>
      <c r="CF15" s="293">
        <v>0.21</v>
      </c>
      <c r="CG15" s="293">
        <v>0.01</v>
      </c>
      <c r="CH15" s="317" t="s">
        <v>283</v>
      </c>
      <c r="CI15" s="317" t="s">
        <v>283</v>
      </c>
      <c r="CJ15" s="317" t="s">
        <v>283</v>
      </c>
      <c r="CK15" s="317" t="s">
        <v>283</v>
      </c>
      <c r="CL15" s="317" t="s">
        <v>283</v>
      </c>
      <c r="CM15" s="317" t="s">
        <v>283</v>
      </c>
      <c r="CN15" s="425">
        <v>48</v>
      </c>
      <c r="CO15" s="425" t="s">
        <v>874</v>
      </c>
      <c r="CP15" s="425">
        <v>10</v>
      </c>
      <c r="CQ15" s="425" t="s">
        <v>874</v>
      </c>
      <c r="CR15" s="429">
        <v>0.26</v>
      </c>
      <c r="CS15" s="429">
        <v>0.51</v>
      </c>
      <c r="CT15" s="429">
        <v>0.22</v>
      </c>
      <c r="CU15" s="429">
        <v>0.01</v>
      </c>
      <c r="CV15" s="425" t="s">
        <v>283</v>
      </c>
      <c r="CW15" s="425" t="s">
        <v>283</v>
      </c>
      <c r="CX15" s="425" t="s">
        <v>283</v>
      </c>
      <c r="CY15" s="425" t="s">
        <v>283</v>
      </c>
      <c r="CZ15" s="525" t="s">
        <v>283</v>
      </c>
      <c r="DA15" s="525" t="s">
        <v>283</v>
      </c>
      <c r="DB15" s="525">
        <v>47</v>
      </c>
      <c r="DC15" s="525" t="s">
        <v>874</v>
      </c>
      <c r="DD15" s="525">
        <v>10</v>
      </c>
      <c r="DE15" s="525" t="s">
        <v>874</v>
      </c>
      <c r="DF15" s="490">
        <v>0.3</v>
      </c>
      <c r="DG15" s="490">
        <v>0.48</v>
      </c>
      <c r="DH15" s="490">
        <v>0.21</v>
      </c>
      <c r="DI15" s="490">
        <v>0.01</v>
      </c>
      <c r="DJ15" s="525" t="s">
        <v>283</v>
      </c>
      <c r="DK15" s="525" t="s">
        <v>283</v>
      </c>
      <c r="DL15" s="525" t="s">
        <v>283</v>
      </c>
      <c r="DM15" s="525" t="s">
        <v>283</v>
      </c>
      <c r="DN15" s="525" t="s">
        <v>283</v>
      </c>
      <c r="DO15" s="525" t="s">
        <v>283</v>
      </c>
    </row>
    <row r="16" spans="1:119" ht="24.95" customHeight="1" x14ac:dyDescent="0.2">
      <c r="A16" s="6" t="s">
        <v>16</v>
      </c>
      <c r="B16" s="6"/>
      <c r="C16" s="6"/>
      <c r="D16" s="21">
        <v>53</v>
      </c>
      <c r="E16" s="21">
        <v>9</v>
      </c>
      <c r="F16" s="65">
        <v>0.11</v>
      </c>
      <c r="G16" s="65">
        <v>0.51</v>
      </c>
      <c r="H16" s="65">
        <v>0.37</v>
      </c>
      <c r="I16" s="65">
        <v>0.02</v>
      </c>
      <c r="J16" s="11" t="s">
        <v>283</v>
      </c>
      <c r="K16" s="11" t="s">
        <v>283</v>
      </c>
      <c r="L16" s="11" t="s">
        <v>283</v>
      </c>
      <c r="M16" s="21" t="s">
        <v>283</v>
      </c>
      <c r="N16" s="21" t="s">
        <v>283</v>
      </c>
      <c r="O16" s="21" t="s">
        <v>283</v>
      </c>
      <c r="P16" s="21">
        <v>53</v>
      </c>
      <c r="Q16" s="21">
        <v>10</v>
      </c>
      <c r="R16" s="60">
        <v>0.11</v>
      </c>
      <c r="S16" s="60">
        <v>0.49</v>
      </c>
      <c r="T16" s="60">
        <v>0.37</v>
      </c>
      <c r="U16" s="60">
        <v>0.03</v>
      </c>
      <c r="V16" s="11" t="s">
        <v>283</v>
      </c>
      <c r="W16" s="11" t="s">
        <v>283</v>
      </c>
      <c r="X16" s="11" t="s">
        <v>283</v>
      </c>
      <c r="Y16" s="21" t="s">
        <v>283</v>
      </c>
      <c r="Z16" s="21" t="s">
        <v>283</v>
      </c>
      <c r="AA16" s="21" t="s">
        <v>283</v>
      </c>
      <c r="AB16" s="21">
        <v>51</v>
      </c>
      <c r="AC16" s="21">
        <v>10</v>
      </c>
      <c r="AD16" s="39">
        <v>0.17</v>
      </c>
      <c r="AE16" s="39">
        <v>0.48</v>
      </c>
      <c r="AF16" s="39">
        <v>0.33</v>
      </c>
      <c r="AG16" s="39">
        <v>0.02</v>
      </c>
      <c r="AH16" s="11" t="s">
        <v>283</v>
      </c>
      <c r="AI16" s="11" t="s">
        <v>283</v>
      </c>
      <c r="AJ16" s="11" t="s">
        <v>283</v>
      </c>
      <c r="AK16" s="21" t="s">
        <v>283</v>
      </c>
      <c r="AL16" s="21" t="s">
        <v>283</v>
      </c>
      <c r="AM16" s="21" t="s">
        <v>283</v>
      </c>
      <c r="AN16" s="21">
        <v>49</v>
      </c>
      <c r="AO16" s="21">
        <v>11</v>
      </c>
      <c r="AP16" s="39">
        <v>0.22</v>
      </c>
      <c r="AQ16" s="39">
        <v>0.48</v>
      </c>
      <c r="AR16" s="39">
        <v>0.28000000000000003</v>
      </c>
      <c r="AS16" s="39">
        <v>0.02</v>
      </c>
      <c r="AT16" s="11" t="s">
        <v>283</v>
      </c>
      <c r="AU16" s="11" t="s">
        <v>283</v>
      </c>
      <c r="AV16" s="11" t="s">
        <v>283</v>
      </c>
      <c r="AW16" s="21" t="s">
        <v>283</v>
      </c>
      <c r="AX16" s="21" t="s">
        <v>283</v>
      </c>
      <c r="AY16" s="21" t="s">
        <v>283</v>
      </c>
      <c r="AZ16" s="50">
        <v>51</v>
      </c>
      <c r="BA16" s="50">
        <v>11</v>
      </c>
      <c r="BB16" s="57">
        <v>0.17</v>
      </c>
      <c r="BC16" s="57">
        <v>0.46</v>
      </c>
      <c r="BD16" s="57">
        <v>0.34</v>
      </c>
      <c r="BE16" s="57">
        <v>0.03</v>
      </c>
      <c r="BF16" s="11" t="s">
        <v>283</v>
      </c>
      <c r="BG16" s="11" t="s">
        <v>283</v>
      </c>
      <c r="BH16" s="11" t="s">
        <v>283</v>
      </c>
      <c r="BI16" s="21" t="s">
        <v>283</v>
      </c>
      <c r="BJ16" s="21" t="s">
        <v>283</v>
      </c>
      <c r="BK16" s="21" t="s">
        <v>283</v>
      </c>
      <c r="BL16" s="245">
        <v>50</v>
      </c>
      <c r="BM16" s="245" t="s">
        <v>874</v>
      </c>
      <c r="BN16" s="245">
        <v>11</v>
      </c>
      <c r="BO16" s="245" t="s">
        <v>874</v>
      </c>
      <c r="BP16" s="263">
        <v>0.21</v>
      </c>
      <c r="BQ16" s="263">
        <v>0.47</v>
      </c>
      <c r="BR16" s="263">
        <v>0.3</v>
      </c>
      <c r="BS16" s="263">
        <v>0.02</v>
      </c>
      <c r="BT16" s="245" t="s">
        <v>283</v>
      </c>
      <c r="BU16" s="245" t="s">
        <v>283</v>
      </c>
      <c r="BV16" s="245" t="s">
        <v>283</v>
      </c>
      <c r="BW16" s="245" t="s">
        <v>283</v>
      </c>
      <c r="BX16" s="245" t="s">
        <v>283</v>
      </c>
      <c r="BY16" s="245" t="s">
        <v>283</v>
      </c>
      <c r="BZ16" s="317">
        <v>51</v>
      </c>
      <c r="CA16" s="317" t="s">
        <v>874</v>
      </c>
      <c r="CB16" s="317">
        <v>11</v>
      </c>
      <c r="CC16" s="317" t="s">
        <v>874</v>
      </c>
      <c r="CD16" s="293">
        <v>0.17</v>
      </c>
      <c r="CE16" s="293">
        <v>0.45</v>
      </c>
      <c r="CF16" s="293">
        <v>0.35</v>
      </c>
      <c r="CG16" s="293">
        <v>0.03</v>
      </c>
      <c r="CH16" s="317" t="s">
        <v>283</v>
      </c>
      <c r="CI16" s="317" t="s">
        <v>283</v>
      </c>
      <c r="CJ16" s="317" t="s">
        <v>283</v>
      </c>
      <c r="CK16" s="317" t="s">
        <v>283</v>
      </c>
      <c r="CL16" s="317" t="s">
        <v>283</v>
      </c>
      <c r="CM16" s="317" t="s">
        <v>283</v>
      </c>
      <c r="CN16" s="425">
        <v>52</v>
      </c>
      <c r="CO16" s="425" t="s">
        <v>874</v>
      </c>
      <c r="CP16" s="425">
        <v>10</v>
      </c>
      <c r="CQ16" s="425" t="s">
        <v>874</v>
      </c>
      <c r="CR16" s="429">
        <v>0.16</v>
      </c>
      <c r="CS16" s="429">
        <v>0.46</v>
      </c>
      <c r="CT16" s="429">
        <v>0.36</v>
      </c>
      <c r="CU16" s="429">
        <v>0.03</v>
      </c>
      <c r="CV16" s="425" t="s">
        <v>283</v>
      </c>
      <c r="CW16" s="425" t="s">
        <v>283</v>
      </c>
      <c r="CX16" s="425" t="s">
        <v>283</v>
      </c>
      <c r="CY16" s="425" t="s">
        <v>283</v>
      </c>
      <c r="CZ16" s="525" t="s">
        <v>283</v>
      </c>
      <c r="DA16" s="525" t="s">
        <v>283</v>
      </c>
      <c r="DB16" s="525">
        <v>51</v>
      </c>
      <c r="DC16" s="525" t="s">
        <v>874</v>
      </c>
      <c r="DD16" s="525">
        <v>11</v>
      </c>
      <c r="DE16" s="525" t="s">
        <v>874</v>
      </c>
      <c r="DF16" s="490">
        <v>0.19</v>
      </c>
      <c r="DG16" s="490">
        <v>0.46</v>
      </c>
      <c r="DH16" s="490">
        <v>0.32</v>
      </c>
      <c r="DI16" s="490">
        <v>0.03</v>
      </c>
      <c r="DJ16" s="525" t="s">
        <v>283</v>
      </c>
      <c r="DK16" s="525" t="s">
        <v>283</v>
      </c>
      <c r="DL16" s="525" t="s">
        <v>283</v>
      </c>
      <c r="DM16" s="525" t="s">
        <v>283</v>
      </c>
      <c r="DN16" s="525" t="s">
        <v>283</v>
      </c>
      <c r="DO16" s="525" t="s">
        <v>283</v>
      </c>
    </row>
    <row r="17" spans="1:119" ht="24.95" customHeight="1" x14ac:dyDescent="0.2">
      <c r="A17" s="294" t="s">
        <v>17</v>
      </c>
      <c r="B17" s="294"/>
      <c r="C17" s="294"/>
      <c r="D17" s="318"/>
      <c r="E17" s="318"/>
      <c r="F17" s="327"/>
      <c r="G17" s="327"/>
      <c r="H17" s="327"/>
      <c r="I17" s="327"/>
      <c r="J17" s="317"/>
      <c r="K17" s="317"/>
      <c r="L17" s="317"/>
      <c r="M17" s="318"/>
      <c r="N17" s="318"/>
      <c r="O17" s="318"/>
      <c r="P17" s="318"/>
      <c r="Q17" s="318"/>
      <c r="R17" s="326"/>
      <c r="S17" s="326"/>
      <c r="T17" s="326"/>
      <c r="U17" s="326"/>
      <c r="V17" s="317"/>
      <c r="W17" s="317"/>
      <c r="X17" s="317"/>
      <c r="Y17" s="318"/>
      <c r="Z17" s="318"/>
      <c r="AA17" s="318"/>
      <c r="AB17" s="318"/>
      <c r="AC17" s="318"/>
      <c r="AD17" s="293"/>
      <c r="AE17" s="293"/>
      <c r="AF17" s="293"/>
      <c r="AG17" s="293"/>
      <c r="AH17" s="317"/>
      <c r="AI17" s="317"/>
      <c r="AJ17" s="317"/>
      <c r="AK17" s="318"/>
      <c r="AL17" s="318"/>
      <c r="AM17" s="318"/>
      <c r="AN17" s="318"/>
      <c r="AO17" s="318"/>
      <c r="AP17" s="293"/>
      <c r="AQ17" s="293"/>
      <c r="AR17" s="293"/>
      <c r="AS17" s="293"/>
      <c r="AT17" s="317"/>
      <c r="AU17" s="317"/>
      <c r="AV17" s="317"/>
      <c r="AW17" s="318"/>
      <c r="AX17" s="318"/>
      <c r="AY17" s="318"/>
      <c r="AZ17" s="337"/>
      <c r="BA17" s="337"/>
      <c r="BB17" s="336"/>
      <c r="BC17" s="336"/>
      <c r="BD17" s="336"/>
      <c r="BE17" s="336"/>
      <c r="BF17" s="317"/>
      <c r="BG17" s="317"/>
      <c r="BH17" s="317"/>
      <c r="BI17" s="318"/>
      <c r="BJ17" s="318"/>
      <c r="BK17" s="318"/>
      <c r="BL17" s="320"/>
      <c r="BM17" s="338"/>
      <c r="BN17" s="320"/>
      <c r="BO17" s="338"/>
      <c r="BP17" s="328"/>
      <c r="BQ17" s="328"/>
      <c r="BR17" s="328"/>
      <c r="BS17" s="328"/>
      <c r="BT17" s="320"/>
      <c r="BU17" s="320"/>
      <c r="BV17" s="320"/>
      <c r="BW17" s="320"/>
      <c r="BX17" s="320"/>
      <c r="BY17" s="320"/>
      <c r="BZ17" s="317">
        <v>61</v>
      </c>
      <c r="CA17" s="317" t="s">
        <v>875</v>
      </c>
      <c r="CB17" s="317">
        <v>10</v>
      </c>
      <c r="CC17" s="317" t="s">
        <v>874</v>
      </c>
      <c r="CD17" s="293">
        <v>0</v>
      </c>
      <c r="CE17" s="293">
        <v>0.33</v>
      </c>
      <c r="CF17" s="293">
        <v>0.33</v>
      </c>
      <c r="CG17" s="293">
        <v>0.33</v>
      </c>
      <c r="CH17" s="317" t="s">
        <v>283</v>
      </c>
      <c r="CI17" s="317" t="s">
        <v>283</v>
      </c>
      <c r="CJ17" s="317" t="s">
        <v>283</v>
      </c>
      <c r="CK17" s="317" t="s">
        <v>283</v>
      </c>
      <c r="CL17" s="317" t="s">
        <v>283</v>
      </c>
      <c r="CM17" s="317" t="s">
        <v>283</v>
      </c>
      <c r="CZ17" s="499"/>
      <c r="DA17" s="499"/>
      <c r="DB17" s="525">
        <v>59</v>
      </c>
      <c r="DC17" s="525" t="s">
        <v>875</v>
      </c>
      <c r="DD17" s="525">
        <v>11</v>
      </c>
      <c r="DE17" s="525" t="s">
        <v>874</v>
      </c>
      <c r="DF17" s="490">
        <v>0.03</v>
      </c>
      <c r="DG17" s="490">
        <v>0.39</v>
      </c>
      <c r="DH17" s="490">
        <v>0.42</v>
      </c>
      <c r="DI17" s="490">
        <v>0.17</v>
      </c>
      <c r="DJ17" s="525" t="s">
        <v>283</v>
      </c>
      <c r="DK17" s="525" t="s">
        <v>283</v>
      </c>
      <c r="DL17" s="525" t="s">
        <v>283</v>
      </c>
      <c r="DM17" s="525" t="s">
        <v>283</v>
      </c>
      <c r="DN17" s="525" t="s">
        <v>283</v>
      </c>
      <c r="DO17" s="525" t="s">
        <v>283</v>
      </c>
    </row>
    <row r="18" spans="1:119" ht="24.95" customHeight="1" x14ac:dyDescent="0.2">
      <c r="A18" s="198" t="s">
        <v>244</v>
      </c>
      <c r="B18" s="6"/>
      <c r="C18" s="6"/>
      <c r="D18" s="129">
        <f>AVERAGEIF($C$36:$C$171,"=1",D$36:D$171)</f>
        <v>50.588235294117645</v>
      </c>
      <c r="E18" s="129">
        <f>AVERAGEIF($C$36:$C$171,"=1",E$36:E$171)</f>
        <v>8.3529411764705888</v>
      </c>
      <c r="F18" s="39">
        <f>AVERAGEIF($C$36:$C$171,"=1",F$36:F$171)</f>
        <v>0.1735294117647059</v>
      </c>
      <c r="G18" s="39">
        <f t="shared" ref="G18:O18" si="21">AVERAGEIF($C$36:$C$171,"=1",G$36:G$171)</f>
        <v>0.53647058823529414</v>
      </c>
      <c r="H18" s="39">
        <f t="shared" si="21"/>
        <v>0.28764705882352942</v>
      </c>
      <c r="I18" s="39">
        <f t="shared" si="21"/>
        <v>1.764705882352941E-3</v>
      </c>
      <c r="J18" s="39">
        <f t="shared" si="21"/>
        <v>0.5458823529411766</v>
      </c>
      <c r="K18" s="39">
        <f t="shared" si="21"/>
        <v>0.51411764705882357</v>
      </c>
      <c r="L18" s="39">
        <f t="shared" si="21"/>
        <v>0.63235294117647067</v>
      </c>
      <c r="M18" s="39">
        <f t="shared" si="21"/>
        <v>0.41647058823529415</v>
      </c>
      <c r="N18" s="39">
        <f t="shared" si="21"/>
        <v>0.44117647058823534</v>
      </c>
      <c r="O18" s="39">
        <f t="shared" si="21"/>
        <v>0.51882352941176468</v>
      </c>
      <c r="P18" s="129">
        <f>AVERAGEIF($C$36:$C$171,"=1",P$36:P$171)</f>
        <v>50.8125</v>
      </c>
      <c r="Q18" s="129">
        <f>AVERAGEIF($C$36:$C$171,"=1",Q$36:Q$171)</f>
        <v>9.0625</v>
      </c>
      <c r="R18" s="39">
        <f>AVERAGEIF($C$36:$C$171,"=1",R$36:R$171)</f>
        <v>0.15624999999999994</v>
      </c>
      <c r="S18" s="39">
        <f t="shared" ref="S18:AA18" si="22">AVERAGEIF($C$36:$C$171,"=1",S$36:S$171)</f>
        <v>0.51500000000000001</v>
      </c>
      <c r="T18" s="39">
        <f t="shared" si="22"/>
        <v>0.30875000000000002</v>
      </c>
      <c r="U18" s="39">
        <f t="shared" si="22"/>
        <v>1.9374999999999996E-2</v>
      </c>
      <c r="V18" s="39">
        <f t="shared" si="22"/>
        <v>0.42624999999999996</v>
      </c>
      <c r="W18" s="39">
        <f t="shared" si="22"/>
        <v>0.479375</v>
      </c>
      <c r="X18" s="39">
        <f t="shared" si="22"/>
        <v>0.56874999999999998</v>
      </c>
      <c r="Y18" s="39">
        <f t="shared" si="22"/>
        <v>0.44562499999999994</v>
      </c>
      <c r="Z18" s="39">
        <f t="shared" si="22"/>
        <v>0.43687499999999996</v>
      </c>
      <c r="AA18" s="39">
        <f t="shared" si="22"/>
        <v>0.51437500000000003</v>
      </c>
      <c r="AB18" s="129">
        <f>AVERAGEIF($C$36:$C$171,"=1",AB$36:AB$171)</f>
        <v>48.882352941176471</v>
      </c>
      <c r="AC18" s="129">
        <f>AVERAGEIF($C$36:$C$171,"=1",AC$36:AC$171)</f>
        <v>10.058823529411764</v>
      </c>
      <c r="AD18" s="39">
        <f>AVERAGEIF($C$36:$C$171,"=1",AD$36:AD$171)</f>
        <v>0.23117647058823532</v>
      </c>
      <c r="AE18" s="39">
        <f t="shared" ref="AE18:AM18" si="23">AVERAGEIF($C$36:$C$171,"=1",AE$36:AE$171)</f>
        <v>0.49411764705882355</v>
      </c>
      <c r="AF18" s="39">
        <f t="shared" si="23"/>
        <v>0.25352941176470584</v>
      </c>
      <c r="AG18" s="39">
        <f t="shared" si="23"/>
        <v>2.2352941176470589E-2</v>
      </c>
      <c r="AH18" s="39">
        <f t="shared" si="23"/>
        <v>0.44470588235294128</v>
      </c>
      <c r="AI18" s="39">
        <f t="shared" si="23"/>
        <v>0.45411764705882357</v>
      </c>
      <c r="AJ18" s="39">
        <f t="shared" si="23"/>
        <v>0.41352941176470592</v>
      </c>
      <c r="AK18" s="39">
        <f t="shared" si="23"/>
        <v>0.50411764705882356</v>
      </c>
      <c r="AL18" s="39">
        <f t="shared" si="23"/>
        <v>0.55882352941176472</v>
      </c>
      <c r="AM18" s="39">
        <f t="shared" si="23"/>
        <v>0.55058823529411771</v>
      </c>
      <c r="AN18" s="129">
        <f>AVERAGEIF($C$36:$C$171,"=1",AN$36:AN$171)</f>
        <v>46.941176470588232</v>
      </c>
      <c r="AO18" s="129">
        <f>AVERAGEIF($C$36:$C$171,"=1",AO$36:AO$171)</f>
        <v>10.176470588235293</v>
      </c>
      <c r="AP18" s="39">
        <f>AVERAGEIF($C$36:$C$171,"=1",AP$36:AP$171)</f>
        <v>0.29705882352941188</v>
      </c>
      <c r="AQ18" s="39">
        <f t="shared" ref="AQ18:AY18" si="24">AVERAGEIF($C$36:$C$171,"=1",AQ$36:AQ$171)</f>
        <v>0.48235294117647065</v>
      </c>
      <c r="AR18" s="39">
        <f t="shared" si="24"/>
        <v>0.21411764705882352</v>
      </c>
      <c r="AS18" s="39">
        <f t="shared" si="24"/>
        <v>8.8235294117647058E-3</v>
      </c>
      <c r="AT18" s="39">
        <f t="shared" si="24"/>
        <v>0.55823529411764694</v>
      </c>
      <c r="AU18" s="39">
        <f t="shared" si="24"/>
        <v>0.49529411764705883</v>
      </c>
      <c r="AV18" s="39">
        <f t="shared" si="24"/>
        <v>0.48</v>
      </c>
      <c r="AW18" s="39">
        <f t="shared" si="24"/>
        <v>0.48588235294117643</v>
      </c>
      <c r="AX18" s="39">
        <f t="shared" si="24"/>
        <v>0.51117647058823534</v>
      </c>
      <c r="AY18" s="39">
        <f t="shared" si="24"/>
        <v>0.50058823529411778</v>
      </c>
      <c r="AZ18" s="129">
        <f>AVERAGEIF($C$36:$C$171,"=1",AZ$36:AZ$171)</f>
        <v>50.058823529411768</v>
      </c>
      <c r="BA18" s="129">
        <f>AVERAGEIF($C$36:$C$171,"=1",BA$36:BA$171)</f>
        <v>9.882352941176471</v>
      </c>
      <c r="BB18" s="39">
        <f>AVERAGEIF($C$36:$C$171,"=1",BB$36:BB$171)</f>
        <v>0.20705882352941171</v>
      </c>
      <c r="BC18" s="39">
        <f t="shared" ref="BC18:BK18" si="25">AVERAGEIF($C$36:$C$171,"=1",BC$36:BC$171)</f>
        <v>0.47764705882352937</v>
      </c>
      <c r="BD18" s="39">
        <f t="shared" si="25"/>
        <v>0.29647058823529415</v>
      </c>
      <c r="BE18" s="39">
        <f t="shared" si="25"/>
        <v>1.8823529411764708E-2</v>
      </c>
      <c r="BF18" s="39">
        <f t="shared" si="25"/>
        <v>0.501764705882353</v>
      </c>
      <c r="BG18" s="39">
        <f t="shared" si="25"/>
        <v>0.47764705882352948</v>
      </c>
      <c r="BH18" s="39">
        <f t="shared" si="25"/>
        <v>0.47764705882352937</v>
      </c>
      <c r="BI18" s="39">
        <f t="shared" si="25"/>
        <v>0.54058823529411781</v>
      </c>
      <c r="BJ18" s="39">
        <f t="shared" si="25"/>
        <v>0.42470588235294121</v>
      </c>
      <c r="BK18" s="39">
        <f t="shared" si="25"/>
        <v>0.41823529411764709</v>
      </c>
      <c r="BL18" s="129">
        <f>AVERAGEIF($C$36:$C$171,"=1",BL$36:BL$171)</f>
        <v>48.823529411764703</v>
      </c>
      <c r="BN18" s="129">
        <f>AVERAGEIF($C$36:$C$171,"=1",BN$36:BN$171)</f>
        <v>9.7058823529411757</v>
      </c>
      <c r="BP18" s="39">
        <f>AVERAGEIF($C$36:$C$171,"=1",BP$36:BP$171)</f>
        <v>0.21411764705882352</v>
      </c>
      <c r="BQ18" s="39">
        <f t="shared" ref="BQ18:BY18" si="26">AVERAGEIF($C$36:$C$171,"=1",BQ$36:BQ$171)</f>
        <v>0.53117647058823536</v>
      </c>
      <c r="BR18" s="39">
        <f t="shared" si="26"/>
        <v>0.24117647058823527</v>
      </c>
      <c r="BS18" s="39">
        <f t="shared" si="26"/>
        <v>1.3529411764705882E-2</v>
      </c>
      <c r="BT18" s="39">
        <f t="shared" si="26"/>
        <v>0.48352941176470593</v>
      </c>
      <c r="BU18" s="39">
        <f t="shared" si="26"/>
        <v>0.47588235294117659</v>
      </c>
      <c r="BV18" s="39">
        <f t="shared" si="26"/>
        <v>0.60176470588235309</v>
      </c>
      <c r="BW18" s="39">
        <f t="shared" si="26"/>
        <v>0.43470588235294116</v>
      </c>
      <c r="BX18" s="39">
        <f t="shared" si="26"/>
        <v>0.4747058823529412</v>
      </c>
      <c r="BY18" s="39">
        <f t="shared" si="26"/>
        <v>0.53588235294117659</v>
      </c>
      <c r="BZ18" s="129">
        <f>AVERAGEIF($C$36:$C$171,"=1",BZ$36:BZ$171)</f>
        <v>49.388888888888886</v>
      </c>
      <c r="CB18" s="129">
        <f>AVERAGEIF($C$36:$C$171,"=1",CB$36:CB$171)</f>
        <v>10.333333333333334</v>
      </c>
      <c r="CD18" s="344">
        <f>AVERAGEIF($C$36:$C$171,"=1",CD$36:CD$171)</f>
        <v>0.2277777777777778</v>
      </c>
      <c r="CE18" s="344">
        <f t="shared" ref="CE18:CM18" si="27">AVERAGEIF($C$36:$C$171,"=1",CE$36:CE$171)</f>
        <v>0.43555555555555553</v>
      </c>
      <c r="CF18" s="344">
        <f t="shared" si="27"/>
        <v>0.3255555555555556</v>
      </c>
      <c r="CG18" s="344">
        <f t="shared" si="27"/>
        <v>1.0000000000000002E-2</v>
      </c>
      <c r="CH18" s="344">
        <f t="shared" si="27"/>
        <v>0.53055555555555556</v>
      </c>
      <c r="CI18" s="344">
        <f t="shared" si="27"/>
        <v>0.42388888888888887</v>
      </c>
      <c r="CJ18" s="344">
        <f t="shared" si="27"/>
        <v>0.58333333333333348</v>
      </c>
      <c r="CK18" s="344">
        <f t="shared" si="27"/>
        <v>0.54444444444444451</v>
      </c>
      <c r="CL18" s="344">
        <f t="shared" si="27"/>
        <v>0.43444444444444452</v>
      </c>
      <c r="CM18" s="344">
        <f t="shared" si="27"/>
        <v>0.56944444444444431</v>
      </c>
      <c r="CN18" s="129">
        <f>AVERAGEIF($C$36:$C$171,"=1",CN$36:CN$171)</f>
        <v>50.058823529411768</v>
      </c>
      <c r="CP18" s="129">
        <f>AVERAGEIF($C$36:$C$171,"=1",CP$36:CP$171)</f>
        <v>9.764705882352942</v>
      </c>
      <c r="CR18" s="344">
        <f>AVERAGEIF($C$36:$C$171,"=1",CR$36:CR$171)</f>
        <v>0.18470588235294116</v>
      </c>
      <c r="CS18" s="344">
        <f t="shared" ref="CS18:DA18" si="28">AVERAGEIF($C$36:$C$171,"=1",CS$36:CS$171)</f>
        <v>0.5</v>
      </c>
      <c r="CT18" s="344">
        <f t="shared" si="28"/>
        <v>0.3023529411764706</v>
      </c>
      <c r="CU18" s="344">
        <f t="shared" si="28"/>
        <v>1.2941176470588235E-2</v>
      </c>
      <c r="CV18" s="344">
        <f t="shared" si="28"/>
        <v>0.36529411764705877</v>
      </c>
      <c r="CW18" s="344">
        <f t="shared" si="28"/>
        <v>0.53882352941176481</v>
      </c>
      <c r="CX18" s="344">
        <f t="shared" si="28"/>
        <v>0.56705882352941184</v>
      </c>
      <c r="CY18" s="344">
        <f t="shared" si="28"/>
        <v>0.59235294117647075</v>
      </c>
      <c r="CZ18" s="344">
        <f t="shared" si="28"/>
        <v>0.5623529411764705</v>
      </c>
      <c r="DA18" s="344">
        <f t="shared" si="28"/>
        <v>0.57529411764705884</v>
      </c>
      <c r="DB18" s="129">
        <f>AVERAGEIF($C$36:$C$171,"=1",DB$36:DB$171)</f>
        <v>49.777777777777779</v>
      </c>
      <c r="DC18" s="499"/>
      <c r="DD18" s="129">
        <f>AVERAGEIF($C$36:$C$171,"=1",DD$36:DD$171)</f>
        <v>10.388888888888889</v>
      </c>
      <c r="DE18" s="499"/>
      <c r="DF18" s="344">
        <f t="shared" ref="DF18:DN18" si="29">AVERAGEIF($C$36:$C$171,"=1",DF$36:DF$171)</f>
        <v>0.20111111111111113</v>
      </c>
      <c r="DG18" s="344">
        <f t="shared" si="29"/>
        <v>0.48055555555555557</v>
      </c>
      <c r="DH18" s="344">
        <f t="shared" si="29"/>
        <v>0.2961111111111111</v>
      </c>
      <c r="DI18" s="344">
        <f t="shared" si="29"/>
        <v>2.0000000000000004E-2</v>
      </c>
      <c r="DJ18" s="344">
        <f>AVERAGEIF($C$36:$C$171,"=1",DJ$36:DJ$171)</f>
        <v>0.49944444444444447</v>
      </c>
      <c r="DK18" s="344">
        <f>AVERAGEIF($C$36:$C$171,"=1",DK$36:DK$171)</f>
        <v>0.48888888888888893</v>
      </c>
      <c r="DL18" s="344">
        <f t="shared" si="29"/>
        <v>0.48388888888888892</v>
      </c>
      <c r="DM18" s="344">
        <f t="shared" si="29"/>
        <v>0.62722222222222235</v>
      </c>
      <c r="DN18" s="344">
        <f t="shared" si="29"/>
        <v>0.55222222222222217</v>
      </c>
      <c r="DO18" s="344">
        <f>AVERAGEIF($C$36:$C$171,"=1",DO$36:DO$171)</f>
        <v>0.41499999999999998</v>
      </c>
    </row>
    <row r="19" spans="1:119" ht="24.95" customHeight="1" x14ac:dyDescent="0.2">
      <c r="A19" s="198" t="s">
        <v>245</v>
      </c>
      <c r="B19" s="6"/>
      <c r="C19" s="6"/>
      <c r="D19" s="129">
        <f>AVERAGEIF($C$36:$C$171,"=2",D$36:D$171)</f>
        <v>52.9</v>
      </c>
      <c r="E19" s="129">
        <f>AVERAGEIF($C$36:$C$171,"=2",E$36:E$171)</f>
        <v>7.95</v>
      </c>
      <c r="F19" s="39">
        <f>AVERAGEIF($C$36:$C$171,"=2",F$36:F$171)</f>
        <v>0.13</v>
      </c>
      <c r="G19" s="39">
        <f t="shared" ref="G19:O19" si="30">AVERAGEIF($C$36:$C$171,"=2",G$36:G$171)</f>
        <v>0.45050000000000001</v>
      </c>
      <c r="H19" s="39">
        <f t="shared" si="30"/>
        <v>0.40500000000000008</v>
      </c>
      <c r="I19" s="39">
        <f t="shared" si="30"/>
        <v>1.5000000000000003E-2</v>
      </c>
      <c r="J19" s="39">
        <f t="shared" si="30"/>
        <v>0.50700000000000001</v>
      </c>
      <c r="K19" s="39">
        <f t="shared" si="30"/>
        <v>0.48399999999999999</v>
      </c>
      <c r="L19" s="39">
        <f t="shared" si="30"/>
        <v>0.55500000000000005</v>
      </c>
      <c r="M19" s="39">
        <f t="shared" si="30"/>
        <v>0.38700000000000001</v>
      </c>
      <c r="N19" s="39">
        <f t="shared" si="30"/>
        <v>0.41549999999999992</v>
      </c>
      <c r="O19" s="39">
        <f t="shared" si="30"/>
        <v>0.46050000000000002</v>
      </c>
      <c r="P19" s="129">
        <f>AVERAGEIF($C$36:$C$171,"=2",P$36:P$171)</f>
        <v>52.421052631578945</v>
      </c>
      <c r="Q19" s="129">
        <f>AVERAGEIF($C$36:$C$171,"=2",Q$36:Q$171)</f>
        <v>9</v>
      </c>
      <c r="R19" s="39">
        <f>AVERAGEIF($C$36:$C$171,"=2",R$36:R$171)</f>
        <v>0.13473684210526315</v>
      </c>
      <c r="S19" s="39">
        <f t="shared" ref="S19:AA19" si="31">AVERAGEIF($C$36:$C$171,"=2",S$36:S$171)</f>
        <v>0.47736842105263166</v>
      </c>
      <c r="T19" s="39">
        <f t="shared" si="31"/>
        <v>0.36315789473684207</v>
      </c>
      <c r="U19" s="39">
        <f t="shared" si="31"/>
        <v>2.68421052631579E-2</v>
      </c>
      <c r="V19" s="39">
        <f t="shared" si="31"/>
        <v>0.39210526315789468</v>
      </c>
      <c r="W19" s="39">
        <f t="shared" si="31"/>
        <v>0.45894736842105266</v>
      </c>
      <c r="X19" s="39">
        <f t="shared" si="31"/>
        <v>0.5368421052631579</v>
      </c>
      <c r="Y19" s="39">
        <f t="shared" si="31"/>
        <v>0.44210526315789478</v>
      </c>
      <c r="Z19" s="39">
        <f t="shared" si="31"/>
        <v>0.40947368421052638</v>
      </c>
      <c r="AA19" s="39">
        <f t="shared" si="31"/>
        <v>0.46894736842105261</v>
      </c>
      <c r="AB19" s="129">
        <f>AVERAGEIF($C$36:$C$171,"=2",AB$36:AB$171)</f>
        <v>50.684210526315788</v>
      </c>
      <c r="AC19" s="129">
        <f>AVERAGEIF($C$36:$C$171,"=2",AC$36:AC$171)</f>
        <v>9.3157894736842106</v>
      </c>
      <c r="AD19" s="39">
        <f>AVERAGEIF($C$36:$C$171,"=2",AD$36:AD$171)</f>
        <v>0.22368421052631585</v>
      </c>
      <c r="AE19" s="39">
        <f t="shared" ref="AE19:AM19" si="32">AVERAGEIF($C$36:$C$171,"=2",AE$36:AE$171)</f>
        <v>0.42473684210526308</v>
      </c>
      <c r="AF19" s="39">
        <f t="shared" si="32"/>
        <v>0.3242105263157895</v>
      </c>
      <c r="AG19" s="39">
        <f t="shared" si="32"/>
        <v>2.8947368421052635E-2</v>
      </c>
      <c r="AH19" s="39">
        <f t="shared" si="32"/>
        <v>0.41736842105263161</v>
      </c>
      <c r="AI19" s="39">
        <f t="shared" si="32"/>
        <v>0.40842105263157896</v>
      </c>
      <c r="AJ19" s="39">
        <f t="shared" si="32"/>
        <v>0.39473684210526316</v>
      </c>
      <c r="AK19" s="39">
        <f t="shared" si="32"/>
        <v>0.48842105263157903</v>
      </c>
      <c r="AL19" s="39">
        <f t="shared" si="32"/>
        <v>0.52631578947368407</v>
      </c>
      <c r="AM19" s="39">
        <f t="shared" si="32"/>
        <v>0.49473684210526309</v>
      </c>
      <c r="AN19" s="129">
        <f>AVERAGEIF($C$36:$C$171,"=2",AN$36:AN$171)</f>
        <v>49.65</v>
      </c>
      <c r="AO19" s="129">
        <f>AVERAGEIF($C$36:$C$171,"=2",AO$36:AO$171)</f>
        <v>9.9</v>
      </c>
      <c r="AP19" s="39">
        <f>AVERAGEIF($C$36:$C$171,"=2",AP$36:AP$171)</f>
        <v>0.20400000000000001</v>
      </c>
      <c r="AQ19" s="39">
        <f t="shared" ref="AQ19:AY19" si="33">AVERAGEIF($C$36:$C$171,"=2",AQ$36:AQ$171)</f>
        <v>0.47749999999999992</v>
      </c>
      <c r="AR19" s="39">
        <f t="shared" si="33"/>
        <v>0.30099999999999993</v>
      </c>
      <c r="AS19" s="39">
        <f t="shared" si="33"/>
        <v>1.8500000000000006E-2</v>
      </c>
      <c r="AT19" s="39">
        <f t="shared" si="33"/>
        <v>0.52100000000000013</v>
      </c>
      <c r="AU19" s="39">
        <f t="shared" si="33"/>
        <v>0.43200000000000005</v>
      </c>
      <c r="AV19" s="39">
        <f t="shared" si="33"/>
        <v>0.43050000000000016</v>
      </c>
      <c r="AW19" s="39">
        <f t="shared" si="33"/>
        <v>0.4405</v>
      </c>
      <c r="AX19" s="39">
        <f t="shared" si="33"/>
        <v>0.44849999999999995</v>
      </c>
      <c r="AY19" s="39">
        <f t="shared" si="33"/>
        <v>0.46349999999999997</v>
      </c>
      <c r="AZ19" s="129">
        <f>AVERAGEIF($C$36:$C$171,"=2",AZ$36:AZ$171)</f>
        <v>51.083333333333336</v>
      </c>
      <c r="BA19" s="129">
        <f>AVERAGEIF($C$36:$C$171,"=2",BA$36:BA$171)</f>
        <v>9.125</v>
      </c>
      <c r="BB19" s="39">
        <f>AVERAGEIF($C$36:$C$171,"=2",BB$36:BB$171)</f>
        <v>0.2108333333333334</v>
      </c>
      <c r="BC19" s="39">
        <f t="shared" ref="BC19:BK19" si="34">AVERAGEIF($C$36:$C$171,"=2",BC$36:BC$171)</f>
        <v>0.46083333333333337</v>
      </c>
      <c r="BD19" s="39">
        <f t="shared" si="34"/>
        <v>0.29958333333333337</v>
      </c>
      <c r="BE19" s="39">
        <f t="shared" si="34"/>
        <v>0.03</v>
      </c>
      <c r="BF19" s="39">
        <f t="shared" si="34"/>
        <v>0.46416666666666662</v>
      </c>
      <c r="BG19" s="39">
        <f t="shared" si="34"/>
        <v>0.45999999999999996</v>
      </c>
      <c r="BH19" s="39">
        <f t="shared" si="34"/>
        <v>0.45000000000000012</v>
      </c>
      <c r="BI19" s="39">
        <f t="shared" si="34"/>
        <v>0.53249999999999997</v>
      </c>
      <c r="BJ19" s="39">
        <f t="shared" si="34"/>
        <v>0.40791666666666665</v>
      </c>
      <c r="BK19" s="39">
        <f t="shared" si="34"/>
        <v>0.37541666666666668</v>
      </c>
      <c r="BL19" s="129">
        <f>AVERAGEIF($C$36:$C$171,"=2",BL$36:BL$171)</f>
        <v>48.636363636363633</v>
      </c>
      <c r="BN19" s="129">
        <f>AVERAGEIF($C$36:$C$171,"=2",BN$36:BN$171)</f>
        <v>9.4090909090909083</v>
      </c>
      <c r="BP19" s="39">
        <f>AVERAGEIF($C$36:$C$171,"=2",BP$36:BP$171)</f>
        <v>0.26727272727272733</v>
      </c>
      <c r="BQ19" s="39">
        <f t="shared" ref="BQ19:BY19" si="35">AVERAGEIF($C$36:$C$171,"=2",BQ$36:BQ$171)</f>
        <v>0.42818181818181827</v>
      </c>
      <c r="BR19" s="39">
        <f t="shared" si="35"/>
        <v>0.2845454545454546</v>
      </c>
      <c r="BS19" s="39">
        <f t="shared" si="35"/>
        <v>2.3181818181818178E-2</v>
      </c>
      <c r="BT19" s="39">
        <f t="shared" si="35"/>
        <v>0.45500000000000007</v>
      </c>
      <c r="BU19" s="39">
        <f t="shared" si="35"/>
        <v>0.46727272727272723</v>
      </c>
      <c r="BV19" s="39">
        <f t="shared" si="35"/>
        <v>0.55772727272727263</v>
      </c>
      <c r="BW19" s="39">
        <f t="shared" si="35"/>
        <v>0.4527272727272727</v>
      </c>
      <c r="BX19" s="39">
        <f t="shared" si="35"/>
        <v>0.47772727272727272</v>
      </c>
      <c r="BY19" s="39">
        <f t="shared" si="35"/>
        <v>0.53454545454545466</v>
      </c>
      <c r="BZ19" s="129">
        <f>AVERAGEIF($C$36:$C$171,"=2",BZ$36:BZ$171)</f>
        <v>51.08</v>
      </c>
      <c r="CB19" s="129">
        <f>AVERAGEIF($C$36:$C$171,"=2",CB$36:CB$171)</f>
        <v>9.92</v>
      </c>
      <c r="CD19" s="344">
        <f>AVERAGEIF($C$36:$C$171,"=2",CD$36:CD$171)</f>
        <v>0.1928</v>
      </c>
      <c r="CE19" s="344">
        <f t="shared" ref="CE19:CM19" si="36">AVERAGEIF($C$36:$C$171,"=2",CE$36:CE$171)</f>
        <v>0.42680000000000007</v>
      </c>
      <c r="CF19" s="344">
        <f t="shared" si="36"/>
        <v>0.3524000000000001</v>
      </c>
      <c r="CG19" s="344">
        <f t="shared" si="36"/>
        <v>3.1200000000000009E-2</v>
      </c>
      <c r="CH19" s="344">
        <f t="shared" si="36"/>
        <v>0.48749999999999999</v>
      </c>
      <c r="CI19" s="344">
        <f t="shared" si="36"/>
        <v>0.36759999999999993</v>
      </c>
      <c r="CJ19" s="344">
        <f t="shared" si="36"/>
        <v>0.5544</v>
      </c>
      <c r="CK19" s="344">
        <f t="shared" si="36"/>
        <v>0.50640000000000007</v>
      </c>
      <c r="CL19" s="344">
        <f t="shared" si="36"/>
        <v>0.43759999999999999</v>
      </c>
      <c r="CM19" s="344">
        <f t="shared" si="36"/>
        <v>0.53880000000000006</v>
      </c>
      <c r="CN19" s="129">
        <f>AVERAGEIF($C$36:$C$171,"=2",CN$36:CN$171)</f>
        <v>51.5</v>
      </c>
      <c r="CP19" s="129">
        <f>AVERAGEIF($C$36:$C$171,"=2",CP$36:CP$171)</f>
        <v>9.384615384615385</v>
      </c>
      <c r="CR19" s="344">
        <f>AVERAGEIF($C$36:$C$171,"=2",CR$36:CR$171)</f>
        <v>0.16153846153846155</v>
      </c>
      <c r="CS19" s="344">
        <f t="shared" ref="CS19:DB19" si="37">AVERAGEIF($C$36:$C$171,"=2",CS$36:CS$171)</f>
        <v>0.4834615384615385</v>
      </c>
      <c r="CT19" s="344">
        <f t="shared" si="37"/>
        <v>0.32615384615384613</v>
      </c>
      <c r="CU19" s="344">
        <f t="shared" si="37"/>
        <v>3.0000000000000009E-2</v>
      </c>
      <c r="CV19" s="344">
        <f t="shared" si="37"/>
        <v>0.33615384615384625</v>
      </c>
      <c r="CW19" s="344">
        <f t="shared" si="37"/>
        <v>0.49461538461538457</v>
      </c>
      <c r="CX19" s="344">
        <f t="shared" si="37"/>
        <v>0.5623076923076924</v>
      </c>
      <c r="CY19" s="344">
        <f t="shared" si="37"/>
        <v>0.69480000000000008</v>
      </c>
      <c r="CZ19" s="344">
        <f t="shared" si="37"/>
        <v>0.51807692307692299</v>
      </c>
      <c r="DA19" s="344">
        <f t="shared" si="37"/>
        <v>0.52307692307692311</v>
      </c>
      <c r="DB19" s="129">
        <f t="shared" si="37"/>
        <v>51.583333333333336</v>
      </c>
      <c r="DC19" s="499"/>
      <c r="DD19" s="129">
        <f t="shared" ref="DD19" si="38">AVERAGEIF($C$36:$C$171,"=2",DD$36:DD$171)</f>
        <v>10.208333333333334</v>
      </c>
      <c r="DE19" s="499"/>
      <c r="DF19" s="344">
        <f t="shared" ref="DF19:DN19" si="39">AVERAGEIF($C$36:$C$171,"=2",DF$36:DF$171)</f>
        <v>0.1925</v>
      </c>
      <c r="DG19" s="344">
        <f t="shared" si="39"/>
        <v>0.39874999999999999</v>
      </c>
      <c r="DH19" s="344">
        <f t="shared" si="39"/>
        <v>0.36166666666666675</v>
      </c>
      <c r="DI19" s="344">
        <f t="shared" si="39"/>
        <v>4.5000000000000012E-2</v>
      </c>
      <c r="DJ19" s="344">
        <f>AVERAGEIF($C$36:$C$171,"=2",DJ$36:DJ$171)</f>
        <v>0.47958333333333325</v>
      </c>
      <c r="DK19" s="344">
        <f>AVERAGEIF($C$36:$C$171,"=2",DK$36:DK$171)</f>
        <v>0.40416666666666673</v>
      </c>
      <c r="DL19" s="344">
        <f t="shared" si="39"/>
        <v>0.43958333333333338</v>
      </c>
      <c r="DM19" s="344">
        <f t="shared" si="39"/>
        <v>0.60250000000000004</v>
      </c>
      <c r="DN19" s="344">
        <f t="shared" si="39"/>
        <v>0.51833333333333342</v>
      </c>
      <c r="DO19" s="344">
        <f>AVERAGEIF($C$36:$C$171,"=2",DO$36:DO$171)</f>
        <v>0.36956521739130443</v>
      </c>
    </row>
    <row r="20" spans="1:119" ht="24.95" customHeight="1" x14ac:dyDescent="0.2">
      <c r="A20" s="198" t="s">
        <v>246</v>
      </c>
      <c r="B20" s="6"/>
      <c r="C20" s="6"/>
      <c r="D20" s="129">
        <f>AVERAGEIF($C$36:$C$171,"=3",D$36:D$171)</f>
        <v>52.166666666666664</v>
      </c>
      <c r="E20" s="129">
        <f>AVERAGEIF($C$36:$C$171,"=3",E$36:E$171)</f>
        <v>8.7222222222222214</v>
      </c>
      <c r="F20" s="39">
        <f>AVERAGEIF($C$36:$C$171,"=3",F$36:F$171)</f>
        <v>0.10944444444444446</v>
      </c>
      <c r="G20" s="39">
        <f t="shared" ref="G20:O20" si="40">AVERAGEIF($C$36:$C$171,"=3",G$36:G$171)</f>
        <v>0.53277777777777791</v>
      </c>
      <c r="H20" s="39">
        <f t="shared" si="40"/>
        <v>0.34833333333333338</v>
      </c>
      <c r="I20" s="39">
        <f t="shared" si="40"/>
        <v>1.2222222222222225E-2</v>
      </c>
      <c r="J20" s="39">
        <f t="shared" si="40"/>
        <v>0.52833333333333332</v>
      </c>
      <c r="K20" s="39">
        <f t="shared" si="40"/>
        <v>0.48333333333333328</v>
      </c>
      <c r="L20" s="39">
        <f t="shared" si="40"/>
        <v>0.57277777777777783</v>
      </c>
      <c r="M20" s="39">
        <f t="shared" si="40"/>
        <v>0.40611111111111109</v>
      </c>
      <c r="N20" s="39">
        <f t="shared" si="40"/>
        <v>0.41833333333333339</v>
      </c>
      <c r="O20" s="39">
        <f t="shared" si="40"/>
        <v>0.47333333333333333</v>
      </c>
      <c r="P20" s="129">
        <f>AVERAGEIF($C$36:$C$171,"=3",P$36:P$171)</f>
        <v>52.473684210526315</v>
      </c>
      <c r="Q20" s="129">
        <f>AVERAGEIF($C$36:$C$171,"=3",Q$36:Q$171)</f>
        <v>9.526315789473685</v>
      </c>
      <c r="R20" s="39">
        <f>AVERAGEIF($C$36:$C$171,"=3",R$36:R$171)</f>
        <v>0.10526315789473686</v>
      </c>
      <c r="S20" s="39">
        <f t="shared" ref="S20:AA20" si="41">AVERAGEIF($C$36:$C$171,"=3",S$36:S$171)</f>
        <v>0.50684210526315787</v>
      </c>
      <c r="T20" s="39">
        <f t="shared" si="41"/>
        <v>0.35894736842105263</v>
      </c>
      <c r="U20" s="39">
        <f t="shared" si="41"/>
        <v>3.0000000000000002E-2</v>
      </c>
      <c r="V20" s="39">
        <f t="shared" si="41"/>
        <v>0.39947368421052637</v>
      </c>
      <c r="W20" s="39">
        <f t="shared" si="41"/>
        <v>0.46105263157894744</v>
      </c>
      <c r="X20" s="39">
        <f t="shared" si="41"/>
        <v>0.54105263157894734</v>
      </c>
      <c r="Y20" s="39">
        <f t="shared" si="41"/>
        <v>0.44105263157894731</v>
      </c>
      <c r="Z20" s="39">
        <f t="shared" si="41"/>
        <v>0.41263157894736846</v>
      </c>
      <c r="AA20" s="39">
        <f t="shared" si="41"/>
        <v>0.4678947368421052</v>
      </c>
      <c r="AB20" s="129">
        <f>AVERAGEIF($C$36:$C$171,"=3",AB$36:AB$171)</f>
        <v>51.10526315789474</v>
      </c>
      <c r="AC20" s="129">
        <f>AVERAGEIF($C$36:$C$171,"=3",AC$36:AC$171)</f>
        <v>9.8333333333333339</v>
      </c>
      <c r="AD20" s="39">
        <f>AVERAGEIF($C$36:$C$171,"=3",AD$36:AD$171)</f>
        <v>0.16210526315789472</v>
      </c>
      <c r="AE20" s="39">
        <f t="shared" ref="AE20:AM20" si="42">AVERAGEIF($C$36:$C$171,"=3",AE$36:AE$171)</f>
        <v>0.47578947368421065</v>
      </c>
      <c r="AF20" s="39">
        <f t="shared" si="42"/>
        <v>0.34052631578947362</v>
      </c>
      <c r="AG20" s="39">
        <f t="shared" si="42"/>
        <v>1.947368421052632E-2</v>
      </c>
      <c r="AH20" s="39">
        <f t="shared" si="42"/>
        <v>0.40578947368421064</v>
      </c>
      <c r="AI20" s="39">
        <f t="shared" si="42"/>
        <v>0.40157894736842109</v>
      </c>
      <c r="AJ20" s="39">
        <f t="shared" si="42"/>
        <v>0.38789473684210524</v>
      </c>
      <c r="AK20" s="39">
        <f t="shared" si="42"/>
        <v>0.47157894736842099</v>
      </c>
      <c r="AL20" s="39">
        <f t="shared" si="42"/>
        <v>0.53947368421052633</v>
      </c>
      <c r="AM20" s="39">
        <f t="shared" si="42"/>
        <v>0.50210526315789472</v>
      </c>
      <c r="AN20" s="129">
        <f>AVERAGEIF($C$36:$C$171,"=3",AN$36:AN$171)</f>
        <v>48.684210526315788</v>
      </c>
      <c r="AO20" s="129">
        <f>AVERAGEIF($C$36:$C$171,"=3",AO$36:AO$171)</f>
        <v>10.277777777777779</v>
      </c>
      <c r="AP20" s="39">
        <f>AVERAGEIF($C$36:$C$171,"=3",AP$36:AP$171)</f>
        <v>0.24631578947368418</v>
      </c>
      <c r="AQ20" s="39">
        <f t="shared" ref="AQ20:AY20" si="43">AVERAGEIF($C$36:$C$171,"=3",AQ$36:AQ$171)</f>
        <v>0.47263157894736846</v>
      </c>
      <c r="AR20" s="39">
        <f t="shared" si="43"/>
        <v>0.26736842105263159</v>
      </c>
      <c r="AS20" s="39">
        <f t="shared" si="43"/>
        <v>1.368421052631579E-2</v>
      </c>
      <c r="AT20" s="39">
        <f t="shared" si="43"/>
        <v>0.55052631578947375</v>
      </c>
      <c r="AU20" s="39">
        <f t="shared" si="43"/>
        <v>0.46526315789473677</v>
      </c>
      <c r="AV20" s="39">
        <f t="shared" si="43"/>
        <v>0.44842105263157894</v>
      </c>
      <c r="AW20" s="39">
        <f t="shared" si="43"/>
        <v>0.47105263157894733</v>
      </c>
      <c r="AX20" s="39">
        <f t="shared" si="43"/>
        <v>0.46789473684210531</v>
      </c>
      <c r="AY20" s="39">
        <f t="shared" si="43"/>
        <v>0.473157894736842</v>
      </c>
      <c r="AZ20" s="129">
        <f>AVERAGEIF($C$36:$C$171,"=3",AZ$36:AZ$171)</f>
        <v>51.6</v>
      </c>
      <c r="BA20" s="129">
        <f>AVERAGEIF($C$36:$C$171,"=3",BA$36:BA$171)</f>
        <v>10.25</v>
      </c>
      <c r="BB20" s="39">
        <f>AVERAGEIF($C$36:$C$171,"=3",BB$36:BB$171)</f>
        <v>0.15950000000000003</v>
      </c>
      <c r="BC20" s="39">
        <f t="shared" ref="BC20:BK20" si="44">AVERAGEIF($C$36:$C$171,"=3",BC$36:BC$171)</f>
        <v>0.46599999999999991</v>
      </c>
      <c r="BD20" s="39">
        <f t="shared" si="44"/>
        <v>0.33950000000000002</v>
      </c>
      <c r="BE20" s="39">
        <f t="shared" si="44"/>
        <v>3.5500000000000004E-2</v>
      </c>
      <c r="BF20" s="39">
        <f t="shared" si="44"/>
        <v>0.46000000000000008</v>
      </c>
      <c r="BG20" s="39">
        <f t="shared" si="44"/>
        <v>0.43649999999999994</v>
      </c>
      <c r="BH20" s="39">
        <f t="shared" si="44"/>
        <v>0.4425</v>
      </c>
      <c r="BI20" s="39">
        <f t="shared" si="44"/>
        <v>0.53400000000000003</v>
      </c>
      <c r="BJ20" s="39">
        <f t="shared" si="44"/>
        <v>0.41299999999999998</v>
      </c>
      <c r="BK20" s="39">
        <f t="shared" si="44"/>
        <v>0.38649999999999995</v>
      </c>
      <c r="BL20" s="129">
        <f>AVERAGEIF($C$36:$C$171,"=3",BL$36:BL$171)</f>
        <v>50.05</v>
      </c>
      <c r="BN20" s="129">
        <f>AVERAGEIF($C$36:$C$171,"=3",BN$36:BN$171)</f>
        <v>10.199999999999999</v>
      </c>
      <c r="BP20" s="39">
        <f>AVERAGEIF($C$36:$C$171,"=3",BP$36:BP$171)</f>
        <v>0.20500000000000002</v>
      </c>
      <c r="BQ20" s="39">
        <f t="shared" ref="BQ20:BY20" si="45">AVERAGEIF($C$36:$C$171,"=3",BQ$36:BQ$171)</f>
        <v>0.47050000000000003</v>
      </c>
      <c r="BR20" s="39">
        <f t="shared" si="45"/>
        <v>0.30399999999999999</v>
      </c>
      <c r="BS20" s="39">
        <f t="shared" si="45"/>
        <v>2.1499999999999998E-2</v>
      </c>
      <c r="BT20" s="39">
        <f t="shared" si="45"/>
        <v>0.4365</v>
      </c>
      <c r="BU20" s="39">
        <f t="shared" si="45"/>
        <v>0.45800000000000002</v>
      </c>
      <c r="BV20" s="39">
        <f t="shared" si="45"/>
        <v>0.5595</v>
      </c>
      <c r="BW20" s="39">
        <f t="shared" si="45"/>
        <v>0.41450000000000004</v>
      </c>
      <c r="BX20" s="39">
        <f t="shared" si="45"/>
        <v>0.4469999999999999</v>
      </c>
      <c r="BY20" s="39">
        <f t="shared" si="45"/>
        <v>0.52300000000000002</v>
      </c>
      <c r="BZ20" s="129">
        <f>AVERAGEIF($C$36:$C$171,"=3",BZ$36:BZ$171)</f>
        <v>51.863636363636367</v>
      </c>
      <c r="CB20" s="129">
        <f>AVERAGEIF($C$36:$C$171,"=3",CB$36:CB$171)</f>
        <v>10.045454545454545</v>
      </c>
      <c r="CD20" s="344">
        <f>AVERAGEIF($C$36:$C$171,"=3",CD$36:CD$171)</f>
        <v>0.16545454545454547</v>
      </c>
      <c r="CE20" s="344">
        <f t="shared" ref="CE20:CM20" si="46">AVERAGEIF($C$36:$C$171,"=3",CE$36:CE$171)</f>
        <v>0.44409090909090915</v>
      </c>
      <c r="CF20" s="344">
        <f t="shared" si="46"/>
        <v>0.36363636363636365</v>
      </c>
      <c r="CG20" s="344">
        <f t="shared" si="46"/>
        <v>2.7727272727272732E-2</v>
      </c>
      <c r="CH20" s="344">
        <f t="shared" si="46"/>
        <v>0.45045454545454544</v>
      </c>
      <c r="CI20" s="344">
        <f t="shared" si="46"/>
        <v>0.35681818181818181</v>
      </c>
      <c r="CJ20" s="344">
        <f t="shared" si="46"/>
        <v>0.54454545454545444</v>
      </c>
      <c r="CK20" s="344">
        <f t="shared" si="46"/>
        <v>0.51227272727272732</v>
      </c>
      <c r="CL20" s="344">
        <f t="shared" si="46"/>
        <v>0.39545454545454545</v>
      </c>
      <c r="CM20" s="344">
        <f t="shared" si="46"/>
        <v>0.53590909090909089</v>
      </c>
      <c r="CN20" s="129">
        <f>AVERAGEIF($C$36:$C$171,"=3",CN$36:CN$171)</f>
        <v>51.409090909090907</v>
      </c>
      <c r="CP20" s="129">
        <f>AVERAGEIF($C$36:$C$171,"=3",CP$36:CP$171)</f>
        <v>10.090909090909092</v>
      </c>
      <c r="CR20" s="344">
        <f>AVERAGEIF($C$36:$C$171,"=3",CR$36:CR$171)</f>
        <v>0.18</v>
      </c>
      <c r="CS20" s="344">
        <f t="shared" ref="CS20:DB20" si="47">AVERAGEIF($C$36:$C$171,"=3",CS$36:CS$171)</f>
        <v>0.43954545454545452</v>
      </c>
      <c r="CT20" s="344">
        <f t="shared" si="47"/>
        <v>0.35318181818181815</v>
      </c>
      <c r="CU20" s="344">
        <f t="shared" si="47"/>
        <v>2.6818181818181821E-2</v>
      </c>
      <c r="CV20" s="344">
        <f t="shared" si="47"/>
        <v>0.33181818181818179</v>
      </c>
      <c r="CW20" s="344">
        <f t="shared" si="47"/>
        <v>0.51590909090909076</v>
      </c>
      <c r="CX20" s="344">
        <f t="shared" si="47"/>
        <v>0.54</v>
      </c>
      <c r="CY20" s="344">
        <f t="shared" si="47"/>
        <v>0.5968181818181818</v>
      </c>
      <c r="CZ20" s="344">
        <f t="shared" si="47"/>
        <v>0.54772727272727273</v>
      </c>
      <c r="DA20" s="344">
        <f t="shared" si="47"/>
        <v>0.53318181818181809</v>
      </c>
      <c r="DB20" s="129">
        <f t="shared" si="47"/>
        <v>51.18181818181818</v>
      </c>
      <c r="DC20" s="499"/>
      <c r="DD20" s="129">
        <f t="shared" ref="DD20" si="48">AVERAGEIF($C$36:$C$171,"=3",DD$36:DD$171)</f>
        <v>9.9090909090909083</v>
      </c>
      <c r="DE20" s="499"/>
      <c r="DF20" s="344">
        <f t="shared" ref="DF20:DN20" si="49">AVERAGEIF($C$36:$C$171,"=3",DF$36:DF$171)</f>
        <v>0.17954545454545451</v>
      </c>
      <c r="DG20" s="344">
        <f t="shared" si="49"/>
        <v>0.46363636363636368</v>
      </c>
      <c r="DH20" s="344">
        <f t="shared" si="49"/>
        <v>0.32318181818181818</v>
      </c>
      <c r="DI20" s="344">
        <f t="shared" si="49"/>
        <v>3.2272727272727279E-2</v>
      </c>
      <c r="DJ20" s="344">
        <f>AVERAGEIF($C$36:$C$171,"=3",DJ$36:DJ$171)</f>
        <v>0.48363636363636359</v>
      </c>
      <c r="DK20" s="344">
        <f>AVERAGEIF($C$36:$C$171,"=3",DK$36:DK$171)</f>
        <v>0.47181818181818175</v>
      </c>
      <c r="DL20" s="344">
        <f t="shared" si="49"/>
        <v>0.46</v>
      </c>
      <c r="DM20" s="344">
        <f t="shared" si="49"/>
        <v>0.60363636363636375</v>
      </c>
      <c r="DN20" s="344">
        <f t="shared" si="49"/>
        <v>0.51863636363636367</v>
      </c>
      <c r="DO20" s="344">
        <f>AVERAGEIF($C$36:$C$171,"=3",DO$36:DO$171)</f>
        <v>0.37909090909090909</v>
      </c>
    </row>
    <row r="21" spans="1:119" ht="24.95" customHeight="1" x14ac:dyDescent="0.2">
      <c r="A21" s="198" t="s">
        <v>247</v>
      </c>
      <c r="B21" s="6"/>
      <c r="C21" s="6"/>
      <c r="D21" s="129">
        <f>AVERAGEIF($C$36:$C$171,"=4",D$36:D$171)</f>
        <v>48.142857142857146</v>
      </c>
      <c r="E21" s="129">
        <f>AVERAGEIF($C$36:$C$171,"=4",E$36:E$171)</f>
        <v>8</v>
      </c>
      <c r="F21" s="39">
        <f>AVERAGEIF($C$36:$C$171,"=4",F$36:F$171)</f>
        <v>0.27714285714285719</v>
      </c>
      <c r="G21" s="39">
        <f t="shared" ref="G21:O21" si="50">AVERAGEIF($C$36:$C$171,"=4",G$36:G$171)</f>
        <v>0.49928571428571428</v>
      </c>
      <c r="H21" s="39">
        <f t="shared" si="50"/>
        <v>0.22</v>
      </c>
      <c r="I21" s="39">
        <f t="shared" si="50"/>
        <v>2.8571428571428571E-3</v>
      </c>
      <c r="J21" s="39">
        <f t="shared" si="50"/>
        <v>0.59285714285714286</v>
      </c>
      <c r="K21" s="39">
        <f t="shared" si="50"/>
        <v>0.5407142857142857</v>
      </c>
      <c r="L21" s="39">
        <f t="shared" si="50"/>
        <v>0.61071428571428577</v>
      </c>
      <c r="M21" s="39">
        <f t="shared" si="50"/>
        <v>0.47500000000000003</v>
      </c>
      <c r="N21" s="39">
        <f t="shared" si="50"/>
        <v>0.45714285714285718</v>
      </c>
      <c r="O21" s="39">
        <f t="shared" si="50"/>
        <v>0.56071428571428572</v>
      </c>
      <c r="P21" s="129">
        <f>AVERAGEIF($C$36:$C$171,"=4",P$36:P$171)</f>
        <v>50.266666666666666</v>
      </c>
      <c r="Q21" s="129">
        <f>AVERAGEIF($C$36:$C$171,"=4",Q$36:Q$171)</f>
        <v>8.4666666666666668</v>
      </c>
      <c r="R21" s="39">
        <f>AVERAGEIF($C$36:$C$171,"=4",R$36:R$171)</f>
        <v>0.18866666666666662</v>
      </c>
      <c r="S21" s="39">
        <f t="shared" ref="S21:AA21" si="51">AVERAGEIF($C$36:$C$171,"=4",S$36:S$171)</f>
        <v>0.46866666666666673</v>
      </c>
      <c r="T21" s="39">
        <f t="shared" si="51"/>
        <v>0.33399999999999996</v>
      </c>
      <c r="U21" s="39">
        <f t="shared" si="51"/>
        <v>8.6666666666666663E-3</v>
      </c>
      <c r="V21" s="39">
        <f t="shared" si="51"/>
        <v>0.45</v>
      </c>
      <c r="W21" s="39">
        <f t="shared" si="51"/>
        <v>0.48599999999999999</v>
      </c>
      <c r="X21" s="39">
        <f t="shared" si="51"/>
        <v>0.56399999999999995</v>
      </c>
      <c r="Y21" s="39">
        <f t="shared" si="51"/>
        <v>0.45733333333333331</v>
      </c>
      <c r="Z21" s="39">
        <f t="shared" si="51"/>
        <v>0.44399999999999995</v>
      </c>
      <c r="AA21" s="39">
        <f t="shared" si="51"/>
        <v>0.48666666666666664</v>
      </c>
      <c r="AB21" s="129">
        <f>AVERAGEIF($C$36:$C$171,"=4",AB$36:AB$171)</f>
        <v>47.93333333333333</v>
      </c>
      <c r="AC21" s="129">
        <f>AVERAGEIF($C$36:$C$171,"=4",AC$36:AC$171)</f>
        <v>8.8666666666666671</v>
      </c>
      <c r="AD21" s="39">
        <f>AVERAGEIF($C$36:$C$171,"=4",AD$36:AD$171)</f>
        <v>0.25266666666666671</v>
      </c>
      <c r="AE21" s="39">
        <f t="shared" ref="AE21:AM21" si="52">AVERAGEIF($C$36:$C$171,"=4",AE$36:AE$171)</f>
        <v>0.55400000000000005</v>
      </c>
      <c r="AF21" s="39">
        <f t="shared" si="52"/>
        <v>0.1846666666666667</v>
      </c>
      <c r="AG21" s="39">
        <f t="shared" si="52"/>
        <v>1.0000000000000002E-2</v>
      </c>
      <c r="AH21" s="39">
        <f t="shared" si="52"/>
        <v>0.46266666666666662</v>
      </c>
      <c r="AI21" s="39">
        <f t="shared" si="52"/>
        <v>0.45600000000000007</v>
      </c>
      <c r="AJ21" s="39">
        <f t="shared" si="52"/>
        <v>0.44733333333333325</v>
      </c>
      <c r="AK21" s="39">
        <f t="shared" si="52"/>
        <v>0.51666666666666661</v>
      </c>
      <c r="AL21" s="39">
        <f t="shared" si="52"/>
        <v>0.59599999999999997</v>
      </c>
      <c r="AM21" s="39">
        <f t="shared" si="52"/>
        <v>0.53866666666666663</v>
      </c>
      <c r="AN21" s="129">
        <f>AVERAGEIF($C$36:$C$171,"=4",AN$36:AN$171)</f>
        <v>45.785714285714285</v>
      </c>
      <c r="AO21" s="129">
        <f>AVERAGEIF($C$36:$C$171,"=4",AO$36:AO$171)</f>
        <v>10.357142857142858</v>
      </c>
      <c r="AP21" s="39">
        <f>AVERAGEIF($C$36:$C$171,"=4",AP$36:AP$171)</f>
        <v>0.35642857142857148</v>
      </c>
      <c r="AQ21" s="39">
        <f t="shared" ref="AQ21:AY21" si="53">AVERAGEIF($C$36:$C$171,"=4",AQ$36:AQ$171)</f>
        <v>0.42571428571428571</v>
      </c>
      <c r="AR21" s="39">
        <f t="shared" si="53"/>
        <v>0.21071428571428569</v>
      </c>
      <c r="AS21" s="39">
        <f t="shared" si="53"/>
        <v>4.9999999999999992E-3</v>
      </c>
      <c r="AT21" s="39">
        <f t="shared" si="53"/>
        <v>0.59928571428571431</v>
      </c>
      <c r="AU21" s="39">
        <f t="shared" si="53"/>
        <v>0.51</v>
      </c>
      <c r="AV21" s="39">
        <f t="shared" si="53"/>
        <v>0.4835714285714286</v>
      </c>
      <c r="AW21" s="39">
        <f t="shared" si="53"/>
        <v>0.50857142857142856</v>
      </c>
      <c r="AX21" s="39">
        <f t="shared" si="53"/>
        <v>0.53142857142857147</v>
      </c>
      <c r="AY21" s="39">
        <f t="shared" si="53"/>
        <v>0.51785714285714279</v>
      </c>
      <c r="AZ21" s="129">
        <f>AVERAGEIF($C$36:$C$171,"=4",AZ$36:AZ$171)</f>
        <v>46.692307692307693</v>
      </c>
      <c r="BA21" s="129">
        <f>AVERAGEIF($C$36:$C$171,"=4",BA$36:BA$171)</f>
        <v>9.615384615384615</v>
      </c>
      <c r="BB21" s="39">
        <f>AVERAGEIF($C$36:$C$171,"=4",BB$36:BB$171)</f>
        <v>0.29230769230769232</v>
      </c>
      <c r="BC21" s="39">
        <f t="shared" ref="BC21:BK21" si="54">AVERAGEIF($C$36:$C$171,"=4",BC$36:BC$171)</f>
        <v>0.47230769230769226</v>
      </c>
      <c r="BD21" s="39">
        <f t="shared" si="54"/>
        <v>0.23461538461538461</v>
      </c>
      <c r="BE21" s="39">
        <f t="shared" si="54"/>
        <v>3.0769230769230769E-3</v>
      </c>
      <c r="BF21" s="39">
        <f t="shared" si="54"/>
        <v>0.59307692307692306</v>
      </c>
      <c r="BG21" s="39">
        <f t="shared" si="54"/>
        <v>0.52307692307692299</v>
      </c>
      <c r="BH21" s="39">
        <f t="shared" si="54"/>
        <v>0.51846153846153853</v>
      </c>
      <c r="BI21" s="39">
        <f t="shared" si="54"/>
        <v>0.61538461538461553</v>
      </c>
      <c r="BJ21" s="39">
        <f t="shared" si="54"/>
        <v>0.48307692307692301</v>
      </c>
      <c r="BK21" s="39">
        <f t="shared" si="54"/>
        <v>0.47230769230769226</v>
      </c>
      <c r="BL21" s="129">
        <f>AVERAGEIF($C$36:$C$171,"=4",BL$36:BL$171)</f>
        <v>46.642857142857146</v>
      </c>
      <c r="BN21" s="129">
        <f>AVERAGEIF($C$36:$C$171,"=4",BN$36:BN$171)</f>
        <v>9.6428571428571423</v>
      </c>
      <c r="BP21" s="39">
        <f>AVERAGEIF($C$36:$C$171,"=4",BP$36:BP$171)</f>
        <v>0.28500000000000003</v>
      </c>
      <c r="BQ21" s="39">
        <f t="shared" ref="BQ21:BY21" si="55">AVERAGEIF($C$36:$C$171,"=4",BQ$36:BQ$171)</f>
        <v>0.49785714285714294</v>
      </c>
      <c r="BR21" s="39">
        <f t="shared" si="55"/>
        <v>0.2035714285714286</v>
      </c>
      <c r="BS21" s="39">
        <f t="shared" si="55"/>
        <v>1.5000000000000001E-2</v>
      </c>
      <c r="BT21" s="39">
        <f t="shared" si="55"/>
        <v>0.4900000000000001</v>
      </c>
      <c r="BU21" s="39">
        <f t="shared" si="55"/>
        <v>0.51714285714285713</v>
      </c>
      <c r="BV21" s="39">
        <f t="shared" si="55"/>
        <v>0.58571428571428574</v>
      </c>
      <c r="BW21" s="39">
        <f t="shared" si="55"/>
        <v>0.47357142857142864</v>
      </c>
      <c r="BX21" s="39">
        <f t="shared" si="55"/>
        <v>0.50785714285714278</v>
      </c>
      <c r="BY21" s="39">
        <f t="shared" si="55"/>
        <v>0.57642857142857129</v>
      </c>
      <c r="BZ21" s="129">
        <f>AVERAGEIF($C$36:$C$171,"=4",BZ$36:BZ$171)</f>
        <v>47.214285714285715</v>
      </c>
      <c r="CB21" s="129">
        <f>AVERAGEIF($C$36:$C$171,"=4",CB$36:CB$171)</f>
        <v>9.8571428571428577</v>
      </c>
      <c r="CD21" s="344">
        <f>AVERAGEIF($C$36:$C$171,"=4",CD$36:CD$171)</f>
        <v>0.28500000000000003</v>
      </c>
      <c r="CE21" s="344">
        <f t="shared" ref="CE21:CM21" si="56">AVERAGEIF($C$36:$C$171,"=4",CE$36:CE$171)</f>
        <v>0.50428571428571434</v>
      </c>
      <c r="CF21" s="344">
        <f t="shared" si="56"/>
        <v>0.20142857142857137</v>
      </c>
      <c r="CG21" s="344">
        <f t="shared" si="56"/>
        <v>1.0714285714285716E-2</v>
      </c>
      <c r="CH21" s="344">
        <f t="shared" si="56"/>
        <v>0.51214285714285712</v>
      </c>
      <c r="CI21" s="344">
        <f t="shared" si="56"/>
        <v>0.44071428571428573</v>
      </c>
      <c r="CJ21" s="344">
        <f t="shared" si="56"/>
        <v>0.59714285714285709</v>
      </c>
      <c r="CK21" s="344">
        <f t="shared" si="56"/>
        <v>0.58499999999999996</v>
      </c>
      <c r="CL21" s="344">
        <f t="shared" si="56"/>
        <v>0.46857142857142853</v>
      </c>
      <c r="CM21" s="344">
        <f t="shared" si="56"/>
        <v>0.60642857142857143</v>
      </c>
      <c r="CN21" s="129">
        <f>AVERAGEIF($C$36:$C$171,"=4",CN$36:CN$171)</f>
        <v>46.733333333333334</v>
      </c>
      <c r="CP21" s="129">
        <f>AVERAGEIF($C$36:$C$171,"=4",CP$36:CP$171)</f>
        <v>9.6</v>
      </c>
      <c r="CR21" s="344">
        <f>AVERAGEIF($C$36:$C$171,"=4",CR$36:CR$171)</f>
        <v>0.27266666666666667</v>
      </c>
      <c r="CS21" s="344">
        <f t="shared" ref="CS21:DB21" si="57">AVERAGEIF($C$36:$C$171,"=4",CS$36:CS$171)</f>
        <v>0.53799999999999992</v>
      </c>
      <c r="CT21" s="344">
        <f t="shared" si="57"/>
        <v>0.18266666666666667</v>
      </c>
      <c r="CU21" s="344">
        <f t="shared" si="57"/>
        <v>7.3333333333333341E-3</v>
      </c>
      <c r="CV21" s="344">
        <f t="shared" si="57"/>
        <v>0.41800000000000009</v>
      </c>
      <c r="CW21" s="344">
        <f t="shared" si="57"/>
        <v>0.60866666666666658</v>
      </c>
      <c r="CX21" s="344">
        <f t="shared" si="57"/>
        <v>0.60866666666666669</v>
      </c>
      <c r="CY21" s="344">
        <f t="shared" si="57"/>
        <v>0.71266666666666667</v>
      </c>
      <c r="CZ21" s="344">
        <f t="shared" si="57"/>
        <v>0.59533333333333327</v>
      </c>
      <c r="DA21" s="344">
        <f t="shared" si="57"/>
        <v>0.62866666666666648</v>
      </c>
      <c r="DB21" s="129">
        <f t="shared" si="57"/>
        <v>48.07692307692308</v>
      </c>
      <c r="DC21" s="499"/>
      <c r="DD21" s="129">
        <f t="shared" ref="DD21" si="58">AVERAGEIF($C$36:$C$171,"=4",DD$36:DD$171)</f>
        <v>10</v>
      </c>
      <c r="DE21" s="499"/>
      <c r="DF21" s="344">
        <f t="shared" ref="DF21:DN21" si="59">AVERAGEIF($C$36:$C$171,"=4",DF$36:DF$171)</f>
        <v>0.26076923076923075</v>
      </c>
      <c r="DG21" s="344">
        <f t="shared" si="59"/>
        <v>0.47307692307692312</v>
      </c>
      <c r="DH21" s="344">
        <f t="shared" si="59"/>
        <v>0.24615384615384614</v>
      </c>
      <c r="DI21" s="344">
        <f t="shared" si="59"/>
        <v>2.230769230769231E-2</v>
      </c>
      <c r="DJ21" s="344">
        <f>AVERAGEIF($C$36:$C$171,"=4",DJ$36:DJ$171)</f>
        <v>0.52076923076923076</v>
      </c>
      <c r="DK21" s="344">
        <f>AVERAGEIF($C$36:$C$171,"=4",DK$36:DK$171)</f>
        <v>0.51461538461538459</v>
      </c>
      <c r="DL21" s="344">
        <f t="shared" si="59"/>
        <v>0.50846153846153841</v>
      </c>
      <c r="DM21" s="344">
        <f t="shared" si="59"/>
        <v>0.6399999999999999</v>
      </c>
      <c r="DN21" s="344">
        <f t="shared" si="59"/>
        <v>0.56000000000000005</v>
      </c>
      <c r="DO21" s="344">
        <f>AVERAGEIF($C$36:$C$171,"=4",DO$36:DO$171)</f>
        <v>0.46615384615384614</v>
      </c>
    </row>
    <row r="22" spans="1:119" ht="24.95" customHeight="1" x14ac:dyDescent="0.2">
      <c r="A22" s="198" t="s">
        <v>248</v>
      </c>
      <c r="B22" s="6"/>
      <c r="C22" s="6"/>
      <c r="D22" s="129">
        <f>AVERAGEIF($C$36:$C$171,"=5",D$36:D$171)</f>
        <v>54.235294117647058</v>
      </c>
      <c r="E22" s="129">
        <f>AVERAGEIF($C$36:$C$171,"=5",E$36:E$171)</f>
        <v>8.6470588235294112</v>
      </c>
      <c r="F22" s="39">
        <f>AVERAGEIF($C$36:$C$171,"=5",F$36:F$171)</f>
        <v>7.058823529411766E-2</v>
      </c>
      <c r="G22" s="39">
        <f t="shared" ref="G22:O22" si="60">AVERAGEIF($C$36:$C$171,"=5",G$36:G$171)</f>
        <v>0.50588235294117634</v>
      </c>
      <c r="H22" s="39">
        <f t="shared" si="60"/>
        <v>0.41117647058823537</v>
      </c>
      <c r="I22" s="39">
        <f t="shared" si="60"/>
        <v>1.4117647058823528E-2</v>
      </c>
      <c r="J22" s="39">
        <f t="shared" si="60"/>
        <v>0.50294117647058822</v>
      </c>
      <c r="K22" s="39">
        <f t="shared" si="60"/>
        <v>0.44176470588235295</v>
      </c>
      <c r="L22" s="39">
        <f t="shared" si="60"/>
        <v>0.55823529411764705</v>
      </c>
      <c r="M22" s="39">
        <f t="shared" si="60"/>
        <v>0.36764705882352944</v>
      </c>
      <c r="N22" s="39">
        <f t="shared" si="60"/>
        <v>0.39647058823529413</v>
      </c>
      <c r="O22" s="39">
        <f t="shared" si="60"/>
        <v>0.46764705882352942</v>
      </c>
      <c r="P22" s="129">
        <f>AVERAGEIF($C$36:$C$171,"=5",P$36:P$171)</f>
        <v>54.117647058823529</v>
      </c>
      <c r="Q22" s="129">
        <f>AVERAGEIF($C$36:$C$171,"=5",Q$36:Q$171)</f>
        <v>8.882352941176471</v>
      </c>
      <c r="R22" s="39">
        <f>AVERAGEIF($C$36:$C$171,"=5",R$36:R$171)</f>
        <v>8.8235294117647078E-2</v>
      </c>
      <c r="S22" s="39">
        <f t="shared" ref="S22:AA22" si="61">AVERAGEIF($C$36:$C$171,"=5",S$36:S$171)</f>
        <v>0.44647058823529412</v>
      </c>
      <c r="T22" s="39">
        <f t="shared" si="61"/>
        <v>0.44000000000000006</v>
      </c>
      <c r="U22" s="39">
        <f t="shared" si="61"/>
        <v>2.5294117647058828E-2</v>
      </c>
      <c r="V22" s="39">
        <f t="shared" si="61"/>
        <v>0.35823529411764693</v>
      </c>
      <c r="W22" s="39">
        <f t="shared" si="61"/>
        <v>0.42823529411764705</v>
      </c>
      <c r="X22" s="39">
        <f t="shared" si="61"/>
        <v>0.50941176470588234</v>
      </c>
      <c r="Y22" s="39">
        <f t="shared" si="61"/>
        <v>0.40176470588235291</v>
      </c>
      <c r="Z22" s="39">
        <f t="shared" si="61"/>
        <v>0.3876470588235294</v>
      </c>
      <c r="AA22" s="39">
        <f t="shared" si="61"/>
        <v>0.44941176470588234</v>
      </c>
      <c r="AB22" s="129">
        <f>AVERAGEIF($C$36:$C$171,"=5",AB$36:AB$171)</f>
        <v>52.555555555555557</v>
      </c>
      <c r="AC22" s="129">
        <f>AVERAGEIF($C$36:$C$171,"=5",AC$36:AC$171)</f>
        <v>9.3333333333333339</v>
      </c>
      <c r="AD22" s="39">
        <f>AVERAGEIF($C$36:$C$171,"=5",AD$36:AD$171)</f>
        <v>0.11611111111111112</v>
      </c>
      <c r="AE22" s="39">
        <f t="shared" ref="AE22:AM22" si="62">AVERAGEIF($C$36:$C$171,"=5",AE$36:AE$171)</f>
        <v>0.46055555555555561</v>
      </c>
      <c r="AF22" s="39">
        <f t="shared" si="62"/>
        <v>0.39111111111111119</v>
      </c>
      <c r="AG22" s="39">
        <f t="shared" si="62"/>
        <v>3.2777777777777781E-2</v>
      </c>
      <c r="AH22" s="39">
        <f t="shared" si="62"/>
        <v>0.39499999999999991</v>
      </c>
      <c r="AI22" s="39">
        <f t="shared" si="62"/>
        <v>0.3938888888888889</v>
      </c>
      <c r="AJ22" s="39">
        <f t="shared" si="62"/>
        <v>0.34944444444444456</v>
      </c>
      <c r="AK22" s="39">
        <f t="shared" si="62"/>
        <v>0.44222222222222224</v>
      </c>
      <c r="AL22" s="39">
        <f t="shared" si="62"/>
        <v>0.5066666666666666</v>
      </c>
      <c r="AM22" s="39">
        <f t="shared" si="62"/>
        <v>0.48444444444444446</v>
      </c>
      <c r="AN22" s="129">
        <f>AVERAGEIF($C$36:$C$171,"=5",AN$36:AN$171)</f>
        <v>50.421052631578945</v>
      </c>
      <c r="AO22" s="129">
        <f>AVERAGEIF($C$36:$C$171,"=5",AO$36:AO$171)</f>
        <v>10.157894736842104</v>
      </c>
      <c r="AP22" s="39">
        <f>AVERAGEIF($C$36:$C$171,"=5",AP$36:AP$171)</f>
        <v>0.18526315789473688</v>
      </c>
      <c r="AQ22" s="39">
        <f t="shared" ref="AQ22:AY22" si="63">AVERAGEIF($C$36:$C$171,"=5",AQ$36:AQ$171)</f>
        <v>0.48052631578947363</v>
      </c>
      <c r="AR22" s="39">
        <f t="shared" si="63"/>
        <v>0.31052631578947371</v>
      </c>
      <c r="AS22" s="39">
        <f t="shared" si="63"/>
        <v>2.6315789473684209E-2</v>
      </c>
      <c r="AT22" s="39">
        <f t="shared" si="63"/>
        <v>0.48947368421052628</v>
      </c>
      <c r="AU22" s="39">
        <f t="shared" si="63"/>
        <v>0.44210526315789478</v>
      </c>
      <c r="AV22" s="39">
        <f t="shared" si="63"/>
        <v>0.42315789473684207</v>
      </c>
      <c r="AW22" s="39">
        <f t="shared" si="63"/>
        <v>0.44157894736842102</v>
      </c>
      <c r="AX22" s="39">
        <f t="shared" si="63"/>
        <v>0.43315789473684213</v>
      </c>
      <c r="AY22" s="39">
        <f t="shared" si="63"/>
        <v>0.43842105263157893</v>
      </c>
      <c r="AZ22" s="129">
        <f>AVERAGEIF($C$36:$C$171,"=5",AZ$36:AZ$171)</f>
        <v>53.777777777777779</v>
      </c>
      <c r="BA22" s="129">
        <f>AVERAGEIF($C$36:$C$171,"=5",BA$36:BA$171)</f>
        <v>9</v>
      </c>
      <c r="BB22" s="39">
        <f>AVERAGEIF($C$36:$C$171,"=5",BB$36:BB$171)</f>
        <v>0.10055555555555556</v>
      </c>
      <c r="BC22" s="39">
        <f t="shared" ref="BC22:BK22" si="64">AVERAGEIF($C$36:$C$171,"=5",BC$36:BC$171)</f>
        <v>0.44111111111111112</v>
      </c>
      <c r="BD22" s="39">
        <f t="shared" si="64"/>
        <v>0.435</v>
      </c>
      <c r="BE22" s="39">
        <f t="shared" si="64"/>
        <v>2.4444444444444446E-2</v>
      </c>
      <c r="BF22" s="39">
        <f t="shared" si="64"/>
        <v>0.40833333333333327</v>
      </c>
      <c r="BG22" s="39">
        <f t="shared" si="64"/>
        <v>0.41499999999999998</v>
      </c>
      <c r="BH22" s="39">
        <f t="shared" si="64"/>
        <v>0.39777777777777784</v>
      </c>
      <c r="BI22" s="39">
        <f t="shared" si="64"/>
        <v>0.46444444444444444</v>
      </c>
      <c r="BJ22" s="39">
        <f t="shared" si="64"/>
        <v>0.36055555555555552</v>
      </c>
      <c r="BK22" s="39">
        <f t="shared" si="64"/>
        <v>0.35666666666666669</v>
      </c>
      <c r="BL22" s="129">
        <f>AVERAGEIF($C$36:$C$171,"=5",BL$36:BL$171)</f>
        <v>52.111111111111114</v>
      </c>
      <c r="BN22" s="129">
        <f>AVERAGEIF($C$36:$C$171,"=5",BN$36:BN$171)</f>
        <v>10.222222222222221</v>
      </c>
      <c r="BP22" s="39">
        <f>AVERAGEIF($C$36:$C$171,"=5",BP$36:BP$171)</f>
        <v>0.15722222222222224</v>
      </c>
      <c r="BQ22" s="39">
        <f t="shared" ref="BQ22:BY22" si="65">AVERAGEIF($C$36:$C$171,"=5",BQ$36:BQ$171)</f>
        <v>0.44333333333333336</v>
      </c>
      <c r="BR22" s="39">
        <f t="shared" si="65"/>
        <v>0.36166666666666664</v>
      </c>
      <c r="BS22" s="39">
        <f t="shared" si="65"/>
        <v>3.7222222222222233E-2</v>
      </c>
      <c r="BT22" s="39">
        <f t="shared" si="65"/>
        <v>0.39944444444444449</v>
      </c>
      <c r="BU22" s="39">
        <f t="shared" si="65"/>
        <v>0.43333333333333335</v>
      </c>
      <c r="BV22" s="39">
        <f t="shared" si="65"/>
        <v>0.4811111111111111</v>
      </c>
      <c r="BW22" s="39">
        <f t="shared" si="65"/>
        <v>0.39111111111111119</v>
      </c>
      <c r="BX22" s="39">
        <f t="shared" si="65"/>
        <v>0.42777777777777776</v>
      </c>
      <c r="BY22" s="39">
        <f t="shared" si="65"/>
        <v>0.48833333333333329</v>
      </c>
      <c r="BZ22" s="129">
        <f>AVERAGEIF($C$36:$C$171,"=5",BZ$36:BZ$171)</f>
        <v>53.352941176470587</v>
      </c>
      <c r="CB22" s="129">
        <f>AVERAGEIF($C$36:$C$171,"=5",CB$36:CB$171)</f>
        <v>9.5882352941176467</v>
      </c>
      <c r="CD22" s="344">
        <f>AVERAGEIF($C$36:$C$171,"=5",CD$36:CD$171)</f>
        <v>0.13470588235294118</v>
      </c>
      <c r="CE22" s="344">
        <f t="shared" ref="CE22:CM22" si="66">AVERAGEIF($C$36:$C$171,"=5",CE$36:CE$171)</f>
        <v>0.42117647058823526</v>
      </c>
      <c r="CF22" s="344">
        <f t="shared" si="66"/>
        <v>0.42000000000000004</v>
      </c>
      <c r="CG22" s="344">
        <f t="shared" si="66"/>
        <v>2.4705882352941178E-2</v>
      </c>
      <c r="CH22" s="344">
        <f t="shared" si="66"/>
        <v>0.46294117647058819</v>
      </c>
      <c r="CI22" s="344">
        <f t="shared" si="66"/>
        <v>0.33058823529411763</v>
      </c>
      <c r="CJ22" s="344">
        <f t="shared" si="66"/>
        <v>0.5135294117647059</v>
      </c>
      <c r="CK22" s="344">
        <f t="shared" si="66"/>
        <v>0.50000000000000011</v>
      </c>
      <c r="CL22" s="344">
        <f t="shared" si="66"/>
        <v>0.38764705882352946</v>
      </c>
      <c r="CM22" s="344">
        <f t="shared" si="66"/>
        <v>0.5135294117647059</v>
      </c>
      <c r="CN22" s="129">
        <f>AVERAGEIF($C$36:$C$171,"=5",CN$36:CN$171)</f>
        <v>53.647058823529413</v>
      </c>
      <c r="CP22" s="129">
        <f>AVERAGEIF($C$36:$C$171,"=5",CP$36:CP$171)</f>
        <v>9.7058823529411757</v>
      </c>
      <c r="CR22" s="344">
        <f>AVERAGEIF($C$36:$C$171,"=5",CR$36:CR$171)</f>
        <v>0.10294117647058826</v>
      </c>
      <c r="CS22" s="344">
        <f t="shared" ref="CS22:DB22" si="67">AVERAGEIF($C$36:$C$171,"=5",CS$36:CS$171)</f>
        <v>0.46235294117647063</v>
      </c>
      <c r="CT22" s="344">
        <f t="shared" si="67"/>
        <v>0.39000000000000007</v>
      </c>
      <c r="CU22" s="344">
        <f t="shared" si="67"/>
        <v>4.8235294117647064E-2</v>
      </c>
      <c r="CV22" s="344">
        <f t="shared" si="67"/>
        <v>0.308235294117647</v>
      </c>
      <c r="CW22" s="344">
        <f t="shared" si="67"/>
        <v>0.47529411764705892</v>
      </c>
      <c r="CX22" s="344">
        <f t="shared" si="67"/>
        <v>0.50705882352941167</v>
      </c>
      <c r="CY22" s="344">
        <f t="shared" si="67"/>
        <v>0.59647058823529409</v>
      </c>
      <c r="CZ22" s="344">
        <f t="shared" si="67"/>
        <v>0.47058823529411759</v>
      </c>
      <c r="DA22" s="344">
        <f t="shared" si="67"/>
        <v>0.50705882352941167</v>
      </c>
      <c r="DB22" s="129">
        <f t="shared" si="67"/>
        <v>52.166666666666664</v>
      </c>
      <c r="DC22" s="499"/>
      <c r="DD22" s="129">
        <f t="shared" ref="DD22" si="68">AVERAGEIF($C$36:$C$171,"=5",DD$36:DD$171)</f>
        <v>9.6666666666666661</v>
      </c>
      <c r="DE22" s="499"/>
      <c r="DF22" s="344">
        <f t="shared" ref="DF22:DN22" si="69">AVERAGEIF($C$36:$C$171,"=5",DF$36:DF$171)</f>
        <v>0.1544444444444445</v>
      </c>
      <c r="DG22" s="344">
        <f t="shared" si="69"/>
        <v>0.41722222222222227</v>
      </c>
      <c r="DH22" s="344">
        <f t="shared" si="69"/>
        <v>0.39111111111111119</v>
      </c>
      <c r="DI22" s="344">
        <f t="shared" si="69"/>
        <v>3.5000000000000003E-2</v>
      </c>
      <c r="DJ22" s="344">
        <f>AVERAGEIF($C$36:$C$171,"=5",DJ$36:DJ$171)</f>
        <v>0.45611111111111113</v>
      </c>
      <c r="DK22" s="344">
        <f>AVERAGEIF($C$36:$C$171,"=5",DK$36:DK$171)</f>
        <v>0.44333333333333325</v>
      </c>
      <c r="DL22" s="344">
        <f t="shared" si="69"/>
        <v>0.44722222222222224</v>
      </c>
      <c r="DM22" s="344">
        <f t="shared" si="69"/>
        <v>0.61722222222222223</v>
      </c>
      <c r="DN22" s="344">
        <f t="shared" si="69"/>
        <v>0.50277777777777777</v>
      </c>
      <c r="DO22" s="344">
        <f>AVERAGEIF($C$36:$C$171,"=5",DO$36:DO$171)</f>
        <v>0.39666666666666672</v>
      </c>
    </row>
    <row r="23" spans="1:119" ht="24.95" customHeight="1" x14ac:dyDescent="0.2">
      <c r="A23" s="198" t="s">
        <v>249</v>
      </c>
      <c r="B23" s="6"/>
      <c r="C23" s="6"/>
      <c r="D23" s="129">
        <f>AVERAGEIF($C$36:$C$171,"=6",D$36:D$171)</f>
        <v>52.06666666666667</v>
      </c>
      <c r="E23" s="129">
        <f>AVERAGEIF($C$36:$C$171,"=6",E$36:E$171)</f>
        <v>7.5333333333333332</v>
      </c>
      <c r="F23" s="39">
        <f>AVERAGEIF($C$36:$C$171,"=6",F$36:F$171)</f>
        <v>0.13933333333333336</v>
      </c>
      <c r="G23" s="39">
        <f t="shared" ref="G23:O23" si="70">AVERAGEIF($C$36:$C$171,"=6",G$36:G$171)</f>
        <v>0.47666666666666663</v>
      </c>
      <c r="H23" s="39">
        <f t="shared" si="70"/>
        <v>0.37199999999999994</v>
      </c>
      <c r="I23" s="39">
        <f t="shared" si="70"/>
        <v>1.2666666666666666E-2</v>
      </c>
      <c r="J23" s="39">
        <f t="shared" si="70"/>
        <v>0.51133333333333342</v>
      </c>
      <c r="K23" s="39">
        <f t="shared" si="70"/>
        <v>0.47866666666666663</v>
      </c>
      <c r="L23" s="39">
        <f t="shared" si="70"/>
        <v>0.54333333333333333</v>
      </c>
      <c r="M23" s="39">
        <f t="shared" si="70"/>
        <v>0.40733333333333344</v>
      </c>
      <c r="N23" s="39">
        <f t="shared" si="70"/>
        <v>0.42933333333333334</v>
      </c>
      <c r="O23" s="39">
        <f t="shared" si="70"/>
        <v>0.50000000000000011</v>
      </c>
      <c r="P23" s="129">
        <f>AVERAGEIF($C$36:$C$171,"=6",P$36:P$171)</f>
        <v>50.6</v>
      </c>
      <c r="Q23" s="129">
        <f>AVERAGEIF($C$36:$C$171,"=6",Q$36:Q$171)</f>
        <v>9.5333333333333332</v>
      </c>
      <c r="R23" s="39">
        <f>AVERAGEIF($C$36:$C$171,"=6",R$36:R$171)</f>
        <v>0.16</v>
      </c>
      <c r="S23" s="39">
        <f t="shared" ref="S23:AA23" si="71">AVERAGEIF($C$36:$C$171,"=6",S$36:S$171)</f>
        <v>0.5013333333333333</v>
      </c>
      <c r="T23" s="39">
        <f t="shared" si="71"/>
        <v>0.3246666666666666</v>
      </c>
      <c r="U23" s="39">
        <f t="shared" si="71"/>
        <v>1.6666666666666666E-2</v>
      </c>
      <c r="V23" s="39">
        <f t="shared" si="71"/>
        <v>0.40000000000000008</v>
      </c>
      <c r="W23" s="39">
        <f t="shared" si="71"/>
        <v>0.49266666666666653</v>
      </c>
      <c r="X23" s="39">
        <f t="shared" si="71"/>
        <v>0.55066666666666664</v>
      </c>
      <c r="Y23" s="39">
        <f t="shared" si="71"/>
        <v>0.46666666666666667</v>
      </c>
      <c r="Z23" s="39">
        <f t="shared" si="71"/>
        <v>0.45133333333333336</v>
      </c>
      <c r="AA23" s="39">
        <f t="shared" si="71"/>
        <v>0.51933333333333331</v>
      </c>
      <c r="AB23" s="129">
        <f>AVERAGEIF($C$36:$C$171,"=6",AB$36:AB$171)</f>
        <v>50.571428571428569</v>
      </c>
      <c r="AC23" s="129">
        <f>AVERAGEIF($C$36:$C$171,"=6",AC$36:AC$171)</f>
        <v>10.357142857142858</v>
      </c>
      <c r="AD23" s="39">
        <f>AVERAGEIF($C$36:$C$171,"=6",AD$36:AD$171)</f>
        <v>0.18642857142857142</v>
      </c>
      <c r="AE23" s="39">
        <f t="shared" ref="AE23:AM23" si="72">AVERAGEIF($C$36:$C$171,"=6",AE$36:AE$171)</f>
        <v>0.50714285714285712</v>
      </c>
      <c r="AF23" s="39">
        <f t="shared" si="72"/>
        <v>0.28214285714285714</v>
      </c>
      <c r="AG23" s="39">
        <f t="shared" si="72"/>
        <v>2.5714285714285714E-2</v>
      </c>
      <c r="AH23" s="39">
        <f t="shared" si="72"/>
        <v>0.40714285714285708</v>
      </c>
      <c r="AI23" s="39">
        <f t="shared" si="72"/>
        <v>0.43285714285714288</v>
      </c>
      <c r="AJ23" s="39">
        <f t="shared" si="72"/>
        <v>0.37714285714285717</v>
      </c>
      <c r="AK23" s="39">
        <f t="shared" si="72"/>
        <v>0.47857142857142865</v>
      </c>
      <c r="AL23" s="39">
        <f t="shared" si="72"/>
        <v>0.54785714285714282</v>
      </c>
      <c r="AM23" s="39">
        <f t="shared" si="72"/>
        <v>0.52928571428571425</v>
      </c>
      <c r="AN23" s="129">
        <f>AVERAGEIF($C$36:$C$171,"=6",AN$36:AN$171)</f>
        <v>49.2</v>
      </c>
      <c r="AO23" s="129">
        <f>AVERAGEIF($C$36:$C$171,"=6",AO$36:AO$171)</f>
        <v>10.066666666666666</v>
      </c>
      <c r="AP23" s="39">
        <f>AVERAGEIF($C$36:$C$171,"=6",AP$36:AP$171)</f>
        <v>0.2233333333333333</v>
      </c>
      <c r="AQ23" s="39">
        <f t="shared" ref="AQ23:AY23" si="73">AVERAGEIF($C$36:$C$171,"=6",AQ$36:AQ$171)</f>
        <v>0.51066666666666671</v>
      </c>
      <c r="AR23" s="39">
        <f t="shared" si="73"/>
        <v>0.25266666666666665</v>
      </c>
      <c r="AS23" s="39">
        <f t="shared" si="73"/>
        <v>1.4000000000000002E-2</v>
      </c>
      <c r="AT23" s="39">
        <f t="shared" si="73"/>
        <v>0.53800000000000003</v>
      </c>
      <c r="AU23" s="39">
        <f t="shared" si="73"/>
        <v>0.45400000000000001</v>
      </c>
      <c r="AV23" s="39">
        <f t="shared" si="73"/>
        <v>0.44866666666666666</v>
      </c>
      <c r="AW23" s="39">
        <f t="shared" si="73"/>
        <v>0.45133333333333336</v>
      </c>
      <c r="AX23" s="39">
        <f t="shared" si="73"/>
        <v>0.45933333333333337</v>
      </c>
      <c r="AY23" s="39">
        <f t="shared" si="73"/>
        <v>0.47933333333333344</v>
      </c>
      <c r="AZ23" s="129">
        <f>AVERAGEIF($C$36:$C$171,"=6",AZ$36:AZ$171)</f>
        <v>49.588235294117645</v>
      </c>
      <c r="BA23" s="129">
        <f>AVERAGEIF($C$36:$C$171,"=6",BA$36:BA$171)</f>
        <v>9.3529411764705888</v>
      </c>
      <c r="BB23" s="39">
        <f>AVERAGEIF($C$36:$C$171,"=6",BB$36:BB$171)</f>
        <v>0.23470588235294115</v>
      </c>
      <c r="BC23" s="39">
        <f t="shared" ref="BC23:BK23" si="74">AVERAGEIF($C$36:$C$171,"=6",BC$36:BC$171)</f>
        <v>0.47823529411764709</v>
      </c>
      <c r="BD23" s="39">
        <f t="shared" si="74"/>
        <v>0.25882352941176479</v>
      </c>
      <c r="BE23" s="39">
        <f t="shared" si="74"/>
        <v>2.8235294117647063E-2</v>
      </c>
      <c r="BF23" s="39">
        <f t="shared" si="74"/>
        <v>0.4847058823529411</v>
      </c>
      <c r="BG23" s="39">
        <f t="shared" si="74"/>
        <v>0.48058823529411765</v>
      </c>
      <c r="BH23" s="39">
        <f t="shared" si="74"/>
        <v>0.48529411764705882</v>
      </c>
      <c r="BI23" s="39">
        <f t="shared" si="74"/>
        <v>0.56058823529411761</v>
      </c>
      <c r="BJ23" s="39">
        <f t="shared" si="74"/>
        <v>0.41823529411764715</v>
      </c>
      <c r="BK23" s="39">
        <f t="shared" si="74"/>
        <v>0.42823529411764705</v>
      </c>
      <c r="BL23" s="129">
        <f>AVERAGEIF($C$36:$C$171,"=6",BL$36:BL$171)</f>
        <v>48.941176470588232</v>
      </c>
      <c r="BN23" s="129">
        <f>AVERAGEIF($C$36:$C$171,"=6",BN$36:BN$171)</f>
        <v>9.1764705882352935</v>
      </c>
      <c r="BP23" s="39">
        <f>AVERAGEIF($C$36:$C$171,"=6",BP$36:BP$171)</f>
        <v>0.20764705882352943</v>
      </c>
      <c r="BQ23" s="39">
        <f t="shared" ref="BQ23:BY23" si="75">AVERAGEIF($C$36:$C$171,"=6",BQ$36:BQ$171)</f>
        <v>0.52882352941176469</v>
      </c>
      <c r="BR23" s="39">
        <f t="shared" si="75"/>
        <v>0.25588235294117645</v>
      </c>
      <c r="BS23" s="39">
        <f t="shared" si="75"/>
        <v>0.01</v>
      </c>
      <c r="BT23" s="39">
        <f t="shared" si="75"/>
        <v>0.42176470588235299</v>
      </c>
      <c r="BU23" s="39">
        <f t="shared" si="75"/>
        <v>0.49</v>
      </c>
      <c r="BV23" s="39">
        <f t="shared" si="75"/>
        <v>0.54705882352941182</v>
      </c>
      <c r="BW23" s="39">
        <f t="shared" si="75"/>
        <v>0.43882352941176478</v>
      </c>
      <c r="BX23" s="39">
        <f t="shared" si="75"/>
        <v>0.48176470588235293</v>
      </c>
      <c r="BY23" s="39">
        <f t="shared" si="75"/>
        <v>0.55647058823529416</v>
      </c>
      <c r="BZ23" s="129">
        <f>AVERAGEIF($C$36:$C$171,"=6",BZ$36:BZ$171)</f>
        <v>49.736842105263158</v>
      </c>
      <c r="CB23" s="129">
        <f>AVERAGEIF($C$36:$C$171,"=6",CB$36:CB$171)</f>
        <v>10.789473684210526</v>
      </c>
      <c r="CD23" s="344">
        <f>AVERAGEIF($C$36:$C$171,"=6",CD$36:CD$171)</f>
        <v>0.25210526315789467</v>
      </c>
      <c r="CE23" s="344">
        <f t="shared" ref="CE23:CM23" si="76">AVERAGEIF($C$36:$C$171,"=6",CE$36:CE$171)</f>
        <v>0.39526315789473687</v>
      </c>
      <c r="CF23" s="344">
        <f t="shared" si="76"/>
        <v>0.3194736842105263</v>
      </c>
      <c r="CG23" s="344">
        <f t="shared" si="76"/>
        <v>3.3157894736842108E-2</v>
      </c>
      <c r="CH23" s="344">
        <f t="shared" si="76"/>
        <v>0.48263157894736841</v>
      </c>
      <c r="CI23" s="344">
        <f t="shared" si="76"/>
        <v>0.38210526315789478</v>
      </c>
      <c r="CJ23" s="344">
        <f t="shared" si="76"/>
        <v>0.5742105263157895</v>
      </c>
      <c r="CK23" s="344">
        <f t="shared" si="76"/>
        <v>0.54315789473684206</v>
      </c>
      <c r="CL23" s="344">
        <f t="shared" si="76"/>
        <v>0.46526315789473682</v>
      </c>
      <c r="CM23" s="344">
        <f t="shared" si="76"/>
        <v>0.55947368421052635</v>
      </c>
      <c r="CN23" s="129">
        <f>AVERAGEIF($C$36:$C$171,"=6",CN$36:CN$171)</f>
        <v>51.15</v>
      </c>
      <c r="CP23" s="129">
        <f>AVERAGEIF($C$36:$C$171,"=6",CP$36:CP$171)</f>
        <v>8.5500000000000007</v>
      </c>
      <c r="CR23" s="344">
        <f>AVERAGEIF($C$36:$C$171,"=6",CR$36:CR$171)</f>
        <v>0.16200000000000001</v>
      </c>
      <c r="CS23" s="344">
        <f t="shared" ref="CS23:DB23" si="77">AVERAGEIF($C$36:$C$171,"=6",CS$36:CS$171)</f>
        <v>0.49749999999999989</v>
      </c>
      <c r="CT23" s="344">
        <f t="shared" si="77"/>
        <v>0.32400000000000001</v>
      </c>
      <c r="CU23" s="344">
        <f t="shared" si="77"/>
        <v>1.4999999999999999E-2</v>
      </c>
      <c r="CV23" s="344">
        <f t="shared" si="77"/>
        <v>0.35450000000000004</v>
      </c>
      <c r="CW23" s="344">
        <f t="shared" si="77"/>
        <v>0.51149999999999995</v>
      </c>
      <c r="CX23" s="344">
        <f t="shared" si="77"/>
        <v>0.52350000000000008</v>
      </c>
      <c r="CY23" s="344">
        <f t="shared" si="77"/>
        <v>0.6725000000000001</v>
      </c>
      <c r="CZ23" s="344">
        <f t="shared" si="77"/>
        <v>0.5784999999999999</v>
      </c>
      <c r="DA23" s="344">
        <f t="shared" si="77"/>
        <v>0.51600000000000013</v>
      </c>
      <c r="DB23" s="129">
        <f t="shared" si="77"/>
        <v>50.611111111111114</v>
      </c>
      <c r="DC23" s="499"/>
      <c r="DD23" s="129">
        <f t="shared" ref="DD23" si="78">AVERAGEIF($C$36:$C$171,"=6",DD$36:DD$171)</f>
        <v>10.166666666666666</v>
      </c>
      <c r="DE23" s="499"/>
      <c r="DF23" s="344">
        <f t="shared" ref="DF23:DN23" si="79">AVERAGEIF($C$36:$C$171,"=6",DF$36:DF$171)</f>
        <v>0.21444444444444441</v>
      </c>
      <c r="DG23" s="344">
        <f t="shared" si="79"/>
        <v>0.43444444444444441</v>
      </c>
      <c r="DH23" s="344">
        <f t="shared" si="79"/>
        <v>0.32222222222222224</v>
      </c>
      <c r="DI23" s="344">
        <f t="shared" si="79"/>
        <v>3.1666666666666669E-2</v>
      </c>
      <c r="DJ23" s="344">
        <f>AVERAGEIF($C$36:$C$171,"=6",DJ$36:DJ$171)</f>
        <v>0.48777777777777787</v>
      </c>
      <c r="DK23" s="344">
        <f>AVERAGEIF($C$36:$C$171,"=6",DK$36:DK$171)</f>
        <v>0.48444444444444457</v>
      </c>
      <c r="DL23" s="344">
        <f t="shared" si="79"/>
        <v>0.47611111111111115</v>
      </c>
      <c r="DM23" s="344">
        <f t="shared" si="79"/>
        <v>0.62166666666666659</v>
      </c>
      <c r="DN23" s="344">
        <f t="shared" si="79"/>
        <v>0.52388888888888885</v>
      </c>
      <c r="DO23" s="344">
        <f>AVERAGEIF($C$36:$C$171,"=6",DO$36:DO$171)</f>
        <v>0.37777777777777777</v>
      </c>
    </row>
    <row r="24" spans="1:119" ht="24.95" customHeight="1" x14ac:dyDescent="0.2">
      <c r="A24" s="6" t="s">
        <v>895</v>
      </c>
      <c r="B24" s="301"/>
      <c r="C24" s="301"/>
      <c r="D24" s="129">
        <f>AVERAGEIFS(D$36:D$171,$C$36:$C$171,"=1", $B$36:$B$171,"OFICIAL")</f>
        <v>50.75</v>
      </c>
      <c r="E24" s="129">
        <f>AVERAGEIFS(E$36:E$171,$C$36:$C$171,"=1", $B$36:$B$171,"OFICIAL")</f>
        <v>9</v>
      </c>
      <c r="F24" s="39">
        <f>AVERAGEIFS(F$36:F$171,$C$36:$C$171,"=1", $B$36:$B$171,"OFICIAL")</f>
        <v>0.16250000000000001</v>
      </c>
      <c r="G24" s="39">
        <f t="shared" ref="G24:O24" si="80">AVERAGEIFS(G$36:G$171,$C$36:$C$171,"=1", $B$36:$B$171,"OFICIAL")</f>
        <v>0.53750000000000009</v>
      </c>
      <c r="H24" s="39">
        <f t="shared" si="80"/>
        <v>0.29249999999999998</v>
      </c>
      <c r="I24" s="39">
        <f t="shared" si="80"/>
        <v>5.0000000000000001E-3</v>
      </c>
      <c r="J24" s="39">
        <f t="shared" si="80"/>
        <v>0.5475000000000001</v>
      </c>
      <c r="K24" s="39">
        <f t="shared" si="80"/>
        <v>0.52</v>
      </c>
      <c r="L24" s="39">
        <f t="shared" si="80"/>
        <v>0.59499999999999997</v>
      </c>
      <c r="M24" s="39">
        <f t="shared" si="80"/>
        <v>0.42999999999999994</v>
      </c>
      <c r="N24" s="39">
        <f t="shared" si="80"/>
        <v>0.42749999999999999</v>
      </c>
      <c r="O24" s="39">
        <f t="shared" si="80"/>
        <v>0.51</v>
      </c>
      <c r="P24" s="129">
        <f>AVERAGEIFS(P$36:P$171,$C$36:$C$171,"=1", $B$36:$B$171,"OFICIAL")</f>
        <v>51.5</v>
      </c>
      <c r="Q24" s="129">
        <f>AVERAGEIFS(Q$36:Q$171,$C$36:$C$171,"=1", $B$36:$B$171,"OFICIAL")</f>
        <v>8.75</v>
      </c>
      <c r="R24" s="39">
        <f>AVERAGEIFS(R$36:R$171,$C$36:$C$171,"=1", $B$36:$B$171,"OFICIAL")</f>
        <v>0.125</v>
      </c>
      <c r="S24" s="39">
        <f t="shared" ref="S24:AA24" si="81">AVERAGEIFS(S$36:S$171,$C$36:$C$171,"=1", $B$36:$B$171,"OFICIAL")</f>
        <v>0.53750000000000009</v>
      </c>
      <c r="T24" s="39">
        <f t="shared" si="81"/>
        <v>0.32750000000000001</v>
      </c>
      <c r="U24" s="39">
        <f t="shared" si="81"/>
        <v>0.01</v>
      </c>
      <c r="V24" s="39">
        <f t="shared" si="81"/>
        <v>0.42000000000000004</v>
      </c>
      <c r="W24" s="39">
        <f t="shared" si="81"/>
        <v>0.47749999999999998</v>
      </c>
      <c r="X24" s="39">
        <f t="shared" si="81"/>
        <v>0.5475000000000001</v>
      </c>
      <c r="Y24" s="39">
        <f t="shared" si="81"/>
        <v>0.4425</v>
      </c>
      <c r="Z24" s="39">
        <f t="shared" si="81"/>
        <v>0.42000000000000004</v>
      </c>
      <c r="AA24" s="39">
        <f t="shared" si="81"/>
        <v>0.48750000000000004</v>
      </c>
      <c r="AB24" s="129">
        <f>AVERAGEIFS(AB$36:AB$171,$C$36:$C$171,"=1", $B$36:$B$171,"OFICIAL")</f>
        <v>48.25</v>
      </c>
      <c r="AC24" s="129">
        <f>AVERAGEIFS(AC$36:AC$171,$C$36:$C$171,"=1", $B$36:$B$171,"OFICIAL")</f>
        <v>10</v>
      </c>
      <c r="AD24" s="39">
        <f>AVERAGEIFS(AD$36:AD$171,$C$36:$C$171,"=1", $B$36:$B$171,"OFICIAL")</f>
        <v>0.24249999999999999</v>
      </c>
      <c r="AE24" s="39">
        <f t="shared" ref="AE24:AM24" si="82">AVERAGEIFS(AE$36:AE$171,$C$36:$C$171,"=1", $B$36:$B$171,"OFICIAL")</f>
        <v>0.53</v>
      </c>
      <c r="AF24" s="39">
        <f t="shared" si="82"/>
        <v>0.21999999999999997</v>
      </c>
      <c r="AG24" s="39">
        <f t="shared" si="82"/>
        <v>0.01</v>
      </c>
      <c r="AH24" s="39">
        <f t="shared" si="82"/>
        <v>0.45499999999999996</v>
      </c>
      <c r="AI24" s="39">
        <f t="shared" si="82"/>
        <v>0.45999999999999996</v>
      </c>
      <c r="AJ24" s="39">
        <f t="shared" si="82"/>
        <v>0.42500000000000004</v>
      </c>
      <c r="AK24" s="39">
        <f t="shared" si="82"/>
        <v>0.52249999999999996</v>
      </c>
      <c r="AL24" s="39">
        <f t="shared" si="82"/>
        <v>0.58250000000000002</v>
      </c>
      <c r="AM24" s="39">
        <f t="shared" si="82"/>
        <v>0.56499999999999995</v>
      </c>
      <c r="AN24" s="129">
        <f>AVERAGEIFS(AN$36:AN$171,$C$36:$C$171,"=1", $B$36:$B$171,"OFICIAL")</f>
        <v>47.25</v>
      </c>
      <c r="AO24" s="129">
        <f>AVERAGEIFS(AO$36:AO$171,$C$36:$C$171,"=1", $B$36:$B$171,"OFICIAL")</f>
        <v>10.75</v>
      </c>
      <c r="AP24" s="39">
        <f>AVERAGEIFS(AP$36:AP$171,$C$36:$C$171,"=1", $B$36:$B$171,"OFICIAL")</f>
        <v>0.29000000000000004</v>
      </c>
      <c r="AQ24" s="39">
        <f t="shared" ref="AQ24:AY24" si="83">AVERAGEIFS(AQ$36:AQ$171,$C$36:$C$171,"=1", $B$36:$B$171,"OFICIAL")</f>
        <v>0.48</v>
      </c>
      <c r="AR24" s="39">
        <f t="shared" si="83"/>
        <v>0.2175</v>
      </c>
      <c r="AS24" s="39">
        <f t="shared" si="83"/>
        <v>1.7500000000000002E-2</v>
      </c>
      <c r="AT24" s="39">
        <f t="shared" si="83"/>
        <v>0.57250000000000001</v>
      </c>
      <c r="AU24" s="39">
        <f t="shared" si="83"/>
        <v>0.4975</v>
      </c>
      <c r="AV24" s="39">
        <f t="shared" si="83"/>
        <v>0.47499999999999998</v>
      </c>
      <c r="AW24" s="39">
        <f t="shared" si="83"/>
        <v>0.47749999999999998</v>
      </c>
      <c r="AX24" s="39">
        <f t="shared" si="83"/>
        <v>0.505</v>
      </c>
      <c r="AY24" s="39">
        <f t="shared" si="83"/>
        <v>0.49</v>
      </c>
      <c r="AZ24" s="129">
        <f>AVERAGEIFS(AZ$36:AZ$171,$C$36:$C$171,"=1", $B$36:$B$171,"OFICIAL")</f>
        <v>49.75</v>
      </c>
      <c r="BA24" s="129">
        <f>AVERAGEIFS(BA$36:BA$171,$C$36:$C$171,"=1", $B$36:$B$171,"OFICIAL")</f>
        <v>9.75</v>
      </c>
      <c r="BB24" s="39">
        <f>AVERAGEIFS(BB$36:BB$171,$C$36:$C$171,"=1", $B$36:$B$171,"OFICIAL")</f>
        <v>0.19750000000000001</v>
      </c>
      <c r="BC24" s="39">
        <f t="shared" ref="BC24:BK24" si="84">AVERAGEIFS(BC$36:BC$171,$C$36:$C$171,"=1", $B$36:$B$171,"OFICIAL")</f>
        <v>0.52249999999999996</v>
      </c>
      <c r="BD24" s="39">
        <f t="shared" si="84"/>
        <v>0.255</v>
      </c>
      <c r="BE24" s="39">
        <f t="shared" si="84"/>
        <v>2.2499999999999999E-2</v>
      </c>
      <c r="BF24" s="39">
        <f t="shared" si="84"/>
        <v>0.47499999999999998</v>
      </c>
      <c r="BG24" s="39">
        <f t="shared" si="84"/>
        <v>0.48499999999999999</v>
      </c>
      <c r="BH24" s="39">
        <f t="shared" si="84"/>
        <v>0.48749999999999999</v>
      </c>
      <c r="BI24" s="39">
        <f t="shared" si="84"/>
        <v>0.5774999999999999</v>
      </c>
      <c r="BJ24" s="39">
        <f t="shared" si="84"/>
        <v>0.41250000000000003</v>
      </c>
      <c r="BK24" s="39">
        <f t="shared" si="84"/>
        <v>0.41749999999999998</v>
      </c>
      <c r="BL24" s="129">
        <f>AVERAGEIFS(BL$36:BL$171,$C$36:$C$171,"=1", $B$36:$B$171,"OFICIAL")</f>
        <v>47.5</v>
      </c>
      <c r="BN24" s="129">
        <f>AVERAGEIFS(BN$36:BN$171,$C$36:$C$171,"=1", $B$36:$B$171,"OFICIAL")</f>
        <v>10.25</v>
      </c>
      <c r="BP24" s="39">
        <f>AVERAGEIFS(BP$36:BP$171,$C$36:$C$171,"=1", $B$36:$B$171,"OFICIAL")</f>
        <v>0.26500000000000001</v>
      </c>
      <c r="BQ24" s="39">
        <f t="shared" ref="BQ24:BY24" si="85">AVERAGEIFS(BQ$36:BQ$171,$C$36:$C$171,"=1", $B$36:$B$171,"OFICIAL")</f>
        <v>0.4975</v>
      </c>
      <c r="BR24" s="39">
        <f t="shared" si="85"/>
        <v>0.22249999999999998</v>
      </c>
      <c r="BS24" s="39">
        <f t="shared" si="85"/>
        <v>1.4999999999999999E-2</v>
      </c>
      <c r="BT24" s="39">
        <f t="shared" si="85"/>
        <v>0.47249999999999998</v>
      </c>
      <c r="BU24" s="39">
        <f t="shared" si="85"/>
        <v>0.51750000000000007</v>
      </c>
      <c r="BV24" s="39">
        <f t="shared" si="85"/>
        <v>0.61250000000000004</v>
      </c>
      <c r="BW24" s="39">
        <f t="shared" si="85"/>
        <v>0.45499999999999996</v>
      </c>
      <c r="BX24" s="39">
        <f t="shared" si="85"/>
        <v>0.48749999999999999</v>
      </c>
      <c r="BY24" s="39">
        <f t="shared" si="85"/>
        <v>0.55249999999999999</v>
      </c>
      <c r="BZ24" s="129">
        <f>AVERAGEIFS(BZ$36:BZ$171,$C$36:$C$171,"=1", $B$36:$B$171,"OFICIAL")</f>
        <v>48.2</v>
      </c>
      <c r="CB24" s="129">
        <f>AVERAGEIFS(CB$36:CB$171,$C$36:$C$171,"=1", $B$36:$B$171,"OFICIAL")</f>
        <v>10.8</v>
      </c>
      <c r="CD24" s="344">
        <f>AVERAGEIFS(CD$36:CD$171,$C$36:$C$171,"=1", $B$36:$B$171,"OFICIAL")</f>
        <v>0.25600000000000001</v>
      </c>
      <c r="CE24" s="344">
        <f t="shared" ref="CE24:CM24" si="86">AVERAGEIFS(CE$36:CE$171,$C$36:$C$171,"=1", $B$36:$B$171,"OFICIAL")</f>
        <v>0.49199999999999999</v>
      </c>
      <c r="CF24" s="344">
        <f t="shared" si="86"/>
        <v>0.23599999999999999</v>
      </c>
      <c r="CG24" s="344">
        <f t="shared" si="86"/>
        <v>1.7999999999999999E-2</v>
      </c>
      <c r="CH24" s="344">
        <f t="shared" si="86"/>
        <v>0.53</v>
      </c>
      <c r="CI24" s="344">
        <f t="shared" si="86"/>
        <v>0.442</v>
      </c>
      <c r="CJ24" s="344">
        <f t="shared" si="86"/>
        <v>0.59199999999999997</v>
      </c>
      <c r="CK24" s="344">
        <f t="shared" si="86"/>
        <v>0.56200000000000006</v>
      </c>
      <c r="CL24" s="344">
        <f t="shared" si="86"/>
        <v>0.45199999999999996</v>
      </c>
      <c r="CM24" s="344">
        <f t="shared" si="86"/>
        <v>0.59199999999999986</v>
      </c>
      <c r="CN24" s="129">
        <f>AVERAGEIFS(CN$36:CN$171,$C$36:$C$171,"=1", $B$36:$B$171,"OFICIAL")</f>
        <v>48.2</v>
      </c>
      <c r="CP24" s="129">
        <f>AVERAGEIFS(CP$36:CP$171,$C$36:$C$171,"=1", $B$36:$B$171,"OFICIAL")</f>
        <v>9.8000000000000007</v>
      </c>
      <c r="CR24" s="344">
        <f>AVERAGEIFS(CR$36:CR$171,$C$36:$C$171,"=1", $B$36:$B$171,"OFICIAL")</f>
        <v>0.246</v>
      </c>
      <c r="CS24" s="344">
        <f t="shared" ref="CS24:DB24" si="87">AVERAGEIFS(CS$36:CS$171,$C$36:$C$171,"=1", $B$36:$B$171,"OFICIAL")</f>
        <v>0.51600000000000001</v>
      </c>
      <c r="CT24" s="344">
        <f t="shared" si="87"/>
        <v>0.22800000000000004</v>
      </c>
      <c r="CU24" s="344">
        <f t="shared" si="87"/>
        <v>8.0000000000000002E-3</v>
      </c>
      <c r="CV24" s="344">
        <f t="shared" si="87"/>
        <v>0.38800000000000001</v>
      </c>
      <c r="CW24" s="344">
        <f t="shared" si="87"/>
        <v>0.57000000000000006</v>
      </c>
      <c r="CX24" s="344">
        <f t="shared" si="87"/>
        <v>0.60599999999999998</v>
      </c>
      <c r="CY24" s="344">
        <f t="shared" si="87"/>
        <v>0.59600000000000009</v>
      </c>
      <c r="CZ24" s="344">
        <f t="shared" si="87"/>
        <v>0.6</v>
      </c>
      <c r="DA24" s="344">
        <f t="shared" si="87"/>
        <v>0.61</v>
      </c>
      <c r="DB24" s="494">
        <f t="shared" si="87"/>
        <v>47.8</v>
      </c>
      <c r="DC24" s="499"/>
      <c r="DD24" s="302">
        <f>AVERAGEIFS(DD$36:DD$171,$C$36:$C$171,"=1", $B$36:$B$171,"OFICIAL")</f>
        <v>10.4</v>
      </c>
      <c r="DE24" s="499"/>
      <c r="DF24" s="345">
        <f t="shared" ref="DF24:DN24" si="88">AVERAGEIFS(DF$36:DF$171,$C$36:$C$171,"=1", $B$36:$B$171,"OFICIAL")</f>
        <v>0.27800000000000002</v>
      </c>
      <c r="DG24" s="345">
        <f t="shared" si="88"/>
        <v>0.45800000000000002</v>
      </c>
      <c r="DH24" s="345">
        <f t="shared" si="88"/>
        <v>0.25800000000000001</v>
      </c>
      <c r="DI24" s="345">
        <f t="shared" si="88"/>
        <v>4.0000000000000001E-3</v>
      </c>
      <c r="DJ24" s="345">
        <f>AVERAGEIFS(DJ$36:DJ$171,$C$36:$C$171,"=1", $B$36:$B$171,"OFICIAL")</f>
        <v>0.52200000000000002</v>
      </c>
      <c r="DK24" s="345">
        <f>AVERAGEIFS(DK$36:DK$171,$C$36:$C$171,"=1", $B$36:$B$171,"OFICIAL")</f>
        <v>0.51400000000000001</v>
      </c>
      <c r="DL24" s="345">
        <f t="shared" si="88"/>
        <v>0.53</v>
      </c>
      <c r="DM24" s="345">
        <f t="shared" si="88"/>
        <v>0.66800000000000004</v>
      </c>
      <c r="DN24" s="345">
        <f t="shared" si="88"/>
        <v>0.56799999999999995</v>
      </c>
      <c r="DO24" s="345">
        <f>AVERAGEIFS(DO$36:DO$171,$C$36:$C$171,"=1", $B$36:$B$171,"OFICIAL")</f>
        <v>0.43</v>
      </c>
    </row>
    <row r="25" spans="1:119" ht="24.95" customHeight="1" x14ac:dyDescent="0.2">
      <c r="A25" s="6" t="s">
        <v>896</v>
      </c>
      <c r="B25" s="301"/>
      <c r="C25" s="301"/>
      <c r="D25" s="129">
        <f>AVERAGEIFS(D$36:D$171,$C$36:$C$171,"=2", $B$36:$B$171,"OFICIAL")</f>
        <v>52</v>
      </c>
      <c r="E25" s="129">
        <f>AVERAGEIFS(E$36:E$171,$C$36:$C$171,"=2", $B$36:$B$171,"OFICIAL")</f>
        <v>8.5</v>
      </c>
      <c r="F25" s="39">
        <f>AVERAGEIFS(F$36:F$171,$C$36:$C$171,"=2", $B$36:$B$171,"OFICIAL")</f>
        <v>0.11</v>
      </c>
      <c r="G25" s="39">
        <f t="shared" ref="G25:O25" si="89">AVERAGEIFS(G$36:G$171,$C$36:$C$171,"=2", $B$36:$B$171,"OFICIAL")</f>
        <v>0.55499999999999994</v>
      </c>
      <c r="H25" s="39">
        <f t="shared" si="89"/>
        <v>0.33</v>
      </c>
      <c r="I25" s="39">
        <f t="shared" si="89"/>
        <v>0.01</v>
      </c>
      <c r="J25" s="39">
        <f t="shared" si="89"/>
        <v>0.52500000000000002</v>
      </c>
      <c r="K25" s="39">
        <f t="shared" si="89"/>
        <v>0.48</v>
      </c>
      <c r="L25" s="39">
        <f t="shared" si="89"/>
        <v>0.57999999999999996</v>
      </c>
      <c r="M25" s="39">
        <f t="shared" si="89"/>
        <v>0.44</v>
      </c>
      <c r="N25" s="39">
        <f t="shared" si="89"/>
        <v>0.42000000000000004</v>
      </c>
      <c r="O25" s="39">
        <f t="shared" si="89"/>
        <v>0.52</v>
      </c>
      <c r="P25" s="129">
        <f>AVERAGEIFS(P$36:P$171,$C$36:$C$171,"=2", $B$36:$B$171,"OFICIAL")</f>
        <v>51</v>
      </c>
      <c r="Q25" s="129">
        <f>AVERAGEIFS(Q$36:Q$171,$C$36:$C$171,"=2", $B$36:$B$171,"OFICIAL")</f>
        <v>9.5</v>
      </c>
      <c r="R25" s="39">
        <f>AVERAGEIFS(R$36:R$171,$C$36:$C$171,"=2", $B$36:$B$171,"OFICIAL")</f>
        <v>0.13500000000000001</v>
      </c>
      <c r="S25" s="39">
        <f t="shared" ref="S25:AA25" si="90">AVERAGEIFS(S$36:S$171,$C$36:$C$171,"=2", $B$36:$B$171,"OFICIAL")</f>
        <v>0.52500000000000002</v>
      </c>
      <c r="T25" s="39">
        <f t="shared" si="90"/>
        <v>0.32</v>
      </c>
      <c r="U25" s="39">
        <f t="shared" si="90"/>
        <v>2.5000000000000001E-2</v>
      </c>
      <c r="V25" s="39">
        <f t="shared" si="90"/>
        <v>0.41499999999999998</v>
      </c>
      <c r="W25" s="39">
        <f t="shared" si="90"/>
        <v>0.48</v>
      </c>
      <c r="X25" s="39">
        <f t="shared" si="90"/>
        <v>0.54500000000000004</v>
      </c>
      <c r="Y25" s="39">
        <f t="shared" si="90"/>
        <v>0.44500000000000001</v>
      </c>
      <c r="Z25" s="39">
        <f t="shared" si="90"/>
        <v>0.44</v>
      </c>
      <c r="AA25" s="39">
        <f t="shared" si="90"/>
        <v>0.495</v>
      </c>
      <c r="AB25" s="129">
        <f>AVERAGEIFS(AB$36:AB$171,$C$36:$C$171,"=2", $B$36:$B$171,"OFICIAL")</f>
        <v>49</v>
      </c>
      <c r="AC25" s="129">
        <f>AVERAGEIFS(AC$36:AC$171,$C$36:$C$171,"=2", $B$36:$B$171,"OFICIAL")</f>
        <v>10</v>
      </c>
      <c r="AD25" s="39">
        <f>AVERAGEIFS(AD$36:AD$171,$C$36:$C$171,"=2", $B$36:$B$171,"OFICIAL")</f>
        <v>0.21000000000000002</v>
      </c>
      <c r="AE25" s="39">
        <f t="shared" ref="AE25:AM25" si="91">AVERAGEIFS(AE$36:AE$171,$C$36:$C$171,"=2", $B$36:$B$171,"OFICIAL")</f>
        <v>0.5</v>
      </c>
      <c r="AF25" s="39">
        <f t="shared" si="91"/>
        <v>0.29000000000000004</v>
      </c>
      <c r="AG25" s="39">
        <f t="shared" si="91"/>
        <v>5.0000000000000001E-3</v>
      </c>
      <c r="AH25" s="39">
        <f t="shared" si="91"/>
        <v>0.44500000000000001</v>
      </c>
      <c r="AI25" s="39">
        <f t="shared" si="91"/>
        <v>0.435</v>
      </c>
      <c r="AJ25" s="39">
        <f t="shared" si="91"/>
        <v>0.42</v>
      </c>
      <c r="AK25" s="39">
        <f t="shared" si="91"/>
        <v>0.51500000000000001</v>
      </c>
      <c r="AL25" s="39">
        <f t="shared" si="91"/>
        <v>0.54</v>
      </c>
      <c r="AM25" s="39">
        <f t="shared" si="91"/>
        <v>0.52500000000000002</v>
      </c>
      <c r="AN25" s="129">
        <f>AVERAGEIFS(AN$36:AN$171,$C$36:$C$171,"=2", $B$36:$B$171,"OFICIAL")</f>
        <v>48</v>
      </c>
      <c r="AO25" s="129">
        <f>AVERAGEIFS(AO$36:AO$171,$C$36:$C$171,"=2", $B$36:$B$171,"OFICIAL")</f>
        <v>10.5</v>
      </c>
      <c r="AP25" s="39">
        <f>AVERAGEIFS(AP$36:AP$171,$C$36:$C$171,"=2", $B$36:$B$171,"OFICIAL")</f>
        <v>0.28000000000000003</v>
      </c>
      <c r="AQ25" s="39">
        <f t="shared" ref="AQ25:AY25" si="92">AVERAGEIFS(AQ$36:AQ$171,$C$36:$C$171,"=2", $B$36:$B$171,"OFICIAL")</f>
        <v>0.45499999999999996</v>
      </c>
      <c r="AR25" s="39">
        <f t="shared" si="92"/>
        <v>0.255</v>
      </c>
      <c r="AS25" s="39">
        <f t="shared" si="92"/>
        <v>0.01</v>
      </c>
      <c r="AT25" s="39">
        <f t="shared" si="92"/>
        <v>0.56000000000000005</v>
      </c>
      <c r="AU25" s="39">
        <f t="shared" si="92"/>
        <v>0.45999999999999996</v>
      </c>
      <c r="AV25" s="39">
        <f t="shared" si="92"/>
        <v>0.48</v>
      </c>
      <c r="AW25" s="39">
        <f t="shared" si="92"/>
        <v>0.47499999999999998</v>
      </c>
      <c r="AX25" s="39">
        <f t="shared" si="92"/>
        <v>0.495</v>
      </c>
      <c r="AY25" s="39">
        <f t="shared" si="92"/>
        <v>0.48</v>
      </c>
      <c r="AZ25" s="129">
        <f>AVERAGEIFS(AZ$36:AZ$171,$C$36:$C$171,"=2", $B$36:$B$171,"OFICIAL")</f>
        <v>50</v>
      </c>
      <c r="BA25" s="129">
        <f>AVERAGEIFS(BA$36:BA$171,$C$36:$C$171,"=2", $B$36:$B$171,"OFICIAL")</f>
        <v>10</v>
      </c>
      <c r="BB25" s="39">
        <f>AVERAGEIFS(BB$36:BB$171,$C$36:$C$171,"=2", $B$36:$B$171,"OFICIAL")</f>
        <v>0.185</v>
      </c>
      <c r="BC25" s="39">
        <f t="shared" ref="BC25:BK25" si="93">AVERAGEIFS(BC$36:BC$171,$C$36:$C$171,"=2", $B$36:$B$171,"OFICIAL")</f>
        <v>0.49</v>
      </c>
      <c r="BD25" s="39">
        <f t="shared" si="93"/>
        <v>0.31000000000000005</v>
      </c>
      <c r="BE25" s="39">
        <f t="shared" si="93"/>
        <v>0.02</v>
      </c>
      <c r="BF25" s="39">
        <f t="shared" si="93"/>
        <v>0.48</v>
      </c>
      <c r="BG25" s="39">
        <f t="shared" si="93"/>
        <v>0.46499999999999997</v>
      </c>
      <c r="BH25" s="39">
        <f t="shared" si="93"/>
        <v>0.46499999999999997</v>
      </c>
      <c r="BI25" s="39">
        <f t="shared" si="93"/>
        <v>0.53500000000000003</v>
      </c>
      <c r="BJ25" s="39">
        <f t="shared" si="93"/>
        <v>0.42500000000000004</v>
      </c>
      <c r="BK25" s="39">
        <f t="shared" si="93"/>
        <v>0.40500000000000003</v>
      </c>
      <c r="BL25" s="129">
        <f>AVERAGEIFS(BL$36:BL$171,$C$36:$C$171,"=2", $B$36:$B$171,"OFICIAL")</f>
        <v>48.5</v>
      </c>
      <c r="BN25" s="129">
        <f>AVERAGEIFS(BN$36:BN$171,$C$36:$C$171,"=2", $B$36:$B$171,"OFICIAL")</f>
        <v>10</v>
      </c>
      <c r="BP25" s="39">
        <f>AVERAGEIFS(BP$36:BP$171,$C$36:$C$171,"=2", $B$36:$B$171,"OFICIAL")</f>
        <v>0.245</v>
      </c>
      <c r="BQ25" s="39">
        <f t="shared" ref="BQ25:BY25" si="94">AVERAGEIFS(BQ$36:BQ$171,$C$36:$C$171,"=2", $B$36:$B$171,"OFICIAL")</f>
        <v>0.505</v>
      </c>
      <c r="BR25" s="39">
        <f t="shared" si="94"/>
        <v>0.245</v>
      </c>
      <c r="BS25" s="39">
        <f t="shared" si="94"/>
        <v>5.0000000000000001E-3</v>
      </c>
      <c r="BT25" s="39">
        <f t="shared" si="94"/>
        <v>0.48</v>
      </c>
      <c r="BU25" s="39">
        <f t="shared" si="94"/>
        <v>0.5</v>
      </c>
      <c r="BV25" s="39">
        <f t="shared" si="94"/>
        <v>0.55000000000000004</v>
      </c>
      <c r="BW25" s="39">
        <f t="shared" si="94"/>
        <v>0.45500000000000002</v>
      </c>
      <c r="BX25" s="39">
        <f t="shared" si="94"/>
        <v>0.49</v>
      </c>
      <c r="BY25" s="39">
        <f t="shared" si="94"/>
        <v>0.55500000000000005</v>
      </c>
      <c r="BZ25" s="129">
        <f>AVERAGEIFS(BZ$36:BZ$171,$C$36:$C$171,"=2", $B$36:$B$171,"OFICIAL")</f>
        <v>48.5</v>
      </c>
      <c r="CB25" s="129">
        <f>AVERAGEIFS(CB$36:CB$171,$C$36:$C$171,"=2", $B$36:$B$171,"OFICIAL")</f>
        <v>10.25</v>
      </c>
      <c r="CD25" s="344">
        <f>AVERAGEIFS(CD$36:CD$171,$C$36:$C$171,"=2", $B$36:$B$171,"OFICIAL")</f>
        <v>0.23749999999999999</v>
      </c>
      <c r="CE25" s="344">
        <f t="shared" ref="CE25:CM25" si="95">AVERAGEIFS(CE$36:CE$171,$C$36:$C$171,"=2", $B$36:$B$171,"OFICIAL")</f>
        <v>0.48749999999999999</v>
      </c>
      <c r="CF25" s="344">
        <f t="shared" si="95"/>
        <v>0.26750000000000002</v>
      </c>
      <c r="CG25" s="344">
        <f t="shared" si="95"/>
        <v>0.01</v>
      </c>
      <c r="CH25" s="344">
        <f t="shared" si="95"/>
        <v>0.52250000000000008</v>
      </c>
      <c r="CI25" s="344">
        <f t="shared" si="95"/>
        <v>0.43999999999999995</v>
      </c>
      <c r="CJ25" s="344">
        <f t="shared" si="95"/>
        <v>0.57750000000000001</v>
      </c>
      <c r="CK25" s="344">
        <f t="shared" si="95"/>
        <v>0.5625</v>
      </c>
      <c r="CL25" s="344">
        <f t="shared" si="95"/>
        <v>0.45750000000000002</v>
      </c>
      <c r="CM25" s="344">
        <f t="shared" si="95"/>
        <v>0.59</v>
      </c>
      <c r="CN25" s="129">
        <f>AVERAGEIFS(CN$36:CN$171,$C$36:$C$171,"=2", $B$36:$B$171,"OFICIAL")</f>
        <v>49</v>
      </c>
      <c r="CP25" s="129">
        <f>AVERAGEIFS(CP$36:CP$171,$C$36:$C$171,"=2", $B$36:$B$171,"OFICIAL")</f>
        <v>10</v>
      </c>
      <c r="CR25" s="344">
        <f>AVERAGEIFS(CR$36:CR$171,$C$36:$C$171,"=2", $B$36:$B$171,"OFICIAL")</f>
        <v>0.2175</v>
      </c>
      <c r="CS25" s="344">
        <f t="shared" ref="CS25:DB25" si="96">AVERAGEIFS(CS$36:CS$171,$C$36:$C$171,"=2", $B$36:$B$171,"OFICIAL")</f>
        <v>0.505</v>
      </c>
      <c r="CT25" s="344">
        <f t="shared" si="96"/>
        <v>0.26500000000000001</v>
      </c>
      <c r="CU25" s="344">
        <f t="shared" si="96"/>
        <v>1.4999999999999999E-2</v>
      </c>
      <c r="CV25" s="344">
        <f t="shared" si="96"/>
        <v>0.37249999999999994</v>
      </c>
      <c r="CW25" s="344">
        <f t="shared" si="96"/>
        <v>0.57250000000000001</v>
      </c>
      <c r="CX25" s="344">
        <f t="shared" si="96"/>
        <v>0.58749999999999991</v>
      </c>
      <c r="CY25" s="344">
        <f t="shared" si="96"/>
        <v>0.63</v>
      </c>
      <c r="CZ25" s="344">
        <f t="shared" si="96"/>
        <v>0.57750000000000001</v>
      </c>
      <c r="DA25" s="344">
        <f t="shared" si="96"/>
        <v>0.61</v>
      </c>
      <c r="DB25" s="494">
        <f t="shared" si="96"/>
        <v>49.75</v>
      </c>
      <c r="DC25" s="499"/>
      <c r="DD25" s="302">
        <f>AVERAGEIFS(DD$36:DD$171,$C$36:$C$171,"=2", $B$36:$B$171,"OFICIAL")</f>
        <v>10.25</v>
      </c>
      <c r="DE25" s="499"/>
      <c r="DF25" s="345">
        <f t="shared" ref="DF25:DN25" si="97">AVERAGEIFS(DF$36:DF$171,$C$36:$C$171,"=2", $B$36:$B$171,"OFICIAL")</f>
        <v>0.21749999999999997</v>
      </c>
      <c r="DG25" s="345">
        <f t="shared" si="97"/>
        <v>0.46499999999999997</v>
      </c>
      <c r="DH25" s="345">
        <f t="shared" si="97"/>
        <v>0.29249999999999998</v>
      </c>
      <c r="DI25" s="345">
        <f t="shared" si="97"/>
        <v>2.5000000000000001E-2</v>
      </c>
      <c r="DJ25" s="345">
        <f>AVERAGEIFS(DJ$36:DJ$171,$C$36:$C$171,"=2", $B$36:$B$171,"OFICIAL")</f>
        <v>0.5</v>
      </c>
      <c r="DK25" s="345">
        <f>AVERAGEIFS(DK$36:DK$171,$C$36:$C$171,"=2", $B$36:$B$171,"OFICIAL")</f>
        <v>0.48</v>
      </c>
      <c r="DL25" s="345">
        <f t="shared" si="97"/>
        <v>0.49</v>
      </c>
      <c r="DM25" s="345">
        <f t="shared" si="97"/>
        <v>0.64750000000000008</v>
      </c>
      <c r="DN25" s="345">
        <f t="shared" si="97"/>
        <v>0.53500000000000003</v>
      </c>
      <c r="DO25" s="345">
        <f>AVERAGEIFS(DO$36:DO$171,$C$36:$C$171,"=2", $B$36:$B$171,"OFICIAL")</f>
        <v>0.42749999999999999</v>
      </c>
    </row>
    <row r="26" spans="1:119" ht="24.95" customHeight="1" x14ac:dyDescent="0.2">
      <c r="A26" s="6" t="s">
        <v>897</v>
      </c>
      <c r="B26" s="301"/>
      <c r="C26" s="301"/>
      <c r="D26" s="129">
        <f>AVERAGEIFS(D$36:D$171,$C$36:$C$171,"=3", $B$36:$B$171,"OFICIAL")</f>
        <v>50.4</v>
      </c>
      <c r="E26" s="129">
        <f>AVERAGEIFS(E$36:E$171,$C$36:$C$171,"=3", $B$36:$B$171,"OFICIAL")</f>
        <v>8.8000000000000007</v>
      </c>
      <c r="F26" s="39">
        <f>AVERAGEIFS(F$36:F$171,$C$36:$C$171,"=3", $B$36:$B$171,"OFICIAL")</f>
        <v>0.158</v>
      </c>
      <c r="G26" s="39">
        <f t="shared" ref="G26:O26" si="98">AVERAGEIFS(G$36:G$171,$C$36:$C$171,"=3", $B$36:$B$171,"OFICIAL")</f>
        <v>0.56600000000000006</v>
      </c>
      <c r="H26" s="39">
        <f t="shared" si="98"/>
        <v>0.26600000000000001</v>
      </c>
      <c r="I26" s="39">
        <f t="shared" si="98"/>
        <v>1.5999999999999997E-2</v>
      </c>
      <c r="J26" s="39">
        <f t="shared" si="98"/>
        <v>0.54400000000000004</v>
      </c>
      <c r="K26" s="39">
        <f t="shared" si="98"/>
        <v>0.504</v>
      </c>
      <c r="L26" s="39">
        <f t="shared" si="98"/>
        <v>0.60000000000000009</v>
      </c>
      <c r="M26" s="39">
        <f t="shared" si="98"/>
        <v>0.45599999999999996</v>
      </c>
      <c r="N26" s="39">
        <f t="shared" si="98"/>
        <v>0.45800000000000002</v>
      </c>
      <c r="O26" s="39">
        <f t="shared" si="98"/>
        <v>0.52600000000000002</v>
      </c>
      <c r="P26" s="129">
        <f>AVERAGEIFS(P$36:P$171,$C$36:$C$171,"=3", $B$36:$B$171,"OFICIAL")</f>
        <v>51</v>
      </c>
      <c r="Q26" s="129">
        <f>AVERAGEIFS(Q$36:Q$171,$C$36:$C$171,"=3", $B$36:$B$171,"OFICIAL")</f>
        <v>9.4</v>
      </c>
      <c r="R26" s="39">
        <f>AVERAGEIFS(R$36:R$171,$C$36:$C$171,"=3", $B$36:$B$171,"OFICIAL")</f>
        <v>0.15000000000000002</v>
      </c>
      <c r="S26" s="39">
        <f t="shared" ref="S26:AA26" si="99">AVERAGEIFS(S$36:S$171,$C$36:$C$171,"=3", $B$36:$B$171,"OFICIAL")</f>
        <v>0.50600000000000001</v>
      </c>
      <c r="T26" s="39">
        <f t="shared" si="99"/>
        <v>0.34</v>
      </c>
      <c r="U26" s="39">
        <f t="shared" si="99"/>
        <v>4.0000000000000001E-3</v>
      </c>
      <c r="V26" s="39">
        <f t="shared" si="99"/>
        <v>0.44000000000000006</v>
      </c>
      <c r="W26" s="39">
        <f t="shared" si="99"/>
        <v>0.49199999999999999</v>
      </c>
      <c r="X26" s="39">
        <f t="shared" si="99"/>
        <v>0.57400000000000007</v>
      </c>
      <c r="Y26" s="39">
        <f t="shared" si="99"/>
        <v>0.46399999999999997</v>
      </c>
      <c r="Z26" s="39">
        <f t="shared" si="99"/>
        <v>0.434</v>
      </c>
      <c r="AA26" s="39">
        <f t="shared" si="99"/>
        <v>0.504</v>
      </c>
      <c r="AB26" s="129">
        <f>AVERAGEIFS(AB$36:AB$171,$C$36:$C$171,"=3", $B$36:$B$171,"OFICIAL")</f>
        <v>50</v>
      </c>
      <c r="AC26" s="129">
        <f>AVERAGEIFS(AC$36:AC$171,$C$36:$C$171,"=3", $B$36:$B$171,"OFICIAL")</f>
        <v>10</v>
      </c>
      <c r="AD26" s="39">
        <f>AVERAGEIFS(AD$36:AD$171,$C$36:$C$171,"=3", $B$36:$B$171,"OFICIAL")</f>
        <v>0.186</v>
      </c>
      <c r="AE26" s="39">
        <f t="shared" ref="AE26:AM26" si="100">AVERAGEIFS(AE$36:AE$171,$C$36:$C$171,"=3", $B$36:$B$171,"OFICIAL")</f>
        <v>0.504</v>
      </c>
      <c r="AF26" s="39">
        <f t="shared" si="100"/>
        <v>0.29599999999999999</v>
      </c>
      <c r="AG26" s="39">
        <f t="shared" si="100"/>
        <v>1.2E-2</v>
      </c>
      <c r="AH26" s="39">
        <f t="shared" si="100"/>
        <v>0.43600000000000005</v>
      </c>
      <c r="AI26" s="39">
        <f t="shared" si="100"/>
        <v>0.42800000000000005</v>
      </c>
      <c r="AJ26" s="39">
        <f t="shared" si="100"/>
        <v>0.41399999999999998</v>
      </c>
      <c r="AK26" s="39">
        <f t="shared" si="100"/>
        <v>0.51</v>
      </c>
      <c r="AL26" s="39">
        <f t="shared" si="100"/>
        <v>0.55600000000000005</v>
      </c>
      <c r="AM26" s="39">
        <f t="shared" si="100"/>
        <v>0.52</v>
      </c>
      <c r="AN26" s="129">
        <f>AVERAGEIFS(AN$36:AN$171,$C$36:$C$171,"=3", $B$36:$B$171,"OFICIAL")</f>
        <v>47.2</v>
      </c>
      <c r="AO26" s="129">
        <f>AVERAGEIFS(AO$36:AO$171,$C$36:$C$171,"=3", $B$36:$B$171,"OFICIAL")</f>
        <v>10</v>
      </c>
      <c r="AP26" s="39">
        <f>AVERAGEIFS(AP$36:AP$171,$C$36:$C$171,"=3", $B$36:$B$171,"OFICIAL")</f>
        <v>0.28600000000000003</v>
      </c>
      <c r="AQ26" s="39">
        <f t="shared" ref="AQ26:AY26" si="101">AVERAGEIFS(AQ$36:AQ$171,$C$36:$C$171,"=3", $B$36:$B$171,"OFICIAL")</f>
        <v>0.48200000000000004</v>
      </c>
      <c r="AR26" s="39">
        <f t="shared" si="101"/>
        <v>0.22199999999999998</v>
      </c>
      <c r="AS26" s="39">
        <f t="shared" si="101"/>
        <v>0.01</v>
      </c>
      <c r="AT26" s="39">
        <f t="shared" si="101"/>
        <v>0.55400000000000005</v>
      </c>
      <c r="AU26" s="39">
        <f t="shared" si="101"/>
        <v>0.49800000000000005</v>
      </c>
      <c r="AV26" s="39">
        <f t="shared" si="101"/>
        <v>0.48</v>
      </c>
      <c r="AW26" s="39">
        <f t="shared" si="101"/>
        <v>0.49199999999999999</v>
      </c>
      <c r="AX26" s="39">
        <f t="shared" si="101"/>
        <v>0.51400000000000001</v>
      </c>
      <c r="AY26" s="39">
        <f t="shared" si="101"/>
        <v>0.5</v>
      </c>
      <c r="AZ26" s="129">
        <f>AVERAGEIFS(AZ$36:AZ$171,$C$36:$C$171,"=3", $B$36:$B$171,"OFICIAL")</f>
        <v>49.8</v>
      </c>
      <c r="BA26" s="129">
        <f>AVERAGEIFS(BA$36:BA$171,$C$36:$C$171,"=3", $B$36:$B$171,"OFICIAL")</f>
        <v>10</v>
      </c>
      <c r="BB26" s="39">
        <f>AVERAGEIFS(BB$36:BB$171,$C$36:$C$171,"=3", $B$36:$B$171,"OFICIAL")</f>
        <v>0.184</v>
      </c>
      <c r="BC26" s="39">
        <f t="shared" ref="BC26:BK26" si="102">AVERAGEIFS(BC$36:BC$171,$C$36:$C$171,"=3", $B$36:$B$171,"OFICIAL")</f>
        <v>0.48399999999999999</v>
      </c>
      <c r="BD26" s="39">
        <f t="shared" si="102"/>
        <v>0.32200000000000001</v>
      </c>
      <c r="BE26" s="39">
        <f t="shared" si="102"/>
        <v>1.3999999999999999E-2</v>
      </c>
      <c r="BF26" s="39">
        <f t="shared" si="102"/>
        <v>0.49199999999999999</v>
      </c>
      <c r="BG26" s="39">
        <f t="shared" si="102"/>
        <v>0.47000000000000003</v>
      </c>
      <c r="BH26" s="39">
        <f t="shared" si="102"/>
        <v>0.48</v>
      </c>
      <c r="BI26" s="39">
        <f t="shared" si="102"/>
        <v>0.55400000000000005</v>
      </c>
      <c r="BJ26" s="39">
        <f t="shared" si="102"/>
        <v>0.44800000000000006</v>
      </c>
      <c r="BK26" s="39">
        <f t="shared" si="102"/>
        <v>0.41600000000000004</v>
      </c>
      <c r="BL26" s="129">
        <f>AVERAGEIFS(BL$36:BL$171,$C$36:$C$171,"=3", $B$36:$B$171,"OFICIAL")</f>
        <v>47.6</v>
      </c>
      <c r="BN26" s="129">
        <f>AVERAGEIFS(BN$36:BN$171,$C$36:$C$171,"=3", $B$36:$B$171,"OFICIAL")</f>
        <v>10</v>
      </c>
      <c r="BP26" s="39">
        <f>AVERAGEIFS(BP$36:BP$171,$C$36:$C$171,"=3", $B$36:$B$171,"OFICIAL")</f>
        <v>0.25600000000000001</v>
      </c>
      <c r="BQ26" s="39">
        <f t="shared" ref="BQ26:BY26" si="103">AVERAGEIFS(BQ$36:BQ$171,$C$36:$C$171,"=3", $B$36:$B$171,"OFICIAL")</f>
        <v>0.52200000000000002</v>
      </c>
      <c r="BR26" s="39">
        <f t="shared" si="103"/>
        <v>0.21600000000000003</v>
      </c>
      <c r="BS26" s="39">
        <f t="shared" si="103"/>
        <v>0.01</v>
      </c>
      <c r="BT26" s="39">
        <f t="shared" si="103"/>
        <v>0.48799999999999999</v>
      </c>
      <c r="BU26" s="39">
        <f t="shared" si="103"/>
        <v>0.51600000000000001</v>
      </c>
      <c r="BV26" s="39">
        <f t="shared" si="103"/>
        <v>0.56799999999999995</v>
      </c>
      <c r="BW26" s="39">
        <f t="shared" si="103"/>
        <v>0.44400000000000006</v>
      </c>
      <c r="BX26" s="39">
        <f t="shared" si="103"/>
        <v>0.48399999999999999</v>
      </c>
      <c r="BY26" s="39">
        <f t="shared" si="103"/>
        <v>0.56799999999999995</v>
      </c>
      <c r="BZ26" s="129">
        <f>AVERAGEIFS(BZ$36:BZ$171,$C$36:$C$171,"=3", $B$36:$B$171,"OFICIAL")</f>
        <v>49.333333333333336</v>
      </c>
      <c r="CB26" s="129">
        <f>AVERAGEIFS(CB$36:CB$171,$C$36:$C$171,"=3", $B$36:$B$171,"OFICIAL")</f>
        <v>10</v>
      </c>
      <c r="CD26" s="344">
        <f>AVERAGEIFS(CD$36:CD$171,$C$36:$C$171,"=3", $B$36:$B$171,"OFICIAL")</f>
        <v>0.20166666666666666</v>
      </c>
      <c r="CE26" s="344">
        <f t="shared" ref="CE26:CM26" si="104">AVERAGEIFS(CE$36:CE$171,$C$36:$C$171,"=3", $B$36:$B$171,"OFICIAL")</f>
        <v>0.51500000000000001</v>
      </c>
      <c r="CF26" s="344">
        <f t="shared" si="104"/>
        <v>0.26333333333333336</v>
      </c>
      <c r="CG26" s="344">
        <f t="shared" si="104"/>
        <v>1.6666666666666666E-2</v>
      </c>
      <c r="CH26" s="344">
        <f t="shared" si="104"/>
        <v>0.4916666666666667</v>
      </c>
      <c r="CI26" s="344">
        <f t="shared" si="104"/>
        <v>0.41833333333333339</v>
      </c>
      <c r="CJ26" s="344">
        <f t="shared" si="104"/>
        <v>0.58499999999999996</v>
      </c>
      <c r="CK26" s="344">
        <f t="shared" si="104"/>
        <v>0.54999999999999993</v>
      </c>
      <c r="CL26" s="344">
        <f t="shared" si="104"/>
        <v>0.45333333333333337</v>
      </c>
      <c r="CM26" s="344">
        <f t="shared" si="104"/>
        <v>0.57166666666666666</v>
      </c>
      <c r="CN26" s="129">
        <f>AVERAGEIFS(CN$36:CN$171,$C$36:$C$171,"=3", $B$36:$B$171,"OFICIAL")</f>
        <v>49.666666666666664</v>
      </c>
      <c r="CP26" s="129">
        <f>AVERAGEIFS(CP$36:CP$171,$C$36:$C$171,"=3", $B$36:$B$171,"OFICIAL")</f>
        <v>10</v>
      </c>
      <c r="CR26" s="344">
        <f>AVERAGEIFS(CR$36:CR$171,$C$36:$C$171,"=3", $B$36:$B$171,"OFICIAL")</f>
        <v>0.21333333333333329</v>
      </c>
      <c r="CS26" s="344">
        <f t="shared" ref="CS26:DB26" si="105">AVERAGEIFS(CS$36:CS$171,$C$36:$C$171,"=3", $B$36:$B$171,"OFICIAL")</f>
        <v>0.49666666666666665</v>
      </c>
      <c r="CT26" s="344">
        <f t="shared" si="105"/>
        <v>0.27666666666666667</v>
      </c>
      <c r="CU26" s="344">
        <f t="shared" si="105"/>
        <v>1.4999999999999999E-2</v>
      </c>
      <c r="CV26" s="344">
        <f t="shared" si="105"/>
        <v>0.35666666666666663</v>
      </c>
      <c r="CW26" s="344">
        <f t="shared" si="105"/>
        <v>0.55666666666666675</v>
      </c>
      <c r="CX26" s="344">
        <f t="shared" si="105"/>
        <v>0.57833333333333337</v>
      </c>
      <c r="CY26" s="344">
        <f t="shared" si="105"/>
        <v>0.64500000000000002</v>
      </c>
      <c r="CZ26" s="344">
        <f t="shared" si="105"/>
        <v>0.57833333333333325</v>
      </c>
      <c r="DA26" s="344">
        <f t="shared" si="105"/>
        <v>0.53833333333333344</v>
      </c>
      <c r="DB26" s="494">
        <f t="shared" si="105"/>
        <v>49.5</v>
      </c>
      <c r="DC26" s="499"/>
      <c r="DD26" s="302">
        <f>AVERAGEIFS(DD$36:DD$171,$C$36:$C$171,"=3", $B$36:$B$171,"OFICIAL")</f>
        <v>10.5</v>
      </c>
      <c r="DE26" s="499"/>
      <c r="DF26" s="345">
        <f t="shared" ref="DF26:DN26" si="106">AVERAGEIFS(DF$36:DF$171,$C$36:$C$171,"=3", $B$36:$B$171,"OFICIAL")</f>
        <v>0.21333333333333335</v>
      </c>
      <c r="DG26" s="345">
        <f t="shared" si="106"/>
        <v>0.5</v>
      </c>
      <c r="DH26" s="345">
        <f t="shared" si="106"/>
        <v>0.25666666666666665</v>
      </c>
      <c r="DI26" s="345">
        <f t="shared" si="106"/>
        <v>2.8333333333333332E-2</v>
      </c>
      <c r="DJ26" s="345">
        <f>AVERAGEIFS(DJ$36:DJ$171,$C$36:$C$171,"=3", $B$36:$B$171,"OFICIAL")</f>
        <v>0.52333333333333332</v>
      </c>
      <c r="DK26" s="345">
        <f>AVERAGEIFS(DK$36:DK$171,$C$36:$C$171,"=3", $B$36:$B$171,"OFICIAL")</f>
        <v>0.52166666666666661</v>
      </c>
      <c r="DL26" s="345">
        <f t="shared" si="106"/>
        <v>0.50166666666666659</v>
      </c>
      <c r="DM26" s="345">
        <f t="shared" si="106"/>
        <v>0.6283333333333333</v>
      </c>
      <c r="DN26" s="345">
        <f t="shared" si="106"/>
        <v>0.52833333333333332</v>
      </c>
      <c r="DO26" s="345">
        <f>AVERAGEIFS(DO$36:DO$171,$C$36:$C$171,"=3", $B$36:$B$171,"OFICIAL")</f>
        <v>0.42666666666666658</v>
      </c>
    </row>
    <row r="27" spans="1:119" ht="24.95" customHeight="1" x14ac:dyDescent="0.2">
      <c r="A27" s="6" t="s">
        <v>898</v>
      </c>
      <c r="B27" s="301"/>
      <c r="C27" s="301"/>
      <c r="D27" s="129">
        <f>AVERAGEIFS(D$36:D$171,$C$36:$C$171,"=4", $B$36:$B$171,"OFICIAL")</f>
        <v>47.166666666666664</v>
      </c>
      <c r="E27" s="129">
        <f>AVERAGEIFS(E$36:E$171,$C$36:$C$171,"=4", $B$36:$B$171,"OFICIAL")</f>
        <v>8.5</v>
      </c>
      <c r="F27" s="39">
        <f>AVERAGEIFS(F$36:F$171,$C$36:$C$171,"=4", $B$36:$B$171,"OFICIAL")</f>
        <v>0.28999999999999998</v>
      </c>
      <c r="G27" s="39">
        <f t="shared" ref="G27:O27" si="107">AVERAGEIFS(G$36:G$171,$C$36:$C$171,"=4", $B$36:$B$171,"OFICIAL")</f>
        <v>0.52166666666666661</v>
      </c>
      <c r="H27" s="39">
        <f t="shared" si="107"/>
        <v>0.18500000000000003</v>
      </c>
      <c r="I27" s="39">
        <f t="shared" si="107"/>
        <v>3.3333333333333335E-3</v>
      </c>
      <c r="J27" s="39">
        <f t="shared" si="107"/>
        <v>0.61</v>
      </c>
      <c r="K27" s="39">
        <f t="shared" si="107"/>
        <v>0.54333333333333333</v>
      </c>
      <c r="L27" s="39">
        <f t="shared" si="107"/>
        <v>0.61333333333333329</v>
      </c>
      <c r="M27" s="39">
        <f t="shared" si="107"/>
        <v>0.49333333333333335</v>
      </c>
      <c r="N27" s="39">
        <f t="shared" si="107"/>
        <v>0.47166666666666668</v>
      </c>
      <c r="O27" s="39">
        <f t="shared" si="107"/>
        <v>0.56833333333333325</v>
      </c>
      <c r="P27" s="129">
        <f>AVERAGEIFS(P$36:P$171,$C$36:$C$171,"=4", $B$36:$B$171,"OFICIAL")</f>
        <v>47.5</v>
      </c>
      <c r="Q27" s="129">
        <f>AVERAGEIFS(Q$36:Q$171,$C$36:$C$171,"=4", $B$36:$B$171,"OFICIAL")</f>
        <v>9.6666666666666661</v>
      </c>
      <c r="R27" s="39">
        <f>AVERAGEIFS(R$36:R$171,$C$36:$C$171,"=4", $B$36:$B$171,"OFICIAL")</f>
        <v>0.26333333333333336</v>
      </c>
      <c r="S27" s="39">
        <f t="shared" ref="S27:AA27" si="108">AVERAGEIFS(S$36:S$171,$C$36:$C$171,"=4", $B$36:$B$171,"OFICIAL")</f>
        <v>0.53</v>
      </c>
      <c r="T27" s="39">
        <f t="shared" si="108"/>
        <v>0.18833333333333332</v>
      </c>
      <c r="U27" s="39">
        <f t="shared" si="108"/>
        <v>1.8333333333333333E-2</v>
      </c>
      <c r="V27" s="39">
        <f t="shared" si="108"/>
        <v>0.5033333333333333</v>
      </c>
      <c r="W27" s="39">
        <f t="shared" si="108"/>
        <v>0.53833333333333344</v>
      </c>
      <c r="X27" s="39">
        <f t="shared" si="108"/>
        <v>0.60666666666666669</v>
      </c>
      <c r="Y27" s="39">
        <f t="shared" si="108"/>
        <v>0.51166666666666671</v>
      </c>
      <c r="Z27" s="39">
        <f t="shared" si="108"/>
        <v>0.46166666666666673</v>
      </c>
      <c r="AA27" s="39">
        <f t="shared" si="108"/>
        <v>0.57166666666666666</v>
      </c>
      <c r="AB27" s="129">
        <f>AVERAGEIFS(AB$36:AB$171,$C$36:$C$171,"=4", $B$36:$B$171,"OFICIAL")</f>
        <v>45.166666666666664</v>
      </c>
      <c r="AC27" s="129">
        <f>AVERAGEIFS(AC$36:AC$171,$C$36:$C$171,"=4", $B$36:$B$171,"OFICIAL")</f>
        <v>10</v>
      </c>
      <c r="AD27" s="39">
        <f>AVERAGEIFS(AD$36:AD$171,$C$36:$C$171,"=4", $B$36:$B$171,"OFICIAL")</f>
        <v>0.35166666666666663</v>
      </c>
      <c r="AE27" s="39">
        <f t="shared" ref="AE27:AM27" si="109">AVERAGEIFS(AE$36:AE$171,$C$36:$C$171,"=4", $B$36:$B$171,"OFICIAL")</f>
        <v>0.47833333333333333</v>
      </c>
      <c r="AF27" s="39">
        <f t="shared" si="109"/>
        <v>0.16500000000000001</v>
      </c>
      <c r="AG27" s="39">
        <f t="shared" si="109"/>
        <v>6.6666666666666671E-3</v>
      </c>
      <c r="AH27" s="39">
        <f t="shared" si="109"/>
        <v>0.5083333333333333</v>
      </c>
      <c r="AI27" s="39">
        <f t="shared" si="109"/>
        <v>0.51500000000000001</v>
      </c>
      <c r="AJ27" s="39">
        <f t="shared" si="109"/>
        <v>0.49000000000000005</v>
      </c>
      <c r="AK27" s="39">
        <f t="shared" si="109"/>
        <v>0.57666666666666655</v>
      </c>
      <c r="AL27" s="39">
        <f t="shared" si="109"/>
        <v>0.6283333333333333</v>
      </c>
      <c r="AM27" s="39">
        <f t="shared" si="109"/>
        <v>0.58833333333333337</v>
      </c>
      <c r="AN27" s="129">
        <f>AVERAGEIFS(AN$36:AN$171,$C$36:$C$171,"=4", $B$36:$B$171,"OFICIAL")</f>
        <v>43</v>
      </c>
      <c r="AO27" s="129">
        <f>AVERAGEIFS(AO$36:AO$171,$C$36:$C$171,"=4", $B$36:$B$171,"OFICIAL")</f>
        <v>10.666666666666666</v>
      </c>
      <c r="AP27" s="39">
        <f>AVERAGEIFS(AP$36:AP$171,$C$36:$C$171,"=4", $B$36:$B$171,"OFICIAL")</f>
        <v>0.46666666666666662</v>
      </c>
      <c r="AQ27" s="39">
        <f t="shared" ref="AQ27:AY27" si="110">AVERAGEIFS(AQ$36:AQ$171,$C$36:$C$171,"=4", $B$36:$B$171,"OFICIAL")</f>
        <v>0.37999999999999995</v>
      </c>
      <c r="AR27" s="39">
        <f t="shared" si="110"/>
        <v>0.15</v>
      </c>
      <c r="AS27" s="39">
        <f t="shared" si="110"/>
        <v>1.6666666666666668E-3</v>
      </c>
      <c r="AT27" s="39">
        <f t="shared" si="110"/>
        <v>0.6316666666666666</v>
      </c>
      <c r="AU27" s="39">
        <f t="shared" si="110"/>
        <v>0.55500000000000005</v>
      </c>
      <c r="AV27" s="39">
        <f t="shared" si="110"/>
        <v>0.54166666666666663</v>
      </c>
      <c r="AW27" s="39">
        <f t="shared" si="110"/>
        <v>0.55333333333333334</v>
      </c>
      <c r="AX27" s="39">
        <f t="shared" si="110"/>
        <v>0.57333333333333336</v>
      </c>
      <c r="AY27" s="39">
        <f t="shared" si="110"/>
        <v>0.54999999999999993</v>
      </c>
      <c r="AZ27" s="129">
        <f>AVERAGEIFS(AZ$36:AZ$171,$C$36:$C$171,"=4", $B$36:$B$171,"OFICIAL")</f>
        <v>45.333333333333336</v>
      </c>
      <c r="BA27" s="129">
        <f>AVERAGEIFS(BA$36:BA$171,$C$36:$C$171,"=4", $B$36:$B$171,"OFICIAL")</f>
        <v>9</v>
      </c>
      <c r="BB27" s="39">
        <f>AVERAGEIFS(BB$36:BB$171,$C$36:$C$171,"=4", $B$36:$B$171,"OFICIAL")</f>
        <v>0.30166666666666664</v>
      </c>
      <c r="BC27" s="39">
        <f t="shared" ref="BC27:BK27" si="111">AVERAGEIFS(BC$36:BC$171,$C$36:$C$171,"=4", $B$36:$B$171,"OFICIAL")</f>
        <v>0.55833333333333346</v>
      </c>
      <c r="BD27" s="39">
        <f t="shared" si="111"/>
        <v>0.13999999999999999</v>
      </c>
      <c r="BE27" s="39">
        <f t="shared" si="111"/>
        <v>3.3333333333333335E-3</v>
      </c>
      <c r="BF27" s="39">
        <f t="shared" si="111"/>
        <v>0.57833333333333325</v>
      </c>
      <c r="BG27" s="39">
        <f t="shared" si="111"/>
        <v>0.55166666666666664</v>
      </c>
      <c r="BH27" s="39">
        <f t="shared" si="111"/>
        <v>0.54666666666666675</v>
      </c>
      <c r="BI27" s="39">
        <f t="shared" si="111"/>
        <v>0.64499999999999991</v>
      </c>
      <c r="BJ27" s="39">
        <f t="shared" si="111"/>
        <v>0.49666666666666676</v>
      </c>
      <c r="BK27" s="39">
        <f t="shared" si="111"/>
        <v>0.51833333333333342</v>
      </c>
      <c r="BL27" s="129">
        <f>AVERAGEIFS(BL$36:BL$171,$C$36:$C$171,"=4", $B$36:$B$171,"OFICIAL")</f>
        <v>44</v>
      </c>
      <c r="BN27" s="129">
        <f>AVERAGEIFS(BN$36:BN$171,$C$36:$C$171,"=4", $B$36:$B$171,"OFICIAL")</f>
        <v>9.8333333333333339</v>
      </c>
      <c r="BP27" s="39">
        <f>AVERAGEIFS(BP$36:BP$171,$C$36:$C$171,"=4", $B$36:$B$171,"OFICIAL")</f>
        <v>0.38500000000000001</v>
      </c>
      <c r="BQ27" s="39">
        <f t="shared" ref="BQ27:BY27" si="112">AVERAGEIFS(BQ$36:BQ$171,$C$36:$C$171,"=4", $B$36:$B$171,"OFICIAL")</f>
        <v>0.48</v>
      </c>
      <c r="BR27" s="39">
        <f t="shared" si="112"/>
        <v>0.13333333333333333</v>
      </c>
      <c r="BS27" s="39">
        <f t="shared" si="112"/>
        <v>1.6666666666666668E-3</v>
      </c>
      <c r="BT27" s="39">
        <f t="shared" si="112"/>
        <v>0.55333333333333334</v>
      </c>
      <c r="BU27" s="39">
        <f t="shared" si="112"/>
        <v>0.55500000000000005</v>
      </c>
      <c r="BV27" s="39">
        <f t="shared" si="112"/>
        <v>0.66999999999999993</v>
      </c>
      <c r="BW27" s="39">
        <f t="shared" si="112"/>
        <v>0.505</v>
      </c>
      <c r="BX27" s="39">
        <f t="shared" si="112"/>
        <v>0.55666666666666664</v>
      </c>
      <c r="BY27" s="39">
        <f t="shared" si="112"/>
        <v>0.6133333333333334</v>
      </c>
      <c r="BZ27" s="129">
        <f>AVERAGEIFS(BZ$36:BZ$171,$C$36:$C$171,"=4", $B$36:$B$171,"OFICIAL")</f>
        <v>45</v>
      </c>
      <c r="CB27" s="129">
        <f>AVERAGEIFS(CB$36:CB$171,$C$36:$C$171,"=4", $B$36:$B$171,"OFICIAL")</f>
        <v>9.8333333333333339</v>
      </c>
      <c r="CD27" s="344">
        <f>AVERAGEIFS(CD$36:CD$171,$C$36:$C$171,"=4", $B$36:$B$171,"OFICIAL")</f>
        <v>0.35333333333333333</v>
      </c>
      <c r="CE27" s="344">
        <f t="shared" ref="CE27:CM27" si="113">AVERAGEIFS(CE$36:CE$171,$C$36:$C$171,"=4", $B$36:$B$171,"OFICIAL")</f>
        <v>0.5083333333333333</v>
      </c>
      <c r="CF27" s="344">
        <f t="shared" si="113"/>
        <v>0.13500000000000001</v>
      </c>
      <c r="CG27" s="344">
        <f t="shared" si="113"/>
        <v>6.6666666666666671E-3</v>
      </c>
      <c r="CH27" s="344">
        <f t="shared" si="113"/>
        <v>0.52500000000000002</v>
      </c>
      <c r="CI27" s="344">
        <f t="shared" si="113"/>
        <v>0.47666666666666663</v>
      </c>
      <c r="CJ27" s="344">
        <f t="shared" si="113"/>
        <v>0.64</v>
      </c>
      <c r="CK27" s="344">
        <f t="shared" si="113"/>
        <v>0.6216666666666667</v>
      </c>
      <c r="CL27" s="344">
        <f t="shared" si="113"/>
        <v>0.48666666666666658</v>
      </c>
      <c r="CM27" s="344">
        <f t="shared" si="113"/>
        <v>0.64500000000000013</v>
      </c>
      <c r="CN27" s="129">
        <f>AVERAGEIFS(CN$36:CN$171,$C$36:$C$171,"=4", $B$36:$B$171,"OFICIAL")</f>
        <v>45.5</v>
      </c>
      <c r="CP27" s="129">
        <f>AVERAGEIFS(CP$36:CP$171,$C$36:$C$171,"=4", $B$36:$B$171,"OFICIAL")</f>
        <v>10</v>
      </c>
      <c r="CR27" s="344">
        <f>AVERAGEIFS(CR$36:CR$171,$C$36:$C$171,"=4", $B$36:$B$171,"OFICIAL")</f>
        <v>0.34166666666666662</v>
      </c>
      <c r="CS27" s="344">
        <f t="shared" ref="CS27:DB27" si="114">AVERAGEIFS(CS$36:CS$171,$C$36:$C$171,"=4", $B$36:$B$171,"OFICIAL")</f>
        <v>0.5033333333333333</v>
      </c>
      <c r="CT27" s="344">
        <f t="shared" si="114"/>
        <v>0.15333333333333335</v>
      </c>
      <c r="CU27" s="344">
        <f t="shared" si="114"/>
        <v>5.0000000000000001E-3</v>
      </c>
      <c r="CV27" s="344">
        <f t="shared" si="114"/>
        <v>0.46500000000000002</v>
      </c>
      <c r="CW27" s="344">
        <f t="shared" si="114"/>
        <v>0.61833333333333329</v>
      </c>
      <c r="CX27" s="344">
        <f t="shared" si="114"/>
        <v>0.62500000000000011</v>
      </c>
      <c r="CY27" s="344">
        <f t="shared" si="114"/>
        <v>0.70000000000000007</v>
      </c>
      <c r="CZ27" s="344">
        <f t="shared" si="114"/>
        <v>0.61166666666666669</v>
      </c>
      <c r="DA27" s="344">
        <f t="shared" si="114"/>
        <v>0.63833333333333331</v>
      </c>
      <c r="DB27" s="494">
        <f t="shared" si="114"/>
        <v>45</v>
      </c>
      <c r="DC27" s="499"/>
      <c r="DD27" s="302">
        <f>AVERAGEIFS(DD$36:DD$171,$C$36:$C$171,"=4", $B$36:$B$171,"OFICIAL")</f>
        <v>10</v>
      </c>
      <c r="DE27" s="499"/>
      <c r="DF27" s="345">
        <f t="shared" ref="DF27:DN27" si="115">AVERAGEIFS(DF$36:DF$171,$C$36:$C$171,"=4", $B$36:$B$171,"OFICIAL")</f>
        <v>0.32333333333333336</v>
      </c>
      <c r="DG27" s="345">
        <f t="shared" si="115"/>
        <v>0.49666666666666659</v>
      </c>
      <c r="DH27" s="345">
        <f t="shared" si="115"/>
        <v>0.18166666666666667</v>
      </c>
      <c r="DI27" s="345">
        <f t="shared" si="115"/>
        <v>1.6666666666666668E-3</v>
      </c>
      <c r="DJ27" s="345">
        <f>AVERAGEIFS(DJ$36:DJ$171,$C$36:$C$171,"=4", $B$36:$B$171,"OFICIAL")</f>
        <v>0.55333333333333334</v>
      </c>
      <c r="DK27" s="345">
        <f>AVERAGEIFS(DK$36:DK$171,$C$36:$C$171,"=4", $B$36:$B$171,"OFICIAL")</f>
        <v>0.54833333333333334</v>
      </c>
      <c r="DL27" s="345">
        <f t="shared" si="115"/>
        <v>0.56333333333333324</v>
      </c>
      <c r="DM27" s="345">
        <f t="shared" si="115"/>
        <v>0.66333333333333322</v>
      </c>
      <c r="DN27" s="345">
        <f t="shared" si="115"/>
        <v>0.61833333333333329</v>
      </c>
      <c r="DO27" s="345">
        <f>AVERAGEIFS(DO$36:DO$171,$C$36:$C$171,"=4", $B$36:$B$171,"OFICIAL")</f>
        <v>0.54166666666666663</v>
      </c>
    </row>
    <row r="28" spans="1:119" ht="24.95" customHeight="1" x14ac:dyDescent="0.2">
      <c r="A28" s="6" t="s">
        <v>899</v>
      </c>
      <c r="B28" s="301"/>
      <c r="C28" s="301"/>
      <c r="D28" s="129">
        <f>AVERAGEIFS(D$36:D$171,$C$36:$C$171,"=5", $B$36:$B$171,"OFICIAL")</f>
        <v>52</v>
      </c>
      <c r="E28" s="129">
        <f>AVERAGEIFS(E$36:E$171,$C$36:$C$171,"=5", $B$36:$B$171,"OFICIAL")</f>
        <v>8.6666666666666661</v>
      </c>
      <c r="F28" s="39">
        <f>AVERAGEIFS(F$36:F$171,$C$36:$C$171,"=5", $B$36:$B$171,"OFICIAL")</f>
        <v>0.12333333333333334</v>
      </c>
      <c r="G28" s="39">
        <f t="shared" ref="G28:O28" si="116">AVERAGEIFS(G$36:G$171,$C$36:$C$171,"=5", $B$36:$B$171,"OFICIAL")</f>
        <v>0.56333333333333335</v>
      </c>
      <c r="H28" s="39">
        <f t="shared" si="116"/>
        <v>0.29666666666666663</v>
      </c>
      <c r="I28" s="39">
        <f t="shared" si="116"/>
        <v>0.02</v>
      </c>
      <c r="J28" s="39">
        <f t="shared" si="116"/>
        <v>0.52666666666666673</v>
      </c>
      <c r="K28" s="39">
        <f t="shared" si="116"/>
        <v>0.48333333333333334</v>
      </c>
      <c r="L28" s="39">
        <f t="shared" si="116"/>
        <v>0.54333333333333333</v>
      </c>
      <c r="M28" s="39">
        <f t="shared" si="116"/>
        <v>0.39333333333333337</v>
      </c>
      <c r="N28" s="39">
        <f t="shared" si="116"/>
        <v>0.43333333333333335</v>
      </c>
      <c r="O28" s="39">
        <f t="shared" si="116"/>
        <v>0.52</v>
      </c>
      <c r="P28" s="129">
        <f>AVERAGEIFS(P$36:P$171,$C$36:$C$171,"=5", $B$36:$B$171,"OFICIAL")</f>
        <v>52.333333333333336</v>
      </c>
      <c r="Q28" s="129">
        <f>AVERAGEIFS(Q$36:Q$171,$C$36:$C$171,"=5", $B$36:$B$171,"OFICIAL")</f>
        <v>9.3333333333333339</v>
      </c>
      <c r="R28" s="39">
        <f>AVERAGEIFS(R$36:R$171,$C$36:$C$171,"=5", $B$36:$B$171,"OFICIAL")</f>
        <v>0.10666666666666665</v>
      </c>
      <c r="S28" s="39">
        <f t="shared" ref="S28:AA28" si="117">AVERAGEIFS(S$36:S$171,$C$36:$C$171,"=5", $B$36:$B$171,"OFICIAL")</f>
        <v>0.53999999999999992</v>
      </c>
      <c r="T28" s="39">
        <f t="shared" si="117"/>
        <v>0.31</v>
      </c>
      <c r="U28" s="39">
        <f t="shared" si="117"/>
        <v>4.3333333333333335E-2</v>
      </c>
      <c r="V28" s="39">
        <f t="shared" si="117"/>
        <v>0.38666666666666671</v>
      </c>
      <c r="W28" s="39">
        <f t="shared" si="117"/>
        <v>0.45999999999999996</v>
      </c>
      <c r="X28" s="39">
        <f t="shared" si="117"/>
        <v>0.51666666666666672</v>
      </c>
      <c r="Y28" s="39">
        <f t="shared" si="117"/>
        <v>0.43333333333333329</v>
      </c>
      <c r="Z28" s="39">
        <f t="shared" si="117"/>
        <v>0.41999999999999993</v>
      </c>
      <c r="AA28" s="39">
        <f t="shared" si="117"/>
        <v>0.48333333333333339</v>
      </c>
      <c r="AB28" s="129">
        <f>AVERAGEIFS(AB$36:AB$171,$C$36:$C$171,"=5", $B$36:$B$171,"OFICIAL")</f>
        <v>50.333333333333336</v>
      </c>
      <c r="AC28" s="129">
        <f>AVERAGEIFS(AC$36:AC$171,$C$36:$C$171,"=5", $B$36:$B$171,"OFICIAL")</f>
        <v>9.6666666666666661</v>
      </c>
      <c r="AD28" s="39">
        <f>AVERAGEIFS(AD$36:AD$171,$C$36:$C$171,"=5", $B$36:$B$171,"OFICIAL")</f>
        <v>0.18000000000000002</v>
      </c>
      <c r="AE28" s="39">
        <f t="shared" ref="AE28:AM28" si="118">AVERAGEIFS(AE$36:AE$171,$C$36:$C$171,"=5", $B$36:$B$171,"OFICIAL")</f>
        <v>0.5033333333333333</v>
      </c>
      <c r="AF28" s="39">
        <f t="shared" si="118"/>
        <v>0.29666666666666669</v>
      </c>
      <c r="AG28" s="39">
        <f t="shared" si="118"/>
        <v>1.6666666666666666E-2</v>
      </c>
      <c r="AH28" s="39">
        <f t="shared" si="118"/>
        <v>0.41666666666666669</v>
      </c>
      <c r="AI28" s="39">
        <f t="shared" si="118"/>
        <v>0.43</v>
      </c>
      <c r="AJ28" s="39">
        <f t="shared" si="118"/>
        <v>0.39666666666666667</v>
      </c>
      <c r="AK28" s="39">
        <f t="shared" si="118"/>
        <v>0.48666666666666664</v>
      </c>
      <c r="AL28" s="39">
        <f t="shared" si="118"/>
        <v>0.53666666666666663</v>
      </c>
      <c r="AM28" s="39">
        <f t="shared" si="118"/>
        <v>0.50666666666666671</v>
      </c>
      <c r="AN28" s="129">
        <f>AVERAGEIFS(AN$36:AN$171,$C$36:$C$171,"=5", $B$36:$B$171,"OFICIAL")</f>
        <v>50</v>
      </c>
      <c r="AO28" s="129">
        <f>AVERAGEIFS(AO$36:AO$171,$C$36:$C$171,"=5", $B$36:$B$171,"OFICIAL")</f>
        <v>9.3333333333333339</v>
      </c>
      <c r="AP28" s="39">
        <f>AVERAGEIFS(AP$36:AP$171,$C$36:$C$171,"=5", $B$36:$B$171,"OFICIAL")</f>
        <v>0.17666666666666667</v>
      </c>
      <c r="AQ28" s="39">
        <f t="shared" ref="AQ28:AY28" si="119">AVERAGEIFS(AQ$36:AQ$171,$C$36:$C$171,"=5", $B$36:$B$171,"OFICIAL")</f>
        <v>0.53333333333333333</v>
      </c>
      <c r="AR28" s="39">
        <f t="shared" si="119"/>
        <v>0.27666666666666667</v>
      </c>
      <c r="AS28" s="39">
        <f t="shared" si="119"/>
        <v>0.02</v>
      </c>
      <c r="AT28" s="39">
        <f t="shared" si="119"/>
        <v>0.50666666666666671</v>
      </c>
      <c r="AU28" s="39">
        <f t="shared" si="119"/>
        <v>0.44666666666666671</v>
      </c>
      <c r="AV28" s="39">
        <f t="shared" si="119"/>
        <v>0.42</v>
      </c>
      <c r="AW28" s="39">
        <f t="shared" si="119"/>
        <v>0.45333333333333331</v>
      </c>
      <c r="AX28" s="39">
        <f t="shared" si="119"/>
        <v>0.44333333333333336</v>
      </c>
      <c r="AY28" s="39">
        <f t="shared" si="119"/>
        <v>0.44</v>
      </c>
      <c r="AZ28" s="129">
        <f>AVERAGEIFS(AZ$36:AZ$171,$C$36:$C$171,"=5", $B$36:$B$171,"OFICIAL")</f>
        <v>52</v>
      </c>
      <c r="BA28" s="129">
        <f>AVERAGEIFS(BA$36:BA$171,$C$36:$C$171,"=5", $B$36:$B$171,"OFICIAL")</f>
        <v>9.6666666666666661</v>
      </c>
      <c r="BB28" s="39">
        <f>AVERAGEIFS(BB$36:BB$171,$C$36:$C$171,"=5", $B$36:$B$171,"OFICIAL")</f>
        <v>0.17333333333333334</v>
      </c>
      <c r="BC28" s="39">
        <f t="shared" ref="BC28:BK28" si="120">AVERAGEIFS(BC$36:BC$171,$C$36:$C$171,"=5", $B$36:$B$171,"OFICIAL")</f>
        <v>0.44</v>
      </c>
      <c r="BD28" s="39">
        <f t="shared" si="120"/>
        <v>0.35666666666666663</v>
      </c>
      <c r="BE28" s="39">
        <f t="shared" si="120"/>
        <v>3.3333333333333333E-2</v>
      </c>
      <c r="BF28" s="39">
        <f t="shared" si="120"/>
        <v>0.47666666666666674</v>
      </c>
      <c r="BG28" s="39">
        <f t="shared" si="120"/>
        <v>0.44333333333333336</v>
      </c>
      <c r="BH28" s="39">
        <f t="shared" si="120"/>
        <v>0.43333333333333335</v>
      </c>
      <c r="BI28" s="39">
        <f t="shared" si="120"/>
        <v>0.49666666666666676</v>
      </c>
      <c r="BJ28" s="39">
        <f t="shared" si="120"/>
        <v>0.38666666666666666</v>
      </c>
      <c r="BK28" s="39">
        <f t="shared" si="120"/>
        <v>0.38000000000000006</v>
      </c>
      <c r="BL28" s="129">
        <f>AVERAGEIFS(BL$36:BL$171,$C$36:$C$171,"=5", $B$36:$B$171,"OFICIAL")</f>
        <v>50.333333333333336</v>
      </c>
      <c r="BN28" s="129">
        <f>AVERAGEIFS(BN$36:BN$171,$C$36:$C$171,"=5", $B$36:$B$171,"OFICIAL")</f>
        <v>10.333333333333334</v>
      </c>
      <c r="BP28" s="39">
        <f>AVERAGEIFS(BP$36:BP$171,$C$36:$C$171,"=5", $B$36:$B$171,"OFICIAL")</f>
        <v>0.19000000000000003</v>
      </c>
      <c r="BQ28" s="39">
        <f t="shared" ref="BQ28:BY28" si="121">AVERAGEIFS(BQ$36:BQ$171,$C$36:$C$171,"=5", $B$36:$B$171,"OFICIAL")</f>
        <v>0.48</v>
      </c>
      <c r="BR28" s="39">
        <f t="shared" si="121"/>
        <v>0.30333333333333329</v>
      </c>
      <c r="BS28" s="39">
        <f t="shared" si="121"/>
        <v>0.03</v>
      </c>
      <c r="BT28" s="39">
        <f t="shared" si="121"/>
        <v>0.42666666666666669</v>
      </c>
      <c r="BU28" s="39">
        <f t="shared" si="121"/>
        <v>0.45999999999999996</v>
      </c>
      <c r="BV28" s="39">
        <f t="shared" si="121"/>
        <v>0.56999999999999995</v>
      </c>
      <c r="BW28" s="39">
        <f t="shared" si="121"/>
        <v>0.41666666666666669</v>
      </c>
      <c r="BX28" s="39">
        <f t="shared" si="121"/>
        <v>0.46333333333333337</v>
      </c>
      <c r="BY28" s="39">
        <f t="shared" si="121"/>
        <v>0.51</v>
      </c>
      <c r="BZ28" s="129">
        <f>AVERAGEIFS(BZ$36:BZ$171,$C$36:$C$171,"=5", $B$36:$B$171,"OFICIAL")</f>
        <v>52.333333333333336</v>
      </c>
      <c r="CB28" s="129">
        <f>AVERAGEIFS(CB$36:CB$171,$C$36:$C$171,"=5", $B$36:$B$171,"OFICIAL")</f>
        <v>9.6666666666666661</v>
      </c>
      <c r="CD28" s="344">
        <f>AVERAGEIFS(CD$36:CD$171,$C$36:$C$171,"=5", $B$36:$B$171,"OFICIAL")</f>
        <v>0.14666666666666667</v>
      </c>
      <c r="CE28" s="344">
        <f t="shared" ref="CE28:CM28" si="122">AVERAGEIFS(CE$36:CE$171,$C$36:$C$171,"=5", $B$36:$B$171,"OFICIAL")</f>
        <v>0.44666666666666671</v>
      </c>
      <c r="CF28" s="344">
        <f t="shared" si="122"/>
        <v>0.38000000000000006</v>
      </c>
      <c r="CG28" s="344">
        <f t="shared" si="122"/>
        <v>2.6666666666666668E-2</v>
      </c>
      <c r="CH28" s="344">
        <f t="shared" si="122"/>
        <v>0.43999999999999995</v>
      </c>
      <c r="CI28" s="344">
        <f t="shared" si="122"/>
        <v>0.35333333333333333</v>
      </c>
      <c r="CJ28" s="344">
        <f t="shared" si="122"/>
        <v>0.53666666666666674</v>
      </c>
      <c r="CK28" s="344">
        <f t="shared" si="122"/>
        <v>0.51</v>
      </c>
      <c r="CL28" s="344">
        <f t="shared" si="122"/>
        <v>0.41</v>
      </c>
      <c r="CM28" s="344">
        <f t="shared" si="122"/>
        <v>0.52333333333333332</v>
      </c>
      <c r="CN28" s="129">
        <f>AVERAGEIFS(CN$36:CN$171,$C$36:$C$171,"=5", $B$36:$B$171,"OFICIAL")</f>
        <v>51.333333333333336</v>
      </c>
      <c r="CP28" s="129">
        <f>AVERAGEIFS(CP$36:CP$171,$C$36:$C$171,"=5", $B$36:$B$171,"OFICIAL")</f>
        <v>9.6666666666666661</v>
      </c>
      <c r="CR28" s="344">
        <f>AVERAGEIFS(CR$36:CR$171,$C$36:$C$171,"=5", $B$36:$B$171,"OFICIAL")</f>
        <v>0.16333333333333333</v>
      </c>
      <c r="CS28" s="344">
        <f t="shared" ref="CS28:DB28" si="123">AVERAGEIFS(CS$36:CS$171,$C$36:$C$171,"=5", $B$36:$B$171,"OFICIAL")</f>
        <v>0.47333333333333333</v>
      </c>
      <c r="CT28" s="344">
        <f t="shared" si="123"/>
        <v>0.34666666666666668</v>
      </c>
      <c r="CU28" s="344">
        <f t="shared" si="123"/>
        <v>0.02</v>
      </c>
      <c r="CV28" s="344">
        <f t="shared" si="123"/>
        <v>0.33666666666666667</v>
      </c>
      <c r="CW28" s="344">
        <f t="shared" si="123"/>
        <v>0.51666666666666661</v>
      </c>
      <c r="CX28" s="344">
        <f t="shared" si="123"/>
        <v>0.54666666666666663</v>
      </c>
      <c r="CY28" s="344">
        <f t="shared" si="123"/>
        <v>0.66</v>
      </c>
      <c r="CZ28" s="344">
        <f t="shared" si="123"/>
        <v>0.55999999999999994</v>
      </c>
      <c r="DA28" s="344">
        <f t="shared" si="123"/>
        <v>0.53999999999999992</v>
      </c>
      <c r="DB28" s="494">
        <f t="shared" si="123"/>
        <v>51.333333333333336</v>
      </c>
      <c r="DC28" s="499"/>
      <c r="DD28" s="302">
        <f>AVERAGEIFS(DD$36:DD$171,$C$36:$C$171,"=5", $B$36:$B$171,"OFICIAL")</f>
        <v>10.666666666666666</v>
      </c>
      <c r="DE28" s="499"/>
      <c r="DF28" s="345">
        <f t="shared" ref="DF28:DN28" si="124">AVERAGEIFS(DF$36:DF$171,$C$36:$C$171,"=5", $B$36:$B$171,"OFICIAL")</f>
        <v>0.17</v>
      </c>
      <c r="DG28" s="345">
        <f t="shared" si="124"/>
        <v>0.46333333333333337</v>
      </c>
      <c r="DH28" s="345">
        <f t="shared" si="124"/>
        <v>0.32666666666666666</v>
      </c>
      <c r="DI28" s="345">
        <f t="shared" si="124"/>
        <v>0.04</v>
      </c>
      <c r="DJ28" s="345">
        <f>AVERAGEIFS(DJ$36:DJ$171,$C$36:$C$171,"=5", $B$36:$B$171,"OFICIAL")</f>
        <v>0.46333333333333332</v>
      </c>
      <c r="DK28" s="345">
        <f>AVERAGEIFS(DK$36:DK$171,$C$36:$C$171,"=5", $B$36:$B$171,"OFICIAL")</f>
        <v>0.45333333333333331</v>
      </c>
      <c r="DL28" s="345">
        <f t="shared" si="124"/>
        <v>0.45333333333333331</v>
      </c>
      <c r="DM28" s="345">
        <f t="shared" si="124"/>
        <v>0.62333333333333341</v>
      </c>
      <c r="DN28" s="345">
        <f t="shared" si="124"/>
        <v>0.49333333333333335</v>
      </c>
      <c r="DO28" s="345">
        <f>AVERAGEIFS(DO$36:DO$171,$C$36:$C$171,"=5", $B$36:$B$171,"OFICIAL")</f>
        <v>0.37333333333333335</v>
      </c>
    </row>
    <row r="29" spans="1:119" ht="24.95" customHeight="1" x14ac:dyDescent="0.2">
      <c r="A29" s="6" t="s">
        <v>900</v>
      </c>
      <c r="B29" s="301"/>
      <c r="C29" s="301"/>
      <c r="D29" s="129">
        <f>AVERAGEIFS(D$36:D$171,$C$36:$C$171,"=6", $B$36:$B$171,"OFICIAL")</f>
        <v>50.5</v>
      </c>
      <c r="E29" s="129">
        <f>AVERAGEIFS(E$36:E$171,$C$36:$C$171,"=6", $B$36:$B$171,"OFICIAL")</f>
        <v>8.5</v>
      </c>
      <c r="F29" s="39">
        <f>AVERAGEIFS(F$36:F$171,$C$36:$C$171,"=6", $B$36:$B$171,"OFICIAL")</f>
        <v>0.14000000000000001</v>
      </c>
      <c r="G29" s="39">
        <f t="shared" ref="G29:O29" si="125">AVERAGEIFS(G$36:G$171,$C$36:$C$171,"=6", $B$36:$B$171,"OFICIAL")</f>
        <v>0.58249999999999991</v>
      </c>
      <c r="H29" s="39">
        <f t="shared" si="125"/>
        <v>0.27250000000000002</v>
      </c>
      <c r="I29" s="39">
        <f t="shared" si="125"/>
        <v>5.0000000000000001E-3</v>
      </c>
      <c r="J29" s="39">
        <f t="shared" si="125"/>
        <v>0.55249999999999999</v>
      </c>
      <c r="K29" s="39">
        <f t="shared" si="125"/>
        <v>0.49</v>
      </c>
      <c r="L29" s="39">
        <f t="shared" si="125"/>
        <v>0.62749999999999995</v>
      </c>
      <c r="M29" s="39">
        <f t="shared" si="125"/>
        <v>0.41249999999999998</v>
      </c>
      <c r="N29" s="39">
        <f t="shared" si="125"/>
        <v>0.43749999999999994</v>
      </c>
      <c r="O29" s="39">
        <f t="shared" si="125"/>
        <v>0.49</v>
      </c>
      <c r="P29" s="129">
        <f>AVERAGEIFS(P$36:P$171,$C$36:$C$171,"=6", $B$36:$B$171,"OFICIAL")</f>
        <v>50</v>
      </c>
      <c r="Q29" s="129">
        <f>AVERAGEIFS(Q$36:Q$171,$C$36:$C$171,"=6", $B$36:$B$171,"OFICIAL")</f>
        <v>9.5</v>
      </c>
      <c r="R29" s="39">
        <f>AVERAGEIFS(R$36:R$171,$C$36:$C$171,"=6", $B$36:$B$171,"OFICIAL")</f>
        <v>0.1575</v>
      </c>
      <c r="S29" s="39">
        <f t="shared" ref="S29:AA29" si="126">AVERAGEIFS(S$36:S$171,$C$36:$C$171,"=6", $B$36:$B$171,"OFICIAL")</f>
        <v>0.53249999999999997</v>
      </c>
      <c r="T29" s="39">
        <f t="shared" si="126"/>
        <v>0.29749999999999999</v>
      </c>
      <c r="U29" s="39">
        <f t="shared" si="126"/>
        <v>1.4999999999999999E-2</v>
      </c>
      <c r="V29" s="39">
        <f t="shared" si="126"/>
        <v>0.42499999999999999</v>
      </c>
      <c r="W29" s="39">
        <f t="shared" si="126"/>
        <v>0.4975</v>
      </c>
      <c r="X29" s="39">
        <f t="shared" si="126"/>
        <v>0.55249999999999999</v>
      </c>
      <c r="Y29" s="39">
        <f t="shared" si="126"/>
        <v>0.46499999999999997</v>
      </c>
      <c r="Z29" s="39">
        <f t="shared" si="126"/>
        <v>0.45499999999999996</v>
      </c>
      <c r="AA29" s="39">
        <f t="shared" si="126"/>
        <v>0.51750000000000007</v>
      </c>
      <c r="AB29" s="129">
        <f>AVERAGEIFS(AB$36:AB$171,$C$36:$C$171,"=6", $B$36:$B$171,"OFICIAL")</f>
        <v>47.75</v>
      </c>
      <c r="AC29" s="129">
        <f>AVERAGEIFS(AC$36:AC$171,$C$36:$C$171,"=6", $B$36:$B$171,"OFICIAL")</f>
        <v>10.5</v>
      </c>
      <c r="AD29" s="39">
        <f>AVERAGEIFS(AD$36:AD$171,$C$36:$C$171,"=6", $B$36:$B$171,"OFICIAL")</f>
        <v>0.26500000000000001</v>
      </c>
      <c r="AE29" s="39">
        <f t="shared" ref="AE29:AM29" si="127">AVERAGEIFS(AE$36:AE$171,$C$36:$C$171,"=6", $B$36:$B$171,"OFICIAL")</f>
        <v>0.49249999999999999</v>
      </c>
      <c r="AF29" s="39">
        <f t="shared" si="127"/>
        <v>0.23</v>
      </c>
      <c r="AG29" s="39">
        <f t="shared" si="127"/>
        <v>1.5000000000000001E-2</v>
      </c>
      <c r="AH29" s="39">
        <f t="shared" si="127"/>
        <v>0.46249999999999997</v>
      </c>
      <c r="AI29" s="39">
        <f t="shared" si="127"/>
        <v>0.45749999999999996</v>
      </c>
      <c r="AJ29" s="39">
        <f t="shared" si="127"/>
        <v>0.4425</v>
      </c>
      <c r="AK29" s="39">
        <f t="shared" si="127"/>
        <v>0.53</v>
      </c>
      <c r="AL29" s="39">
        <f t="shared" si="127"/>
        <v>0.58250000000000002</v>
      </c>
      <c r="AM29" s="39">
        <f t="shared" si="127"/>
        <v>0.54</v>
      </c>
      <c r="AN29" s="129">
        <f>AVERAGEIFS(AN$36:AN$171,$C$36:$C$171,"=6", $B$36:$B$171,"OFICIAL")</f>
        <v>46.5</v>
      </c>
      <c r="AO29" s="129">
        <f>AVERAGEIFS(AO$36:AO$171,$C$36:$C$171,"=6", $B$36:$B$171,"OFICIAL")</f>
        <v>10.25</v>
      </c>
      <c r="AP29" s="39">
        <f>AVERAGEIFS(AP$36:AP$171,$C$36:$C$171,"=6", $B$36:$B$171,"OFICIAL")</f>
        <v>0.3125</v>
      </c>
      <c r="AQ29" s="39">
        <f t="shared" ref="AQ29:AY29" si="128">AVERAGEIFS(AQ$36:AQ$171,$C$36:$C$171,"=6", $B$36:$B$171,"OFICIAL")</f>
        <v>0.50750000000000006</v>
      </c>
      <c r="AR29" s="39">
        <f t="shared" si="128"/>
        <v>0.16750000000000001</v>
      </c>
      <c r="AS29" s="39">
        <f t="shared" si="128"/>
        <v>1.2500000000000001E-2</v>
      </c>
      <c r="AT29" s="39">
        <f t="shared" si="128"/>
        <v>0.57750000000000001</v>
      </c>
      <c r="AU29" s="39">
        <f t="shared" si="128"/>
        <v>0.50249999999999995</v>
      </c>
      <c r="AV29" s="39">
        <f t="shared" si="128"/>
        <v>0.48499999999999999</v>
      </c>
      <c r="AW29" s="39">
        <f t="shared" si="128"/>
        <v>0.50750000000000006</v>
      </c>
      <c r="AX29" s="39">
        <f t="shared" si="128"/>
        <v>0.505</v>
      </c>
      <c r="AY29" s="39">
        <f t="shared" si="128"/>
        <v>0.51500000000000001</v>
      </c>
      <c r="AZ29" s="129">
        <f>AVERAGEIFS(AZ$36:AZ$171,$C$36:$C$171,"=6", $B$36:$B$171,"OFICIAL")</f>
        <v>48.5</v>
      </c>
      <c r="BA29" s="129">
        <f>AVERAGEIFS(BA$36:BA$171,$C$36:$C$171,"=6", $B$36:$B$171,"OFICIAL")</f>
        <v>10</v>
      </c>
      <c r="BB29" s="39">
        <f>AVERAGEIFS(BB$36:BB$171,$C$36:$C$171,"=6", $B$36:$B$171,"OFICIAL")</f>
        <v>0.23249999999999998</v>
      </c>
      <c r="BC29" s="39">
        <f t="shared" ref="BC29:BK29" si="129">AVERAGEIFS(BC$36:BC$171,$C$36:$C$171,"=6", $B$36:$B$171,"OFICIAL")</f>
        <v>0.50750000000000006</v>
      </c>
      <c r="BD29" s="39">
        <f t="shared" si="129"/>
        <v>0.24249999999999999</v>
      </c>
      <c r="BE29" s="39">
        <f t="shared" si="129"/>
        <v>1.7499999999999998E-2</v>
      </c>
      <c r="BF29" s="39">
        <f t="shared" si="129"/>
        <v>0.505</v>
      </c>
      <c r="BG29" s="39">
        <f t="shared" si="129"/>
        <v>0.505</v>
      </c>
      <c r="BH29" s="39">
        <f t="shared" si="129"/>
        <v>0.50750000000000006</v>
      </c>
      <c r="BI29" s="39">
        <f t="shared" si="129"/>
        <v>0.58750000000000002</v>
      </c>
      <c r="BJ29" s="39">
        <f t="shared" si="129"/>
        <v>0.44500000000000001</v>
      </c>
      <c r="BK29" s="39">
        <f t="shared" si="129"/>
        <v>0.45</v>
      </c>
      <c r="BL29" s="129">
        <f>AVERAGEIFS(BL$36:BL$171,$C$36:$C$171,"=6", $B$36:$B$171,"OFICIAL")</f>
        <v>46.5</v>
      </c>
      <c r="BN29" s="129">
        <f>AVERAGEIFS(BN$36:BN$171,$C$36:$C$171,"=6", $B$36:$B$171,"OFICIAL")</f>
        <v>10.25</v>
      </c>
      <c r="BP29" s="39">
        <f>AVERAGEIFS(BP$36:BP$171,$C$36:$C$171,"=6", $B$36:$B$171,"OFICIAL")</f>
        <v>0.29500000000000004</v>
      </c>
      <c r="BQ29" s="39">
        <f t="shared" ref="BQ29:BY29" si="130">AVERAGEIFS(BQ$36:BQ$171,$C$36:$C$171,"=6", $B$36:$B$171,"OFICIAL")</f>
        <v>0.51249999999999996</v>
      </c>
      <c r="BR29" s="39">
        <f t="shared" si="130"/>
        <v>0.19500000000000001</v>
      </c>
      <c r="BS29" s="39">
        <f t="shared" si="130"/>
        <v>5.0000000000000001E-3</v>
      </c>
      <c r="BT29" s="39">
        <f t="shared" si="130"/>
        <v>0.5</v>
      </c>
      <c r="BU29" s="39">
        <f t="shared" si="130"/>
        <v>0.52249999999999996</v>
      </c>
      <c r="BV29" s="39">
        <f t="shared" si="130"/>
        <v>0.61499999999999999</v>
      </c>
      <c r="BW29" s="39">
        <f t="shared" si="130"/>
        <v>0.46249999999999997</v>
      </c>
      <c r="BX29" s="39">
        <f t="shared" si="130"/>
        <v>0.51</v>
      </c>
      <c r="BY29" s="39">
        <f t="shared" si="130"/>
        <v>0.56999999999999995</v>
      </c>
      <c r="BZ29" s="129">
        <f>AVERAGEIFS(BZ$36:BZ$171,$C$36:$C$171,"=6", $B$36:$B$171,"OFICIAL")</f>
        <v>46.75</v>
      </c>
      <c r="CB29" s="129">
        <f>AVERAGEIFS(CB$36:CB$171,$C$36:$C$171,"=6", $B$36:$B$171,"OFICIAL")</f>
        <v>10.25</v>
      </c>
      <c r="CD29" s="344">
        <f>AVERAGEIFS(CD$36:CD$171,$C$36:$C$171,"=6", $B$36:$B$171,"OFICIAL")</f>
        <v>0.30999999999999994</v>
      </c>
      <c r="CE29" s="344">
        <f t="shared" ref="CE29:CM29" si="131">AVERAGEIFS(CE$36:CE$171,$C$36:$C$171,"=6", $B$36:$B$171,"OFICIAL")</f>
        <v>0.46499999999999997</v>
      </c>
      <c r="CF29" s="344">
        <f t="shared" si="131"/>
        <v>0.2175</v>
      </c>
      <c r="CG29" s="344">
        <f t="shared" si="131"/>
        <v>5.0000000000000001E-3</v>
      </c>
      <c r="CH29" s="344">
        <f t="shared" si="131"/>
        <v>0.50750000000000006</v>
      </c>
      <c r="CI29" s="344">
        <f t="shared" si="131"/>
        <v>0.4425</v>
      </c>
      <c r="CJ29" s="344">
        <f t="shared" si="131"/>
        <v>0.60499999999999998</v>
      </c>
      <c r="CK29" s="344">
        <f t="shared" si="131"/>
        <v>0.59499999999999997</v>
      </c>
      <c r="CL29" s="344">
        <f t="shared" si="131"/>
        <v>0.47</v>
      </c>
      <c r="CM29" s="344">
        <f t="shared" si="131"/>
        <v>0.62250000000000005</v>
      </c>
      <c r="CN29" s="129">
        <f>AVERAGEIFS(CN$36:CN$171,$C$36:$C$171,"=6", $B$36:$B$171,"OFICIAL")</f>
        <v>47.5</v>
      </c>
      <c r="CP29" s="129">
        <f>AVERAGEIFS(CP$36:CP$171,$C$36:$C$171,"=6", $B$36:$B$171,"OFICIAL")</f>
        <v>9.75</v>
      </c>
      <c r="CR29" s="344">
        <f>AVERAGEIFS(CR$36:CR$171,$C$36:$C$171,"=6", $B$36:$B$171,"OFICIAL")</f>
        <v>0.27</v>
      </c>
      <c r="CS29" s="344">
        <f t="shared" ref="CS29:DB29" si="132">AVERAGEIFS(CS$36:CS$171,$C$36:$C$171,"=6", $B$36:$B$171,"OFICIAL")</f>
        <v>0.5</v>
      </c>
      <c r="CT29" s="344">
        <f t="shared" si="132"/>
        <v>0.22500000000000001</v>
      </c>
      <c r="CU29" s="344">
        <f t="shared" si="132"/>
        <v>2.5000000000000001E-3</v>
      </c>
      <c r="CV29" s="344">
        <f t="shared" si="132"/>
        <v>0.41250000000000003</v>
      </c>
      <c r="CW29" s="344">
        <f t="shared" si="132"/>
        <v>0.58250000000000002</v>
      </c>
      <c r="CX29" s="344">
        <f t="shared" si="132"/>
        <v>0.60750000000000004</v>
      </c>
      <c r="CY29" s="344">
        <f t="shared" si="132"/>
        <v>0.65500000000000003</v>
      </c>
      <c r="CZ29" s="344">
        <f t="shared" si="132"/>
        <v>0.625</v>
      </c>
      <c r="DA29" s="344">
        <f t="shared" si="132"/>
        <v>0.57499999999999996</v>
      </c>
      <c r="DB29" s="494">
        <f t="shared" si="132"/>
        <v>48</v>
      </c>
      <c r="DC29" s="499"/>
      <c r="DD29" s="302">
        <f>AVERAGEIFS(DD$36:DD$171,$C$36:$C$171,"=6", $B$36:$B$171,"OFICIAL")</f>
        <v>10.25</v>
      </c>
      <c r="DE29" s="499"/>
      <c r="DF29" s="345">
        <f t="shared" ref="DF29:DN29" si="133">AVERAGEIFS(DF$36:DF$171,$C$36:$C$171,"=6", $B$36:$B$171,"OFICIAL")</f>
        <v>0.26</v>
      </c>
      <c r="DG29" s="345">
        <f t="shared" si="133"/>
        <v>0.48499999999999999</v>
      </c>
      <c r="DH29" s="345">
        <f t="shared" si="133"/>
        <v>0.24249999999999999</v>
      </c>
      <c r="DI29" s="345">
        <f t="shared" si="133"/>
        <v>1.4999999999999999E-2</v>
      </c>
      <c r="DJ29" s="345">
        <f>AVERAGEIFS(DJ$36:DJ$171,$C$36:$C$171,"=6", $B$36:$B$171,"OFICIAL")</f>
        <v>0.50250000000000006</v>
      </c>
      <c r="DK29" s="345">
        <f>AVERAGEIFS(DK$36:DK$171,$C$36:$C$171,"=6", $B$36:$B$171,"OFICIAL")</f>
        <v>0.53</v>
      </c>
      <c r="DL29" s="345">
        <f t="shared" si="133"/>
        <v>0.52</v>
      </c>
      <c r="DM29" s="345">
        <f t="shared" si="133"/>
        <v>0.65500000000000003</v>
      </c>
      <c r="DN29" s="345">
        <f t="shared" si="133"/>
        <v>0.5475000000000001</v>
      </c>
      <c r="DO29" s="345">
        <f>AVERAGEIFS(DO$36:DO$171,$C$36:$C$171,"=6", $B$36:$B$171,"OFICIAL")</f>
        <v>0.47</v>
      </c>
    </row>
    <row r="30" spans="1:119" ht="24.95" customHeight="1" x14ac:dyDescent="0.2">
      <c r="A30" s="6" t="s">
        <v>901</v>
      </c>
      <c r="B30" s="301"/>
      <c r="C30" s="301"/>
      <c r="D30" s="129">
        <f>AVERAGEIFS(D$36:D$171,$C$36:$C$171,"=1", $B$36:$B$171,"NO OFICIAL")</f>
        <v>50.53846153846154</v>
      </c>
      <c r="E30" s="129">
        <f>AVERAGEIFS(E$36:E$171,$C$36:$C$171,"=1", $B$36:$B$171,"NO OFICIAL")</f>
        <v>8.1538461538461533</v>
      </c>
      <c r="F30" s="39">
        <f>AVERAGEIFS(F$36:F$171,$C$36:$C$171,"=1", $B$36:$B$171,"NO OFICIAL")</f>
        <v>0.17692307692307693</v>
      </c>
      <c r="G30" s="39">
        <f t="shared" ref="G30:O30" si="134">AVERAGEIFS(G$36:G$171,$C$36:$C$171,"=1", $B$36:$B$171,"NO OFICIAL")</f>
        <v>0.53615384615384609</v>
      </c>
      <c r="H30" s="39">
        <f t="shared" si="134"/>
        <v>0.28615384615384615</v>
      </c>
      <c r="I30" s="39">
        <f t="shared" si="134"/>
        <v>7.6923076923076923E-4</v>
      </c>
      <c r="J30" s="39">
        <f t="shared" si="134"/>
        <v>0.54538461538461547</v>
      </c>
      <c r="K30" s="39">
        <f t="shared" si="134"/>
        <v>0.51230769230769235</v>
      </c>
      <c r="L30" s="39">
        <f t="shared" si="134"/>
        <v>0.64384615384615373</v>
      </c>
      <c r="M30" s="39">
        <f t="shared" si="134"/>
        <v>0.41230769230769232</v>
      </c>
      <c r="N30" s="39">
        <f t="shared" si="134"/>
        <v>0.44538461538461538</v>
      </c>
      <c r="O30" s="39">
        <f t="shared" si="134"/>
        <v>0.52153846153846151</v>
      </c>
      <c r="P30" s="129">
        <f>AVERAGEIFS(P$36:P$171,$C$36:$C$171,"=1", $B$36:$B$171,"NO OFICIAL")</f>
        <v>50.583333333333336</v>
      </c>
      <c r="Q30" s="129">
        <f>AVERAGEIFS(Q$36:Q$171,$C$36:$C$171,"=1", $B$36:$B$171,"NO OFICIAL")</f>
        <v>9.1666666666666661</v>
      </c>
      <c r="R30" s="39">
        <f>AVERAGEIFS(R$36:R$171,$C$36:$C$171,"=1", $B$36:$B$171,"NO OFICIAL")</f>
        <v>0.16666666666666671</v>
      </c>
      <c r="S30" s="39">
        <f t="shared" ref="S30:AA30" si="135">AVERAGEIFS(S$36:S$171,$C$36:$C$171,"=1", $B$36:$B$171,"NO OFICIAL")</f>
        <v>0.50750000000000006</v>
      </c>
      <c r="T30" s="39">
        <f t="shared" si="135"/>
        <v>0.30249999999999999</v>
      </c>
      <c r="U30" s="39">
        <f t="shared" si="135"/>
        <v>2.2500000000000003E-2</v>
      </c>
      <c r="V30" s="39">
        <f t="shared" si="135"/>
        <v>0.42833333333333329</v>
      </c>
      <c r="W30" s="39">
        <f t="shared" si="135"/>
        <v>0.48</v>
      </c>
      <c r="X30" s="39">
        <f t="shared" si="135"/>
        <v>0.57583333333333331</v>
      </c>
      <c r="Y30" s="39">
        <f t="shared" si="135"/>
        <v>0.4466666666666666</v>
      </c>
      <c r="Z30" s="39">
        <f t="shared" si="135"/>
        <v>0.44249999999999989</v>
      </c>
      <c r="AA30" s="39">
        <f t="shared" si="135"/>
        <v>0.52333333333333332</v>
      </c>
      <c r="AB30" s="129">
        <f>AVERAGEIFS(AB$36:AB$171,$C$36:$C$171,"=1", $B$36:$B$171,"NO OFICIAL")</f>
        <v>49.07692307692308</v>
      </c>
      <c r="AC30" s="129">
        <f>AVERAGEIFS(AC$36:AC$171,$C$36:$C$171,"=1", $B$36:$B$171,"NO OFICIAL")</f>
        <v>10.076923076923077</v>
      </c>
      <c r="AD30" s="39">
        <f>AVERAGEIFS(AD$36:AD$171,$C$36:$C$171,"=1", $B$36:$B$171,"NO OFICIAL")</f>
        <v>0.22769230769230769</v>
      </c>
      <c r="AE30" s="39">
        <f t="shared" ref="AE30:AM30" si="136">AVERAGEIFS(AE$36:AE$171,$C$36:$C$171,"=1", $B$36:$B$171,"NO OFICIAL")</f>
        <v>0.48307692307692307</v>
      </c>
      <c r="AF30" s="39">
        <f t="shared" si="136"/>
        <v>0.26384615384615384</v>
      </c>
      <c r="AG30" s="39">
        <f t="shared" si="136"/>
        <v>2.6153846153846159E-2</v>
      </c>
      <c r="AH30" s="39">
        <f t="shared" si="136"/>
        <v>0.4415384615384616</v>
      </c>
      <c r="AI30" s="39">
        <f t="shared" si="136"/>
        <v>0.45230769230769236</v>
      </c>
      <c r="AJ30" s="39">
        <f t="shared" si="136"/>
        <v>0.41000000000000003</v>
      </c>
      <c r="AK30" s="39">
        <f t="shared" si="136"/>
        <v>0.4984615384615384</v>
      </c>
      <c r="AL30" s="39">
        <f t="shared" si="136"/>
        <v>0.55153846153846142</v>
      </c>
      <c r="AM30" s="39">
        <f t="shared" si="136"/>
        <v>0.54615384615384621</v>
      </c>
      <c r="AN30" s="129">
        <f>AVERAGEIFS(AN$36:AN$171,$C$36:$C$171,"=1", $B$36:$B$171,"NO OFICIAL")</f>
        <v>46.846153846153847</v>
      </c>
      <c r="AO30" s="129">
        <f>AVERAGEIFS(AO$36:AO$171,$C$36:$C$171,"=1", $B$36:$B$171,"NO OFICIAL")</f>
        <v>10</v>
      </c>
      <c r="AP30" s="39">
        <f>AVERAGEIFS(AP$36:AP$171,$C$36:$C$171,"=1", $B$36:$B$171,"NO OFICIAL")</f>
        <v>0.2992307692307693</v>
      </c>
      <c r="AQ30" s="39">
        <f t="shared" ref="AQ30:AY30" si="137">AVERAGEIFS(AQ$36:AQ$171,$C$36:$C$171,"=1", $B$36:$B$171,"NO OFICIAL")</f>
        <v>0.48307692307692307</v>
      </c>
      <c r="AR30" s="39">
        <f t="shared" si="137"/>
        <v>0.21307692307692311</v>
      </c>
      <c r="AS30" s="39">
        <f t="shared" si="137"/>
        <v>6.1538461538461538E-3</v>
      </c>
      <c r="AT30" s="39">
        <f t="shared" si="137"/>
        <v>0.55384615384615377</v>
      </c>
      <c r="AU30" s="39">
        <f t="shared" si="137"/>
        <v>0.49461538461538468</v>
      </c>
      <c r="AV30" s="39">
        <f t="shared" si="137"/>
        <v>0.48153846153846164</v>
      </c>
      <c r="AW30" s="39">
        <f t="shared" si="137"/>
        <v>0.48846153846153845</v>
      </c>
      <c r="AX30" s="39">
        <f t="shared" si="137"/>
        <v>0.51307692307692299</v>
      </c>
      <c r="AY30" s="39">
        <f t="shared" si="137"/>
        <v>0.50384615384615394</v>
      </c>
      <c r="AZ30" s="129">
        <f>AVERAGEIFS(AZ$36:AZ$171,$C$36:$C$171,"=1", $B$36:$B$171,"NO OFICIAL")</f>
        <v>50.153846153846153</v>
      </c>
      <c r="BA30" s="129">
        <f>AVERAGEIFS(BA$36:BA$171,$C$36:$C$171,"=1", $B$36:$B$171,"NO OFICIAL")</f>
        <v>9.9230769230769234</v>
      </c>
      <c r="BB30" s="39">
        <f>AVERAGEIFS(BB$36:BB$171,$C$36:$C$171,"=1", $B$36:$B$171,"NO OFICIAL")</f>
        <v>0.20999999999999996</v>
      </c>
      <c r="BC30" s="39">
        <f t="shared" ref="BC30:BK30" si="138">AVERAGEIFS(BC$36:BC$171,$C$36:$C$171,"=1", $B$36:$B$171,"NO OFICIAL")</f>
        <v>0.46384615384615385</v>
      </c>
      <c r="BD30" s="39">
        <f t="shared" si="138"/>
        <v>0.3092307692307692</v>
      </c>
      <c r="BE30" s="39">
        <f t="shared" si="138"/>
        <v>1.7692307692307691E-2</v>
      </c>
      <c r="BF30" s="39">
        <f t="shared" si="138"/>
        <v>0.51</v>
      </c>
      <c r="BG30" s="39">
        <f t="shared" si="138"/>
        <v>0.47538461538461529</v>
      </c>
      <c r="BH30" s="39">
        <f t="shared" si="138"/>
        <v>0.47461538461538466</v>
      </c>
      <c r="BI30" s="39">
        <f t="shared" si="138"/>
        <v>0.52923076923076917</v>
      </c>
      <c r="BJ30" s="39">
        <f t="shared" si="138"/>
        <v>0.4284615384615385</v>
      </c>
      <c r="BK30" s="39">
        <f t="shared" si="138"/>
        <v>0.4184615384615385</v>
      </c>
      <c r="BL30" s="129">
        <f>AVERAGEIFS(BL$36:BL$171,$C$36:$C$171,"=1", $B$36:$B$171,"NO OFICIAL")</f>
        <v>49.230769230769234</v>
      </c>
      <c r="BN30" s="129">
        <f>AVERAGEIFS(BN$36:BN$171,$C$36:$C$171,"=1", $B$36:$B$171,"NO OFICIAL")</f>
        <v>9.5384615384615383</v>
      </c>
      <c r="BP30" s="39">
        <f>AVERAGEIFS(BP$36:BP$171,$C$36:$C$171,"=1", $B$36:$B$171,"NO OFICIAL")</f>
        <v>0.19846153846153844</v>
      </c>
      <c r="BQ30" s="39">
        <f t="shared" ref="BQ30:BY30" si="139">AVERAGEIFS(BQ$36:BQ$171,$C$36:$C$171,"=1", $B$36:$B$171,"NO OFICIAL")</f>
        <v>0.54153846153846152</v>
      </c>
      <c r="BR30" s="39">
        <f t="shared" si="139"/>
        <v>0.24692307692307697</v>
      </c>
      <c r="BS30" s="39">
        <f t="shared" si="139"/>
        <v>1.3076923076923078E-2</v>
      </c>
      <c r="BT30" s="39">
        <f t="shared" si="139"/>
        <v>0.4869230769230769</v>
      </c>
      <c r="BU30" s="39">
        <f t="shared" si="139"/>
        <v>0.46307692307692311</v>
      </c>
      <c r="BV30" s="39">
        <f t="shared" si="139"/>
        <v>0.59846153846153838</v>
      </c>
      <c r="BW30" s="39">
        <f t="shared" si="139"/>
        <v>0.42846153846153839</v>
      </c>
      <c r="BX30" s="39">
        <f t="shared" si="139"/>
        <v>0.47076923076923077</v>
      </c>
      <c r="BY30" s="39">
        <f t="shared" si="139"/>
        <v>0.53076923076923077</v>
      </c>
      <c r="BZ30" s="129">
        <f>AVERAGEIFS(BZ$36:BZ$171,$C$36:$C$171,"=1", $B$36:$B$171,"NO OFICIAL")</f>
        <v>49.846153846153847</v>
      </c>
      <c r="CB30" s="129">
        <f>AVERAGEIFS(CB$36:CB$171,$C$36:$C$171,"=1", $B$36:$B$171,"NO OFICIAL")</f>
        <v>10.153846153846153</v>
      </c>
      <c r="CD30" s="344">
        <f>AVERAGEIFS(CD$36:CD$171,$C$36:$C$171,"=1", $B$36:$B$171,"NO OFICIAL")</f>
        <v>0.21692307692307694</v>
      </c>
      <c r="CE30" s="344">
        <f t="shared" ref="CE30:CM30" si="140">AVERAGEIFS(CE$36:CE$171,$C$36:$C$171,"=1", $B$36:$B$171,"NO OFICIAL")</f>
        <v>0.41384615384615386</v>
      </c>
      <c r="CF30" s="344">
        <f t="shared" si="140"/>
        <v>0.36</v>
      </c>
      <c r="CG30" s="344">
        <f t="shared" si="140"/>
        <v>6.9230769230769224E-3</v>
      </c>
      <c r="CH30" s="344">
        <f t="shared" si="140"/>
        <v>0.53076923076923077</v>
      </c>
      <c r="CI30" s="344">
        <f t="shared" si="140"/>
        <v>0.4169230769230769</v>
      </c>
      <c r="CJ30" s="344">
        <f t="shared" si="140"/>
        <v>0.58000000000000007</v>
      </c>
      <c r="CK30" s="344">
        <f t="shared" si="140"/>
        <v>0.5376923076923078</v>
      </c>
      <c r="CL30" s="344">
        <f t="shared" si="140"/>
        <v>0.42769230769230765</v>
      </c>
      <c r="CM30" s="344">
        <f t="shared" si="140"/>
        <v>0.5607692307692308</v>
      </c>
      <c r="CN30" s="129">
        <f>AVERAGEIFS(CN$36:CN$171,$C$36:$C$171,"=1", $B$36:$B$171,"NO OFICIAL")</f>
        <v>50.833333333333336</v>
      </c>
      <c r="CP30" s="129">
        <f>AVERAGEIFS(CP$36:CP$171,$C$36:$C$171,"=1", $B$36:$B$171,"NO OFICIAL")</f>
        <v>9.75</v>
      </c>
      <c r="CR30" s="344">
        <f>AVERAGEIFS(CR$36:CR$171,$C$36:$C$171,"=1", $B$36:$B$171,"NO OFICIAL")</f>
        <v>0.15916666666666665</v>
      </c>
      <c r="CS30" s="344">
        <f t="shared" ref="CS30:DB30" si="141">AVERAGEIFS(CS$36:CS$171,$C$36:$C$171,"=1", $B$36:$B$171,"NO OFICIAL")</f>
        <v>0.49333333333333335</v>
      </c>
      <c r="CT30" s="344">
        <f t="shared" si="141"/>
        <v>0.33333333333333331</v>
      </c>
      <c r="CU30" s="344">
        <f t="shared" si="141"/>
        <v>1.4999999999999999E-2</v>
      </c>
      <c r="CV30" s="344">
        <f t="shared" si="141"/>
        <v>0.35583333333333328</v>
      </c>
      <c r="CW30" s="344">
        <f t="shared" si="141"/>
        <v>0.52583333333333337</v>
      </c>
      <c r="CX30" s="344">
        <f t="shared" si="141"/>
        <v>0.5508333333333334</v>
      </c>
      <c r="CY30" s="344">
        <f t="shared" si="141"/>
        <v>0.59083333333333343</v>
      </c>
      <c r="CZ30" s="344">
        <f t="shared" si="141"/>
        <v>0.54666666666666663</v>
      </c>
      <c r="DA30" s="344">
        <f t="shared" si="141"/>
        <v>0.56083333333333341</v>
      </c>
      <c r="DB30" s="494">
        <f t="shared" si="141"/>
        <v>50.53846153846154</v>
      </c>
      <c r="DC30" s="499"/>
      <c r="DD30" s="302">
        <f>AVERAGEIFS(DD$36:DD$171,$C$36:$C$171,"=1", $B$36:$B$171,"NO OFICIAL")</f>
        <v>10.384615384615385</v>
      </c>
      <c r="DE30" s="499"/>
      <c r="DF30" s="345">
        <f t="shared" ref="DF30:DN30" si="142">AVERAGEIFS(DF$36:DF$171,$C$36:$C$171,"=1", $B$36:$B$171,"NO OFICIAL")</f>
        <v>0.17153846153846153</v>
      </c>
      <c r="DG30" s="345">
        <f t="shared" si="142"/>
        <v>0.48923076923076919</v>
      </c>
      <c r="DH30" s="345">
        <f t="shared" si="142"/>
        <v>0.31076923076923085</v>
      </c>
      <c r="DI30" s="345">
        <f t="shared" si="142"/>
        <v>2.6153846153846156E-2</v>
      </c>
      <c r="DJ30" s="345">
        <f>AVERAGEIFS(DJ$36:DJ$171,$C$36:$C$171,"=1", $B$36:$B$171,"NO OFICIAL")</f>
        <v>0.49076923076923074</v>
      </c>
      <c r="DK30" s="345">
        <f>AVERAGEIFS(DK$36:DK$171,$C$36:$C$171,"=1", $B$36:$B$171,"NO OFICIAL")</f>
        <v>0.47923076923076924</v>
      </c>
      <c r="DL30" s="345">
        <f t="shared" si="142"/>
        <v>0.46615384615384614</v>
      </c>
      <c r="DM30" s="345">
        <f t="shared" si="142"/>
        <v>0.61153846153846159</v>
      </c>
      <c r="DN30" s="345">
        <f t="shared" si="142"/>
        <v>0.5461538461538461</v>
      </c>
      <c r="DO30" s="345">
        <f>AVERAGEIFS(DO$36:DO$171,$C$36:$C$171,"=1", $B$36:$B$171,"NO OFICIAL")</f>
        <v>0.40923076923076918</v>
      </c>
    </row>
    <row r="31" spans="1:119" ht="24.95" customHeight="1" x14ac:dyDescent="0.2">
      <c r="A31" s="6" t="s">
        <v>902</v>
      </c>
      <c r="B31" s="301"/>
      <c r="C31" s="301"/>
      <c r="D31" s="129">
        <f>AVERAGEIFS(D$36:D$171,$C$36:$C$171,"=2", $B$36:$B$171,"NO OFICIAL")</f>
        <v>53</v>
      </c>
      <c r="E31" s="129">
        <f>AVERAGEIFS(E$36:E$171,$C$36:$C$171,"=2", $B$36:$B$171,"NO OFICIAL")</f>
        <v>7.8888888888888893</v>
      </c>
      <c r="F31" s="39">
        <f>AVERAGEIFS(F$36:F$171,$C$36:$C$171,"=2", $B$36:$B$171,"NO OFICIAL")</f>
        <v>0.13222222222222221</v>
      </c>
      <c r="G31" s="39">
        <f t="shared" ref="G31:O31" si="143">AVERAGEIFS(G$36:G$171,$C$36:$C$171,"=2", $B$36:$B$171,"NO OFICIAL")</f>
        <v>0.43888888888888888</v>
      </c>
      <c r="H31" s="39">
        <f t="shared" si="143"/>
        <v>0.41333333333333339</v>
      </c>
      <c r="I31" s="39">
        <f t="shared" si="143"/>
        <v>1.5555555555555557E-2</v>
      </c>
      <c r="J31" s="39">
        <f t="shared" si="143"/>
        <v>0.50500000000000012</v>
      </c>
      <c r="K31" s="39">
        <f t="shared" si="143"/>
        <v>0.4844444444444444</v>
      </c>
      <c r="L31" s="39">
        <f t="shared" si="143"/>
        <v>0.55222222222222228</v>
      </c>
      <c r="M31" s="39">
        <f t="shared" si="143"/>
        <v>0.38111111111111118</v>
      </c>
      <c r="N31" s="39">
        <f t="shared" si="143"/>
        <v>0.41499999999999992</v>
      </c>
      <c r="O31" s="39">
        <f t="shared" si="143"/>
        <v>0.4538888888888889</v>
      </c>
      <c r="P31" s="129">
        <f>AVERAGEIFS(P$36:P$171,$C$36:$C$171,"=2", $B$36:$B$171,"NO OFICIAL")</f>
        <v>52.588235294117645</v>
      </c>
      <c r="Q31" s="129">
        <f>AVERAGEIFS(Q$36:Q$171,$C$36:$C$171,"=2", $B$36:$B$171,"NO OFICIAL")</f>
        <v>8.9411764705882355</v>
      </c>
      <c r="R31" s="39">
        <f>AVERAGEIFS(R$36:R$171,$C$36:$C$171,"=2", $B$36:$B$171,"NO OFICIAL")</f>
        <v>0.13470588235294118</v>
      </c>
      <c r="S31" s="39">
        <f t="shared" ref="S31:AA31" si="144">AVERAGEIFS(S$36:S$171,$C$36:$C$171,"=2", $B$36:$B$171,"NO OFICIAL")</f>
        <v>0.47176470588235303</v>
      </c>
      <c r="T31" s="39">
        <f t="shared" si="144"/>
        <v>0.36823529411764705</v>
      </c>
      <c r="U31" s="39">
        <f t="shared" si="144"/>
        <v>2.7058823529411771E-2</v>
      </c>
      <c r="V31" s="39">
        <f t="shared" si="144"/>
        <v>0.38941176470588229</v>
      </c>
      <c r="W31" s="39">
        <f t="shared" si="144"/>
        <v>0.45647058823529413</v>
      </c>
      <c r="X31" s="39">
        <f t="shared" si="144"/>
        <v>0.53588235294117648</v>
      </c>
      <c r="Y31" s="39">
        <f t="shared" si="144"/>
        <v>0.44176470588235295</v>
      </c>
      <c r="Z31" s="39">
        <f t="shared" si="144"/>
        <v>0.40588235294117647</v>
      </c>
      <c r="AA31" s="39">
        <f t="shared" si="144"/>
        <v>0.46588235294117641</v>
      </c>
      <c r="AB31" s="129">
        <f>AVERAGEIFS(AB$36:AB$171,$C$36:$C$171,"=2", $B$36:$B$171,"NO OFICIAL")</f>
        <v>50.882352941176471</v>
      </c>
      <c r="AC31" s="129">
        <f>AVERAGEIFS(AC$36:AC$171,$C$36:$C$171,"=2", $B$36:$B$171,"NO OFICIAL")</f>
        <v>9.235294117647058</v>
      </c>
      <c r="AD31" s="39">
        <f>AVERAGEIFS(AD$36:AD$171,$C$36:$C$171,"=2", $B$36:$B$171,"NO OFICIAL")</f>
        <v>0.22529411764705884</v>
      </c>
      <c r="AE31" s="39">
        <f t="shared" ref="AE31:AM31" si="145">AVERAGEIFS(AE$36:AE$171,$C$36:$C$171,"=2", $B$36:$B$171,"NO OFICIAL")</f>
        <v>0.41588235294117637</v>
      </c>
      <c r="AF31" s="39">
        <f t="shared" si="145"/>
        <v>0.32823529411764707</v>
      </c>
      <c r="AG31" s="39">
        <f t="shared" si="145"/>
        <v>3.1764705882352945E-2</v>
      </c>
      <c r="AH31" s="39">
        <f t="shared" si="145"/>
        <v>0.41411764705882353</v>
      </c>
      <c r="AI31" s="39">
        <f t="shared" si="145"/>
        <v>0.4052941176470588</v>
      </c>
      <c r="AJ31" s="39">
        <f t="shared" si="145"/>
        <v>0.39176470588235296</v>
      </c>
      <c r="AK31" s="39">
        <f t="shared" si="145"/>
        <v>0.48529411764705882</v>
      </c>
      <c r="AL31" s="39">
        <f t="shared" si="145"/>
        <v>0.52470588235294113</v>
      </c>
      <c r="AM31" s="39">
        <f t="shared" si="145"/>
        <v>0.49117647058823527</v>
      </c>
      <c r="AN31" s="129">
        <f>AVERAGEIFS(AN$36:AN$171,$C$36:$C$171,"=2", $B$36:$B$171,"NO OFICIAL")</f>
        <v>49.833333333333336</v>
      </c>
      <c r="AO31" s="129">
        <f>AVERAGEIFS(AO$36:AO$171,$C$36:$C$171,"=2", $B$36:$B$171,"NO OFICIAL")</f>
        <v>9.8333333333333339</v>
      </c>
      <c r="AP31" s="39">
        <f>AVERAGEIFS(AP$36:AP$171,$C$36:$C$171,"=2", $B$36:$B$171,"NO OFICIAL")</f>
        <v>0.19555555555555554</v>
      </c>
      <c r="AQ31" s="39">
        <f t="shared" ref="AQ31:AY31" si="146">AVERAGEIFS(AQ$36:AQ$171,$C$36:$C$171,"=2", $B$36:$B$171,"NO OFICIAL")</f>
        <v>0.47999999999999993</v>
      </c>
      <c r="AR31" s="39">
        <f t="shared" si="146"/>
        <v>0.30611111111111106</v>
      </c>
      <c r="AS31" s="39">
        <f t="shared" si="146"/>
        <v>1.9444444444444448E-2</v>
      </c>
      <c r="AT31" s="39">
        <f t="shared" si="146"/>
        <v>0.51666666666666672</v>
      </c>
      <c r="AU31" s="39">
        <f t="shared" si="146"/>
        <v>0.42888888888888893</v>
      </c>
      <c r="AV31" s="39">
        <f t="shared" si="146"/>
        <v>0.4250000000000001</v>
      </c>
      <c r="AW31" s="39">
        <f t="shared" si="146"/>
        <v>0.4366666666666667</v>
      </c>
      <c r="AX31" s="39">
        <f t="shared" si="146"/>
        <v>0.4433333333333333</v>
      </c>
      <c r="AY31" s="39">
        <f t="shared" si="146"/>
        <v>0.46166666666666667</v>
      </c>
      <c r="AZ31" s="129">
        <f>AVERAGEIFS(AZ$36:AZ$171,$C$36:$C$171,"=2", $B$36:$B$171,"NO OFICIAL")</f>
        <v>51.18181818181818</v>
      </c>
      <c r="BA31" s="129">
        <f>AVERAGEIFS(BA$36:BA$171,$C$36:$C$171,"=2", $B$36:$B$171,"NO OFICIAL")</f>
        <v>9.045454545454545</v>
      </c>
      <c r="BB31" s="39">
        <f>AVERAGEIFS(BB$36:BB$171,$C$36:$C$171,"=2", $B$36:$B$171,"NO OFICIAL")</f>
        <v>0.21318181818181819</v>
      </c>
      <c r="BC31" s="39">
        <f t="shared" ref="BC31:BK31" si="147">AVERAGEIFS(BC$36:BC$171,$C$36:$C$171,"=2", $B$36:$B$171,"NO OFICIAL")</f>
        <v>0.45818181818181819</v>
      </c>
      <c r="BD31" s="39">
        <f t="shared" si="147"/>
        <v>0.2986363636363637</v>
      </c>
      <c r="BE31" s="39">
        <f t="shared" si="147"/>
        <v>3.0909090909090917E-2</v>
      </c>
      <c r="BF31" s="39">
        <f t="shared" si="147"/>
        <v>0.46272727272727271</v>
      </c>
      <c r="BG31" s="39">
        <f t="shared" si="147"/>
        <v>0.45954545454545453</v>
      </c>
      <c r="BH31" s="39">
        <f t="shared" si="147"/>
        <v>0.44863636363636367</v>
      </c>
      <c r="BI31" s="39">
        <f t="shared" si="147"/>
        <v>0.53227272727272734</v>
      </c>
      <c r="BJ31" s="39">
        <f t="shared" si="147"/>
        <v>0.40636363636363632</v>
      </c>
      <c r="BK31" s="39">
        <f t="shared" si="147"/>
        <v>0.3727272727272728</v>
      </c>
      <c r="BL31" s="129">
        <f>AVERAGEIFS(BL$36:BL$171,$C$36:$C$171,"=2", $B$36:$B$171,"NO OFICIAL")</f>
        <v>48.65</v>
      </c>
      <c r="BN31" s="129">
        <f>AVERAGEIFS(BN$36:BN$171,$C$36:$C$171,"=2", $B$36:$B$171,"NO OFICIAL")</f>
        <v>9.35</v>
      </c>
      <c r="BP31" s="39">
        <f>AVERAGEIFS(BP$36:BP$171,$C$36:$C$171,"=2", $B$36:$B$171,"NO OFICIAL")</f>
        <v>0.26950000000000002</v>
      </c>
      <c r="BQ31" s="39">
        <f t="shared" ref="BQ31:BY31" si="148">AVERAGEIFS(BQ$36:BQ$171,$C$36:$C$171,"=2", $B$36:$B$171,"NO OFICIAL")</f>
        <v>0.42049999999999998</v>
      </c>
      <c r="BR31" s="39">
        <f t="shared" si="148"/>
        <v>0.28850000000000003</v>
      </c>
      <c r="BS31" s="39">
        <f t="shared" si="148"/>
        <v>2.4999999999999998E-2</v>
      </c>
      <c r="BT31" s="39">
        <f t="shared" si="148"/>
        <v>0.45250000000000001</v>
      </c>
      <c r="BU31" s="39">
        <f t="shared" si="148"/>
        <v>0.46399999999999997</v>
      </c>
      <c r="BV31" s="39">
        <f t="shared" si="148"/>
        <v>0.5585</v>
      </c>
      <c r="BW31" s="39">
        <f t="shared" si="148"/>
        <v>0.45249999999999996</v>
      </c>
      <c r="BX31" s="39">
        <f t="shared" si="148"/>
        <v>0.47650000000000003</v>
      </c>
      <c r="BY31" s="39">
        <f t="shared" si="148"/>
        <v>0.53249999999999997</v>
      </c>
      <c r="BZ31" s="129">
        <f>AVERAGEIFS(BZ$36:BZ$171,$C$36:$C$171,"=2", $B$36:$B$171,"NO OFICIAL")</f>
        <v>51.571428571428569</v>
      </c>
      <c r="CB31" s="129">
        <f>AVERAGEIFS(CB$36:CB$171,$C$36:$C$171,"=2", $B$36:$B$171,"NO OFICIAL")</f>
        <v>9.8571428571428577</v>
      </c>
      <c r="CD31" s="344">
        <f>AVERAGEIFS(CD$36:CD$171,$C$36:$C$171,"=2", $B$36:$B$171,"NO OFICIAL")</f>
        <v>0.1842857142857143</v>
      </c>
      <c r="CE31" s="344">
        <f t="shared" ref="CE31:CM31" si="149">AVERAGEIFS(CE$36:CE$171,$C$36:$C$171,"=2", $B$36:$B$171,"NO OFICIAL")</f>
        <v>0.41523809523809529</v>
      </c>
      <c r="CF31" s="344">
        <f t="shared" si="149"/>
        <v>0.36857142857142866</v>
      </c>
      <c r="CG31" s="344">
        <f t="shared" si="149"/>
        <v>3.5238095238095249E-2</v>
      </c>
      <c r="CH31" s="344">
        <f t="shared" si="149"/>
        <v>0.48049999999999987</v>
      </c>
      <c r="CI31" s="344">
        <f t="shared" si="149"/>
        <v>0.35380952380952368</v>
      </c>
      <c r="CJ31" s="344">
        <f t="shared" si="149"/>
        <v>0.55000000000000004</v>
      </c>
      <c r="CK31" s="344">
        <f t="shared" si="149"/>
        <v>0.49571428571428583</v>
      </c>
      <c r="CL31" s="344">
        <f t="shared" si="149"/>
        <v>0.43380952380952376</v>
      </c>
      <c r="CM31" s="344">
        <f t="shared" si="149"/>
        <v>0.52904761904761899</v>
      </c>
      <c r="CN31" s="129">
        <f>AVERAGEIFS(CN$36:CN$171,$C$36:$C$171,"=2", $B$36:$B$171,"NO OFICIAL")</f>
        <v>51.954545454545453</v>
      </c>
      <c r="CP31" s="129">
        <f>AVERAGEIFS(CP$36:CP$171,$C$36:$C$171,"=2", $B$36:$B$171,"NO OFICIAL")</f>
        <v>9.2727272727272734</v>
      </c>
      <c r="CR31" s="344">
        <f>AVERAGEIFS(CR$36:CR$171,$C$36:$C$171,"=2", $B$36:$B$171,"NO OFICIAL")</f>
        <v>0.15136363636363637</v>
      </c>
      <c r="CS31" s="344">
        <f t="shared" ref="CS31:DB31" si="150">AVERAGEIFS(CS$36:CS$171,$C$36:$C$171,"=2", $B$36:$B$171,"NO OFICIAL")</f>
        <v>0.47954545454545455</v>
      </c>
      <c r="CT31" s="344">
        <f t="shared" si="150"/>
        <v>0.33727272727272728</v>
      </c>
      <c r="CU31" s="344">
        <f t="shared" si="150"/>
        <v>3.2727272727272737E-2</v>
      </c>
      <c r="CV31" s="344">
        <f t="shared" si="150"/>
        <v>0.32954545454545453</v>
      </c>
      <c r="CW31" s="344">
        <f t="shared" si="150"/>
        <v>0.48045454545454547</v>
      </c>
      <c r="CX31" s="344">
        <f t="shared" si="150"/>
        <v>0.55772727272727274</v>
      </c>
      <c r="CY31" s="344">
        <f t="shared" si="150"/>
        <v>0.70714285714285718</v>
      </c>
      <c r="CZ31" s="344">
        <f t="shared" si="150"/>
        <v>0.50727272727272721</v>
      </c>
      <c r="DA31" s="344">
        <f t="shared" si="150"/>
        <v>0.50727272727272721</v>
      </c>
      <c r="DB31" s="494">
        <f t="shared" si="150"/>
        <v>51.95</v>
      </c>
      <c r="DC31" s="499"/>
      <c r="DD31" s="302">
        <f>AVERAGEIFS(DD$36:DD$171,$C$36:$C$171,"=2", $B$36:$B$171,"NO OFICIAL")</f>
        <v>10.199999999999999</v>
      </c>
      <c r="DE31" s="499"/>
      <c r="DF31" s="345">
        <f t="shared" ref="DF31:DN31" si="151">AVERAGEIFS(DF$36:DF$171,$C$36:$C$171,"=2", $B$36:$B$171,"NO OFICIAL")</f>
        <v>0.1875</v>
      </c>
      <c r="DG31" s="345">
        <f t="shared" si="151"/>
        <v>0.38549999999999995</v>
      </c>
      <c r="DH31" s="345">
        <f t="shared" si="151"/>
        <v>0.3755</v>
      </c>
      <c r="DI31" s="345">
        <f t="shared" si="151"/>
        <v>4.9000000000000009E-2</v>
      </c>
      <c r="DJ31" s="345">
        <f>AVERAGEIFS(DJ$36:DJ$171,$C$36:$C$171,"=2", $B$36:$B$171,"NO OFICIAL")</f>
        <v>0.47549999999999992</v>
      </c>
      <c r="DK31" s="345">
        <f>AVERAGEIFS(DK$36:DK$171,$C$36:$C$171,"=2", $B$36:$B$171,"NO OFICIAL")</f>
        <v>0.38900000000000001</v>
      </c>
      <c r="DL31" s="345">
        <f t="shared" si="151"/>
        <v>0.42949999999999999</v>
      </c>
      <c r="DM31" s="345">
        <f t="shared" si="151"/>
        <v>0.59350000000000003</v>
      </c>
      <c r="DN31" s="345">
        <f t="shared" si="151"/>
        <v>0.51500000000000001</v>
      </c>
      <c r="DO31" s="345">
        <f>AVERAGEIFS(DO$36:DO$171,$C$36:$C$171,"=2", $B$36:$B$171,"NO OFICIAL")</f>
        <v>0.35736842105263161</v>
      </c>
    </row>
    <row r="32" spans="1:119" ht="24.95" customHeight="1" x14ac:dyDescent="0.2">
      <c r="A32" s="6" t="s">
        <v>903</v>
      </c>
      <c r="B32" s="301"/>
      <c r="C32" s="301"/>
      <c r="D32" s="129">
        <f>AVERAGEIFS(D$36:D$171,$C$36:$C$171,"=3", $B$36:$B$171,"NO OFICIAL")</f>
        <v>52.846153846153847</v>
      </c>
      <c r="E32" s="129">
        <f>AVERAGEIFS(E$36:E$171,$C$36:$C$171,"=3", $B$36:$B$171,"NO OFICIAL")</f>
        <v>8.6923076923076916</v>
      </c>
      <c r="F32" s="39">
        <f>AVERAGEIFS(F$36:F$171,$C$36:$C$171,"=3", $B$36:$B$171,"NO OFICIAL")</f>
        <v>9.0769230769230783E-2</v>
      </c>
      <c r="G32" s="39">
        <f t="shared" ref="G32:O32" si="152">AVERAGEIFS(G$36:G$171,$C$36:$C$171,"=3", $B$36:$B$171,"NO OFICIAL")</f>
        <v>0.52</v>
      </c>
      <c r="H32" s="39">
        <f t="shared" si="152"/>
        <v>0.38</v>
      </c>
      <c r="I32" s="39">
        <f t="shared" si="152"/>
        <v>1.0769230769230771E-2</v>
      </c>
      <c r="J32" s="39">
        <f t="shared" si="152"/>
        <v>0.52230769230769236</v>
      </c>
      <c r="K32" s="39">
        <f t="shared" si="152"/>
        <v>0.47538461538461535</v>
      </c>
      <c r="L32" s="39">
        <f t="shared" si="152"/>
        <v>0.5623076923076924</v>
      </c>
      <c r="M32" s="39">
        <f t="shared" si="152"/>
        <v>0.38692307692307693</v>
      </c>
      <c r="N32" s="39">
        <f t="shared" si="152"/>
        <v>0.40307692307692311</v>
      </c>
      <c r="O32" s="39">
        <f t="shared" si="152"/>
        <v>0.45307692307692299</v>
      </c>
      <c r="P32" s="129">
        <f>AVERAGEIFS(P$36:P$171,$C$36:$C$171,"=3", $B$36:$B$171,"NO OFICIAL")</f>
        <v>53</v>
      </c>
      <c r="Q32" s="129">
        <f>AVERAGEIFS(Q$36:Q$171,$C$36:$C$171,"=3", $B$36:$B$171,"NO OFICIAL")</f>
        <v>9.5714285714285712</v>
      </c>
      <c r="R32" s="39">
        <f>AVERAGEIFS(R$36:R$171,$C$36:$C$171,"=3", $B$36:$B$171,"NO OFICIAL")</f>
        <v>8.9285714285714302E-2</v>
      </c>
      <c r="S32" s="39">
        <f t="shared" ref="S32:AA32" si="153">AVERAGEIFS(S$36:S$171,$C$36:$C$171,"=3", $B$36:$B$171,"NO OFICIAL")</f>
        <v>0.50714285714285712</v>
      </c>
      <c r="T32" s="39">
        <f t="shared" si="153"/>
        <v>0.36571428571428571</v>
      </c>
      <c r="U32" s="39">
        <f t="shared" si="153"/>
        <v>3.9285714285714292E-2</v>
      </c>
      <c r="V32" s="39">
        <f t="shared" si="153"/>
        <v>0.38500000000000012</v>
      </c>
      <c r="W32" s="39">
        <f t="shared" si="153"/>
        <v>0.45000000000000007</v>
      </c>
      <c r="X32" s="39">
        <f t="shared" si="153"/>
        <v>0.52928571428571425</v>
      </c>
      <c r="Y32" s="39">
        <f t="shared" si="153"/>
        <v>0.43285714285714283</v>
      </c>
      <c r="Z32" s="39">
        <f t="shared" si="153"/>
        <v>0.40500000000000008</v>
      </c>
      <c r="AA32" s="39">
        <f t="shared" si="153"/>
        <v>0.45500000000000002</v>
      </c>
      <c r="AB32" s="129">
        <f>AVERAGEIFS(AB$36:AB$171,$C$36:$C$171,"=3", $B$36:$B$171,"NO OFICIAL")</f>
        <v>51.5</v>
      </c>
      <c r="AC32" s="129">
        <f>AVERAGEIFS(AC$36:AC$171,$C$36:$C$171,"=3", $B$36:$B$171,"NO OFICIAL")</f>
        <v>9.7857142857142865</v>
      </c>
      <c r="AD32" s="39">
        <f>AVERAGEIFS(AD$36:AD$171,$C$36:$C$171,"=3", $B$36:$B$171,"NO OFICIAL")</f>
        <v>0.15357142857142855</v>
      </c>
      <c r="AE32" s="39">
        <f t="shared" ref="AE32:AM32" si="154">AVERAGEIFS(AE$36:AE$171,$C$36:$C$171,"=3", $B$36:$B$171,"NO OFICIAL")</f>
        <v>0.46571428571428569</v>
      </c>
      <c r="AF32" s="39">
        <f t="shared" si="154"/>
        <v>0.35642857142857137</v>
      </c>
      <c r="AG32" s="39">
        <f t="shared" si="154"/>
        <v>2.2142857142857141E-2</v>
      </c>
      <c r="AH32" s="39">
        <f t="shared" si="154"/>
        <v>0.39500000000000002</v>
      </c>
      <c r="AI32" s="39">
        <f t="shared" si="154"/>
        <v>0.39214285714285718</v>
      </c>
      <c r="AJ32" s="39">
        <f t="shared" si="154"/>
        <v>0.3785714285714285</v>
      </c>
      <c r="AK32" s="39">
        <f t="shared" si="154"/>
        <v>0.4578571428571428</v>
      </c>
      <c r="AL32" s="39">
        <f t="shared" si="154"/>
        <v>0.53357142857142859</v>
      </c>
      <c r="AM32" s="39">
        <f t="shared" si="154"/>
        <v>0.49571428571428572</v>
      </c>
      <c r="AN32" s="129">
        <f>AVERAGEIFS(AN$36:AN$171,$C$36:$C$171,"=3", $B$36:$B$171,"NO OFICIAL")</f>
        <v>49.214285714285715</v>
      </c>
      <c r="AO32" s="129">
        <f>AVERAGEIFS(AO$36:AO$171,$C$36:$C$171,"=3", $B$36:$B$171,"NO OFICIAL")</f>
        <v>10.357142857142858</v>
      </c>
      <c r="AP32" s="39">
        <f>AVERAGEIFS(AP$36:AP$171,$C$36:$C$171,"=3", $B$36:$B$171,"NO OFICIAL")</f>
        <v>0.23214285714285715</v>
      </c>
      <c r="AQ32" s="39">
        <f t="shared" ref="AQ32:AY32" si="155">AVERAGEIFS(AQ$36:AQ$171,$C$36:$C$171,"=3", $B$36:$B$171,"NO OFICIAL")</f>
        <v>0.46928571428571431</v>
      </c>
      <c r="AR32" s="39">
        <f t="shared" si="155"/>
        <v>0.28357142857142864</v>
      </c>
      <c r="AS32" s="39">
        <f t="shared" si="155"/>
        <v>1.4999999999999999E-2</v>
      </c>
      <c r="AT32" s="39">
        <f t="shared" si="155"/>
        <v>0.54928571428571427</v>
      </c>
      <c r="AU32" s="39">
        <f t="shared" si="155"/>
        <v>0.45357142857142863</v>
      </c>
      <c r="AV32" s="39">
        <f t="shared" si="155"/>
        <v>0.43714285714285711</v>
      </c>
      <c r="AW32" s="39">
        <f t="shared" si="155"/>
        <v>0.46357142857142852</v>
      </c>
      <c r="AX32" s="39">
        <f t="shared" si="155"/>
        <v>0.45142857142857146</v>
      </c>
      <c r="AY32" s="39">
        <f t="shared" si="155"/>
        <v>0.46357142857142863</v>
      </c>
      <c r="AZ32" s="129">
        <f>AVERAGEIFS(AZ$36:AZ$171,$C$36:$C$171,"=3", $B$36:$B$171,"NO OFICIAL")</f>
        <v>52.2</v>
      </c>
      <c r="BA32" s="129">
        <f>AVERAGEIFS(BA$36:BA$171,$C$36:$C$171,"=3", $B$36:$B$171,"NO OFICIAL")</f>
        <v>10.333333333333334</v>
      </c>
      <c r="BB32" s="39">
        <f>AVERAGEIFS(BB$36:BB$171,$C$36:$C$171,"=3", $B$36:$B$171,"NO OFICIAL")</f>
        <v>0.15133333333333335</v>
      </c>
      <c r="BC32" s="39">
        <f t="shared" ref="BC32:BK32" si="156">AVERAGEIFS(BC$36:BC$171,$C$36:$C$171,"=3", $B$36:$B$171,"NO OFICIAL")</f>
        <v>0.45999999999999996</v>
      </c>
      <c r="BD32" s="39">
        <f t="shared" si="156"/>
        <v>0.34533333333333338</v>
      </c>
      <c r="BE32" s="39">
        <f t="shared" si="156"/>
        <v>4.2666666666666665E-2</v>
      </c>
      <c r="BF32" s="39">
        <f t="shared" si="156"/>
        <v>0.44933333333333336</v>
      </c>
      <c r="BG32" s="39">
        <f t="shared" si="156"/>
        <v>0.42533333333333329</v>
      </c>
      <c r="BH32" s="39">
        <f t="shared" si="156"/>
        <v>0.42999999999999994</v>
      </c>
      <c r="BI32" s="39">
        <f t="shared" si="156"/>
        <v>0.52733333333333332</v>
      </c>
      <c r="BJ32" s="39">
        <f t="shared" si="156"/>
        <v>0.40133333333333338</v>
      </c>
      <c r="BK32" s="39">
        <f t="shared" si="156"/>
        <v>0.37666666666666665</v>
      </c>
      <c r="BL32" s="129">
        <f>AVERAGEIFS(BL$36:BL$171,$C$36:$C$171,"=3", $B$36:$B$171,"NO OFICIAL")</f>
        <v>50.866666666666667</v>
      </c>
      <c r="BN32" s="129">
        <f>AVERAGEIFS(BN$36:BN$171,$C$36:$C$171,"=3", $B$36:$B$171,"NO OFICIAL")</f>
        <v>10.266666666666667</v>
      </c>
      <c r="BP32" s="39">
        <f>AVERAGEIFS(BP$36:BP$171,$C$36:$C$171,"=3", $B$36:$B$171,"NO OFICIAL")</f>
        <v>0.18800000000000003</v>
      </c>
      <c r="BQ32" s="39">
        <f t="shared" ref="BQ32:BY32" si="157">AVERAGEIFS(BQ$36:BQ$171,$C$36:$C$171,"=3", $B$36:$B$171,"NO OFICIAL")</f>
        <v>0.45333333333333337</v>
      </c>
      <c r="BR32" s="39">
        <f t="shared" si="157"/>
        <v>0.33333333333333331</v>
      </c>
      <c r="BS32" s="39">
        <f t="shared" si="157"/>
        <v>2.5333333333333329E-2</v>
      </c>
      <c r="BT32" s="39">
        <f t="shared" si="157"/>
        <v>0.41933333333333334</v>
      </c>
      <c r="BU32" s="39">
        <f t="shared" si="157"/>
        <v>0.43866666666666665</v>
      </c>
      <c r="BV32" s="39">
        <f t="shared" si="157"/>
        <v>0.55666666666666664</v>
      </c>
      <c r="BW32" s="39">
        <f t="shared" si="157"/>
        <v>0.40466666666666667</v>
      </c>
      <c r="BX32" s="39">
        <f t="shared" si="157"/>
        <v>0.43466666666666665</v>
      </c>
      <c r="BY32" s="39">
        <f t="shared" si="157"/>
        <v>0.50800000000000012</v>
      </c>
      <c r="BZ32" s="129">
        <f>AVERAGEIFS(BZ$36:BZ$171,$C$36:$C$171,"=3", $B$36:$B$171,"NO OFICIAL")</f>
        <v>52.8125</v>
      </c>
      <c r="CB32" s="129">
        <f>AVERAGEIFS(CB$36:CB$171,$C$36:$C$171,"=3", $B$36:$B$171,"NO OFICIAL")</f>
        <v>10.0625</v>
      </c>
      <c r="CD32" s="344">
        <f>AVERAGEIFS(CD$36:CD$171,$C$36:$C$171,"=3", $B$36:$B$171,"NO OFICIAL")</f>
        <v>0.15187500000000001</v>
      </c>
      <c r="CE32" s="344">
        <f t="shared" ref="CE32:CM32" si="158">AVERAGEIFS(CE$36:CE$171,$C$36:$C$171,"=3", $B$36:$B$171,"NO OFICIAL")</f>
        <v>0.41750000000000009</v>
      </c>
      <c r="CF32" s="344">
        <f t="shared" si="158"/>
        <v>0.40125</v>
      </c>
      <c r="CG32" s="344">
        <f t="shared" si="158"/>
        <v>3.1875000000000001E-2</v>
      </c>
      <c r="CH32" s="344">
        <f t="shared" si="158"/>
        <v>0.43499999999999994</v>
      </c>
      <c r="CI32" s="344">
        <f t="shared" si="158"/>
        <v>0.33374999999999999</v>
      </c>
      <c r="CJ32" s="344">
        <f t="shared" si="158"/>
        <v>0.52937499999999993</v>
      </c>
      <c r="CK32" s="344">
        <f t="shared" si="158"/>
        <v>0.49812500000000004</v>
      </c>
      <c r="CL32" s="344">
        <f t="shared" si="158"/>
        <v>0.37374999999999997</v>
      </c>
      <c r="CM32" s="344">
        <f t="shared" si="158"/>
        <v>0.52250000000000008</v>
      </c>
      <c r="CN32" s="129">
        <f>AVERAGEIFS(CN$36:CN$171,$C$36:$C$171,"=3", $B$36:$B$171,"NO OFICIAL")</f>
        <v>52.0625</v>
      </c>
      <c r="CP32" s="129">
        <f>AVERAGEIFS(CP$36:CP$171,$C$36:$C$171,"=3", $B$36:$B$171,"NO OFICIAL")</f>
        <v>10.125</v>
      </c>
      <c r="CR32" s="344">
        <f>AVERAGEIFS(CR$36:CR$171,$C$36:$C$171,"=3", $B$36:$B$171,"NO OFICIAL")</f>
        <v>0.16749999999999998</v>
      </c>
      <c r="CS32" s="344">
        <f t="shared" ref="CS32:DB32" si="159">AVERAGEIFS(CS$36:CS$171,$C$36:$C$171,"=3", $B$36:$B$171,"NO OFICIAL")</f>
        <v>0.41812499999999997</v>
      </c>
      <c r="CT32" s="344">
        <f t="shared" si="159"/>
        <v>0.38187500000000002</v>
      </c>
      <c r="CU32" s="344">
        <f t="shared" si="159"/>
        <v>3.125E-2</v>
      </c>
      <c r="CV32" s="344">
        <f t="shared" si="159"/>
        <v>0.32250000000000001</v>
      </c>
      <c r="CW32" s="344">
        <f t="shared" si="159"/>
        <v>0.50062499999999999</v>
      </c>
      <c r="CX32" s="344">
        <f t="shared" si="159"/>
        <v>0.52562500000000001</v>
      </c>
      <c r="CY32" s="344">
        <f t="shared" si="159"/>
        <v>0.57874999999999999</v>
      </c>
      <c r="CZ32" s="344">
        <f t="shared" si="159"/>
        <v>0.53625</v>
      </c>
      <c r="DA32" s="344">
        <f t="shared" si="159"/>
        <v>0.53125</v>
      </c>
      <c r="DB32" s="494">
        <f t="shared" si="159"/>
        <v>51.8125</v>
      </c>
      <c r="DC32" s="499"/>
      <c r="DD32" s="302">
        <f>AVERAGEIFS(DD$36:DD$171,$C$36:$C$171,"=3", $B$36:$B$171,"NO OFICIAL")</f>
        <v>9.6875</v>
      </c>
      <c r="DE32" s="499"/>
      <c r="DF32" s="345">
        <f t="shared" ref="DF32:DN32" si="160">AVERAGEIFS(DF$36:DF$171,$C$36:$C$171,"=3", $B$36:$B$171,"NO OFICIAL")</f>
        <v>0.166875</v>
      </c>
      <c r="DG32" s="345">
        <f t="shared" si="160"/>
        <v>0.45</v>
      </c>
      <c r="DH32" s="345">
        <f t="shared" si="160"/>
        <v>0.34812499999999996</v>
      </c>
      <c r="DI32" s="345">
        <f t="shared" si="160"/>
        <v>3.3750000000000002E-2</v>
      </c>
      <c r="DJ32" s="345">
        <f>AVERAGEIFS(DJ$36:DJ$171,$C$36:$C$171,"=3", $B$36:$B$171,"NO OFICIAL")</f>
        <v>0.46874999999999989</v>
      </c>
      <c r="DK32" s="345">
        <f>AVERAGEIFS(DK$36:DK$171,$C$36:$C$171,"=3", $B$36:$B$171,"NO OFICIAL")</f>
        <v>0.45312500000000006</v>
      </c>
      <c r="DL32" s="345">
        <f t="shared" si="160"/>
        <v>0.44437500000000002</v>
      </c>
      <c r="DM32" s="345">
        <f t="shared" si="160"/>
        <v>0.5943750000000001</v>
      </c>
      <c r="DN32" s="345">
        <f t="shared" si="160"/>
        <v>0.51500000000000001</v>
      </c>
      <c r="DO32" s="345">
        <f>AVERAGEIFS(DO$36:DO$171,$C$36:$C$171,"=3", $B$36:$B$171,"NO OFICIAL")</f>
        <v>0.36125000000000002</v>
      </c>
    </row>
    <row r="33" spans="1:119" ht="24.95" customHeight="1" x14ac:dyDescent="0.2">
      <c r="A33" s="6" t="s">
        <v>904</v>
      </c>
      <c r="B33" s="301"/>
      <c r="C33" s="301"/>
      <c r="D33" s="129">
        <f>AVERAGEIFS(D$36:D$171,$C$36:$C$171,"=4", $B$36:$B$171,"NO OFICIAL")</f>
        <v>48.875</v>
      </c>
      <c r="E33" s="129">
        <f>AVERAGEIFS(E$36:E$171,$C$36:$C$171,"=4", $B$36:$B$171,"NO OFICIAL")</f>
        <v>7.625</v>
      </c>
      <c r="F33" s="39">
        <f>AVERAGEIFS(F$36:F$171,$C$36:$C$171,"=4", $B$36:$B$171,"NO OFICIAL")</f>
        <v>0.26750000000000002</v>
      </c>
      <c r="G33" s="39">
        <f t="shared" ref="G33:O33" si="161">AVERAGEIFS(G$36:G$171,$C$36:$C$171,"=4", $B$36:$B$171,"NO OFICIAL")</f>
        <v>0.48249999999999998</v>
      </c>
      <c r="H33" s="39">
        <f t="shared" si="161"/>
        <v>0.24625</v>
      </c>
      <c r="I33" s="39">
        <f t="shared" si="161"/>
        <v>2.5000000000000001E-3</v>
      </c>
      <c r="J33" s="39">
        <f t="shared" si="161"/>
        <v>0.58000000000000007</v>
      </c>
      <c r="K33" s="39">
        <f t="shared" si="161"/>
        <v>0.53875000000000006</v>
      </c>
      <c r="L33" s="39">
        <f t="shared" si="161"/>
        <v>0.60875000000000001</v>
      </c>
      <c r="M33" s="39">
        <f t="shared" si="161"/>
        <v>0.46125000000000005</v>
      </c>
      <c r="N33" s="39">
        <f t="shared" si="161"/>
        <v>0.44624999999999998</v>
      </c>
      <c r="O33" s="39">
        <f t="shared" si="161"/>
        <v>0.55500000000000005</v>
      </c>
      <c r="P33" s="129">
        <f>AVERAGEIFS(P$36:P$171,$C$36:$C$171,"=4", $B$36:$B$171,"NO OFICIAL")</f>
        <v>52.111111111111114</v>
      </c>
      <c r="Q33" s="129">
        <f>AVERAGEIFS(Q$36:Q$171,$C$36:$C$171,"=4", $B$36:$B$171,"NO OFICIAL")</f>
        <v>7.666666666666667</v>
      </c>
      <c r="R33" s="39">
        <f>AVERAGEIFS(R$36:R$171,$C$36:$C$171,"=4", $B$36:$B$171,"NO OFICIAL")</f>
        <v>0.1388888888888889</v>
      </c>
      <c r="S33" s="39">
        <f t="shared" ref="S33:AA33" si="162">AVERAGEIFS(S$36:S$171,$C$36:$C$171,"=4", $B$36:$B$171,"NO OFICIAL")</f>
        <v>0.42777777777777776</v>
      </c>
      <c r="T33" s="39">
        <f t="shared" si="162"/>
        <v>0.43111111111111111</v>
      </c>
      <c r="U33" s="39">
        <f t="shared" si="162"/>
        <v>2.2222222222222222E-3</v>
      </c>
      <c r="V33" s="39">
        <f t="shared" si="162"/>
        <v>0.41444444444444439</v>
      </c>
      <c r="W33" s="39">
        <f t="shared" si="162"/>
        <v>0.45111111111111118</v>
      </c>
      <c r="X33" s="39">
        <f t="shared" si="162"/>
        <v>0.53555555555555556</v>
      </c>
      <c r="Y33" s="39">
        <f t="shared" si="162"/>
        <v>0.4211111111111111</v>
      </c>
      <c r="Z33" s="39">
        <f t="shared" si="162"/>
        <v>0.43222222222222223</v>
      </c>
      <c r="AA33" s="39">
        <f t="shared" si="162"/>
        <v>0.42999999999999994</v>
      </c>
      <c r="AB33" s="129">
        <f>AVERAGEIFS(AB$36:AB$171,$C$36:$C$171,"=4", $B$36:$B$171,"NO OFICIAL")</f>
        <v>49.777777777777779</v>
      </c>
      <c r="AC33" s="129">
        <f>AVERAGEIFS(AC$36:AC$171,$C$36:$C$171,"=4", $B$36:$B$171,"NO OFICIAL")</f>
        <v>8.1111111111111107</v>
      </c>
      <c r="AD33" s="39">
        <f>AVERAGEIFS(AD$36:AD$171,$C$36:$C$171,"=4", $B$36:$B$171,"NO OFICIAL")</f>
        <v>0.18666666666666665</v>
      </c>
      <c r="AE33" s="39">
        <f t="shared" ref="AE33:AM33" si="163">AVERAGEIFS(AE$36:AE$171,$C$36:$C$171,"=4", $B$36:$B$171,"NO OFICIAL")</f>
        <v>0.60444444444444434</v>
      </c>
      <c r="AF33" s="39">
        <f t="shared" si="163"/>
        <v>0.19777777777777777</v>
      </c>
      <c r="AG33" s="39">
        <f t="shared" si="163"/>
        <v>1.2222222222222223E-2</v>
      </c>
      <c r="AH33" s="39">
        <f t="shared" si="163"/>
        <v>0.43222222222222223</v>
      </c>
      <c r="AI33" s="39">
        <f t="shared" si="163"/>
        <v>0.41666666666666669</v>
      </c>
      <c r="AJ33" s="39">
        <f t="shared" si="163"/>
        <v>0.41888888888888887</v>
      </c>
      <c r="AK33" s="39">
        <f t="shared" si="163"/>
        <v>0.47666666666666657</v>
      </c>
      <c r="AL33" s="39">
        <f t="shared" si="163"/>
        <v>0.57444444444444442</v>
      </c>
      <c r="AM33" s="39">
        <f t="shared" si="163"/>
        <v>0.50555555555555554</v>
      </c>
      <c r="AN33" s="129">
        <f>AVERAGEIFS(AN$36:AN$171,$C$36:$C$171,"=4", $B$36:$B$171,"NO OFICIAL")</f>
        <v>47.875</v>
      </c>
      <c r="AO33" s="129">
        <f>AVERAGEIFS(AO$36:AO$171,$C$36:$C$171,"=4", $B$36:$B$171,"NO OFICIAL")</f>
        <v>10.125</v>
      </c>
      <c r="AP33" s="39">
        <f>AVERAGEIFS(AP$36:AP$171,$C$36:$C$171,"=4", $B$36:$B$171,"NO OFICIAL")</f>
        <v>0.27374999999999999</v>
      </c>
      <c r="AQ33" s="39">
        <f t="shared" ref="AQ33:AY33" si="164">AVERAGEIFS(AQ$36:AQ$171,$C$36:$C$171,"=4", $B$36:$B$171,"NO OFICIAL")</f>
        <v>0.45999999999999996</v>
      </c>
      <c r="AR33" s="39">
        <f t="shared" si="164"/>
        <v>0.25624999999999998</v>
      </c>
      <c r="AS33" s="39">
        <f t="shared" si="164"/>
        <v>7.4999999999999997E-3</v>
      </c>
      <c r="AT33" s="39">
        <f t="shared" si="164"/>
        <v>0.57499999999999996</v>
      </c>
      <c r="AU33" s="39">
        <f t="shared" si="164"/>
        <v>0.47625000000000001</v>
      </c>
      <c r="AV33" s="39">
        <f t="shared" si="164"/>
        <v>0.44</v>
      </c>
      <c r="AW33" s="39">
        <f t="shared" si="164"/>
        <v>0.47500000000000003</v>
      </c>
      <c r="AX33" s="39">
        <f t="shared" si="164"/>
        <v>0.5</v>
      </c>
      <c r="AY33" s="39">
        <f t="shared" si="164"/>
        <v>0.49375000000000008</v>
      </c>
      <c r="AZ33" s="129">
        <f>AVERAGEIFS(AZ$36:AZ$171,$C$36:$C$171,"=4", $B$36:$B$171,"NO OFICIAL")</f>
        <v>47.857142857142854</v>
      </c>
      <c r="BA33" s="129">
        <f>AVERAGEIFS(BA$36:BA$171,$C$36:$C$171,"=4", $B$36:$B$171,"NO OFICIAL")</f>
        <v>10.142857142857142</v>
      </c>
      <c r="BB33" s="39">
        <f>AVERAGEIFS(BB$36:BB$171,$C$36:$C$171,"=4", $B$36:$B$171,"NO OFICIAL")</f>
        <v>0.28428571428571431</v>
      </c>
      <c r="BC33" s="39">
        <f t="shared" ref="BC33:BK33" si="165">AVERAGEIFS(BC$36:BC$171,$C$36:$C$171,"=4", $B$36:$B$171,"NO OFICIAL")</f>
        <v>0.39857142857142858</v>
      </c>
      <c r="BD33" s="39">
        <f t="shared" si="165"/>
        <v>0.31571428571428573</v>
      </c>
      <c r="BE33" s="39">
        <f t="shared" si="165"/>
        <v>2.8571428571428571E-3</v>
      </c>
      <c r="BF33" s="39">
        <f t="shared" si="165"/>
        <v>0.60571428571428565</v>
      </c>
      <c r="BG33" s="39">
        <f t="shared" si="165"/>
        <v>0.49857142857142861</v>
      </c>
      <c r="BH33" s="39">
        <f t="shared" si="165"/>
        <v>0.49428571428571427</v>
      </c>
      <c r="BI33" s="39">
        <f t="shared" si="165"/>
        <v>0.59</v>
      </c>
      <c r="BJ33" s="39">
        <f t="shared" si="165"/>
        <v>0.47142857142857147</v>
      </c>
      <c r="BK33" s="39">
        <f t="shared" si="165"/>
        <v>0.43285714285714283</v>
      </c>
      <c r="BL33" s="129">
        <f>AVERAGEIFS(BL$36:BL$171,$C$36:$C$171,"=4", $B$36:$B$171,"NO OFICIAL")</f>
        <v>48.625</v>
      </c>
      <c r="BN33" s="129">
        <f>AVERAGEIFS(BN$36:BN$171,$C$36:$C$171,"=4", $B$36:$B$171,"NO OFICIAL")</f>
        <v>9.5</v>
      </c>
      <c r="BP33" s="39">
        <f>AVERAGEIFS(BP$36:BP$171,$C$36:$C$171,"=4", $B$36:$B$171,"NO OFICIAL")</f>
        <v>0.21000000000000002</v>
      </c>
      <c r="BQ33" s="39">
        <f t="shared" ref="BQ33:BY33" si="166">AVERAGEIFS(BQ$36:BQ$171,$C$36:$C$171,"=4", $B$36:$B$171,"NO OFICIAL")</f>
        <v>0.51124999999999998</v>
      </c>
      <c r="BR33" s="39">
        <f t="shared" si="166"/>
        <v>0.25624999999999998</v>
      </c>
      <c r="BS33" s="39">
        <f t="shared" si="166"/>
        <v>2.5000000000000001E-2</v>
      </c>
      <c r="BT33" s="39">
        <f t="shared" si="166"/>
        <v>0.44249999999999995</v>
      </c>
      <c r="BU33" s="39">
        <f t="shared" si="166"/>
        <v>0.48875000000000002</v>
      </c>
      <c r="BV33" s="39">
        <f t="shared" si="166"/>
        <v>0.52249999999999996</v>
      </c>
      <c r="BW33" s="39">
        <f t="shared" si="166"/>
        <v>0.45</v>
      </c>
      <c r="BX33" s="39">
        <f t="shared" si="166"/>
        <v>0.47125</v>
      </c>
      <c r="BY33" s="39">
        <f t="shared" si="166"/>
        <v>0.54874999999999996</v>
      </c>
      <c r="BZ33" s="129">
        <f>AVERAGEIFS(BZ$36:BZ$171,$C$36:$C$171,"=4", $B$36:$B$171,"NO OFICIAL")</f>
        <v>48.875</v>
      </c>
      <c r="CB33" s="129">
        <f>AVERAGEIFS(CB$36:CB$171,$C$36:$C$171,"=4", $B$36:$B$171,"NO OFICIAL")</f>
        <v>9.875</v>
      </c>
      <c r="CD33" s="344">
        <f>AVERAGEIFS(CD$36:CD$171,$C$36:$C$171,"=4", $B$36:$B$171,"NO OFICIAL")</f>
        <v>0.23374999999999999</v>
      </c>
      <c r="CE33" s="344">
        <f t="shared" ref="CE33:CM33" si="167">AVERAGEIFS(CE$36:CE$171,$C$36:$C$171,"=4", $B$36:$B$171,"NO OFICIAL")</f>
        <v>0.50124999999999997</v>
      </c>
      <c r="CF33" s="344">
        <f t="shared" si="167"/>
        <v>0.25124999999999997</v>
      </c>
      <c r="CG33" s="344">
        <f t="shared" si="167"/>
        <v>1.375E-2</v>
      </c>
      <c r="CH33" s="344">
        <f t="shared" si="167"/>
        <v>0.50250000000000006</v>
      </c>
      <c r="CI33" s="344">
        <f t="shared" si="167"/>
        <v>0.41375000000000001</v>
      </c>
      <c r="CJ33" s="344">
        <f t="shared" si="167"/>
        <v>0.56499999999999995</v>
      </c>
      <c r="CK33" s="344">
        <f t="shared" si="167"/>
        <v>0.5575</v>
      </c>
      <c r="CL33" s="344">
        <f t="shared" si="167"/>
        <v>0.45499999999999996</v>
      </c>
      <c r="CM33" s="344">
        <f t="shared" si="167"/>
        <v>0.57750000000000001</v>
      </c>
      <c r="CN33" s="129">
        <f>AVERAGEIFS(CN$36:CN$171,$C$36:$C$171,"=4", $B$36:$B$171,"NO OFICIAL")</f>
        <v>47.555555555555557</v>
      </c>
      <c r="CP33" s="129">
        <f>AVERAGEIFS(CP$36:CP$171,$C$36:$C$171,"=4", $B$36:$B$171,"NO OFICIAL")</f>
        <v>9.3333333333333339</v>
      </c>
      <c r="CR33" s="344">
        <f>AVERAGEIFS(CR$36:CR$171,$C$36:$C$171,"=4", $B$36:$B$171,"NO OFICIAL")</f>
        <v>0.22666666666666668</v>
      </c>
      <c r="CS33" s="344">
        <f t="shared" ref="CS33:DB33" si="168">AVERAGEIFS(CS$36:CS$171,$C$36:$C$171,"=4", $B$36:$B$171,"NO OFICIAL")</f>
        <v>0.56111111111111123</v>
      </c>
      <c r="CT33" s="344">
        <f t="shared" si="168"/>
        <v>0.20222222222222222</v>
      </c>
      <c r="CU33" s="344">
        <f t="shared" si="168"/>
        <v>8.8888888888888889E-3</v>
      </c>
      <c r="CV33" s="344">
        <f t="shared" si="168"/>
        <v>0.38666666666666671</v>
      </c>
      <c r="CW33" s="344">
        <f t="shared" si="168"/>
        <v>0.60222222222222233</v>
      </c>
      <c r="CX33" s="344">
        <f t="shared" si="168"/>
        <v>0.59777777777777785</v>
      </c>
      <c r="CY33" s="344">
        <f t="shared" si="168"/>
        <v>0.72111111111111115</v>
      </c>
      <c r="CZ33" s="344">
        <f t="shared" si="168"/>
        <v>0.58444444444444443</v>
      </c>
      <c r="DA33" s="344">
        <f t="shared" si="168"/>
        <v>0.62222222222222223</v>
      </c>
      <c r="DB33" s="494">
        <f t="shared" si="168"/>
        <v>50.714285714285715</v>
      </c>
      <c r="DC33" s="499"/>
      <c r="DD33" s="302">
        <f>AVERAGEIFS(DD$36:DD$171,$C$36:$C$171,"=4", $B$36:$B$171,"NO OFICIAL")</f>
        <v>10</v>
      </c>
      <c r="DE33" s="499"/>
      <c r="DF33" s="345">
        <f t="shared" ref="DF33:DN33" si="169">AVERAGEIFS(DF$36:DF$171,$C$36:$C$171,"=4", $B$36:$B$171,"NO OFICIAL")</f>
        <v>0.20714285714285716</v>
      </c>
      <c r="DG33" s="345">
        <f t="shared" si="169"/>
        <v>0.45285714285714285</v>
      </c>
      <c r="DH33" s="345">
        <f t="shared" si="169"/>
        <v>0.30142857142857149</v>
      </c>
      <c r="DI33" s="345">
        <f t="shared" si="169"/>
        <v>0.04</v>
      </c>
      <c r="DJ33" s="345">
        <f>AVERAGEIFS(DJ$36:DJ$171,$C$36:$C$171,"=4", $B$36:$B$171,"NO OFICIAL")</f>
        <v>0.49285714285714288</v>
      </c>
      <c r="DK33" s="345">
        <f>AVERAGEIFS(DK$36:DK$171,$C$36:$C$171,"=4", $B$36:$B$171,"NO OFICIAL")</f>
        <v>0.48571428571428571</v>
      </c>
      <c r="DL33" s="345">
        <f t="shared" si="169"/>
        <v>0.46142857142857141</v>
      </c>
      <c r="DM33" s="345">
        <f t="shared" si="169"/>
        <v>0.62000000000000011</v>
      </c>
      <c r="DN33" s="345">
        <f t="shared" si="169"/>
        <v>0.51</v>
      </c>
      <c r="DO33" s="345">
        <f>AVERAGEIFS(DO$36:DO$171,$C$36:$C$171,"=4", $B$36:$B$171,"NO OFICIAL")</f>
        <v>0.40142857142857141</v>
      </c>
    </row>
    <row r="34" spans="1:119" ht="24.95" customHeight="1" x14ac:dyDescent="0.2">
      <c r="A34" s="6" t="s">
        <v>905</v>
      </c>
      <c r="B34" s="301"/>
      <c r="C34" s="301"/>
      <c r="D34" s="129">
        <f>AVERAGEIFS(D$36:D$171,$C$36:$C$171,"=5", $B$36:$B$171,"NO OFICIAL")</f>
        <v>54.714285714285715</v>
      </c>
      <c r="E34" s="129">
        <f>AVERAGEIFS(E$36:E$171,$C$36:$C$171,"=5", $B$36:$B$171,"NO OFICIAL")</f>
        <v>8.6428571428571423</v>
      </c>
      <c r="F34" s="39">
        <f>AVERAGEIFS(F$36:F$171,$C$36:$C$171,"=5", $B$36:$B$171,"NO OFICIAL")</f>
        <v>5.9285714285714296E-2</v>
      </c>
      <c r="G34" s="39">
        <f t="shared" ref="G34:O34" si="170">AVERAGEIFS(G$36:G$171,$C$36:$C$171,"=5", $B$36:$B$171,"NO OFICIAL")</f>
        <v>0.49357142857142849</v>
      </c>
      <c r="H34" s="39">
        <f t="shared" si="170"/>
        <v>0.43571428571428583</v>
      </c>
      <c r="I34" s="39">
        <f t="shared" si="170"/>
        <v>1.2857142857142857E-2</v>
      </c>
      <c r="J34" s="39">
        <f t="shared" si="170"/>
        <v>0.49785714285714283</v>
      </c>
      <c r="K34" s="39">
        <f t="shared" si="170"/>
        <v>0.43285714285714288</v>
      </c>
      <c r="L34" s="39">
        <f t="shared" si="170"/>
        <v>0.5614285714285715</v>
      </c>
      <c r="M34" s="39">
        <f t="shared" si="170"/>
        <v>0.36214285714285716</v>
      </c>
      <c r="N34" s="39">
        <f t="shared" si="170"/>
        <v>0.38857142857142862</v>
      </c>
      <c r="O34" s="39">
        <f t="shared" si="170"/>
        <v>0.45642857142857141</v>
      </c>
      <c r="P34" s="129">
        <f>AVERAGEIFS(P$36:P$171,$C$36:$C$171,"=5", $B$36:$B$171,"NO OFICIAL")</f>
        <v>54.5</v>
      </c>
      <c r="Q34" s="129">
        <f>AVERAGEIFS(Q$36:Q$171,$C$36:$C$171,"=5", $B$36:$B$171,"NO OFICIAL")</f>
        <v>8.7857142857142865</v>
      </c>
      <c r="R34" s="39">
        <f>AVERAGEIFS(R$36:R$171,$C$36:$C$171,"=5", $B$36:$B$171,"NO OFICIAL")</f>
        <v>8.4285714285714297E-2</v>
      </c>
      <c r="S34" s="39">
        <f t="shared" ref="S34:AA34" si="171">AVERAGEIFS(S$36:S$171,$C$36:$C$171,"=5", $B$36:$B$171,"NO OFICIAL")</f>
        <v>0.42642857142857143</v>
      </c>
      <c r="T34" s="39">
        <f t="shared" si="171"/>
        <v>0.46785714285714297</v>
      </c>
      <c r="U34" s="39">
        <f t="shared" si="171"/>
        <v>2.1428571428571432E-2</v>
      </c>
      <c r="V34" s="39">
        <f t="shared" si="171"/>
        <v>0.35214285714285704</v>
      </c>
      <c r="W34" s="39">
        <f t="shared" si="171"/>
        <v>0.42142857142857143</v>
      </c>
      <c r="X34" s="39">
        <f t="shared" si="171"/>
        <v>0.50785714285714278</v>
      </c>
      <c r="Y34" s="39">
        <f t="shared" si="171"/>
        <v>0.39500000000000002</v>
      </c>
      <c r="Z34" s="39">
        <f t="shared" si="171"/>
        <v>0.38071428571428578</v>
      </c>
      <c r="AA34" s="39">
        <f t="shared" si="171"/>
        <v>0.44214285714285712</v>
      </c>
      <c r="AB34" s="129">
        <f>AVERAGEIFS(AB$36:AB$171,$C$36:$C$171,"=5", $B$36:$B$171,"NO OFICIAL")</f>
        <v>53</v>
      </c>
      <c r="AC34" s="129">
        <f>AVERAGEIFS(AC$36:AC$171,$C$36:$C$171,"=5", $B$36:$B$171,"NO OFICIAL")</f>
        <v>9.2666666666666675</v>
      </c>
      <c r="AD34" s="39">
        <f>AVERAGEIFS(AD$36:AD$171,$C$36:$C$171,"=5", $B$36:$B$171,"NO OFICIAL")</f>
        <v>0.10333333333333335</v>
      </c>
      <c r="AE34" s="39">
        <f t="shared" ref="AE34:AM34" si="172">AVERAGEIFS(AE$36:AE$171,$C$36:$C$171,"=5", $B$36:$B$171,"NO OFICIAL")</f>
        <v>0.45200000000000001</v>
      </c>
      <c r="AF34" s="39">
        <f t="shared" si="172"/>
        <v>0.41000000000000003</v>
      </c>
      <c r="AG34" s="39">
        <f t="shared" si="172"/>
        <v>3.6000000000000004E-2</v>
      </c>
      <c r="AH34" s="39">
        <f t="shared" si="172"/>
        <v>0.39066666666666661</v>
      </c>
      <c r="AI34" s="39">
        <f t="shared" si="172"/>
        <v>0.38666666666666671</v>
      </c>
      <c r="AJ34" s="39">
        <f t="shared" si="172"/>
        <v>0.34</v>
      </c>
      <c r="AK34" s="39">
        <f t="shared" si="172"/>
        <v>0.43333333333333329</v>
      </c>
      <c r="AL34" s="39">
        <f t="shared" si="172"/>
        <v>0.5006666666666667</v>
      </c>
      <c r="AM34" s="39">
        <f t="shared" si="172"/>
        <v>0.48000000000000004</v>
      </c>
      <c r="AN34" s="129">
        <f>AVERAGEIFS(AN$36:AN$171,$C$36:$C$171,"=5", $B$36:$B$171,"NO OFICIAL")</f>
        <v>50.5</v>
      </c>
      <c r="AO34" s="129">
        <f>AVERAGEIFS(AO$36:AO$171,$C$36:$C$171,"=5", $B$36:$B$171,"NO OFICIAL")</f>
        <v>10.3125</v>
      </c>
      <c r="AP34" s="39">
        <f>AVERAGEIFS(AP$36:AP$171,$C$36:$C$171,"=5", $B$36:$B$171,"NO OFICIAL")</f>
        <v>0.18687500000000001</v>
      </c>
      <c r="AQ34" s="39">
        <f t="shared" ref="AQ34:AY34" si="173">AVERAGEIFS(AQ$36:AQ$171,$C$36:$C$171,"=5", $B$36:$B$171,"NO OFICIAL")</f>
        <v>0.47062499999999996</v>
      </c>
      <c r="AR34" s="39">
        <f t="shared" si="173"/>
        <v>0.31687500000000002</v>
      </c>
      <c r="AS34" s="39">
        <f t="shared" si="173"/>
        <v>2.75E-2</v>
      </c>
      <c r="AT34" s="39">
        <f t="shared" si="173"/>
        <v>0.48625000000000002</v>
      </c>
      <c r="AU34" s="39">
        <f t="shared" si="173"/>
        <v>0.44125000000000003</v>
      </c>
      <c r="AV34" s="39">
        <f t="shared" si="173"/>
        <v>0.42374999999999996</v>
      </c>
      <c r="AW34" s="39">
        <f t="shared" si="173"/>
        <v>0.4393749999999999</v>
      </c>
      <c r="AX34" s="39">
        <f t="shared" si="173"/>
        <v>0.43125000000000002</v>
      </c>
      <c r="AY34" s="39">
        <f t="shared" si="173"/>
        <v>0.4381250000000001</v>
      </c>
      <c r="AZ34" s="129">
        <f>AVERAGEIFS(AZ$36:AZ$171,$C$36:$C$171,"=5", $B$36:$B$171,"NO OFICIAL")</f>
        <v>54.133333333333333</v>
      </c>
      <c r="BA34" s="129">
        <f>AVERAGEIFS(BA$36:BA$171,$C$36:$C$171,"=5", $B$36:$B$171,"NO OFICIAL")</f>
        <v>8.8666666666666671</v>
      </c>
      <c r="BB34" s="39">
        <f>AVERAGEIFS(BB$36:BB$171,$C$36:$C$171,"=5", $B$36:$B$171,"NO OFICIAL")</f>
        <v>8.6000000000000021E-2</v>
      </c>
      <c r="BC34" s="39">
        <f t="shared" ref="BC34:BK34" si="174">AVERAGEIFS(BC$36:BC$171,$C$36:$C$171,"=5", $B$36:$B$171,"NO OFICIAL")</f>
        <v>0.44133333333333336</v>
      </c>
      <c r="BD34" s="39">
        <f t="shared" si="174"/>
        <v>0.45066666666666666</v>
      </c>
      <c r="BE34" s="39">
        <f t="shared" si="174"/>
        <v>2.2666666666666672E-2</v>
      </c>
      <c r="BF34" s="39">
        <f t="shared" si="174"/>
        <v>0.39466666666666661</v>
      </c>
      <c r="BG34" s="39">
        <f t="shared" si="174"/>
        <v>0.40933333333333333</v>
      </c>
      <c r="BH34" s="39">
        <f t="shared" si="174"/>
        <v>0.39066666666666677</v>
      </c>
      <c r="BI34" s="39">
        <f t="shared" si="174"/>
        <v>0.45800000000000002</v>
      </c>
      <c r="BJ34" s="39">
        <f t="shared" si="174"/>
        <v>0.35533333333333333</v>
      </c>
      <c r="BK34" s="39">
        <f t="shared" si="174"/>
        <v>0.35199999999999998</v>
      </c>
      <c r="BL34" s="129">
        <f>AVERAGEIFS(BL$36:BL$171,$C$36:$C$171,"=5", $B$36:$B$171,"NO OFICIAL")</f>
        <v>52.466666666666669</v>
      </c>
      <c r="BN34" s="129">
        <f>AVERAGEIFS(BN$36:BN$171,$C$36:$C$171,"=5", $B$36:$B$171,"NO OFICIAL")</f>
        <v>10.199999999999999</v>
      </c>
      <c r="BP34" s="39">
        <f>AVERAGEIFS(BP$36:BP$171,$C$36:$C$171,"=5", $B$36:$B$171,"NO OFICIAL")</f>
        <v>0.15066666666666664</v>
      </c>
      <c r="BQ34" s="39">
        <f t="shared" ref="BQ34:BY34" si="175">AVERAGEIFS(BQ$36:BQ$171,$C$36:$C$171,"=5", $B$36:$B$171,"NO OFICIAL")</f>
        <v>0.43600000000000005</v>
      </c>
      <c r="BR34" s="39">
        <f t="shared" si="175"/>
        <v>0.37333333333333335</v>
      </c>
      <c r="BS34" s="39">
        <f t="shared" si="175"/>
        <v>3.8666666666666669E-2</v>
      </c>
      <c r="BT34" s="39">
        <f t="shared" si="175"/>
        <v>0.39400000000000007</v>
      </c>
      <c r="BU34" s="39">
        <f t="shared" si="175"/>
        <v>0.42800000000000005</v>
      </c>
      <c r="BV34" s="39">
        <f t="shared" si="175"/>
        <v>0.46333333333333326</v>
      </c>
      <c r="BW34" s="39">
        <f t="shared" si="175"/>
        <v>0.38600000000000012</v>
      </c>
      <c r="BX34" s="39">
        <f t="shared" si="175"/>
        <v>0.42066666666666669</v>
      </c>
      <c r="BY34" s="39">
        <f t="shared" si="175"/>
        <v>0.48399999999999993</v>
      </c>
      <c r="BZ34" s="129">
        <f>AVERAGEIFS(BZ$36:BZ$171,$C$36:$C$171,"=5", $B$36:$B$171,"NO OFICIAL")</f>
        <v>53.571428571428569</v>
      </c>
      <c r="CB34" s="129">
        <f>AVERAGEIFS(CB$36:CB$171,$C$36:$C$171,"=5", $B$36:$B$171,"NO OFICIAL")</f>
        <v>9.5714285714285712</v>
      </c>
      <c r="CD34" s="344">
        <f>AVERAGEIFS(CD$36:CD$171,$C$36:$C$171,"=5", $B$36:$B$171,"NO OFICIAL")</f>
        <v>0.13214285714285717</v>
      </c>
      <c r="CE34" s="344">
        <f t="shared" ref="CE34:CM34" si="176">AVERAGEIFS(CE$36:CE$171,$C$36:$C$171,"=5", $B$36:$B$171,"NO OFICIAL")</f>
        <v>0.41571428571428581</v>
      </c>
      <c r="CF34" s="344">
        <f t="shared" si="176"/>
        <v>0.42857142857142855</v>
      </c>
      <c r="CG34" s="344">
        <f t="shared" si="176"/>
        <v>2.4285714285714292E-2</v>
      </c>
      <c r="CH34" s="344">
        <f t="shared" si="176"/>
        <v>0.46785714285714286</v>
      </c>
      <c r="CI34" s="344">
        <f t="shared" si="176"/>
        <v>0.32571428571428568</v>
      </c>
      <c r="CJ34" s="344">
        <f t="shared" si="176"/>
        <v>0.50857142857142856</v>
      </c>
      <c r="CK34" s="344">
        <f t="shared" si="176"/>
        <v>0.49785714285714289</v>
      </c>
      <c r="CL34" s="344">
        <f t="shared" si="176"/>
        <v>0.3828571428571429</v>
      </c>
      <c r="CM34" s="344">
        <f t="shared" si="176"/>
        <v>0.51142857142857145</v>
      </c>
      <c r="CN34" s="129">
        <f>AVERAGEIFS(CN$36:CN$171,$C$36:$C$171,"=5", $B$36:$B$171,"NO OFICIAL")</f>
        <v>54.142857142857146</v>
      </c>
      <c r="CP34" s="129">
        <f>AVERAGEIFS(CP$36:CP$171,$C$36:$C$171,"=5", $B$36:$B$171,"NO OFICIAL")</f>
        <v>9.7142857142857135</v>
      </c>
      <c r="CR34" s="344">
        <f>AVERAGEIFS(CR$36:CR$171,$C$36:$C$171,"=5", $B$36:$B$171,"NO OFICIAL")</f>
        <v>9.0000000000000011E-2</v>
      </c>
      <c r="CS34" s="344">
        <f t="shared" ref="CS34:DB34" si="177">AVERAGEIFS(CS$36:CS$171,$C$36:$C$171,"=5", $B$36:$B$171,"NO OFICIAL")</f>
        <v>0.45999999999999991</v>
      </c>
      <c r="CT34" s="344">
        <f t="shared" si="177"/>
        <v>0.39928571428571435</v>
      </c>
      <c r="CU34" s="344">
        <f t="shared" si="177"/>
        <v>5.4285714285714284E-2</v>
      </c>
      <c r="CV34" s="344">
        <f t="shared" si="177"/>
        <v>0.30214285714285716</v>
      </c>
      <c r="CW34" s="344">
        <f t="shared" si="177"/>
        <v>0.46642857142857147</v>
      </c>
      <c r="CX34" s="344">
        <f t="shared" si="177"/>
        <v>0.49857142857142855</v>
      </c>
      <c r="CY34" s="344">
        <f t="shared" si="177"/>
        <v>0.58285714285714274</v>
      </c>
      <c r="CZ34" s="344">
        <f t="shared" si="177"/>
        <v>0.45142857142857146</v>
      </c>
      <c r="DA34" s="344">
        <f t="shared" si="177"/>
        <v>0.50000000000000011</v>
      </c>
      <c r="DB34" s="494">
        <f t="shared" si="177"/>
        <v>52.333333333333336</v>
      </c>
      <c r="DC34" s="499"/>
      <c r="DD34" s="302">
        <f>AVERAGEIFS(DD$36:DD$171,$C$36:$C$171,"=5", $B$36:$B$171,"NO OFICIAL")</f>
        <v>9.4666666666666668</v>
      </c>
      <c r="DE34" s="499"/>
      <c r="DF34" s="345">
        <f t="shared" ref="DF34:DN34" si="178">AVERAGEIFS(DF$36:DF$171,$C$36:$C$171,"=5", $B$36:$B$171,"NO OFICIAL")</f>
        <v>0.15133333333333335</v>
      </c>
      <c r="DG34" s="345">
        <f t="shared" si="178"/>
        <v>0.40800000000000003</v>
      </c>
      <c r="DH34" s="345">
        <f t="shared" si="178"/>
        <v>0.40399999999999997</v>
      </c>
      <c r="DI34" s="345">
        <f t="shared" si="178"/>
        <v>3.4000000000000002E-2</v>
      </c>
      <c r="DJ34" s="345">
        <f>AVERAGEIFS(DJ$36:DJ$171,$C$36:$C$171,"=5", $B$36:$B$171,"NO OFICIAL")</f>
        <v>0.45466666666666672</v>
      </c>
      <c r="DK34" s="345">
        <f>AVERAGEIFS(DK$36:DK$171,$C$36:$C$171,"=5", $B$36:$B$171,"NO OFICIAL")</f>
        <v>0.4413333333333333</v>
      </c>
      <c r="DL34" s="345">
        <f t="shared" si="178"/>
        <v>0.44600000000000001</v>
      </c>
      <c r="DM34" s="345">
        <f t="shared" si="178"/>
        <v>0.61599999999999988</v>
      </c>
      <c r="DN34" s="345">
        <f t="shared" si="178"/>
        <v>0.50466666666666671</v>
      </c>
      <c r="DO34" s="345">
        <f>AVERAGEIFS(DO$36:DO$171,$C$36:$C$171,"=5", $B$36:$B$171,"NO OFICIAL")</f>
        <v>0.40133333333333338</v>
      </c>
    </row>
    <row r="35" spans="1:119" ht="24.95" customHeight="1" x14ac:dyDescent="0.2">
      <c r="A35" s="6" t="s">
        <v>906</v>
      </c>
      <c r="B35" s="301"/>
      <c r="C35" s="301"/>
      <c r="D35" s="129">
        <f>AVERAGEIFS(D$36:D$171,$C$36:$C$171,"=6", $B$36:$B$171,"NO OFICIAL")</f>
        <v>52.636363636363633</v>
      </c>
      <c r="E35" s="129">
        <f>AVERAGEIFS(E$36:E$171,$C$36:$C$171,"=6", $B$36:$B$171,"NO OFICIAL")</f>
        <v>7.1818181818181817</v>
      </c>
      <c r="F35" s="39">
        <f>AVERAGEIFS(F$36:F$171,$C$36:$C$171,"=6", $B$36:$B$171,"NO OFICIAL")</f>
        <v>0.13909090909090913</v>
      </c>
      <c r="G35" s="39">
        <f t="shared" ref="G35:O35" si="179">AVERAGEIFS(G$36:G$171,$C$36:$C$171,"=6", $B$36:$B$171,"NO OFICIAL")</f>
        <v>0.43818181818181812</v>
      </c>
      <c r="H35" s="39">
        <f t="shared" si="179"/>
        <v>0.40818181818181815</v>
      </c>
      <c r="I35" s="39">
        <f t="shared" si="179"/>
        <v>1.5454545454545455E-2</v>
      </c>
      <c r="J35" s="39">
        <f t="shared" si="179"/>
        <v>0.49636363636363645</v>
      </c>
      <c r="K35" s="39">
        <f t="shared" si="179"/>
        <v>0.4745454545454546</v>
      </c>
      <c r="L35" s="39">
        <f t="shared" si="179"/>
        <v>0.5127272727272727</v>
      </c>
      <c r="M35" s="39">
        <f t="shared" si="179"/>
        <v>0.40545454545454551</v>
      </c>
      <c r="N35" s="39">
        <f t="shared" si="179"/>
        <v>0.42636363636363639</v>
      </c>
      <c r="O35" s="39">
        <f t="shared" si="179"/>
        <v>0.50363636363636377</v>
      </c>
      <c r="P35" s="129">
        <f>AVERAGEIFS(P$36:P$171,$C$36:$C$171,"=6", $B$36:$B$171,"NO OFICIAL")</f>
        <v>50.81818181818182</v>
      </c>
      <c r="Q35" s="129">
        <f>AVERAGEIFS(Q$36:Q$171,$C$36:$C$171,"=6", $B$36:$B$171,"NO OFICIAL")</f>
        <v>9.545454545454545</v>
      </c>
      <c r="R35" s="39">
        <f>AVERAGEIFS(R$36:R$171,$C$36:$C$171,"=6", $B$36:$B$171,"NO OFICIAL")</f>
        <v>0.16090909090909092</v>
      </c>
      <c r="S35" s="39">
        <f t="shared" ref="S35:AA35" si="180">AVERAGEIFS(S$36:S$171,$C$36:$C$171,"=6", $B$36:$B$171,"NO OFICIAL")</f>
        <v>0.49</v>
      </c>
      <c r="T35" s="39">
        <f t="shared" si="180"/>
        <v>0.33454545454545453</v>
      </c>
      <c r="U35" s="39">
        <f t="shared" si="180"/>
        <v>1.7272727272727273E-2</v>
      </c>
      <c r="V35" s="39">
        <f t="shared" si="180"/>
        <v>0.39090909090909087</v>
      </c>
      <c r="W35" s="39">
        <f t="shared" si="180"/>
        <v>0.49090909090909085</v>
      </c>
      <c r="X35" s="39">
        <f t="shared" si="180"/>
        <v>0.54999999999999993</v>
      </c>
      <c r="Y35" s="39">
        <f t="shared" si="180"/>
        <v>0.46727272727272723</v>
      </c>
      <c r="Z35" s="39">
        <f t="shared" si="180"/>
        <v>0.45</v>
      </c>
      <c r="AA35" s="39">
        <f t="shared" si="180"/>
        <v>0.52</v>
      </c>
      <c r="AB35" s="129">
        <f>AVERAGEIFS(AB$36:AB$171,$C$36:$C$171,"=6", $B$36:$B$171,"NO OFICIAL")</f>
        <v>51.7</v>
      </c>
      <c r="AC35" s="129">
        <f>AVERAGEIFS(AC$36:AC$171,$C$36:$C$171,"=6", $B$36:$B$171,"NO OFICIAL")</f>
        <v>10.3</v>
      </c>
      <c r="AD35" s="39">
        <f>AVERAGEIFS(AD$36:AD$171,$C$36:$C$171,"=6", $B$36:$B$171,"NO OFICIAL")</f>
        <v>0.155</v>
      </c>
      <c r="AE35" s="39">
        <f t="shared" ref="AE35:AM35" si="181">AVERAGEIFS(AE$36:AE$171,$C$36:$C$171,"=6", $B$36:$B$171,"NO OFICIAL")</f>
        <v>0.51300000000000001</v>
      </c>
      <c r="AF35" s="39">
        <f t="shared" si="181"/>
        <v>0.30299999999999999</v>
      </c>
      <c r="AG35" s="39">
        <f t="shared" si="181"/>
        <v>3.0000000000000006E-2</v>
      </c>
      <c r="AH35" s="39">
        <f t="shared" si="181"/>
        <v>0.38500000000000001</v>
      </c>
      <c r="AI35" s="39">
        <f t="shared" si="181"/>
        <v>0.42299999999999993</v>
      </c>
      <c r="AJ35" s="39">
        <f t="shared" si="181"/>
        <v>0.35100000000000003</v>
      </c>
      <c r="AK35" s="39">
        <f t="shared" si="181"/>
        <v>0.45799999999999991</v>
      </c>
      <c r="AL35" s="39">
        <f t="shared" si="181"/>
        <v>0.53400000000000003</v>
      </c>
      <c r="AM35" s="39">
        <f t="shared" si="181"/>
        <v>0.52500000000000002</v>
      </c>
      <c r="AN35" s="129">
        <f>AVERAGEIFS(AN$36:AN$171,$C$36:$C$171,"=6", $B$36:$B$171,"NO OFICIAL")</f>
        <v>50.18181818181818</v>
      </c>
      <c r="AO35" s="129">
        <f>AVERAGEIFS(AO$36:AO$171,$C$36:$C$171,"=6", $B$36:$B$171,"NO OFICIAL")</f>
        <v>10</v>
      </c>
      <c r="AP35" s="39">
        <f>AVERAGEIFS(AP$36:AP$171,$C$36:$C$171,"=6", $B$36:$B$171,"NO OFICIAL")</f>
        <v>0.19090909090909092</v>
      </c>
      <c r="AQ35" s="39">
        <f t="shared" ref="AQ35:AY35" si="182">AVERAGEIFS(AQ$36:AQ$171,$C$36:$C$171,"=6", $B$36:$B$171,"NO OFICIAL")</f>
        <v>0.51181818181818184</v>
      </c>
      <c r="AR35" s="39">
        <f t="shared" si="182"/>
        <v>0.28363636363636363</v>
      </c>
      <c r="AS35" s="39">
        <f t="shared" si="182"/>
        <v>1.4545454545454549E-2</v>
      </c>
      <c r="AT35" s="39">
        <f t="shared" si="182"/>
        <v>0.52363636363636357</v>
      </c>
      <c r="AU35" s="39">
        <f t="shared" si="182"/>
        <v>0.43636363636363645</v>
      </c>
      <c r="AV35" s="39">
        <f t="shared" si="182"/>
        <v>0.43545454545454548</v>
      </c>
      <c r="AW35" s="39">
        <f t="shared" si="182"/>
        <v>0.43090909090909091</v>
      </c>
      <c r="AX35" s="39">
        <f t="shared" si="182"/>
        <v>0.44272727272727275</v>
      </c>
      <c r="AY35" s="39">
        <f t="shared" si="182"/>
        <v>0.46636363636363637</v>
      </c>
      <c r="AZ35" s="129">
        <f>AVERAGEIFS(AZ$36:AZ$171,$C$36:$C$171,"=6", $B$36:$B$171,"NO OFICIAL")</f>
        <v>49.92307692307692</v>
      </c>
      <c r="BA35" s="129">
        <f>AVERAGEIFS(BA$36:BA$171,$C$36:$C$171,"=6", $B$36:$B$171,"NO OFICIAL")</f>
        <v>9.1538461538461533</v>
      </c>
      <c r="BB35" s="39">
        <f>AVERAGEIFS(BB$36:BB$171,$C$36:$C$171,"=6", $B$36:$B$171,"NO OFICIAL")</f>
        <v>0.23538461538461536</v>
      </c>
      <c r="BC35" s="39">
        <f t="shared" ref="BC35:BK35" si="183">AVERAGEIFS(BC$36:BC$171,$C$36:$C$171,"=6", $B$36:$B$171,"NO OFICIAL")</f>
        <v>0.46923076923076934</v>
      </c>
      <c r="BD35" s="39">
        <f t="shared" si="183"/>
        <v>0.26384615384615384</v>
      </c>
      <c r="BE35" s="39">
        <f t="shared" si="183"/>
        <v>3.1538461538461543E-2</v>
      </c>
      <c r="BF35" s="39">
        <f t="shared" si="183"/>
        <v>0.47846153846153844</v>
      </c>
      <c r="BG35" s="39">
        <f t="shared" si="183"/>
        <v>0.47307692307692306</v>
      </c>
      <c r="BH35" s="39">
        <f t="shared" si="183"/>
        <v>0.4784615384615386</v>
      </c>
      <c r="BI35" s="39">
        <f t="shared" si="183"/>
        <v>0.55230769230769228</v>
      </c>
      <c r="BJ35" s="39">
        <f t="shared" si="183"/>
        <v>0.41000000000000003</v>
      </c>
      <c r="BK35" s="39">
        <f t="shared" si="183"/>
        <v>0.42153846153846158</v>
      </c>
      <c r="BL35" s="129">
        <f>AVERAGEIFS(BL$36:BL$171,$C$36:$C$171,"=6", $B$36:$B$171,"NO OFICIAL")</f>
        <v>49.692307692307693</v>
      </c>
      <c r="BN35" s="129">
        <f>AVERAGEIFS(BN$36:BN$171,$C$36:$C$171,"=6", $B$36:$B$171,"NO OFICIAL")</f>
        <v>8.8461538461538467</v>
      </c>
      <c r="BP35" s="39">
        <f>AVERAGEIFS(BP$36:BP$171,$C$36:$C$171,"=6", $B$36:$B$171,"NO OFICIAL")</f>
        <v>0.18076923076923082</v>
      </c>
      <c r="BQ35" s="39">
        <f t="shared" ref="BQ35:BY35" si="184">AVERAGEIFS(BQ$36:BQ$171,$C$36:$C$171,"=6", $B$36:$B$171,"NO OFICIAL")</f>
        <v>0.53384615384615397</v>
      </c>
      <c r="BR35" s="39">
        <f t="shared" si="184"/>
        <v>0.27461538461538459</v>
      </c>
      <c r="BS35" s="39">
        <f t="shared" si="184"/>
        <v>1.1538461538461537E-2</v>
      </c>
      <c r="BT35" s="39">
        <f t="shared" si="184"/>
        <v>0.39769230769230773</v>
      </c>
      <c r="BU35" s="39">
        <f t="shared" si="184"/>
        <v>0.47999999999999993</v>
      </c>
      <c r="BV35" s="39">
        <f t="shared" si="184"/>
        <v>0.52615384615384619</v>
      </c>
      <c r="BW35" s="39">
        <f t="shared" si="184"/>
        <v>0.43153846153846154</v>
      </c>
      <c r="BX35" s="39">
        <f t="shared" si="184"/>
        <v>0.47307692307692312</v>
      </c>
      <c r="BY35" s="39">
        <f t="shared" si="184"/>
        <v>0.55230769230769228</v>
      </c>
      <c r="BZ35" s="129">
        <f>AVERAGEIFS(BZ$36:BZ$171,$C$36:$C$171,"=6", $B$36:$B$171,"NO OFICIAL")</f>
        <v>50.533333333333331</v>
      </c>
      <c r="CB35" s="129">
        <f>AVERAGEIFS(CB$36:CB$171,$C$36:$C$171,"=6", $B$36:$B$171,"NO OFICIAL")</f>
        <v>10.933333333333334</v>
      </c>
      <c r="CD35" s="344">
        <f>AVERAGEIFS(CD$36:CD$171,$C$36:$C$171,"=6", $B$36:$B$171,"NO OFICIAL")</f>
        <v>0.23666666666666666</v>
      </c>
      <c r="CE35" s="344">
        <f t="shared" ref="CE35:CM35" si="185">AVERAGEIFS(CE$36:CE$171,$C$36:$C$171,"=6", $B$36:$B$171,"NO OFICIAL")</f>
        <v>0.37666666666666671</v>
      </c>
      <c r="CF35" s="344">
        <f t="shared" si="185"/>
        <v>0.34666666666666668</v>
      </c>
      <c r="CG35" s="344">
        <f t="shared" si="185"/>
        <v>4.066666666666667E-2</v>
      </c>
      <c r="CH35" s="344">
        <f t="shared" si="185"/>
        <v>0.47600000000000009</v>
      </c>
      <c r="CI35" s="344">
        <f t="shared" si="185"/>
        <v>0.36599999999999999</v>
      </c>
      <c r="CJ35" s="344">
        <f t="shared" si="185"/>
        <v>0.56599999999999995</v>
      </c>
      <c r="CK35" s="344">
        <f t="shared" si="185"/>
        <v>0.52933333333333343</v>
      </c>
      <c r="CL35" s="344">
        <f t="shared" si="185"/>
        <v>0.46400000000000008</v>
      </c>
      <c r="CM35" s="344">
        <f t="shared" si="185"/>
        <v>0.54266666666666663</v>
      </c>
      <c r="CN35" s="129">
        <f>AVERAGEIFS(CN$36:CN$171,$C$36:$C$171,"=6", $B$36:$B$171,"NO OFICIAL")</f>
        <v>52.0625</v>
      </c>
      <c r="CP35" s="129">
        <f>AVERAGEIFS(CP$36:CP$171,$C$36:$C$171,"=6", $B$36:$B$171,"NO OFICIAL")</f>
        <v>8.25</v>
      </c>
      <c r="CR35" s="344">
        <f>AVERAGEIFS(CR$36:CR$171,$C$36:$C$171,"=6", $B$36:$B$171,"NO OFICIAL")</f>
        <v>0.13500000000000001</v>
      </c>
      <c r="CS35" s="344">
        <f t="shared" ref="CS35:DB35" si="186">AVERAGEIFS(CS$36:CS$171,$C$36:$C$171,"=6", $B$36:$B$171,"NO OFICIAL")</f>
        <v>0.49687499999999996</v>
      </c>
      <c r="CT35" s="344">
        <f t="shared" si="186"/>
        <v>0.34875</v>
      </c>
      <c r="CU35" s="344">
        <f t="shared" si="186"/>
        <v>1.8124999999999999E-2</v>
      </c>
      <c r="CV35" s="344">
        <f t="shared" si="186"/>
        <v>0.33999999999999997</v>
      </c>
      <c r="CW35" s="344">
        <f t="shared" si="186"/>
        <v>0.49374999999999997</v>
      </c>
      <c r="CX35" s="344">
        <f t="shared" si="186"/>
        <v>0.50249999999999995</v>
      </c>
      <c r="CY35" s="344">
        <f t="shared" si="186"/>
        <v>0.676875</v>
      </c>
      <c r="CZ35" s="344">
        <f t="shared" si="186"/>
        <v>0.56687500000000002</v>
      </c>
      <c r="DA35" s="344">
        <f t="shared" si="186"/>
        <v>0.50124999999999997</v>
      </c>
      <c r="DB35" s="494">
        <f t="shared" si="186"/>
        <v>51.357142857142854</v>
      </c>
      <c r="DC35" s="499"/>
      <c r="DD35" s="302">
        <f>AVERAGEIFS(DD$36:DD$171,$C$36:$C$171,"=6", $B$36:$B$171,"NO OFICIAL")</f>
        <v>10.142857142857142</v>
      </c>
      <c r="DE35" s="499"/>
      <c r="DF35" s="345">
        <f t="shared" ref="DF35:DN35" si="187">AVERAGEIFS(DF$36:DF$171,$C$36:$C$171,"=6", $B$36:$B$171,"NO OFICIAL")</f>
        <v>0.20142857142857143</v>
      </c>
      <c r="DG35" s="345">
        <f t="shared" si="187"/>
        <v>0.42</v>
      </c>
      <c r="DH35" s="345">
        <f t="shared" si="187"/>
        <v>0.34500000000000003</v>
      </c>
      <c r="DI35" s="345">
        <f t="shared" si="187"/>
        <v>3.6428571428571428E-2</v>
      </c>
      <c r="DJ35" s="345">
        <f>AVERAGEIFS(DJ$36:DJ$171,$C$36:$C$171,"=6", $B$36:$B$171,"NO OFICIAL")</f>
        <v>0.4835714285714286</v>
      </c>
      <c r="DK35" s="345">
        <f>AVERAGEIFS(DK$36:DK$171,$C$36:$C$171,"=6", $B$36:$B$171,"NO OFICIAL")</f>
        <v>0.47142857142857142</v>
      </c>
      <c r="DL35" s="345">
        <f t="shared" si="187"/>
        <v>0.46357142857142852</v>
      </c>
      <c r="DM35" s="345">
        <f t="shared" si="187"/>
        <v>0.61214285714285699</v>
      </c>
      <c r="DN35" s="345">
        <f t="shared" si="187"/>
        <v>0.51714285714285724</v>
      </c>
      <c r="DO35" s="345">
        <f>AVERAGEIFS(DO$36:DO$171,$C$36:$C$171,"=6", $B$36:$B$171,"NO OFICIAL")</f>
        <v>0.35142857142857142</v>
      </c>
    </row>
    <row r="36" spans="1:119" ht="24.95" customHeight="1" x14ac:dyDescent="0.2">
      <c r="A36" s="126" t="s">
        <v>29</v>
      </c>
      <c r="B36" s="1" t="s">
        <v>221</v>
      </c>
      <c r="C36" s="2">
        <v>2</v>
      </c>
      <c r="D36" s="12">
        <v>51</v>
      </c>
      <c r="E36" s="12">
        <v>9</v>
      </c>
      <c r="F36" s="63">
        <v>0.14000000000000001</v>
      </c>
      <c r="G36" s="63">
        <v>0.54</v>
      </c>
      <c r="H36" s="63">
        <v>0.32</v>
      </c>
      <c r="I36" s="63">
        <v>0</v>
      </c>
      <c r="J36" s="63">
        <v>0.53</v>
      </c>
      <c r="K36" s="63">
        <v>0.47</v>
      </c>
      <c r="L36" s="63">
        <v>0.53</v>
      </c>
      <c r="M36" s="63">
        <v>0.4</v>
      </c>
      <c r="N36" s="63">
        <v>0.49</v>
      </c>
      <c r="O36" s="63">
        <v>0.46</v>
      </c>
      <c r="P36" s="12">
        <v>53</v>
      </c>
      <c r="Q36" s="12">
        <v>9</v>
      </c>
      <c r="R36" s="61">
        <v>0.1</v>
      </c>
      <c r="S36" s="61">
        <v>0.52</v>
      </c>
      <c r="T36" s="61">
        <v>0.37</v>
      </c>
      <c r="U36" s="61">
        <v>0.01</v>
      </c>
      <c r="V36" s="61">
        <v>0.39</v>
      </c>
      <c r="W36" s="61">
        <v>0.47</v>
      </c>
      <c r="X36" s="61">
        <v>0.54</v>
      </c>
      <c r="Y36" s="61">
        <v>0.41</v>
      </c>
      <c r="Z36" s="61">
        <v>0.41</v>
      </c>
      <c r="AA36" s="61">
        <v>0.49</v>
      </c>
      <c r="AB36" s="12">
        <v>50</v>
      </c>
      <c r="AC36" s="12">
        <v>10</v>
      </c>
      <c r="AD36" s="63">
        <v>0.22</v>
      </c>
      <c r="AE36" s="63">
        <v>0.48</v>
      </c>
      <c r="AF36" s="63">
        <v>0.31</v>
      </c>
      <c r="AG36" s="63">
        <v>0</v>
      </c>
      <c r="AH36" s="63">
        <v>0.43</v>
      </c>
      <c r="AI36" s="63">
        <v>0.44</v>
      </c>
      <c r="AJ36" s="63">
        <v>0.4</v>
      </c>
      <c r="AK36" s="63">
        <v>0.49</v>
      </c>
      <c r="AL36" s="63">
        <v>0.55000000000000004</v>
      </c>
      <c r="AM36" s="63">
        <v>0.54</v>
      </c>
      <c r="AN36" s="12">
        <v>49</v>
      </c>
      <c r="AO36" s="12">
        <v>11</v>
      </c>
      <c r="AP36" s="63">
        <v>0.25</v>
      </c>
      <c r="AQ36" s="63">
        <v>0.44</v>
      </c>
      <c r="AR36" s="63">
        <v>0.3</v>
      </c>
      <c r="AS36" s="63">
        <v>0.01</v>
      </c>
      <c r="AT36" s="63">
        <v>0.49</v>
      </c>
      <c r="AU36" s="63">
        <v>0.46</v>
      </c>
      <c r="AV36" s="63">
        <v>0.47</v>
      </c>
      <c r="AW36" s="63">
        <v>0.46</v>
      </c>
      <c r="AX36" s="63">
        <v>0.46</v>
      </c>
      <c r="AY36" s="63">
        <v>0.45</v>
      </c>
      <c r="AZ36" s="35">
        <v>50</v>
      </c>
      <c r="BA36" s="35">
        <v>11</v>
      </c>
      <c r="BB36" s="40">
        <v>0.19</v>
      </c>
      <c r="BC36" s="40">
        <v>0.53</v>
      </c>
      <c r="BD36" s="40">
        <v>0.25</v>
      </c>
      <c r="BE36" s="40">
        <v>0.03</v>
      </c>
      <c r="BF36" s="40">
        <v>0.53</v>
      </c>
      <c r="BG36" s="40">
        <v>0.45</v>
      </c>
      <c r="BH36" s="40">
        <v>0.48</v>
      </c>
      <c r="BI36" s="40">
        <v>0.56000000000000005</v>
      </c>
      <c r="BJ36" s="40">
        <v>0.4</v>
      </c>
      <c r="BK36" s="40">
        <v>0.42</v>
      </c>
      <c r="BL36" s="247">
        <v>50</v>
      </c>
      <c r="BM36" s="247" t="s">
        <v>874</v>
      </c>
      <c r="BN36" s="247">
        <v>10</v>
      </c>
      <c r="BO36" s="247" t="s">
        <v>874</v>
      </c>
      <c r="BP36" s="264">
        <v>0.14000000000000001</v>
      </c>
      <c r="BQ36" s="264">
        <v>0.65</v>
      </c>
      <c r="BR36" s="264">
        <v>0.17</v>
      </c>
      <c r="BS36" s="264">
        <v>0.04</v>
      </c>
      <c r="BT36" s="264">
        <v>0.42</v>
      </c>
      <c r="BU36" s="264">
        <v>0.48</v>
      </c>
      <c r="BV36" s="264">
        <v>0.55000000000000004</v>
      </c>
      <c r="BW36" s="264">
        <v>0.42</v>
      </c>
      <c r="BX36" s="264">
        <v>0.49</v>
      </c>
      <c r="BY36" s="264">
        <v>0.54</v>
      </c>
    </row>
    <row r="37" spans="1:119" ht="24.95" customHeight="1" x14ac:dyDescent="0.2">
      <c r="A37" s="749" t="s">
        <v>1095</v>
      </c>
      <c r="B37" s="14" t="s">
        <v>221</v>
      </c>
      <c r="C37" s="745"/>
      <c r="D37" s="746"/>
      <c r="E37" s="746"/>
      <c r="F37" s="807"/>
      <c r="G37" s="807"/>
      <c r="H37" s="807"/>
      <c r="I37" s="807"/>
      <c r="J37" s="807"/>
      <c r="K37" s="807"/>
      <c r="L37" s="807"/>
      <c r="M37" s="807"/>
      <c r="N37" s="807"/>
      <c r="O37" s="807"/>
      <c r="P37" s="746"/>
      <c r="Q37" s="746"/>
      <c r="R37" s="808"/>
      <c r="S37" s="808"/>
      <c r="T37" s="808"/>
      <c r="U37" s="808"/>
      <c r="V37" s="808"/>
      <c r="W37" s="808"/>
      <c r="X37" s="808"/>
      <c r="Y37" s="808"/>
      <c r="Z37" s="808"/>
      <c r="AA37" s="808"/>
      <c r="AB37" s="746"/>
      <c r="AC37" s="746"/>
      <c r="AD37" s="807"/>
      <c r="AE37" s="807"/>
      <c r="AF37" s="807"/>
      <c r="AG37" s="807"/>
      <c r="AH37" s="807"/>
      <c r="AI37" s="807"/>
      <c r="AJ37" s="807"/>
      <c r="AK37" s="807"/>
      <c r="AL37" s="807"/>
      <c r="AM37" s="807"/>
      <c r="AN37" s="746"/>
      <c r="AO37" s="746"/>
      <c r="AP37" s="807"/>
      <c r="AQ37" s="807"/>
      <c r="AR37" s="807"/>
      <c r="AS37" s="807"/>
      <c r="AT37" s="807"/>
      <c r="AU37" s="807"/>
      <c r="AV37" s="807"/>
      <c r="AW37" s="807"/>
      <c r="AX37" s="807"/>
      <c r="AY37" s="807"/>
      <c r="AZ37" s="810"/>
      <c r="BA37" s="810"/>
      <c r="BB37" s="811"/>
      <c r="BC37" s="811"/>
      <c r="BD37" s="811"/>
      <c r="BE37" s="811"/>
      <c r="BF37" s="811"/>
      <c r="BG37" s="811"/>
      <c r="BH37" s="811"/>
      <c r="BI37" s="811"/>
      <c r="BJ37" s="811"/>
      <c r="BK37" s="811"/>
      <c r="BL37" s="812"/>
      <c r="BM37" s="812"/>
      <c r="BN37" s="812"/>
      <c r="BO37" s="812"/>
      <c r="BP37" s="813"/>
      <c r="BQ37" s="813"/>
      <c r="BR37" s="813"/>
      <c r="BS37" s="813"/>
      <c r="BT37" s="813"/>
      <c r="BU37" s="813"/>
      <c r="BV37" s="813"/>
      <c r="BW37" s="813"/>
      <c r="BX37" s="813"/>
      <c r="BY37" s="813"/>
    </row>
    <row r="38" spans="1:119" ht="24.95" customHeight="1" x14ac:dyDescent="0.2">
      <c r="A38" s="36" t="s">
        <v>270</v>
      </c>
      <c r="B38" s="14" t="s">
        <v>221</v>
      </c>
      <c r="C38" s="2">
        <v>2</v>
      </c>
      <c r="D38" s="12"/>
      <c r="E38" s="12"/>
      <c r="F38" s="12"/>
      <c r="G38" s="12"/>
      <c r="H38" s="12"/>
      <c r="I38" s="12"/>
      <c r="J38" s="12"/>
      <c r="K38" s="12"/>
      <c r="L38" s="12"/>
      <c r="M38" s="12"/>
      <c r="N38" s="12"/>
      <c r="O38" s="12"/>
      <c r="P38" s="12" t="s">
        <v>224</v>
      </c>
      <c r="Q38" s="12" t="s">
        <v>224</v>
      </c>
      <c r="R38" s="61"/>
      <c r="S38" s="61"/>
      <c r="T38" s="61"/>
      <c r="U38" s="61"/>
      <c r="V38" s="61"/>
      <c r="W38" s="61"/>
      <c r="X38" s="61"/>
      <c r="Y38" s="61"/>
      <c r="Z38" s="61"/>
      <c r="AA38" s="61"/>
      <c r="AB38" s="12" t="s">
        <v>224</v>
      </c>
      <c r="AC38" s="12" t="s">
        <v>224</v>
      </c>
      <c r="AD38" s="2"/>
      <c r="AE38" s="2"/>
      <c r="AF38" s="2"/>
      <c r="AG38" s="2"/>
      <c r="AH38" s="2"/>
      <c r="AI38" s="2"/>
      <c r="AJ38" s="2"/>
      <c r="AK38" s="2"/>
      <c r="AL38" s="2"/>
      <c r="AM38" s="2"/>
      <c r="AN38" s="12" t="s">
        <v>224</v>
      </c>
      <c r="AO38" s="12" t="s">
        <v>224</v>
      </c>
      <c r="AP38" s="2"/>
      <c r="AQ38" s="2"/>
      <c r="AR38" s="2"/>
      <c r="AS38" s="2"/>
      <c r="AT38" s="2"/>
      <c r="AU38" s="2"/>
      <c r="AV38" s="2"/>
      <c r="AW38" s="2"/>
      <c r="AX38" s="2"/>
      <c r="AY38" s="2"/>
      <c r="AZ38" s="35">
        <v>46</v>
      </c>
      <c r="BA38" s="35">
        <v>13</v>
      </c>
      <c r="BB38" s="40">
        <v>0.5</v>
      </c>
      <c r="BC38" s="40">
        <v>0.5</v>
      </c>
      <c r="BD38" s="40">
        <v>0</v>
      </c>
      <c r="BE38" s="40">
        <v>0</v>
      </c>
      <c r="BF38" s="40">
        <v>1</v>
      </c>
      <c r="BG38" s="40">
        <v>0.42</v>
      </c>
      <c r="BH38" s="40">
        <v>0.5</v>
      </c>
      <c r="BI38" s="40">
        <v>0.5</v>
      </c>
      <c r="BJ38" s="40">
        <v>0.31</v>
      </c>
      <c r="BK38" s="40">
        <v>0.56000000000000005</v>
      </c>
      <c r="BL38" s="247">
        <v>28</v>
      </c>
      <c r="BM38" s="247" t="s">
        <v>876</v>
      </c>
      <c r="BN38" s="247">
        <v>0</v>
      </c>
      <c r="BO38" s="247" t="s">
        <v>876</v>
      </c>
      <c r="BP38" s="264">
        <v>1</v>
      </c>
      <c r="BQ38" s="264">
        <v>0</v>
      </c>
      <c r="BR38" s="264">
        <v>0</v>
      </c>
      <c r="BS38" s="264">
        <v>0</v>
      </c>
      <c r="BT38" s="264">
        <v>0.75</v>
      </c>
      <c r="BU38" s="264">
        <v>0.67</v>
      </c>
      <c r="BV38" s="264">
        <v>0.5</v>
      </c>
      <c r="BW38" s="264">
        <v>0.73</v>
      </c>
      <c r="BX38" s="264">
        <v>0.89</v>
      </c>
      <c r="BY38" s="264">
        <v>0.82</v>
      </c>
      <c r="BZ38" s="311">
        <v>40</v>
      </c>
      <c r="CA38" s="311" t="s">
        <v>876</v>
      </c>
      <c r="CB38" s="311">
        <v>16</v>
      </c>
      <c r="CC38" s="311" t="s">
        <v>875</v>
      </c>
      <c r="CD38" s="329">
        <v>0.67</v>
      </c>
      <c r="CE38" s="329">
        <v>0</v>
      </c>
      <c r="CF38" s="329">
        <v>0.33</v>
      </c>
      <c r="CG38" s="329">
        <v>0</v>
      </c>
      <c r="CH38" s="329">
        <v>0.67</v>
      </c>
      <c r="CI38" s="329">
        <v>0.71</v>
      </c>
      <c r="CJ38" s="329">
        <v>0.64</v>
      </c>
      <c r="CK38" s="329">
        <v>0.74</v>
      </c>
      <c r="CL38" s="329">
        <v>0.67</v>
      </c>
      <c r="CM38" s="329">
        <v>0.7</v>
      </c>
      <c r="CN38" s="426">
        <v>51</v>
      </c>
      <c r="CO38" s="426" t="s">
        <v>874</v>
      </c>
      <c r="CP38" s="426">
        <v>0</v>
      </c>
      <c r="CQ38" s="426" t="s">
        <v>876</v>
      </c>
      <c r="CR38" s="430">
        <v>0</v>
      </c>
      <c r="CS38" s="430">
        <v>1</v>
      </c>
      <c r="CT38" s="430">
        <v>0</v>
      </c>
      <c r="CU38" s="430">
        <v>0</v>
      </c>
      <c r="CV38" s="430">
        <v>0.33</v>
      </c>
      <c r="CW38" s="430">
        <v>0.25</v>
      </c>
      <c r="CX38" s="430">
        <v>0.6</v>
      </c>
      <c r="CY38" s="426" t="s">
        <v>283</v>
      </c>
      <c r="CZ38" s="527">
        <v>0.67</v>
      </c>
      <c r="DA38" s="527">
        <v>0</v>
      </c>
      <c r="DB38" s="528">
        <v>35</v>
      </c>
      <c r="DC38" s="528" t="s">
        <v>876</v>
      </c>
      <c r="DD38" s="528">
        <v>8</v>
      </c>
      <c r="DE38" s="528" t="s">
        <v>874</v>
      </c>
      <c r="DF38" s="529">
        <v>1</v>
      </c>
      <c r="DG38" s="529">
        <v>0</v>
      </c>
      <c r="DH38" s="529">
        <v>0</v>
      </c>
      <c r="DI38" s="529">
        <v>0</v>
      </c>
      <c r="DJ38" s="529">
        <v>0.67</v>
      </c>
      <c r="DK38" s="529">
        <v>0</v>
      </c>
      <c r="DL38" s="529">
        <v>0.56000000000000005</v>
      </c>
      <c r="DM38" s="529">
        <v>0.75</v>
      </c>
      <c r="DN38" s="529">
        <v>0.86</v>
      </c>
      <c r="DO38" s="529">
        <v>0.5</v>
      </c>
    </row>
    <row r="39" spans="1:119" ht="24.95" customHeight="1" x14ac:dyDescent="0.2">
      <c r="A39" s="642" t="s">
        <v>916</v>
      </c>
      <c r="B39" s="623" t="s">
        <v>221</v>
      </c>
      <c r="C39" s="466">
        <v>2</v>
      </c>
      <c r="D39" s="528"/>
      <c r="E39" s="528"/>
      <c r="F39" s="528"/>
      <c r="G39" s="528"/>
      <c r="H39" s="528"/>
      <c r="I39" s="528"/>
      <c r="J39" s="528"/>
      <c r="K39" s="528"/>
      <c r="L39" s="528"/>
      <c r="M39" s="528"/>
      <c r="N39" s="528"/>
      <c r="O39" s="528"/>
      <c r="P39" s="528"/>
      <c r="Q39" s="528"/>
      <c r="R39" s="662"/>
      <c r="S39" s="662"/>
      <c r="T39" s="662"/>
      <c r="U39" s="662"/>
      <c r="V39" s="662"/>
      <c r="W39" s="662"/>
      <c r="X39" s="662"/>
      <c r="Y39" s="662"/>
      <c r="Z39" s="662"/>
      <c r="AA39" s="662"/>
      <c r="AB39" s="528"/>
      <c r="AC39" s="528"/>
      <c r="AD39" s="466"/>
      <c r="AE39" s="466"/>
      <c r="AF39" s="466"/>
      <c r="AG39" s="466"/>
      <c r="AH39" s="466"/>
      <c r="AI39" s="466"/>
      <c r="AJ39" s="466"/>
      <c r="AK39" s="466"/>
      <c r="AL39" s="466"/>
      <c r="AM39" s="466"/>
      <c r="AN39" s="528"/>
      <c r="AO39" s="528"/>
      <c r="AP39" s="466"/>
      <c r="AQ39" s="466"/>
      <c r="AR39" s="466"/>
      <c r="AS39" s="466"/>
      <c r="AT39" s="466"/>
      <c r="AU39" s="466"/>
      <c r="AV39" s="466"/>
      <c r="AW39" s="466"/>
      <c r="AX39" s="466"/>
      <c r="AY39" s="466"/>
      <c r="AZ39" s="644"/>
      <c r="BA39" s="644"/>
      <c r="BB39" s="643"/>
      <c r="BC39" s="643"/>
      <c r="BD39" s="643"/>
      <c r="BE39" s="643"/>
      <c r="BF39" s="643"/>
      <c r="BG39" s="643"/>
      <c r="BH39" s="643"/>
      <c r="BI39" s="643"/>
      <c r="BJ39" s="643"/>
      <c r="BK39" s="643"/>
      <c r="BL39" s="645"/>
      <c r="BM39" s="645"/>
      <c r="BN39" s="645"/>
      <c r="BO39" s="645"/>
      <c r="BP39" s="646"/>
      <c r="BQ39" s="646"/>
      <c r="BR39" s="646"/>
      <c r="BS39" s="646"/>
      <c r="BT39" s="646"/>
      <c r="BU39" s="646"/>
      <c r="BV39" s="646"/>
      <c r="BW39" s="646"/>
      <c r="BX39" s="646"/>
      <c r="BY39" s="646"/>
      <c r="BZ39" s="466">
        <v>42</v>
      </c>
      <c r="CA39" s="466" t="s">
        <v>876</v>
      </c>
      <c r="CB39" s="466">
        <v>9</v>
      </c>
      <c r="CC39" s="466" t="s">
        <v>874</v>
      </c>
      <c r="CD39" s="480">
        <v>0.25</v>
      </c>
      <c r="CE39" s="480">
        <v>0.63</v>
      </c>
      <c r="CF39" s="480">
        <v>0.13</v>
      </c>
      <c r="CG39" s="480">
        <v>0</v>
      </c>
      <c r="CH39" s="480">
        <v>0.33</v>
      </c>
      <c r="CI39" s="480">
        <v>0.7</v>
      </c>
      <c r="CJ39" s="480">
        <v>0.71</v>
      </c>
      <c r="CK39" s="480">
        <v>0.69</v>
      </c>
      <c r="CL39" s="480">
        <v>0.45</v>
      </c>
      <c r="CM39" s="480">
        <v>0.63</v>
      </c>
      <c r="CN39" s="647">
        <v>43</v>
      </c>
      <c r="CO39" s="647" t="s">
        <v>874</v>
      </c>
      <c r="CP39" s="647">
        <v>9</v>
      </c>
      <c r="CQ39" s="647" t="s">
        <v>874</v>
      </c>
      <c r="CR39" s="648">
        <v>0.25</v>
      </c>
      <c r="CS39" s="648">
        <v>0.75</v>
      </c>
      <c r="CT39" s="648">
        <v>0</v>
      </c>
      <c r="CU39" s="648">
        <v>0</v>
      </c>
      <c r="CV39" s="648">
        <v>0.5</v>
      </c>
      <c r="CW39" s="648">
        <v>0.68</v>
      </c>
      <c r="CX39" s="648">
        <v>0.86</v>
      </c>
      <c r="CY39" s="648">
        <v>1</v>
      </c>
      <c r="CZ39" s="664">
        <v>0.67</v>
      </c>
      <c r="DA39" s="664">
        <v>0.8</v>
      </c>
      <c r="DB39" s="619"/>
      <c r="DC39" s="619"/>
      <c r="DD39" s="619"/>
      <c r="DE39" s="619"/>
      <c r="DF39" s="664"/>
      <c r="DG39" s="664"/>
      <c r="DH39" s="664"/>
      <c r="DI39" s="664"/>
      <c r="DJ39" s="664"/>
      <c r="DK39" s="664"/>
      <c r="DL39" s="664"/>
      <c r="DM39" s="664"/>
      <c r="DN39" s="664"/>
      <c r="DO39" s="664"/>
    </row>
    <row r="40" spans="1:119" ht="24.95" customHeight="1" x14ac:dyDescent="0.2">
      <c r="A40" s="642" t="s">
        <v>34</v>
      </c>
      <c r="B40" s="610" t="s">
        <v>221</v>
      </c>
      <c r="C40" s="466">
        <v>3</v>
      </c>
      <c r="D40" s="528">
        <v>52</v>
      </c>
      <c r="E40" s="528">
        <v>7</v>
      </c>
      <c r="F40" s="480">
        <v>0.09</v>
      </c>
      <c r="G40" s="480">
        <v>0.62</v>
      </c>
      <c r="H40" s="480">
        <v>0.28999999999999998</v>
      </c>
      <c r="I40" s="480">
        <v>0</v>
      </c>
      <c r="J40" s="480">
        <v>0.53</v>
      </c>
      <c r="K40" s="480">
        <v>0.49</v>
      </c>
      <c r="L40" s="480">
        <v>0.56000000000000005</v>
      </c>
      <c r="M40" s="480">
        <v>0.44</v>
      </c>
      <c r="N40" s="480">
        <v>0.39</v>
      </c>
      <c r="O40" s="480">
        <v>0.56999999999999995</v>
      </c>
      <c r="P40" s="528">
        <v>50</v>
      </c>
      <c r="Q40" s="528">
        <v>11</v>
      </c>
      <c r="R40" s="662">
        <v>0.22</v>
      </c>
      <c r="S40" s="662">
        <v>0.47</v>
      </c>
      <c r="T40" s="662">
        <v>0.28000000000000003</v>
      </c>
      <c r="U40" s="662">
        <v>0.03</v>
      </c>
      <c r="V40" s="662">
        <v>0.42</v>
      </c>
      <c r="W40" s="662">
        <v>0.49</v>
      </c>
      <c r="X40" s="662">
        <v>0.59</v>
      </c>
      <c r="Y40" s="662">
        <v>0.47</v>
      </c>
      <c r="Z40" s="662">
        <v>0.44</v>
      </c>
      <c r="AA40" s="662">
        <v>0.49</v>
      </c>
      <c r="AB40" s="528">
        <v>45</v>
      </c>
      <c r="AC40" s="528">
        <v>8</v>
      </c>
      <c r="AD40" s="480">
        <v>0.35</v>
      </c>
      <c r="AE40" s="480">
        <v>0.48</v>
      </c>
      <c r="AF40" s="480">
        <v>0.17</v>
      </c>
      <c r="AG40" s="480">
        <v>0</v>
      </c>
      <c r="AH40" s="480">
        <v>0.53</v>
      </c>
      <c r="AI40" s="480">
        <v>0.51</v>
      </c>
      <c r="AJ40" s="480">
        <v>0.49</v>
      </c>
      <c r="AK40" s="480">
        <v>0.55000000000000004</v>
      </c>
      <c r="AL40" s="480">
        <v>0.61</v>
      </c>
      <c r="AM40" s="480">
        <v>0.63</v>
      </c>
      <c r="AN40" s="528">
        <v>45</v>
      </c>
      <c r="AO40" s="528">
        <v>10</v>
      </c>
      <c r="AP40" s="480">
        <v>0.35</v>
      </c>
      <c r="AQ40" s="480">
        <v>0.54</v>
      </c>
      <c r="AR40" s="480">
        <v>0.1</v>
      </c>
      <c r="AS40" s="480">
        <v>0</v>
      </c>
      <c r="AT40" s="480">
        <v>0.68</v>
      </c>
      <c r="AU40" s="480">
        <v>0.53</v>
      </c>
      <c r="AV40" s="480">
        <v>0.51</v>
      </c>
      <c r="AW40" s="480">
        <v>0.52</v>
      </c>
      <c r="AX40" s="480">
        <v>0.53</v>
      </c>
      <c r="AY40" s="480">
        <v>0.52</v>
      </c>
      <c r="AZ40" s="644">
        <v>47</v>
      </c>
      <c r="BA40" s="644">
        <v>9</v>
      </c>
      <c r="BB40" s="643">
        <v>0.26</v>
      </c>
      <c r="BC40" s="643">
        <v>0.52</v>
      </c>
      <c r="BD40" s="643">
        <v>0.21</v>
      </c>
      <c r="BE40" s="643">
        <v>0</v>
      </c>
      <c r="BF40" s="643">
        <v>0.56000000000000005</v>
      </c>
      <c r="BG40" s="643">
        <v>0.5</v>
      </c>
      <c r="BH40" s="643">
        <v>0.54</v>
      </c>
      <c r="BI40" s="643">
        <v>0.6</v>
      </c>
      <c r="BJ40" s="643">
        <v>0.48</v>
      </c>
      <c r="BK40" s="643">
        <v>0.52</v>
      </c>
      <c r="BL40" s="645">
        <v>50</v>
      </c>
      <c r="BM40" s="645" t="s">
        <v>874</v>
      </c>
      <c r="BN40" s="645">
        <v>12</v>
      </c>
      <c r="BO40" s="645" t="s">
        <v>874</v>
      </c>
      <c r="BP40" s="646">
        <v>0.23</v>
      </c>
      <c r="BQ40" s="646">
        <v>0.41</v>
      </c>
      <c r="BR40" s="646">
        <v>0.36</v>
      </c>
      <c r="BS40" s="646">
        <v>0</v>
      </c>
      <c r="BT40" s="646">
        <v>0.48</v>
      </c>
      <c r="BU40" s="646">
        <v>0.44</v>
      </c>
      <c r="BV40" s="646">
        <v>0.6</v>
      </c>
      <c r="BW40" s="646">
        <v>0.41</v>
      </c>
      <c r="BX40" s="646">
        <v>0.44</v>
      </c>
      <c r="BY40" s="646">
        <v>0.56000000000000005</v>
      </c>
      <c r="BZ40" s="466">
        <v>49</v>
      </c>
      <c r="CA40" s="466" t="s">
        <v>874</v>
      </c>
      <c r="CB40" s="466">
        <v>11</v>
      </c>
      <c r="CC40" s="466" t="s">
        <v>874</v>
      </c>
      <c r="CD40" s="480">
        <v>0.27</v>
      </c>
      <c r="CE40" s="480">
        <v>0.39</v>
      </c>
      <c r="CF40" s="480">
        <v>0.33</v>
      </c>
      <c r="CG40" s="480">
        <v>0</v>
      </c>
      <c r="CH40" s="480">
        <v>0.52</v>
      </c>
      <c r="CI40" s="480">
        <v>0.26</v>
      </c>
      <c r="CJ40" s="480">
        <v>0.56999999999999995</v>
      </c>
      <c r="CK40" s="480">
        <v>0.51</v>
      </c>
      <c r="CL40" s="480">
        <v>0.33</v>
      </c>
      <c r="CM40" s="480">
        <v>0.54</v>
      </c>
      <c r="CN40" s="647">
        <v>49</v>
      </c>
      <c r="CO40" s="647" t="s">
        <v>874</v>
      </c>
      <c r="CP40" s="647">
        <v>11</v>
      </c>
      <c r="CQ40" s="647" t="s">
        <v>874</v>
      </c>
      <c r="CR40" s="648">
        <v>0.25</v>
      </c>
      <c r="CS40" s="648">
        <v>0.46</v>
      </c>
      <c r="CT40" s="648">
        <v>0.28999999999999998</v>
      </c>
      <c r="CU40" s="648">
        <v>0</v>
      </c>
      <c r="CV40" s="648">
        <v>0.39</v>
      </c>
      <c r="CW40" s="648">
        <v>0.57999999999999996</v>
      </c>
      <c r="CX40" s="648">
        <v>0.51</v>
      </c>
      <c r="CY40" s="648">
        <v>0.71</v>
      </c>
      <c r="CZ40" s="664">
        <v>0.52</v>
      </c>
      <c r="DA40" s="664">
        <v>0.71</v>
      </c>
      <c r="DB40" s="528">
        <v>49</v>
      </c>
      <c r="DC40" s="528" t="s">
        <v>874</v>
      </c>
      <c r="DD40" s="528">
        <v>10</v>
      </c>
      <c r="DE40" s="528" t="s">
        <v>874</v>
      </c>
      <c r="DF40" s="529">
        <v>0.26</v>
      </c>
      <c r="DG40" s="529">
        <v>0.48</v>
      </c>
      <c r="DH40" s="529">
        <v>0.26</v>
      </c>
      <c r="DI40" s="529">
        <v>0</v>
      </c>
      <c r="DJ40" s="529">
        <v>0.45</v>
      </c>
      <c r="DK40" s="529">
        <v>0.53</v>
      </c>
      <c r="DL40" s="529">
        <v>0.52</v>
      </c>
      <c r="DM40" s="529">
        <v>0.57999999999999996</v>
      </c>
      <c r="DN40" s="529">
        <v>0.61</v>
      </c>
      <c r="DO40" s="529">
        <v>0.3</v>
      </c>
    </row>
    <row r="41" spans="1:119" ht="24.95" customHeight="1" x14ac:dyDescent="0.2">
      <c r="A41" s="324" t="s">
        <v>271</v>
      </c>
      <c r="B41" s="1" t="s">
        <v>221</v>
      </c>
      <c r="C41" s="311">
        <v>4</v>
      </c>
      <c r="D41" s="330">
        <v>47</v>
      </c>
      <c r="E41" s="330">
        <v>8</v>
      </c>
      <c r="F41" s="329">
        <v>0.24</v>
      </c>
      <c r="G41" s="329">
        <v>0.63</v>
      </c>
      <c r="H41" s="329">
        <v>0.13</v>
      </c>
      <c r="I41" s="329">
        <v>0</v>
      </c>
      <c r="J41" s="329">
        <v>0.62</v>
      </c>
      <c r="K41" s="329">
        <v>0.5</v>
      </c>
      <c r="L41" s="329">
        <v>0.69</v>
      </c>
      <c r="M41" s="329">
        <v>0.45</v>
      </c>
      <c r="N41" s="329">
        <v>0.41</v>
      </c>
      <c r="O41" s="329">
        <v>0.6</v>
      </c>
      <c r="P41" s="330">
        <v>49</v>
      </c>
      <c r="Q41" s="330">
        <v>10</v>
      </c>
      <c r="R41" s="332">
        <v>0.2</v>
      </c>
      <c r="S41" s="332">
        <v>0.5</v>
      </c>
      <c r="T41" s="332">
        <v>0.27</v>
      </c>
      <c r="U41" s="332">
        <v>0.02</v>
      </c>
      <c r="V41" s="332">
        <v>0.45</v>
      </c>
      <c r="W41" s="332">
        <v>0.51</v>
      </c>
      <c r="X41" s="332">
        <v>0.62</v>
      </c>
      <c r="Y41" s="332">
        <v>0.45</v>
      </c>
      <c r="Z41" s="332">
        <v>0.49</v>
      </c>
      <c r="AA41" s="332">
        <v>0.53</v>
      </c>
      <c r="AB41" s="330">
        <v>44</v>
      </c>
      <c r="AC41" s="330">
        <v>9</v>
      </c>
      <c r="AD41" s="329">
        <v>0.46</v>
      </c>
      <c r="AE41" s="329">
        <v>0.43</v>
      </c>
      <c r="AF41" s="329">
        <v>0.11</v>
      </c>
      <c r="AG41" s="329">
        <v>0</v>
      </c>
      <c r="AH41" s="329">
        <v>0.53</v>
      </c>
      <c r="AI41" s="329">
        <v>0.56000000000000005</v>
      </c>
      <c r="AJ41" s="329">
        <v>0.55000000000000004</v>
      </c>
      <c r="AK41" s="329">
        <v>0.56000000000000005</v>
      </c>
      <c r="AL41" s="329">
        <v>0.67</v>
      </c>
      <c r="AM41" s="329">
        <v>0.6</v>
      </c>
      <c r="AN41" s="330">
        <v>45</v>
      </c>
      <c r="AO41" s="330">
        <v>10</v>
      </c>
      <c r="AP41" s="329">
        <v>0.36</v>
      </c>
      <c r="AQ41" s="329">
        <v>0.45</v>
      </c>
      <c r="AR41" s="329">
        <v>0.19</v>
      </c>
      <c r="AS41" s="329">
        <v>0</v>
      </c>
      <c r="AT41" s="329">
        <v>0.59</v>
      </c>
      <c r="AU41" s="329">
        <v>0.54</v>
      </c>
      <c r="AV41" s="329">
        <v>0.48</v>
      </c>
      <c r="AW41" s="329">
        <v>0.52</v>
      </c>
      <c r="AX41" s="329">
        <v>0.53</v>
      </c>
      <c r="AY41" s="329">
        <v>0.54</v>
      </c>
      <c r="AZ41" s="313">
        <v>45</v>
      </c>
      <c r="BA41" s="313">
        <v>9</v>
      </c>
      <c r="BB41" s="333">
        <v>0.38</v>
      </c>
      <c r="BC41" s="333">
        <v>0.48</v>
      </c>
      <c r="BD41" s="333">
        <v>0.15</v>
      </c>
      <c r="BE41" s="333">
        <v>0</v>
      </c>
      <c r="BF41" s="333">
        <v>0.61</v>
      </c>
      <c r="BG41" s="333">
        <v>0.55000000000000004</v>
      </c>
      <c r="BH41" s="333">
        <v>0.56000000000000005</v>
      </c>
      <c r="BI41" s="333">
        <v>0.65</v>
      </c>
      <c r="BJ41" s="333">
        <v>0.5</v>
      </c>
      <c r="BK41" s="333">
        <v>0.51</v>
      </c>
      <c r="BL41" s="314">
        <v>45</v>
      </c>
      <c r="BM41" s="314" t="s">
        <v>874</v>
      </c>
      <c r="BN41" s="314">
        <v>11</v>
      </c>
      <c r="BO41" s="314" t="s">
        <v>874</v>
      </c>
      <c r="BP41" s="334">
        <v>0.34</v>
      </c>
      <c r="BQ41" s="334">
        <v>0.49</v>
      </c>
      <c r="BR41" s="334">
        <v>0.15</v>
      </c>
      <c r="BS41" s="334">
        <v>0.02</v>
      </c>
      <c r="BT41" s="334">
        <v>0.48</v>
      </c>
      <c r="BU41" s="334">
        <v>0.52</v>
      </c>
      <c r="BV41" s="334">
        <v>0.65</v>
      </c>
      <c r="BW41" s="334">
        <v>0.47</v>
      </c>
      <c r="BX41" s="334">
        <v>0.55000000000000004</v>
      </c>
      <c r="BY41" s="334">
        <v>0.57999999999999996</v>
      </c>
      <c r="BZ41" s="311">
        <v>45</v>
      </c>
      <c r="CA41" s="311" t="s">
        <v>874</v>
      </c>
      <c r="CB41" s="311">
        <v>9</v>
      </c>
      <c r="CC41" s="311" t="s">
        <v>874</v>
      </c>
      <c r="CD41" s="329">
        <v>0.37</v>
      </c>
      <c r="CE41" s="329">
        <v>0.5</v>
      </c>
      <c r="CF41" s="329">
        <v>0.13</v>
      </c>
      <c r="CG41" s="329">
        <v>0</v>
      </c>
      <c r="CH41" s="329">
        <v>0.59</v>
      </c>
      <c r="CI41" s="329">
        <v>0.52</v>
      </c>
      <c r="CJ41" s="329">
        <v>0.62</v>
      </c>
      <c r="CK41" s="329">
        <v>0.59</v>
      </c>
      <c r="CL41" s="329">
        <v>0.49</v>
      </c>
      <c r="CM41" s="329">
        <v>0.64</v>
      </c>
      <c r="CN41" s="426">
        <v>48</v>
      </c>
      <c r="CO41" s="426" t="s">
        <v>874</v>
      </c>
      <c r="CP41" s="426">
        <v>9</v>
      </c>
      <c r="CQ41" s="426" t="s">
        <v>874</v>
      </c>
      <c r="CR41" s="430">
        <v>0.22</v>
      </c>
      <c r="CS41" s="430">
        <v>0.62</v>
      </c>
      <c r="CT41" s="430">
        <v>0.16</v>
      </c>
      <c r="CU41" s="430">
        <v>0</v>
      </c>
      <c r="CV41" s="430">
        <v>0.38</v>
      </c>
      <c r="CW41" s="430">
        <v>0.62</v>
      </c>
      <c r="CX41" s="430">
        <v>0.64</v>
      </c>
      <c r="CY41" s="430">
        <v>0.81</v>
      </c>
      <c r="CZ41" s="527">
        <v>0.59</v>
      </c>
      <c r="DA41" s="527">
        <v>0.57999999999999996</v>
      </c>
      <c r="DB41" s="618">
        <v>47</v>
      </c>
      <c r="DC41" s="618" t="s">
        <v>874</v>
      </c>
      <c r="DD41" s="618">
        <v>9</v>
      </c>
      <c r="DE41" s="618" t="s">
        <v>874</v>
      </c>
      <c r="DF41" s="669">
        <v>0.31</v>
      </c>
      <c r="DG41" s="669">
        <v>0.62</v>
      </c>
      <c r="DH41" s="669">
        <v>0.08</v>
      </c>
      <c r="DI41" s="669">
        <v>0</v>
      </c>
      <c r="DJ41" s="669">
        <v>0.61</v>
      </c>
      <c r="DK41" s="669">
        <v>0.62</v>
      </c>
      <c r="DL41" s="669">
        <v>0.59</v>
      </c>
      <c r="DM41" s="669">
        <v>0.74</v>
      </c>
      <c r="DN41" s="669">
        <v>0.64</v>
      </c>
      <c r="DO41" s="669">
        <v>0.62</v>
      </c>
    </row>
    <row r="42" spans="1:119" ht="24.95" customHeight="1" x14ac:dyDescent="0.2">
      <c r="A42" s="126" t="s">
        <v>291</v>
      </c>
      <c r="B42" s="1" t="s">
        <v>221</v>
      </c>
      <c r="C42" s="2">
        <v>5</v>
      </c>
      <c r="D42" s="12"/>
      <c r="E42" s="12"/>
      <c r="F42" s="12"/>
      <c r="G42" s="12"/>
      <c r="H42" s="12"/>
      <c r="I42" s="12"/>
      <c r="J42" s="12"/>
      <c r="K42" s="12"/>
      <c r="L42" s="12"/>
      <c r="M42" s="12"/>
      <c r="N42" s="12"/>
      <c r="O42" s="12"/>
      <c r="P42" s="12" t="s">
        <v>224</v>
      </c>
      <c r="Q42" s="12" t="s">
        <v>224</v>
      </c>
      <c r="R42" s="61"/>
      <c r="S42" s="61"/>
      <c r="T42" s="61"/>
      <c r="U42" s="61"/>
      <c r="V42" s="61"/>
      <c r="W42" s="61"/>
      <c r="X42" s="61"/>
      <c r="Y42" s="61"/>
      <c r="Z42" s="61"/>
      <c r="AA42" s="61"/>
      <c r="AB42" s="12">
        <v>50</v>
      </c>
      <c r="AC42" s="12">
        <v>7</v>
      </c>
      <c r="AD42" s="63">
        <v>0.11</v>
      </c>
      <c r="AE42" s="63">
        <v>0.67</v>
      </c>
      <c r="AF42" s="63">
        <v>0.22</v>
      </c>
      <c r="AG42" s="63">
        <v>0</v>
      </c>
      <c r="AH42" s="63">
        <v>0.48</v>
      </c>
      <c r="AI42" s="63">
        <v>0.39</v>
      </c>
      <c r="AJ42" s="63">
        <v>0.39</v>
      </c>
      <c r="AK42" s="63">
        <v>0.49</v>
      </c>
      <c r="AL42" s="63">
        <v>0.64</v>
      </c>
      <c r="AM42" s="63">
        <v>0.43</v>
      </c>
      <c r="AN42" s="12">
        <v>46</v>
      </c>
      <c r="AO42" s="12">
        <v>12</v>
      </c>
      <c r="AP42" s="63">
        <v>0.33</v>
      </c>
      <c r="AQ42" s="63">
        <v>0.47</v>
      </c>
      <c r="AR42" s="63">
        <v>0.2</v>
      </c>
      <c r="AS42" s="63">
        <v>0</v>
      </c>
      <c r="AT42" s="63">
        <v>0.43</v>
      </c>
      <c r="AU42" s="63">
        <v>0.49</v>
      </c>
      <c r="AV42" s="63">
        <v>0.51</v>
      </c>
      <c r="AW42" s="63">
        <v>0.49</v>
      </c>
      <c r="AX42" s="63">
        <v>0.5</v>
      </c>
      <c r="AY42" s="63">
        <v>0.47</v>
      </c>
      <c r="AZ42" s="35">
        <v>47</v>
      </c>
      <c r="BA42" s="35">
        <v>12</v>
      </c>
      <c r="BB42" s="40">
        <v>0.32</v>
      </c>
      <c r="BC42" s="40">
        <v>0.41</v>
      </c>
      <c r="BD42" s="40">
        <v>0.27</v>
      </c>
      <c r="BE42" s="40">
        <v>0</v>
      </c>
      <c r="BF42" s="40">
        <v>0.47</v>
      </c>
      <c r="BG42" s="40">
        <v>0.5</v>
      </c>
      <c r="BH42" s="40">
        <v>0.55000000000000004</v>
      </c>
      <c r="BI42" s="40">
        <v>0.59</v>
      </c>
      <c r="BJ42" s="40">
        <v>0.52</v>
      </c>
      <c r="BK42" s="40">
        <v>0.48</v>
      </c>
      <c r="BL42" s="247">
        <v>49</v>
      </c>
      <c r="BM42" s="247" t="s">
        <v>874</v>
      </c>
      <c r="BN42" s="247">
        <v>10</v>
      </c>
      <c r="BO42" s="247" t="s">
        <v>874</v>
      </c>
      <c r="BP42" s="264">
        <v>0.19</v>
      </c>
      <c r="BQ42" s="264">
        <v>0.57999999999999996</v>
      </c>
      <c r="BR42" s="264">
        <v>0.23</v>
      </c>
      <c r="BS42" s="264">
        <v>0</v>
      </c>
      <c r="BT42" s="264">
        <v>0.45</v>
      </c>
      <c r="BU42" s="264">
        <v>0.46</v>
      </c>
      <c r="BV42" s="264">
        <v>0.67</v>
      </c>
      <c r="BW42" s="264">
        <v>0.43</v>
      </c>
      <c r="BX42" s="264">
        <v>0.51</v>
      </c>
      <c r="BY42" s="264">
        <v>0.53</v>
      </c>
      <c r="BZ42" s="311">
        <v>52</v>
      </c>
      <c r="CA42" s="311" t="s">
        <v>874</v>
      </c>
      <c r="CB42" s="311">
        <v>12</v>
      </c>
      <c r="CC42" s="311" t="s">
        <v>874</v>
      </c>
      <c r="CD42" s="329">
        <v>0.23</v>
      </c>
      <c r="CE42" s="329">
        <v>0.23</v>
      </c>
      <c r="CF42" s="329">
        <v>0.54</v>
      </c>
      <c r="CG42" s="329">
        <v>0</v>
      </c>
      <c r="CH42" s="329">
        <v>0.5</v>
      </c>
      <c r="CI42" s="329">
        <v>0.3</v>
      </c>
      <c r="CJ42" s="329">
        <v>0.56000000000000005</v>
      </c>
      <c r="CK42" s="329">
        <v>0.6</v>
      </c>
      <c r="CL42" s="329">
        <v>0.53</v>
      </c>
      <c r="CM42" s="329">
        <v>0.48</v>
      </c>
      <c r="CN42" s="426">
        <v>53</v>
      </c>
      <c r="CO42" s="426" t="s">
        <v>874</v>
      </c>
      <c r="CP42" s="426">
        <v>9</v>
      </c>
      <c r="CQ42" s="426" t="s">
        <v>874</v>
      </c>
      <c r="CR42" s="430">
        <v>0.05</v>
      </c>
      <c r="CS42" s="430">
        <v>0.64</v>
      </c>
      <c r="CT42" s="430">
        <v>0.27</v>
      </c>
      <c r="CU42" s="430">
        <v>0.05</v>
      </c>
      <c r="CV42" s="430">
        <v>0.28000000000000003</v>
      </c>
      <c r="CW42" s="430">
        <v>0.53</v>
      </c>
      <c r="CX42" s="430">
        <v>0.5</v>
      </c>
      <c r="CY42" s="430">
        <v>0.69</v>
      </c>
      <c r="CZ42" s="527">
        <v>0.32</v>
      </c>
      <c r="DA42" s="527">
        <v>0.38</v>
      </c>
      <c r="DB42" s="528">
        <v>49</v>
      </c>
      <c r="DC42" s="528" t="s">
        <v>874</v>
      </c>
      <c r="DD42" s="528">
        <v>8</v>
      </c>
      <c r="DE42" s="528" t="s">
        <v>874</v>
      </c>
      <c r="DF42" s="529">
        <v>0.16</v>
      </c>
      <c r="DG42" s="529">
        <v>0.6</v>
      </c>
      <c r="DH42" s="529">
        <v>0.24</v>
      </c>
      <c r="DI42" s="529">
        <v>0</v>
      </c>
      <c r="DJ42" s="529">
        <v>0.55000000000000004</v>
      </c>
      <c r="DK42" s="529">
        <v>0.5</v>
      </c>
      <c r="DL42" s="529">
        <v>0.53</v>
      </c>
      <c r="DM42" s="529">
        <v>0.65</v>
      </c>
      <c r="DN42" s="529">
        <v>0.55000000000000004</v>
      </c>
      <c r="DO42" s="529">
        <v>0.31</v>
      </c>
    </row>
    <row r="43" spans="1:119" ht="24.95" customHeight="1" x14ac:dyDescent="0.2">
      <c r="A43" s="36" t="s">
        <v>267</v>
      </c>
      <c r="B43" s="14" t="s">
        <v>221</v>
      </c>
      <c r="C43" s="2">
        <v>6</v>
      </c>
      <c r="D43" s="12"/>
      <c r="E43" s="12"/>
      <c r="F43" s="12"/>
      <c r="G43" s="12"/>
      <c r="H43" s="12"/>
      <c r="I43" s="12"/>
      <c r="J43" s="12"/>
      <c r="K43" s="12"/>
      <c r="L43" s="12"/>
      <c r="M43" s="12"/>
      <c r="N43" s="12"/>
      <c r="O43" s="12"/>
      <c r="P43" s="12" t="s">
        <v>224</v>
      </c>
      <c r="Q43" s="12" t="s">
        <v>224</v>
      </c>
      <c r="R43" s="61"/>
      <c r="S43" s="61"/>
      <c r="T43" s="61"/>
      <c r="U43" s="61"/>
      <c r="V43" s="61"/>
      <c r="W43" s="61"/>
      <c r="X43" s="61"/>
      <c r="Y43" s="61"/>
      <c r="Z43" s="61"/>
      <c r="AA43" s="61"/>
      <c r="AB43" s="12" t="s">
        <v>224</v>
      </c>
      <c r="AC43" s="12" t="s">
        <v>224</v>
      </c>
      <c r="AD43" s="2"/>
      <c r="AE43" s="2"/>
      <c r="AF43" s="2"/>
      <c r="AG43" s="2"/>
      <c r="AH43" s="2"/>
      <c r="AI43" s="2"/>
      <c r="AJ43" s="2"/>
      <c r="AK43" s="2"/>
      <c r="AL43" s="2"/>
      <c r="AM43" s="2"/>
      <c r="AN43" s="12" t="s">
        <v>224</v>
      </c>
      <c r="AO43" s="12" t="s">
        <v>224</v>
      </c>
      <c r="AP43" s="2"/>
      <c r="AQ43" s="2"/>
      <c r="AR43" s="2"/>
      <c r="AS43" s="2"/>
      <c r="AT43" s="2"/>
      <c r="AU43" s="2"/>
      <c r="AV43" s="2"/>
      <c r="AW43" s="2"/>
      <c r="AX43" s="2"/>
      <c r="AY43" s="2"/>
      <c r="AZ43" s="35">
        <v>58</v>
      </c>
      <c r="BA43" s="35">
        <v>8</v>
      </c>
      <c r="BB43" s="40">
        <v>0</v>
      </c>
      <c r="BC43" s="40">
        <v>0.5</v>
      </c>
      <c r="BD43" s="40">
        <v>0.5</v>
      </c>
      <c r="BE43" s="40">
        <v>0</v>
      </c>
      <c r="BF43" s="40">
        <v>0.25</v>
      </c>
      <c r="BG43" s="40">
        <v>0.5</v>
      </c>
      <c r="BH43" s="40">
        <v>0.35</v>
      </c>
      <c r="BI43" s="40">
        <v>0.5</v>
      </c>
      <c r="BJ43" s="40">
        <v>0.13</v>
      </c>
      <c r="BK43" s="40">
        <v>0.11</v>
      </c>
      <c r="BL43" s="247">
        <v>45</v>
      </c>
      <c r="BM43" s="247" t="s">
        <v>874</v>
      </c>
      <c r="BN43" s="247">
        <v>0</v>
      </c>
      <c r="BO43" s="247" t="s">
        <v>876</v>
      </c>
      <c r="BP43" s="264">
        <v>0</v>
      </c>
      <c r="BQ43" s="264">
        <v>1</v>
      </c>
      <c r="BR43" s="264">
        <v>0</v>
      </c>
      <c r="BS43" s="264">
        <v>0</v>
      </c>
      <c r="BT43" s="264">
        <v>0.2</v>
      </c>
      <c r="BU43" s="264">
        <v>0.63</v>
      </c>
      <c r="BV43" s="264">
        <v>1</v>
      </c>
      <c r="BW43" s="264">
        <v>0.5</v>
      </c>
      <c r="BX43" s="264">
        <v>0.5</v>
      </c>
      <c r="BY43" s="264">
        <v>0.9</v>
      </c>
      <c r="BZ43" s="311">
        <v>55</v>
      </c>
      <c r="CA43" s="311" t="s">
        <v>874</v>
      </c>
      <c r="CB43" s="311">
        <v>19</v>
      </c>
      <c r="CC43" s="311" t="s">
        <v>875</v>
      </c>
      <c r="CD43" s="329">
        <v>0.33</v>
      </c>
      <c r="CE43" s="329">
        <v>0</v>
      </c>
      <c r="CF43" s="329">
        <v>0.33</v>
      </c>
      <c r="CG43" s="329">
        <v>0.33</v>
      </c>
      <c r="CH43" s="329">
        <v>0.28999999999999998</v>
      </c>
      <c r="CI43" s="329">
        <v>0.4</v>
      </c>
      <c r="CJ43" s="329">
        <v>0.5</v>
      </c>
      <c r="CK43" s="329">
        <v>0.54</v>
      </c>
      <c r="CL43" s="329">
        <v>0.63</v>
      </c>
      <c r="CM43" s="329">
        <v>0.5</v>
      </c>
      <c r="CN43" s="426">
        <v>50</v>
      </c>
      <c r="CO43" s="426" t="s">
        <v>874</v>
      </c>
      <c r="CP43" s="426">
        <v>10</v>
      </c>
      <c r="CQ43" s="426" t="s">
        <v>874</v>
      </c>
      <c r="CR43" s="430">
        <v>0.08</v>
      </c>
      <c r="CS43" s="430">
        <v>0.57999999999999996</v>
      </c>
      <c r="CT43" s="430">
        <v>0.33</v>
      </c>
      <c r="CU43" s="430">
        <v>0</v>
      </c>
      <c r="CV43" s="430">
        <v>0.48</v>
      </c>
      <c r="CW43" s="430">
        <v>0.57999999999999996</v>
      </c>
      <c r="CX43" s="430">
        <v>0.46</v>
      </c>
      <c r="CY43" s="430">
        <v>0.43</v>
      </c>
      <c r="CZ43" s="527">
        <v>0.49</v>
      </c>
      <c r="DA43" s="527">
        <v>0.38</v>
      </c>
      <c r="DB43" s="528">
        <v>52</v>
      </c>
      <c r="DC43" s="528" t="s">
        <v>874</v>
      </c>
      <c r="DD43" s="528">
        <v>11</v>
      </c>
      <c r="DE43" s="528" t="s">
        <v>874</v>
      </c>
      <c r="DF43" s="529">
        <v>0.13</v>
      </c>
      <c r="DG43" s="529">
        <v>0.63</v>
      </c>
      <c r="DH43" s="529">
        <v>0.25</v>
      </c>
      <c r="DI43" s="529">
        <v>0</v>
      </c>
      <c r="DJ43" s="529">
        <v>0.49</v>
      </c>
      <c r="DK43" s="529">
        <v>0.22</v>
      </c>
      <c r="DL43" s="529">
        <v>0.38</v>
      </c>
      <c r="DM43" s="529">
        <v>0.5</v>
      </c>
      <c r="DN43" s="529">
        <v>0.48</v>
      </c>
      <c r="DO43" s="529">
        <v>0.38</v>
      </c>
    </row>
    <row r="44" spans="1:119" ht="24.95" customHeight="1" x14ac:dyDescent="0.2">
      <c r="A44" s="126" t="s">
        <v>189</v>
      </c>
      <c r="B44" s="1" t="s">
        <v>221</v>
      </c>
      <c r="C44" s="2">
        <v>2</v>
      </c>
      <c r="D44" s="12">
        <v>66</v>
      </c>
      <c r="E44" s="12">
        <v>0</v>
      </c>
      <c r="F44" s="63">
        <v>0</v>
      </c>
      <c r="G44" s="63">
        <v>0</v>
      </c>
      <c r="H44" s="63">
        <v>1</v>
      </c>
      <c r="I44" s="63">
        <v>0</v>
      </c>
      <c r="J44" s="63">
        <v>0.11</v>
      </c>
      <c r="K44" s="63">
        <v>0.44</v>
      </c>
      <c r="L44" s="63">
        <v>0.25</v>
      </c>
      <c r="M44" s="63">
        <v>0.28999999999999998</v>
      </c>
      <c r="N44" s="63">
        <v>0.22</v>
      </c>
      <c r="O44" s="63">
        <v>0</v>
      </c>
      <c r="P44" s="12" t="s">
        <v>224</v>
      </c>
      <c r="Q44" s="12" t="s">
        <v>224</v>
      </c>
      <c r="R44" s="61"/>
      <c r="S44" s="61"/>
      <c r="T44" s="61"/>
      <c r="U44" s="61"/>
      <c r="V44" s="61"/>
      <c r="W44" s="61"/>
      <c r="X44" s="61"/>
      <c r="Y44" s="61"/>
      <c r="Z44" s="61"/>
      <c r="AA44" s="61"/>
      <c r="AB44" s="12" t="s">
        <v>224</v>
      </c>
      <c r="AC44" s="12" t="s">
        <v>224</v>
      </c>
      <c r="AD44" s="2"/>
      <c r="AE44" s="2"/>
      <c r="AF44" s="2"/>
      <c r="AG44" s="2"/>
      <c r="AH44" s="2"/>
      <c r="AI44" s="2"/>
      <c r="AJ44" s="2"/>
      <c r="AK44" s="2"/>
      <c r="AL44" s="2"/>
      <c r="AM44" s="2"/>
      <c r="AN44" s="12" t="s">
        <v>224</v>
      </c>
      <c r="AO44" s="12" t="s">
        <v>224</v>
      </c>
      <c r="AP44" s="2"/>
      <c r="AQ44" s="2"/>
      <c r="AR44" s="2"/>
      <c r="AS44" s="2"/>
      <c r="AT44" s="2"/>
      <c r="AU44" s="2"/>
      <c r="AV44" s="2"/>
      <c r="AW44" s="2"/>
      <c r="AX44" s="2"/>
      <c r="AY44" s="2"/>
      <c r="AZ44" s="35">
        <v>38</v>
      </c>
      <c r="BA44" s="35">
        <v>0</v>
      </c>
      <c r="BB44" s="40">
        <v>1</v>
      </c>
      <c r="BC44" s="40">
        <v>0</v>
      </c>
      <c r="BD44" s="40">
        <v>0</v>
      </c>
      <c r="BE44" s="40">
        <v>0</v>
      </c>
      <c r="BF44" s="40">
        <v>1</v>
      </c>
      <c r="BG44" s="40">
        <v>0.83</v>
      </c>
      <c r="BH44" s="40">
        <v>0.55000000000000004</v>
      </c>
      <c r="BI44" s="40">
        <v>0.67</v>
      </c>
      <c r="BJ44" s="40">
        <v>0.63</v>
      </c>
      <c r="BK44" s="40">
        <v>0.5</v>
      </c>
      <c r="BL44" s="652"/>
      <c r="BM44" s="652"/>
      <c r="BN44" s="652"/>
      <c r="BO44" s="652"/>
      <c r="BP44" s="652"/>
      <c r="BQ44" s="652"/>
      <c r="BR44" s="652"/>
      <c r="BS44" s="652"/>
      <c r="BT44" s="652"/>
      <c r="BU44" s="652"/>
      <c r="BV44" s="652"/>
      <c r="BW44" s="652"/>
      <c r="BX44" s="652"/>
      <c r="BY44" s="652"/>
      <c r="BZ44" s="655"/>
      <c r="CA44" s="655"/>
      <c r="CB44" s="655"/>
      <c r="CC44" s="655"/>
      <c r="CD44" s="655"/>
      <c r="CE44" s="655"/>
      <c r="CF44" s="655"/>
      <c r="CG44" s="655"/>
      <c r="CH44" s="655"/>
      <c r="CI44" s="655"/>
      <c r="CJ44" s="655"/>
      <c r="CK44" s="655"/>
      <c r="CL44" s="655"/>
      <c r="CM44" s="655"/>
      <c r="CN44" s="657"/>
      <c r="CO44" s="657"/>
      <c r="CP44" s="657"/>
      <c r="CQ44" s="657"/>
      <c r="CR44" s="657"/>
      <c r="CS44" s="657"/>
      <c r="CT44" s="657"/>
      <c r="CU44" s="657"/>
      <c r="CV44" s="657"/>
      <c r="CW44" s="657"/>
      <c r="CX44" s="657"/>
      <c r="CY44" s="657"/>
      <c r="CZ44" s="666"/>
      <c r="DA44" s="666"/>
      <c r="DB44" s="668"/>
      <c r="DC44" s="668"/>
      <c r="DD44" s="668"/>
      <c r="DE44" s="668"/>
      <c r="DF44" s="668"/>
      <c r="DG44" s="668"/>
      <c r="DH44" s="668"/>
      <c r="DI44" s="668"/>
      <c r="DJ44" s="668"/>
      <c r="DK44" s="668"/>
      <c r="DL44" s="668"/>
      <c r="DM44" s="668"/>
      <c r="DN44" s="668"/>
      <c r="DO44" s="668"/>
    </row>
    <row r="45" spans="1:119" ht="24.95" customHeight="1" x14ac:dyDescent="0.2">
      <c r="A45" s="126" t="s">
        <v>918</v>
      </c>
      <c r="B45" s="14" t="s">
        <v>221</v>
      </c>
      <c r="C45" s="2">
        <v>2</v>
      </c>
      <c r="D45" s="12"/>
      <c r="E45" s="12"/>
      <c r="F45" s="63"/>
      <c r="G45" s="63"/>
      <c r="H45" s="63"/>
      <c r="I45" s="63"/>
      <c r="J45" s="63"/>
      <c r="K45" s="63"/>
      <c r="L45" s="63"/>
      <c r="M45" s="63"/>
      <c r="N45" s="63"/>
      <c r="O45" s="63"/>
      <c r="P45" s="12"/>
      <c r="Q45" s="12"/>
      <c r="R45" s="61"/>
      <c r="S45" s="61"/>
      <c r="T45" s="61"/>
      <c r="U45" s="61"/>
      <c r="V45" s="61"/>
      <c r="W45" s="61"/>
      <c r="X45" s="61"/>
      <c r="Y45" s="61"/>
      <c r="Z45" s="61"/>
      <c r="AA45" s="61"/>
      <c r="AB45" s="12"/>
      <c r="AC45" s="12"/>
      <c r="AD45" s="2"/>
      <c r="AE45" s="2"/>
      <c r="AF45" s="2"/>
      <c r="AG45" s="2"/>
      <c r="AH45" s="2"/>
      <c r="AI45" s="2"/>
      <c r="AJ45" s="2"/>
      <c r="AK45" s="2"/>
      <c r="AL45" s="2"/>
      <c r="AM45" s="2"/>
      <c r="AN45" s="12"/>
      <c r="AO45" s="12"/>
      <c r="AP45" s="2"/>
      <c r="AQ45" s="2"/>
      <c r="AR45" s="2"/>
      <c r="AS45" s="2"/>
      <c r="AT45" s="2"/>
      <c r="AU45" s="2"/>
      <c r="AV45" s="2"/>
      <c r="AW45" s="2"/>
      <c r="AX45" s="2"/>
      <c r="AY45" s="2"/>
      <c r="AZ45" s="35"/>
      <c r="BA45" s="35"/>
      <c r="BB45" s="40"/>
      <c r="BC45" s="40"/>
      <c r="BD45" s="40"/>
      <c r="BE45" s="40"/>
      <c r="BF45" s="40"/>
      <c r="BG45" s="40"/>
      <c r="BH45" s="40"/>
      <c r="BI45" s="40"/>
      <c r="BJ45" s="40"/>
      <c r="BK45" s="40"/>
      <c r="BL45" s="652"/>
      <c r="BM45" s="652"/>
      <c r="BN45" s="652"/>
      <c r="BO45" s="652"/>
      <c r="BP45" s="652"/>
      <c r="BQ45" s="652"/>
      <c r="BR45" s="652"/>
      <c r="BS45" s="652"/>
      <c r="BT45" s="652"/>
      <c r="BU45" s="652"/>
      <c r="BV45" s="652"/>
      <c r="BW45" s="652"/>
      <c r="BX45" s="652"/>
      <c r="BY45" s="652"/>
      <c r="BZ45" s="311">
        <v>61</v>
      </c>
      <c r="CA45" s="311" t="s">
        <v>875</v>
      </c>
      <c r="CB45" s="311">
        <v>10</v>
      </c>
      <c r="CC45" s="311" t="s">
        <v>874</v>
      </c>
      <c r="CD45" s="329">
        <v>0</v>
      </c>
      <c r="CE45" s="329">
        <v>0.33</v>
      </c>
      <c r="CF45" s="329">
        <v>0.33</v>
      </c>
      <c r="CG45" s="329">
        <v>0.33</v>
      </c>
      <c r="CH45" s="329">
        <v>0.33</v>
      </c>
      <c r="CI45" s="329">
        <v>0.17</v>
      </c>
      <c r="CJ45" s="329">
        <v>0.23</v>
      </c>
      <c r="CK45" s="329">
        <v>0.27</v>
      </c>
      <c r="CL45" s="329">
        <v>0.33</v>
      </c>
      <c r="CM45" s="329">
        <v>0.2</v>
      </c>
      <c r="CN45" s="426">
        <v>50</v>
      </c>
      <c r="CO45" s="426" t="s">
        <v>874</v>
      </c>
      <c r="CP45" s="426">
        <v>12</v>
      </c>
      <c r="CQ45" s="426" t="s">
        <v>874</v>
      </c>
      <c r="CR45" s="430">
        <v>0.14000000000000001</v>
      </c>
      <c r="CS45" s="430">
        <v>0.56999999999999995</v>
      </c>
      <c r="CT45" s="430">
        <v>0.28999999999999998</v>
      </c>
      <c r="CU45" s="430">
        <v>0</v>
      </c>
      <c r="CV45" s="430">
        <v>0.42</v>
      </c>
      <c r="CW45" s="430">
        <v>0.53</v>
      </c>
      <c r="CX45" s="430">
        <v>0.61</v>
      </c>
      <c r="CY45" s="430">
        <v>1</v>
      </c>
      <c r="CZ45" s="527">
        <v>0.54</v>
      </c>
      <c r="DA45" s="527">
        <v>0.67</v>
      </c>
      <c r="DB45" s="619"/>
      <c r="DC45" s="619"/>
      <c r="DD45" s="619"/>
      <c r="DE45" s="619"/>
      <c r="DF45" s="664"/>
      <c r="DG45" s="664"/>
      <c r="DH45" s="664"/>
      <c r="DI45" s="664"/>
      <c r="DJ45" s="664"/>
      <c r="DK45" s="664"/>
      <c r="DL45" s="664"/>
      <c r="DM45" s="664"/>
      <c r="DN45" s="664"/>
      <c r="DO45" s="664"/>
    </row>
    <row r="46" spans="1:119" ht="24.95" customHeight="1" x14ac:dyDescent="0.2">
      <c r="A46" s="126" t="s">
        <v>63</v>
      </c>
      <c r="B46" s="1" t="s">
        <v>221</v>
      </c>
      <c r="C46" s="2">
        <v>4</v>
      </c>
      <c r="D46" s="12">
        <v>48</v>
      </c>
      <c r="E46" s="12">
        <v>11</v>
      </c>
      <c r="F46" s="63">
        <v>0.3</v>
      </c>
      <c r="G46" s="63">
        <v>0.4</v>
      </c>
      <c r="H46" s="63">
        <v>0.3</v>
      </c>
      <c r="I46" s="63">
        <v>0</v>
      </c>
      <c r="J46" s="63">
        <v>0.57999999999999996</v>
      </c>
      <c r="K46" s="63">
        <v>0.57999999999999996</v>
      </c>
      <c r="L46" s="63">
        <v>0.61</v>
      </c>
      <c r="M46" s="63">
        <v>0.39</v>
      </c>
      <c r="N46" s="63">
        <v>0.53</v>
      </c>
      <c r="O46" s="63">
        <v>0.6</v>
      </c>
      <c r="P46" s="12">
        <v>53</v>
      </c>
      <c r="Q46" s="12">
        <v>11</v>
      </c>
      <c r="R46" s="61">
        <v>0.2</v>
      </c>
      <c r="S46" s="61">
        <v>0.2</v>
      </c>
      <c r="T46" s="61">
        <v>0.6</v>
      </c>
      <c r="U46" s="61">
        <v>0</v>
      </c>
      <c r="V46" s="61">
        <v>0.38</v>
      </c>
      <c r="W46" s="61">
        <v>0.34</v>
      </c>
      <c r="X46" s="61">
        <v>0.6</v>
      </c>
      <c r="Y46" s="61">
        <v>0.4</v>
      </c>
      <c r="Z46" s="61">
        <v>0.48</v>
      </c>
      <c r="AA46" s="61">
        <v>0.5</v>
      </c>
      <c r="AB46" s="12">
        <v>51</v>
      </c>
      <c r="AC46" s="12">
        <v>11</v>
      </c>
      <c r="AD46" s="63">
        <v>0.09</v>
      </c>
      <c r="AE46" s="63">
        <v>0.73</v>
      </c>
      <c r="AF46" s="63">
        <v>0.09</v>
      </c>
      <c r="AG46" s="63">
        <v>0.09</v>
      </c>
      <c r="AH46" s="63">
        <v>0.42</v>
      </c>
      <c r="AI46" s="63">
        <v>0.42</v>
      </c>
      <c r="AJ46" s="63">
        <v>0.34</v>
      </c>
      <c r="AK46" s="63">
        <v>0.49</v>
      </c>
      <c r="AL46" s="63">
        <v>0.57999999999999996</v>
      </c>
      <c r="AM46" s="63">
        <v>0.47</v>
      </c>
      <c r="AN46" s="12">
        <v>55</v>
      </c>
      <c r="AO46" s="12">
        <v>10</v>
      </c>
      <c r="AP46" s="63">
        <v>0</v>
      </c>
      <c r="AQ46" s="63">
        <v>0.5</v>
      </c>
      <c r="AR46" s="63">
        <v>0.5</v>
      </c>
      <c r="AS46" s="63">
        <v>0</v>
      </c>
      <c r="AT46" s="63">
        <v>0.53</v>
      </c>
      <c r="AU46" s="63">
        <v>0.39</v>
      </c>
      <c r="AV46" s="63">
        <v>0.31</v>
      </c>
      <c r="AW46" s="63">
        <v>0.38</v>
      </c>
      <c r="AX46" s="63">
        <v>0.34</v>
      </c>
      <c r="AY46" s="63">
        <v>0.33</v>
      </c>
      <c r="AZ46" s="35">
        <v>46</v>
      </c>
      <c r="BA46" s="35">
        <v>10</v>
      </c>
      <c r="BB46" s="40">
        <v>0.31</v>
      </c>
      <c r="BC46" s="40">
        <v>0.46</v>
      </c>
      <c r="BD46" s="40">
        <v>0.23</v>
      </c>
      <c r="BE46" s="40">
        <v>0</v>
      </c>
      <c r="BF46" s="40">
        <v>0.6</v>
      </c>
      <c r="BG46" s="40">
        <v>0.53</v>
      </c>
      <c r="BH46" s="40">
        <v>0.53</v>
      </c>
      <c r="BI46" s="40">
        <v>0.62</v>
      </c>
      <c r="BJ46" s="40">
        <v>0.46</v>
      </c>
      <c r="BK46" s="40">
        <v>0.4</v>
      </c>
      <c r="BL46" s="653">
        <v>54</v>
      </c>
      <c r="BM46" s="653" t="s">
        <v>874</v>
      </c>
      <c r="BN46" s="653">
        <v>10</v>
      </c>
      <c r="BO46" s="653" t="s">
        <v>874</v>
      </c>
      <c r="BP46" s="654">
        <v>0.1</v>
      </c>
      <c r="BQ46" s="654">
        <v>0.38</v>
      </c>
      <c r="BR46" s="654">
        <v>0.48</v>
      </c>
      <c r="BS46" s="654">
        <v>0.05</v>
      </c>
      <c r="BT46" s="654">
        <v>0.44</v>
      </c>
      <c r="BU46" s="654">
        <v>0.46</v>
      </c>
      <c r="BV46" s="654">
        <v>0.56999999999999995</v>
      </c>
      <c r="BW46" s="654">
        <v>0.37</v>
      </c>
      <c r="BX46" s="654">
        <v>0.35</v>
      </c>
      <c r="BY46" s="654">
        <v>0.45</v>
      </c>
      <c r="BZ46" s="74">
        <v>47</v>
      </c>
      <c r="CA46" s="74" t="s">
        <v>874</v>
      </c>
      <c r="CB46" s="74">
        <v>10</v>
      </c>
      <c r="CC46" s="74" t="s">
        <v>874</v>
      </c>
      <c r="CD46" s="96">
        <v>0.2</v>
      </c>
      <c r="CE46" s="96">
        <v>0.56000000000000005</v>
      </c>
      <c r="CF46" s="96">
        <v>0.24</v>
      </c>
      <c r="CG46" s="96">
        <v>0</v>
      </c>
      <c r="CH46" s="96">
        <v>0.67</v>
      </c>
      <c r="CI46" s="96">
        <v>0.44</v>
      </c>
      <c r="CJ46" s="96">
        <v>0.66</v>
      </c>
      <c r="CK46" s="96">
        <v>0.53</v>
      </c>
      <c r="CL46" s="96">
        <v>0.5</v>
      </c>
      <c r="CM46" s="96">
        <v>0.56999999999999995</v>
      </c>
      <c r="CN46" s="658">
        <v>48</v>
      </c>
      <c r="CO46" s="658" t="s">
        <v>874</v>
      </c>
      <c r="CP46" s="658">
        <v>9</v>
      </c>
      <c r="CQ46" s="658" t="s">
        <v>874</v>
      </c>
      <c r="CR46" s="659">
        <v>0.22</v>
      </c>
      <c r="CS46" s="659">
        <v>0.61</v>
      </c>
      <c r="CT46" s="659">
        <v>0.17</v>
      </c>
      <c r="CU46" s="659">
        <v>0</v>
      </c>
      <c r="CV46" s="659">
        <v>0.42</v>
      </c>
      <c r="CW46" s="659">
        <v>0.59</v>
      </c>
      <c r="CX46" s="659">
        <v>0.55000000000000004</v>
      </c>
      <c r="CY46" s="659">
        <v>0.73</v>
      </c>
      <c r="CZ46" s="667">
        <v>0.57999999999999996</v>
      </c>
      <c r="DA46" s="667">
        <v>0.53</v>
      </c>
      <c r="DB46" s="47">
        <v>45</v>
      </c>
      <c r="DC46" s="47" t="s">
        <v>874</v>
      </c>
      <c r="DD46" s="47">
        <v>10</v>
      </c>
      <c r="DE46" s="47" t="s">
        <v>874</v>
      </c>
      <c r="DF46" s="670">
        <v>0.28999999999999998</v>
      </c>
      <c r="DG46" s="670">
        <v>0.52</v>
      </c>
      <c r="DH46" s="670">
        <v>0.16</v>
      </c>
      <c r="DI46" s="670">
        <v>0.03</v>
      </c>
      <c r="DJ46" s="670">
        <v>0.53</v>
      </c>
      <c r="DK46" s="670">
        <v>0.41</v>
      </c>
      <c r="DL46" s="670">
        <v>0.5</v>
      </c>
      <c r="DM46" s="670">
        <v>0.77</v>
      </c>
      <c r="DN46" s="670">
        <v>0.57999999999999996</v>
      </c>
      <c r="DO46" s="670">
        <v>0.5</v>
      </c>
    </row>
    <row r="47" spans="1:119" ht="24.95" customHeight="1" x14ac:dyDescent="0.2">
      <c r="A47" s="560" t="s">
        <v>44</v>
      </c>
      <c r="B47" s="1" t="s">
        <v>221</v>
      </c>
      <c r="C47" s="311">
        <v>1</v>
      </c>
      <c r="D47" s="330">
        <v>48</v>
      </c>
      <c r="E47" s="330">
        <v>8</v>
      </c>
      <c r="F47" s="329">
        <v>0.33</v>
      </c>
      <c r="G47" s="329">
        <v>0.6</v>
      </c>
      <c r="H47" s="329">
        <v>7.0000000000000007E-2</v>
      </c>
      <c r="I47" s="329">
        <v>0</v>
      </c>
      <c r="J47" s="329">
        <v>0.57999999999999996</v>
      </c>
      <c r="K47" s="329">
        <v>0.57999999999999996</v>
      </c>
      <c r="L47" s="329">
        <v>0.71</v>
      </c>
      <c r="M47" s="329">
        <v>0.39</v>
      </c>
      <c r="N47" s="329">
        <v>0.5</v>
      </c>
      <c r="O47" s="329">
        <v>0.5</v>
      </c>
      <c r="P47" s="330" t="s">
        <v>224</v>
      </c>
      <c r="Q47" s="330" t="s">
        <v>224</v>
      </c>
      <c r="R47" s="332"/>
      <c r="S47" s="332"/>
      <c r="T47" s="332"/>
      <c r="U47" s="332"/>
      <c r="V47" s="332"/>
      <c r="W47" s="332"/>
      <c r="X47" s="332"/>
      <c r="Y47" s="332"/>
      <c r="Z47" s="332"/>
      <c r="AA47" s="332"/>
      <c r="AB47" s="330" t="s">
        <v>224</v>
      </c>
      <c r="AC47" s="330" t="s">
        <v>224</v>
      </c>
      <c r="AD47" s="311"/>
      <c r="AE47" s="311"/>
      <c r="AF47" s="311"/>
      <c r="AG47" s="311"/>
      <c r="AH47" s="311"/>
      <c r="AI47" s="311"/>
      <c r="AJ47" s="311"/>
      <c r="AK47" s="311"/>
      <c r="AL47" s="311"/>
      <c r="AM47" s="311"/>
      <c r="AN47" s="330" t="s">
        <v>224</v>
      </c>
      <c r="AO47" s="330" t="s">
        <v>224</v>
      </c>
      <c r="AP47" s="311"/>
      <c r="AQ47" s="311"/>
      <c r="AR47" s="311"/>
      <c r="AS47" s="311"/>
      <c r="AT47" s="311"/>
      <c r="AU47" s="311"/>
      <c r="AV47" s="311"/>
      <c r="AW47" s="311"/>
      <c r="AX47" s="311"/>
      <c r="AY47" s="311"/>
      <c r="AZ47" s="313"/>
      <c r="BA47" s="313"/>
      <c r="BB47" s="333"/>
      <c r="BC47" s="333"/>
      <c r="BD47" s="333"/>
      <c r="BE47" s="333"/>
      <c r="BF47" s="333"/>
      <c r="BG47" s="333"/>
      <c r="BH47" s="333"/>
      <c r="BI47" s="333"/>
      <c r="BJ47" s="333"/>
      <c r="BK47" s="333"/>
      <c r="BZ47" s="655"/>
      <c r="CA47" s="655"/>
      <c r="CB47" s="655"/>
      <c r="CC47" s="655"/>
      <c r="CD47" s="655"/>
      <c r="CE47" s="655"/>
      <c r="CF47" s="655"/>
      <c r="CG47" s="655"/>
      <c r="CH47" s="655"/>
      <c r="CI47" s="655"/>
      <c r="CJ47" s="655"/>
      <c r="CK47" s="655"/>
      <c r="CL47" s="655"/>
      <c r="CM47" s="655"/>
      <c r="CN47" s="657"/>
      <c r="CO47" s="657"/>
      <c r="CP47" s="657"/>
      <c r="CQ47" s="657"/>
      <c r="CR47" s="657"/>
      <c r="CS47" s="657"/>
      <c r="CT47" s="657"/>
      <c r="CU47" s="657"/>
      <c r="CV47" s="657"/>
      <c r="CW47" s="657"/>
      <c r="CX47" s="657"/>
      <c r="CY47" s="657"/>
      <c r="CZ47" s="666"/>
      <c r="DA47" s="666"/>
      <c r="DB47" s="666"/>
      <c r="DC47" s="666"/>
      <c r="DD47" s="666"/>
      <c r="DE47" s="666"/>
      <c r="DF47" s="666"/>
      <c r="DG47" s="666"/>
      <c r="DH47" s="666"/>
      <c r="DI47" s="666"/>
      <c r="DJ47" s="666"/>
      <c r="DK47" s="666"/>
      <c r="DL47" s="666"/>
      <c r="DM47" s="666"/>
      <c r="DN47" s="666"/>
      <c r="DO47" s="666"/>
    </row>
    <row r="48" spans="1:119" ht="24.95" customHeight="1" x14ac:dyDescent="0.2">
      <c r="A48" s="126" t="s">
        <v>69</v>
      </c>
      <c r="B48" s="1" t="s">
        <v>221</v>
      </c>
      <c r="C48" s="2">
        <v>2</v>
      </c>
      <c r="D48" s="12">
        <v>44</v>
      </c>
      <c r="E48" s="12">
        <v>7</v>
      </c>
      <c r="F48" s="63">
        <v>0.33</v>
      </c>
      <c r="G48" s="63">
        <v>0.67</v>
      </c>
      <c r="H48" s="63">
        <v>0</v>
      </c>
      <c r="I48" s="63">
        <v>0</v>
      </c>
      <c r="J48" s="63">
        <v>0.71</v>
      </c>
      <c r="K48" s="63">
        <v>0.57999999999999996</v>
      </c>
      <c r="L48" s="63">
        <v>0.71</v>
      </c>
      <c r="M48" s="63">
        <v>0.5</v>
      </c>
      <c r="N48" s="63">
        <v>0.56000000000000005</v>
      </c>
      <c r="O48" s="63">
        <v>0.56000000000000005</v>
      </c>
      <c r="P48" s="12" t="s">
        <v>224</v>
      </c>
      <c r="Q48" s="12" t="s">
        <v>224</v>
      </c>
      <c r="R48" s="61"/>
      <c r="S48" s="61"/>
      <c r="T48" s="61"/>
      <c r="U48" s="61"/>
      <c r="V48" s="61"/>
      <c r="W48" s="61"/>
      <c r="X48" s="61"/>
      <c r="Y48" s="61"/>
      <c r="Z48" s="61"/>
      <c r="AA48" s="61"/>
      <c r="AB48" s="12">
        <v>38</v>
      </c>
      <c r="AC48" s="12">
        <v>6</v>
      </c>
      <c r="AD48" s="63">
        <v>0.71</v>
      </c>
      <c r="AE48" s="63">
        <v>0.28999999999999998</v>
      </c>
      <c r="AF48" s="63">
        <v>0</v>
      </c>
      <c r="AG48" s="63">
        <v>0</v>
      </c>
      <c r="AH48" s="63">
        <v>0.59</v>
      </c>
      <c r="AI48" s="63">
        <v>0.75</v>
      </c>
      <c r="AJ48" s="63">
        <v>0.64</v>
      </c>
      <c r="AK48" s="63">
        <v>0.69</v>
      </c>
      <c r="AL48" s="63">
        <v>0.72</v>
      </c>
      <c r="AM48" s="63">
        <v>0.69</v>
      </c>
      <c r="AN48" s="12">
        <v>45</v>
      </c>
      <c r="AO48" s="12">
        <v>10</v>
      </c>
      <c r="AP48" s="63">
        <v>0.31</v>
      </c>
      <c r="AQ48" s="63">
        <v>0.54</v>
      </c>
      <c r="AR48" s="63">
        <v>0.15</v>
      </c>
      <c r="AS48" s="63">
        <v>0</v>
      </c>
      <c r="AT48" s="63">
        <v>0.49</v>
      </c>
      <c r="AU48" s="63">
        <v>0.62</v>
      </c>
      <c r="AV48" s="63">
        <v>0.53</v>
      </c>
      <c r="AW48" s="63">
        <v>0.48</v>
      </c>
      <c r="AX48" s="63">
        <v>0.52</v>
      </c>
      <c r="AY48" s="63">
        <v>0.64</v>
      </c>
      <c r="AZ48" s="35">
        <v>57</v>
      </c>
      <c r="BA48" s="35">
        <v>10</v>
      </c>
      <c r="BB48" s="40">
        <v>0.17</v>
      </c>
      <c r="BC48" s="40">
        <v>0.17</v>
      </c>
      <c r="BD48" s="40">
        <v>0.67</v>
      </c>
      <c r="BE48" s="40">
        <v>0</v>
      </c>
      <c r="BF48" s="40">
        <v>0.27</v>
      </c>
      <c r="BG48" s="40">
        <v>0.42</v>
      </c>
      <c r="BH48" s="40">
        <v>0.28999999999999998</v>
      </c>
      <c r="BI48" s="40">
        <v>0.28000000000000003</v>
      </c>
      <c r="BJ48" s="40">
        <v>0.36</v>
      </c>
      <c r="BK48" s="40">
        <v>0.27</v>
      </c>
      <c r="BL48" s="247">
        <v>46</v>
      </c>
      <c r="BM48" s="247" t="s">
        <v>874</v>
      </c>
      <c r="BN48" s="247">
        <v>12</v>
      </c>
      <c r="BO48" s="247" t="s">
        <v>874</v>
      </c>
      <c r="BP48" s="264">
        <v>0.33</v>
      </c>
      <c r="BQ48" s="264">
        <v>0.42</v>
      </c>
      <c r="BR48" s="264">
        <v>0.25</v>
      </c>
      <c r="BS48" s="264">
        <v>0</v>
      </c>
      <c r="BT48" s="264">
        <v>0.52</v>
      </c>
      <c r="BU48" s="264">
        <v>0.44</v>
      </c>
      <c r="BV48" s="264">
        <v>0.18</v>
      </c>
      <c r="BW48" s="264">
        <v>0.49</v>
      </c>
      <c r="BX48" s="264">
        <v>0.57999999999999996</v>
      </c>
      <c r="BY48" s="264">
        <v>0.62</v>
      </c>
      <c r="BZ48" s="655"/>
      <c r="CA48" s="655"/>
      <c r="CB48" s="655"/>
      <c r="CC48" s="655"/>
      <c r="CD48" s="655"/>
      <c r="CE48" s="655"/>
      <c r="CF48" s="655"/>
      <c r="CG48" s="655"/>
      <c r="CH48" s="655"/>
      <c r="CI48" s="655"/>
      <c r="CJ48" s="655"/>
      <c r="CK48" s="655"/>
      <c r="CL48" s="655"/>
      <c r="CM48" s="655"/>
      <c r="CN48" s="426">
        <v>52</v>
      </c>
      <c r="CO48" s="426" t="s">
        <v>874</v>
      </c>
      <c r="CP48" s="426">
        <v>8</v>
      </c>
      <c r="CQ48" s="426" t="s">
        <v>874</v>
      </c>
      <c r="CR48" s="430">
        <v>0</v>
      </c>
      <c r="CS48" s="430">
        <v>0.71</v>
      </c>
      <c r="CT48" s="430">
        <v>0.28999999999999998</v>
      </c>
      <c r="CU48" s="430">
        <v>0</v>
      </c>
      <c r="CV48" s="430">
        <v>0.36</v>
      </c>
      <c r="CW48" s="430">
        <v>0.45</v>
      </c>
      <c r="CX48" s="430">
        <v>0.6</v>
      </c>
      <c r="CY48" s="430">
        <v>0.8</v>
      </c>
      <c r="CZ48" s="527">
        <v>0.33</v>
      </c>
      <c r="DA48" s="527">
        <v>0.28999999999999998</v>
      </c>
      <c r="DB48" s="528">
        <v>55</v>
      </c>
      <c r="DC48" s="528" t="s">
        <v>874</v>
      </c>
      <c r="DD48" s="528">
        <v>9</v>
      </c>
      <c r="DE48" s="528" t="s">
        <v>874</v>
      </c>
      <c r="DF48" s="529">
        <v>0</v>
      </c>
      <c r="DG48" s="529">
        <v>0.46</v>
      </c>
      <c r="DH48" s="529">
        <v>0.46</v>
      </c>
      <c r="DI48" s="529">
        <v>0.08</v>
      </c>
      <c r="DJ48" s="529">
        <v>0.43</v>
      </c>
      <c r="DK48" s="529">
        <v>0.44</v>
      </c>
      <c r="DL48" s="529">
        <v>0.37</v>
      </c>
      <c r="DM48" s="529">
        <v>0.55000000000000004</v>
      </c>
      <c r="DN48" s="529">
        <v>0.52</v>
      </c>
      <c r="DO48" s="529">
        <v>0.33</v>
      </c>
    </row>
    <row r="49" spans="1:119" ht="24.95" customHeight="1" x14ac:dyDescent="0.2">
      <c r="A49" s="36" t="s">
        <v>268</v>
      </c>
      <c r="B49" s="1" t="s">
        <v>221</v>
      </c>
      <c r="C49" s="2">
        <v>6</v>
      </c>
      <c r="D49" s="12"/>
      <c r="E49" s="12"/>
      <c r="F49" s="12"/>
      <c r="G49" s="12"/>
      <c r="H49" s="12"/>
      <c r="I49" s="12"/>
      <c r="J49" s="12"/>
      <c r="K49" s="12"/>
      <c r="L49" s="12"/>
      <c r="M49" s="12"/>
      <c r="N49" s="12"/>
      <c r="O49" s="12"/>
      <c r="P49" s="12" t="s">
        <v>224</v>
      </c>
      <c r="Q49" s="12" t="s">
        <v>224</v>
      </c>
      <c r="R49" s="61"/>
      <c r="S49" s="61"/>
      <c r="T49" s="61"/>
      <c r="U49" s="61"/>
      <c r="V49" s="61"/>
      <c r="W49" s="61"/>
      <c r="X49" s="61"/>
      <c r="Y49" s="61"/>
      <c r="Z49" s="61"/>
      <c r="AA49" s="61"/>
      <c r="AB49" s="12" t="s">
        <v>224</v>
      </c>
      <c r="AC49" s="12" t="s">
        <v>224</v>
      </c>
      <c r="AD49" s="2"/>
      <c r="AE49" s="2"/>
      <c r="AF49" s="2"/>
      <c r="AG49" s="2"/>
      <c r="AH49" s="2"/>
      <c r="AI49" s="2"/>
      <c r="AJ49" s="2"/>
      <c r="AK49" s="2"/>
      <c r="AL49" s="2"/>
      <c r="AM49" s="2"/>
      <c r="AN49" s="12" t="s">
        <v>224</v>
      </c>
      <c r="AO49" s="12" t="s">
        <v>224</v>
      </c>
      <c r="AP49" s="2"/>
      <c r="AQ49" s="2"/>
      <c r="AR49" s="2"/>
      <c r="AS49" s="2"/>
      <c r="AT49" s="2"/>
      <c r="AU49" s="2"/>
      <c r="AV49" s="2"/>
      <c r="AW49" s="2"/>
      <c r="AX49" s="2"/>
      <c r="AY49" s="2"/>
      <c r="AZ49" s="35">
        <v>48</v>
      </c>
      <c r="BA49" s="35">
        <v>8</v>
      </c>
      <c r="BB49" s="40">
        <v>0.16</v>
      </c>
      <c r="BC49" s="40">
        <v>0.68</v>
      </c>
      <c r="BD49" s="40">
        <v>0.16</v>
      </c>
      <c r="BE49" s="40">
        <v>0</v>
      </c>
      <c r="BF49" s="40">
        <v>0.47</v>
      </c>
      <c r="BG49" s="40">
        <v>0.5</v>
      </c>
      <c r="BH49" s="40">
        <v>0.52</v>
      </c>
      <c r="BI49" s="40">
        <v>0.61</v>
      </c>
      <c r="BJ49" s="40">
        <v>0.51</v>
      </c>
      <c r="BK49" s="40">
        <v>0.4</v>
      </c>
      <c r="BL49" s="653">
        <v>51</v>
      </c>
      <c r="BM49" s="653" t="s">
        <v>874</v>
      </c>
      <c r="BN49" s="653">
        <v>12</v>
      </c>
      <c r="BO49" s="653" t="s">
        <v>874</v>
      </c>
      <c r="BP49" s="654">
        <v>0.23</v>
      </c>
      <c r="BQ49" s="654">
        <v>0.27</v>
      </c>
      <c r="BR49" s="654">
        <v>0.5</v>
      </c>
      <c r="BS49" s="654">
        <v>0</v>
      </c>
      <c r="BT49" s="654">
        <v>0.47</v>
      </c>
      <c r="BU49" s="654">
        <v>0.45</v>
      </c>
      <c r="BV49" s="654">
        <v>0.45</v>
      </c>
      <c r="BW49" s="654">
        <v>0.39</v>
      </c>
      <c r="BX49" s="654">
        <v>0.4</v>
      </c>
      <c r="BY49" s="654">
        <v>0.48</v>
      </c>
      <c r="BZ49" s="74">
        <v>46</v>
      </c>
      <c r="CA49" s="74" t="s">
        <v>874</v>
      </c>
      <c r="CB49" s="74">
        <v>11</v>
      </c>
      <c r="CC49" s="74" t="s">
        <v>874</v>
      </c>
      <c r="CD49" s="96">
        <v>0.31</v>
      </c>
      <c r="CE49" s="96">
        <v>0.44</v>
      </c>
      <c r="CF49" s="96">
        <v>0.25</v>
      </c>
      <c r="CG49" s="96">
        <v>0</v>
      </c>
      <c r="CH49" s="96">
        <v>0.51</v>
      </c>
      <c r="CI49" s="96">
        <v>0.38</v>
      </c>
      <c r="CJ49" s="96">
        <v>0.64</v>
      </c>
      <c r="CK49" s="96">
        <v>0.6</v>
      </c>
      <c r="CL49" s="96">
        <v>0.42</v>
      </c>
      <c r="CM49" s="96">
        <v>0.57999999999999996</v>
      </c>
      <c r="CN49" s="658">
        <v>50</v>
      </c>
      <c r="CO49" s="658" t="s">
        <v>874</v>
      </c>
      <c r="CP49" s="658">
        <v>11</v>
      </c>
      <c r="CQ49" s="658" t="s">
        <v>874</v>
      </c>
      <c r="CR49" s="659">
        <v>0.25</v>
      </c>
      <c r="CS49" s="659">
        <v>0.46</v>
      </c>
      <c r="CT49" s="659">
        <v>0.28999999999999998</v>
      </c>
      <c r="CU49" s="659">
        <v>0</v>
      </c>
      <c r="CV49" s="659">
        <v>0.45</v>
      </c>
      <c r="CW49" s="659">
        <v>0.59</v>
      </c>
      <c r="CX49" s="659">
        <v>0.57999999999999996</v>
      </c>
      <c r="CY49" s="659">
        <v>0.69</v>
      </c>
      <c r="CZ49" s="667">
        <v>0.44</v>
      </c>
      <c r="DA49" s="667">
        <v>0.59</v>
      </c>
      <c r="DB49" s="47">
        <v>49</v>
      </c>
      <c r="DC49" s="47" t="s">
        <v>874</v>
      </c>
      <c r="DD49" s="47">
        <v>9</v>
      </c>
      <c r="DE49" s="47" t="s">
        <v>874</v>
      </c>
      <c r="DF49" s="670">
        <v>0.15</v>
      </c>
      <c r="DG49" s="670">
        <v>0.51</v>
      </c>
      <c r="DH49" s="670">
        <v>0.33</v>
      </c>
      <c r="DI49" s="670">
        <v>0</v>
      </c>
      <c r="DJ49" s="670">
        <v>0.53</v>
      </c>
      <c r="DK49" s="670">
        <v>0.45</v>
      </c>
      <c r="DL49" s="670">
        <v>0.46</v>
      </c>
      <c r="DM49" s="670">
        <v>0.63</v>
      </c>
      <c r="DN49" s="670">
        <v>0.59</v>
      </c>
      <c r="DO49" s="670">
        <v>0.5</v>
      </c>
    </row>
    <row r="50" spans="1:119" ht="24.95" customHeight="1" x14ac:dyDescent="0.2">
      <c r="A50" s="126" t="s">
        <v>223</v>
      </c>
      <c r="B50" s="1" t="s">
        <v>221</v>
      </c>
      <c r="C50" s="2">
        <v>3</v>
      </c>
      <c r="D50" s="12"/>
      <c r="E50" s="12"/>
      <c r="F50" s="12"/>
      <c r="G50" s="12"/>
      <c r="H50" s="12"/>
      <c r="I50" s="12"/>
      <c r="J50" s="12"/>
      <c r="K50" s="12"/>
      <c r="L50" s="12"/>
      <c r="M50" s="12"/>
      <c r="N50" s="12"/>
      <c r="O50" s="12"/>
      <c r="P50" s="12">
        <v>51</v>
      </c>
      <c r="Q50" s="12">
        <v>9</v>
      </c>
      <c r="R50" s="61">
        <v>0.1</v>
      </c>
      <c r="S50" s="61">
        <v>0.59</v>
      </c>
      <c r="T50" s="61">
        <v>0.3</v>
      </c>
      <c r="U50" s="61">
        <v>0.01</v>
      </c>
      <c r="V50" s="61">
        <v>0.44</v>
      </c>
      <c r="W50" s="61">
        <v>0.46</v>
      </c>
      <c r="X50" s="61">
        <v>0.61</v>
      </c>
      <c r="Y50" s="61">
        <v>0.44</v>
      </c>
      <c r="Z50" s="61">
        <v>0.42</v>
      </c>
      <c r="AA50" s="61">
        <v>0.48</v>
      </c>
      <c r="AB50" s="12">
        <v>47</v>
      </c>
      <c r="AC50" s="12">
        <v>10</v>
      </c>
      <c r="AD50" s="63">
        <v>0.3</v>
      </c>
      <c r="AE50" s="63">
        <v>0.5</v>
      </c>
      <c r="AF50" s="63">
        <v>0.2</v>
      </c>
      <c r="AG50" s="63">
        <v>0</v>
      </c>
      <c r="AH50" s="63">
        <v>0.47</v>
      </c>
      <c r="AI50" s="63">
        <v>0.48</v>
      </c>
      <c r="AJ50" s="63">
        <v>0.46</v>
      </c>
      <c r="AK50" s="63">
        <v>0.56000000000000005</v>
      </c>
      <c r="AL50" s="63">
        <v>0.56999999999999995</v>
      </c>
      <c r="AM50" s="63">
        <v>0.56999999999999995</v>
      </c>
      <c r="AN50" s="12">
        <v>45</v>
      </c>
      <c r="AO50" s="12">
        <v>10</v>
      </c>
      <c r="AP50" s="63">
        <v>0.32</v>
      </c>
      <c r="AQ50" s="63">
        <v>0.5</v>
      </c>
      <c r="AR50" s="63">
        <v>0.17</v>
      </c>
      <c r="AS50" s="63">
        <v>0.01</v>
      </c>
      <c r="AT50" s="63">
        <v>0.6</v>
      </c>
      <c r="AU50" s="63">
        <v>0.48</v>
      </c>
      <c r="AV50" s="63">
        <v>0.52</v>
      </c>
      <c r="AW50" s="63">
        <v>0.5</v>
      </c>
      <c r="AX50" s="63">
        <v>0.53</v>
      </c>
      <c r="AY50" s="63">
        <v>0.54</v>
      </c>
      <c r="AZ50" s="35">
        <v>46</v>
      </c>
      <c r="BA50" s="35">
        <v>11</v>
      </c>
      <c r="BB50" s="40">
        <v>0.38</v>
      </c>
      <c r="BC50" s="40">
        <v>0.43</v>
      </c>
      <c r="BD50" s="40">
        <v>0.18</v>
      </c>
      <c r="BE50" s="40">
        <v>0.01</v>
      </c>
      <c r="BF50" s="40">
        <v>0.54</v>
      </c>
      <c r="BG50" s="40">
        <v>0.51</v>
      </c>
      <c r="BH50" s="40">
        <v>0.55000000000000004</v>
      </c>
      <c r="BI50" s="40">
        <v>0.64</v>
      </c>
      <c r="BJ50" s="40">
        <v>0.47</v>
      </c>
      <c r="BK50" s="40">
        <v>0.55000000000000004</v>
      </c>
      <c r="BL50" s="247">
        <v>46</v>
      </c>
      <c r="BM50" s="247" t="s">
        <v>874</v>
      </c>
      <c r="BN50" s="247">
        <v>10</v>
      </c>
      <c r="BO50" s="247" t="s">
        <v>874</v>
      </c>
      <c r="BP50" s="264">
        <v>0.33</v>
      </c>
      <c r="BQ50" s="264">
        <v>0.48</v>
      </c>
      <c r="BR50" s="264">
        <v>0.18</v>
      </c>
      <c r="BS50" s="264">
        <v>0.01</v>
      </c>
      <c r="BT50" s="264">
        <v>0.48</v>
      </c>
      <c r="BU50" s="264">
        <v>0.55000000000000004</v>
      </c>
      <c r="BV50" s="264">
        <v>0.62</v>
      </c>
      <c r="BW50" s="264">
        <v>0.47</v>
      </c>
      <c r="BX50" s="264">
        <v>0.52</v>
      </c>
      <c r="BY50" s="264">
        <v>0.6</v>
      </c>
      <c r="BZ50" s="74">
        <v>47</v>
      </c>
      <c r="CA50" s="74" t="s">
        <v>874</v>
      </c>
      <c r="CB50" s="74">
        <v>9</v>
      </c>
      <c r="CC50" s="74" t="s">
        <v>874</v>
      </c>
      <c r="CD50" s="96">
        <v>0.26</v>
      </c>
      <c r="CE50" s="96">
        <v>0.56000000000000005</v>
      </c>
      <c r="CF50" s="96">
        <v>0.18</v>
      </c>
      <c r="CG50" s="96">
        <v>0</v>
      </c>
      <c r="CH50" s="96">
        <v>0.53</v>
      </c>
      <c r="CI50" s="96">
        <v>0.51</v>
      </c>
      <c r="CJ50" s="96">
        <v>0.59</v>
      </c>
      <c r="CK50" s="96">
        <v>0.59</v>
      </c>
      <c r="CL50" s="96">
        <v>0.49</v>
      </c>
      <c r="CM50" s="96">
        <v>0.62</v>
      </c>
      <c r="CN50" s="426">
        <v>49</v>
      </c>
      <c r="CO50" s="426" t="s">
        <v>874</v>
      </c>
      <c r="CP50" s="426">
        <v>9</v>
      </c>
      <c r="CQ50" s="426" t="s">
        <v>874</v>
      </c>
      <c r="CR50" s="430">
        <v>0.23</v>
      </c>
      <c r="CS50" s="430">
        <v>0.52</v>
      </c>
      <c r="CT50" s="430">
        <v>0.25</v>
      </c>
      <c r="CU50" s="430">
        <v>0</v>
      </c>
      <c r="CV50" s="430">
        <v>0.35</v>
      </c>
      <c r="CW50" s="430">
        <v>0.56999999999999995</v>
      </c>
      <c r="CX50" s="430">
        <v>0.56999999999999995</v>
      </c>
      <c r="CY50" s="430">
        <v>0.68</v>
      </c>
      <c r="CZ50" s="527">
        <v>0.59</v>
      </c>
      <c r="DA50" s="527">
        <v>0.6</v>
      </c>
      <c r="DB50" s="528">
        <v>47</v>
      </c>
      <c r="DC50" s="528" t="s">
        <v>874</v>
      </c>
      <c r="DD50" s="528">
        <v>10</v>
      </c>
      <c r="DE50" s="528" t="s">
        <v>874</v>
      </c>
      <c r="DF50" s="529">
        <v>0.28000000000000003</v>
      </c>
      <c r="DG50" s="529">
        <v>0.48</v>
      </c>
      <c r="DH50" s="529">
        <v>0.23</v>
      </c>
      <c r="DI50" s="529">
        <v>0.01</v>
      </c>
      <c r="DJ50" s="529">
        <v>0.51</v>
      </c>
      <c r="DK50" s="529">
        <v>0.54</v>
      </c>
      <c r="DL50" s="529">
        <v>0.54</v>
      </c>
      <c r="DM50" s="529">
        <v>0.69</v>
      </c>
      <c r="DN50" s="529">
        <v>0.6</v>
      </c>
      <c r="DO50" s="529">
        <v>0.43</v>
      </c>
    </row>
    <row r="51" spans="1:119" ht="25.5" customHeight="1" x14ac:dyDescent="0.2">
      <c r="A51" s="126" t="s">
        <v>126</v>
      </c>
      <c r="B51" s="1" t="s">
        <v>221</v>
      </c>
      <c r="C51" s="2">
        <v>2</v>
      </c>
      <c r="D51" s="12">
        <v>60</v>
      </c>
      <c r="E51" s="12">
        <v>8</v>
      </c>
      <c r="F51" s="63">
        <v>0.01</v>
      </c>
      <c r="G51" s="63">
        <v>0.28999999999999998</v>
      </c>
      <c r="H51" s="63">
        <v>0.63</v>
      </c>
      <c r="I51" s="63">
        <v>7.0000000000000007E-2</v>
      </c>
      <c r="J51" s="63">
        <v>0.4</v>
      </c>
      <c r="K51" s="63">
        <v>0.37</v>
      </c>
      <c r="L51" s="63">
        <v>0.46</v>
      </c>
      <c r="M51" s="63">
        <v>0.25</v>
      </c>
      <c r="N51" s="63">
        <v>0.28000000000000003</v>
      </c>
      <c r="O51" s="63">
        <v>0.35</v>
      </c>
      <c r="P51" s="12">
        <v>58</v>
      </c>
      <c r="Q51" s="12">
        <v>9</v>
      </c>
      <c r="R51" s="61">
        <v>0.03</v>
      </c>
      <c r="S51" s="61">
        <v>0.4</v>
      </c>
      <c r="T51" s="61">
        <v>0.51</v>
      </c>
      <c r="U51" s="61">
        <v>0.06</v>
      </c>
      <c r="V51" s="61">
        <v>0.28999999999999998</v>
      </c>
      <c r="W51" s="61">
        <v>0.39</v>
      </c>
      <c r="X51" s="61">
        <v>0.45</v>
      </c>
      <c r="Y51" s="61">
        <v>0.37</v>
      </c>
      <c r="Z51" s="61">
        <v>0.32</v>
      </c>
      <c r="AA51" s="61">
        <v>0.4</v>
      </c>
      <c r="AB51" s="12">
        <v>58</v>
      </c>
      <c r="AC51" s="12">
        <v>9</v>
      </c>
      <c r="AD51" s="63">
        <v>0.03</v>
      </c>
      <c r="AE51" s="63">
        <v>0.38</v>
      </c>
      <c r="AF51" s="63">
        <v>0.52</v>
      </c>
      <c r="AG51" s="63">
        <v>7.0000000000000007E-2</v>
      </c>
      <c r="AH51" s="63">
        <v>0.28999999999999998</v>
      </c>
      <c r="AI51" s="63">
        <v>0.28999999999999998</v>
      </c>
      <c r="AJ51" s="63">
        <v>0.26</v>
      </c>
      <c r="AK51" s="63">
        <v>0.36</v>
      </c>
      <c r="AL51" s="63">
        <v>0.42</v>
      </c>
      <c r="AM51" s="63">
        <v>0.38</v>
      </c>
      <c r="AN51" s="12">
        <v>55</v>
      </c>
      <c r="AO51" s="12">
        <v>9</v>
      </c>
      <c r="AP51" s="63">
        <v>0.08</v>
      </c>
      <c r="AQ51" s="63">
        <v>0.43</v>
      </c>
      <c r="AR51" s="63">
        <v>0.45</v>
      </c>
      <c r="AS51" s="63">
        <v>0.04</v>
      </c>
      <c r="AT51" s="63">
        <v>0.44</v>
      </c>
      <c r="AU51" s="63">
        <v>0.39</v>
      </c>
      <c r="AV51" s="63">
        <v>0.32</v>
      </c>
      <c r="AW51" s="63">
        <v>0.39</v>
      </c>
      <c r="AX51" s="63">
        <v>0.34</v>
      </c>
      <c r="AY51" s="63">
        <v>0.35</v>
      </c>
      <c r="AZ51" s="35">
        <v>60</v>
      </c>
      <c r="BA51" s="35">
        <v>11</v>
      </c>
      <c r="BB51" s="40">
        <v>0.02</v>
      </c>
      <c r="BC51" s="40">
        <v>0.33</v>
      </c>
      <c r="BD51" s="40">
        <v>0.56000000000000005</v>
      </c>
      <c r="BE51" s="40">
        <v>0.09</v>
      </c>
      <c r="BF51" s="40">
        <v>0.33</v>
      </c>
      <c r="BG51" s="40">
        <v>0.3</v>
      </c>
      <c r="BH51" s="40">
        <v>0.32</v>
      </c>
      <c r="BI51" s="40">
        <v>0.37</v>
      </c>
      <c r="BJ51" s="40">
        <v>0.26</v>
      </c>
      <c r="BK51" s="40">
        <v>0.23</v>
      </c>
      <c r="BL51" s="247">
        <v>55</v>
      </c>
      <c r="BM51" s="247" t="s">
        <v>874</v>
      </c>
      <c r="BN51" s="247">
        <v>10</v>
      </c>
      <c r="BO51" s="247" t="s">
        <v>874</v>
      </c>
      <c r="BP51" s="264">
        <v>0.06</v>
      </c>
      <c r="BQ51" s="264">
        <v>0.43</v>
      </c>
      <c r="BR51" s="264">
        <v>0.46</v>
      </c>
      <c r="BS51" s="264">
        <v>0.06</v>
      </c>
      <c r="BT51" s="264">
        <v>0.34</v>
      </c>
      <c r="BU51" s="264">
        <v>0.4</v>
      </c>
      <c r="BV51" s="264">
        <v>0.39</v>
      </c>
      <c r="BW51" s="264">
        <v>0.34</v>
      </c>
      <c r="BX51" s="264">
        <v>0.39</v>
      </c>
      <c r="BY51" s="264">
        <v>0.42</v>
      </c>
      <c r="BZ51" s="311">
        <v>58</v>
      </c>
      <c r="CA51" s="311" t="s">
        <v>875</v>
      </c>
      <c r="CB51" s="311">
        <v>9</v>
      </c>
      <c r="CC51" s="311" t="s">
        <v>874</v>
      </c>
      <c r="CD51" s="329">
        <v>0.05</v>
      </c>
      <c r="CE51" s="329">
        <v>0.36</v>
      </c>
      <c r="CF51" s="329">
        <v>0.5</v>
      </c>
      <c r="CG51" s="329">
        <v>0.09</v>
      </c>
      <c r="CH51" s="329">
        <v>0.38</v>
      </c>
      <c r="CI51" s="329">
        <v>0.27</v>
      </c>
      <c r="CJ51" s="329">
        <v>0.49</v>
      </c>
      <c r="CK51" s="329">
        <v>0.46</v>
      </c>
      <c r="CL51" s="329">
        <v>0.38</v>
      </c>
      <c r="CM51" s="329">
        <v>0.49</v>
      </c>
      <c r="CN51" s="426">
        <v>56</v>
      </c>
      <c r="CO51" s="426" t="s">
        <v>874</v>
      </c>
      <c r="CP51" s="426">
        <v>10</v>
      </c>
      <c r="CQ51" s="426" t="s">
        <v>874</v>
      </c>
      <c r="CR51" s="430">
        <v>0.06</v>
      </c>
      <c r="CS51" s="430">
        <v>0.41</v>
      </c>
      <c r="CT51" s="430">
        <v>0.47</v>
      </c>
      <c r="CU51" s="430">
        <v>0.06</v>
      </c>
      <c r="CV51" s="430">
        <v>0.26</v>
      </c>
      <c r="CW51" s="430">
        <v>0.41</v>
      </c>
      <c r="CX51" s="430">
        <v>0.53</v>
      </c>
      <c r="CY51" s="430">
        <v>0.64</v>
      </c>
      <c r="CZ51" s="527">
        <v>0.44</v>
      </c>
      <c r="DA51" s="527">
        <v>0.38</v>
      </c>
      <c r="DB51" s="528">
        <v>58</v>
      </c>
      <c r="DC51" s="528" t="s">
        <v>875</v>
      </c>
      <c r="DD51" s="528">
        <v>8</v>
      </c>
      <c r="DE51" s="528" t="s">
        <v>874</v>
      </c>
      <c r="DF51" s="529">
        <v>0.03</v>
      </c>
      <c r="DG51" s="529">
        <v>0.36</v>
      </c>
      <c r="DH51" s="529">
        <v>0.52</v>
      </c>
      <c r="DI51" s="529">
        <v>0.08</v>
      </c>
      <c r="DJ51" s="529">
        <v>0.37</v>
      </c>
      <c r="DK51" s="529">
        <v>0.38</v>
      </c>
      <c r="DL51" s="529">
        <v>0.36</v>
      </c>
      <c r="DM51" s="529">
        <v>0.53</v>
      </c>
      <c r="DN51" s="529">
        <v>0.36</v>
      </c>
      <c r="DO51" s="529">
        <v>0.24</v>
      </c>
    </row>
    <row r="52" spans="1:119" ht="24.95" customHeight="1" x14ac:dyDescent="0.2">
      <c r="A52" s="36" t="s">
        <v>269</v>
      </c>
      <c r="B52" s="1" t="s">
        <v>221</v>
      </c>
      <c r="C52" s="2">
        <v>2</v>
      </c>
      <c r="D52" s="12"/>
      <c r="E52" s="12"/>
      <c r="F52" s="12"/>
      <c r="G52" s="12"/>
      <c r="H52" s="12"/>
      <c r="I52" s="12"/>
      <c r="J52" s="12"/>
      <c r="K52" s="12"/>
      <c r="L52" s="12"/>
      <c r="M52" s="12"/>
      <c r="N52" s="12"/>
      <c r="O52" s="12"/>
      <c r="P52" s="12" t="s">
        <v>224</v>
      </c>
      <c r="Q52" s="12" t="s">
        <v>224</v>
      </c>
      <c r="R52" s="61"/>
      <c r="S52" s="61"/>
      <c r="T52" s="61"/>
      <c r="U52" s="61"/>
      <c r="V52" s="61"/>
      <c r="W52" s="61"/>
      <c r="X52" s="61"/>
      <c r="Y52" s="61"/>
      <c r="Z52" s="61"/>
      <c r="AA52" s="61"/>
      <c r="AB52" s="12" t="s">
        <v>224</v>
      </c>
      <c r="AC52" s="12" t="s">
        <v>224</v>
      </c>
      <c r="AD52" s="2"/>
      <c r="AE52" s="2"/>
      <c r="AF52" s="2"/>
      <c r="AG52" s="2"/>
      <c r="AH52" s="2"/>
      <c r="AI52" s="2"/>
      <c r="AJ52" s="2"/>
      <c r="AK52" s="2"/>
      <c r="AL52" s="2"/>
      <c r="AM52" s="2"/>
      <c r="AN52" s="12" t="s">
        <v>224</v>
      </c>
      <c r="AO52" s="12" t="s">
        <v>224</v>
      </c>
      <c r="AP52" s="2"/>
      <c r="AQ52" s="2"/>
      <c r="AR52" s="2"/>
      <c r="AS52" s="2"/>
      <c r="AT52" s="2"/>
      <c r="AU52" s="2"/>
      <c r="AV52" s="2"/>
      <c r="AW52" s="2"/>
      <c r="AX52" s="2"/>
      <c r="AY52" s="2"/>
      <c r="AZ52" s="35">
        <v>52</v>
      </c>
      <c r="BA52" s="35">
        <v>0</v>
      </c>
      <c r="BB52" s="40">
        <v>0</v>
      </c>
      <c r="BC52" s="40">
        <v>1</v>
      </c>
      <c r="BD52" s="40">
        <v>0</v>
      </c>
      <c r="BE52" s="40">
        <v>0</v>
      </c>
      <c r="BF52" s="40">
        <v>0</v>
      </c>
      <c r="BG52" s="40">
        <v>0.33</v>
      </c>
      <c r="BH52" s="40">
        <v>0.5</v>
      </c>
      <c r="BI52" s="40">
        <v>1</v>
      </c>
      <c r="BJ52" s="40">
        <v>0.5</v>
      </c>
      <c r="BK52" s="40">
        <v>0.28999999999999998</v>
      </c>
      <c r="BL52" s="652"/>
      <c r="BM52" s="652"/>
      <c r="BN52" s="652"/>
      <c r="BO52" s="652"/>
      <c r="BP52" s="652"/>
      <c r="BQ52" s="652"/>
      <c r="BR52" s="652"/>
      <c r="BS52" s="652"/>
      <c r="BT52" s="652"/>
      <c r="BU52" s="652"/>
      <c r="BV52" s="652"/>
      <c r="BW52" s="652"/>
      <c r="BX52" s="652"/>
      <c r="BY52" s="652"/>
      <c r="BZ52" s="655"/>
      <c r="CA52" s="655"/>
      <c r="CB52" s="655"/>
      <c r="CC52" s="655"/>
      <c r="CD52" s="655"/>
      <c r="CE52" s="655"/>
      <c r="CF52" s="655"/>
      <c r="CG52" s="655"/>
      <c r="CH52" s="655"/>
      <c r="CI52" s="655"/>
      <c r="CJ52" s="655"/>
      <c r="CK52" s="655"/>
      <c r="CL52" s="655"/>
      <c r="CM52" s="655"/>
      <c r="CN52" s="657"/>
      <c r="CO52" s="657"/>
      <c r="CP52" s="657"/>
      <c r="CQ52" s="657"/>
      <c r="CR52" s="657"/>
      <c r="CS52" s="657"/>
      <c r="CT52" s="657"/>
      <c r="CU52" s="657"/>
      <c r="CV52" s="657"/>
      <c r="CW52" s="657"/>
      <c r="CX52" s="657"/>
      <c r="CY52" s="657"/>
      <c r="CZ52" s="666"/>
      <c r="DA52" s="666"/>
      <c r="DB52" s="668"/>
      <c r="DC52" s="668"/>
      <c r="DD52" s="668"/>
      <c r="DE52" s="668"/>
      <c r="DF52" s="668"/>
      <c r="DG52" s="668"/>
      <c r="DH52" s="668"/>
      <c r="DI52" s="668"/>
      <c r="DJ52" s="668"/>
      <c r="DK52" s="668"/>
      <c r="DL52" s="668"/>
      <c r="DM52" s="668"/>
      <c r="DN52" s="668"/>
      <c r="DO52" s="668"/>
    </row>
    <row r="53" spans="1:119" ht="24.95" customHeight="1" x14ac:dyDescent="0.2">
      <c r="A53" s="126" t="s">
        <v>134</v>
      </c>
      <c r="B53" s="1" t="s">
        <v>221</v>
      </c>
      <c r="C53" s="2">
        <v>5</v>
      </c>
      <c r="D53" s="12">
        <v>54</v>
      </c>
      <c r="E53" s="12">
        <v>7</v>
      </c>
      <c r="F53" s="63">
        <v>0</v>
      </c>
      <c r="G53" s="63">
        <v>0.63</v>
      </c>
      <c r="H53" s="63">
        <v>0.38</v>
      </c>
      <c r="I53" s="63">
        <v>0</v>
      </c>
      <c r="J53" s="63">
        <v>0.51</v>
      </c>
      <c r="K53" s="63">
        <v>0.4</v>
      </c>
      <c r="L53" s="63">
        <v>0.6</v>
      </c>
      <c r="M53" s="63">
        <v>0.37</v>
      </c>
      <c r="N53" s="63">
        <v>0.37</v>
      </c>
      <c r="O53" s="63">
        <v>0.5</v>
      </c>
      <c r="P53" s="12">
        <v>55</v>
      </c>
      <c r="Q53" s="12">
        <v>7</v>
      </c>
      <c r="R53" s="61">
        <v>0</v>
      </c>
      <c r="S53" s="61">
        <v>0.5</v>
      </c>
      <c r="T53" s="61">
        <v>0.5</v>
      </c>
      <c r="U53" s="61">
        <v>0</v>
      </c>
      <c r="V53" s="61">
        <v>0.33</v>
      </c>
      <c r="W53" s="61">
        <v>0.43</v>
      </c>
      <c r="X53" s="61">
        <v>0.49</v>
      </c>
      <c r="Y53" s="61">
        <v>0.35</v>
      </c>
      <c r="Z53" s="61">
        <v>0.33</v>
      </c>
      <c r="AA53" s="61">
        <v>0.42</v>
      </c>
      <c r="AB53" s="12">
        <v>52</v>
      </c>
      <c r="AC53" s="12">
        <v>8</v>
      </c>
      <c r="AD53" s="63">
        <v>0.06</v>
      </c>
      <c r="AE53" s="63">
        <v>0.56000000000000005</v>
      </c>
      <c r="AF53" s="63">
        <v>0.39</v>
      </c>
      <c r="AG53" s="63">
        <v>0</v>
      </c>
      <c r="AH53" s="63">
        <v>0.38</v>
      </c>
      <c r="AI53" s="63">
        <v>0.37</v>
      </c>
      <c r="AJ53" s="63">
        <v>0.25</v>
      </c>
      <c r="AK53" s="63">
        <v>0.5</v>
      </c>
      <c r="AL53" s="63">
        <v>0.49</v>
      </c>
      <c r="AM53" s="63">
        <v>0.5</v>
      </c>
      <c r="AN53" s="12">
        <v>54</v>
      </c>
      <c r="AO53" s="12">
        <v>10</v>
      </c>
      <c r="AP53" s="63">
        <v>0.11</v>
      </c>
      <c r="AQ53" s="63">
        <v>0.37</v>
      </c>
      <c r="AR53" s="63">
        <v>0.47</v>
      </c>
      <c r="AS53" s="63">
        <v>0.05</v>
      </c>
      <c r="AT53" s="63">
        <v>0.49</v>
      </c>
      <c r="AU53" s="63">
        <v>0.44</v>
      </c>
      <c r="AV53" s="63">
        <v>0.36</v>
      </c>
      <c r="AW53" s="63">
        <v>0.31</v>
      </c>
      <c r="AX53" s="63">
        <v>0.36</v>
      </c>
      <c r="AY53" s="63">
        <v>0.42</v>
      </c>
      <c r="AZ53" s="35">
        <v>58</v>
      </c>
      <c r="BA53" s="35">
        <v>9</v>
      </c>
      <c r="BB53" s="40">
        <v>0</v>
      </c>
      <c r="BC53" s="40">
        <v>0.43</v>
      </c>
      <c r="BD53" s="40">
        <v>0.52</v>
      </c>
      <c r="BE53" s="40">
        <v>0.05</v>
      </c>
      <c r="BF53" s="40">
        <v>0.49</v>
      </c>
      <c r="BG53" s="40">
        <v>0.31</v>
      </c>
      <c r="BH53" s="40">
        <v>0.35</v>
      </c>
      <c r="BI53" s="40">
        <v>0.41</v>
      </c>
      <c r="BJ53" s="40">
        <v>0.27</v>
      </c>
      <c r="BK53" s="40">
        <v>0.26</v>
      </c>
      <c r="BL53" s="247">
        <v>59</v>
      </c>
      <c r="BM53" s="247" t="s">
        <v>875</v>
      </c>
      <c r="BN53" s="247">
        <v>10</v>
      </c>
      <c r="BO53" s="247" t="s">
        <v>874</v>
      </c>
      <c r="BP53" s="264">
        <v>0.05</v>
      </c>
      <c r="BQ53" s="264">
        <v>0.28999999999999998</v>
      </c>
      <c r="BR53" s="264">
        <v>0.52</v>
      </c>
      <c r="BS53" s="264">
        <v>0.14000000000000001</v>
      </c>
      <c r="BT53" s="264">
        <v>0.34</v>
      </c>
      <c r="BU53" s="264">
        <v>0.36</v>
      </c>
      <c r="BV53" s="264">
        <v>0.28999999999999998</v>
      </c>
      <c r="BW53" s="264">
        <v>0.28999999999999998</v>
      </c>
      <c r="BX53" s="264">
        <v>0.28999999999999998</v>
      </c>
      <c r="BY53" s="264">
        <v>0.34</v>
      </c>
      <c r="BZ53" s="311">
        <v>56</v>
      </c>
      <c r="CA53" s="311" t="s">
        <v>874</v>
      </c>
      <c r="CB53" s="311">
        <v>7</v>
      </c>
      <c r="CC53" s="311" t="s">
        <v>876</v>
      </c>
      <c r="CD53" s="329">
        <v>0.06</v>
      </c>
      <c r="CE53" s="329">
        <v>0.39</v>
      </c>
      <c r="CF53" s="329">
        <v>0.56000000000000005</v>
      </c>
      <c r="CG53" s="329">
        <v>0</v>
      </c>
      <c r="CH53" s="329">
        <v>0.48</v>
      </c>
      <c r="CI53" s="329">
        <v>0.28999999999999998</v>
      </c>
      <c r="CJ53" s="329">
        <v>0.52</v>
      </c>
      <c r="CK53" s="329">
        <v>0.44</v>
      </c>
      <c r="CL53" s="329">
        <v>0.28999999999999998</v>
      </c>
      <c r="CM53" s="329">
        <v>0.53</v>
      </c>
      <c r="CN53" s="426">
        <v>55</v>
      </c>
      <c r="CO53" s="426" t="s">
        <v>874</v>
      </c>
      <c r="CP53" s="426">
        <v>8</v>
      </c>
      <c r="CQ53" s="426" t="s">
        <v>874</v>
      </c>
      <c r="CR53" s="430">
        <v>0</v>
      </c>
      <c r="CS53" s="430">
        <v>0.56999999999999995</v>
      </c>
      <c r="CT53" s="430">
        <v>0.38</v>
      </c>
      <c r="CU53" s="430">
        <v>0.05</v>
      </c>
      <c r="CV53" s="430">
        <v>0.18</v>
      </c>
      <c r="CW53" s="430">
        <v>0.52</v>
      </c>
      <c r="CX53" s="430">
        <v>0.52</v>
      </c>
      <c r="CY53" s="430">
        <v>0.78</v>
      </c>
      <c r="CZ53" s="527">
        <v>0.47</v>
      </c>
      <c r="DA53" s="527">
        <v>0.55000000000000004</v>
      </c>
      <c r="DB53" s="528">
        <v>56</v>
      </c>
      <c r="DC53" s="528" t="s">
        <v>874</v>
      </c>
      <c r="DD53" s="528">
        <v>8</v>
      </c>
      <c r="DE53" s="528" t="s">
        <v>874</v>
      </c>
      <c r="DF53" s="529">
        <v>0.05</v>
      </c>
      <c r="DG53" s="529">
        <v>0.43</v>
      </c>
      <c r="DH53" s="529">
        <v>0.48</v>
      </c>
      <c r="DI53" s="529">
        <v>0.05</v>
      </c>
      <c r="DJ53" s="529">
        <v>0.5</v>
      </c>
      <c r="DK53" s="529">
        <v>0.37</v>
      </c>
      <c r="DL53" s="529">
        <v>0.28000000000000003</v>
      </c>
      <c r="DM53" s="529">
        <v>0.48</v>
      </c>
      <c r="DN53" s="529">
        <v>0.51</v>
      </c>
      <c r="DO53" s="529">
        <v>0.33</v>
      </c>
    </row>
    <row r="54" spans="1:119" ht="24.95" customHeight="1" x14ac:dyDescent="0.2">
      <c r="A54" s="126" t="s">
        <v>920</v>
      </c>
      <c r="B54" s="14" t="s">
        <v>221</v>
      </c>
      <c r="C54" s="2">
        <v>6</v>
      </c>
      <c r="D54" s="12"/>
      <c r="E54" s="12"/>
      <c r="F54" s="63"/>
      <c r="G54" s="63"/>
      <c r="H54" s="63"/>
      <c r="I54" s="63"/>
      <c r="J54" s="63"/>
      <c r="K54" s="63"/>
      <c r="L54" s="63"/>
      <c r="M54" s="63"/>
      <c r="N54" s="63"/>
      <c r="O54" s="63"/>
      <c r="P54" s="12"/>
      <c r="Q54" s="12"/>
      <c r="R54" s="61"/>
      <c r="S54" s="61"/>
      <c r="T54" s="61"/>
      <c r="U54" s="61"/>
      <c r="V54" s="61"/>
      <c r="W54" s="61"/>
      <c r="X54" s="61"/>
      <c r="Y54" s="61"/>
      <c r="Z54" s="61"/>
      <c r="AA54" s="61"/>
      <c r="AB54" s="12"/>
      <c r="AC54" s="12"/>
      <c r="AD54" s="63"/>
      <c r="AE54" s="63"/>
      <c r="AF54" s="63"/>
      <c r="AG54" s="63"/>
      <c r="AH54" s="63"/>
      <c r="AI54" s="63"/>
      <c r="AJ54" s="63"/>
      <c r="AK54" s="63"/>
      <c r="AL54" s="63"/>
      <c r="AM54" s="63"/>
      <c r="AN54" s="12"/>
      <c r="AO54" s="12"/>
      <c r="AP54" s="63"/>
      <c r="AQ54" s="63"/>
      <c r="AR54" s="63"/>
      <c r="AS54" s="63"/>
      <c r="AT54" s="63"/>
      <c r="AU54" s="63"/>
      <c r="AV54" s="63"/>
      <c r="AW54" s="63"/>
      <c r="AX54" s="63"/>
      <c r="AY54" s="63"/>
      <c r="AZ54" s="35"/>
      <c r="BA54" s="35"/>
      <c r="BB54" s="40"/>
      <c r="BC54" s="40"/>
      <c r="BD54" s="40"/>
      <c r="BE54" s="40"/>
      <c r="BF54" s="40"/>
      <c r="BG54" s="40"/>
      <c r="BH54" s="40"/>
      <c r="BI54" s="40"/>
      <c r="BJ54" s="40"/>
      <c r="BK54" s="40"/>
      <c r="BL54" s="653"/>
      <c r="BM54" s="653"/>
      <c r="BN54" s="653"/>
      <c r="BO54" s="653"/>
      <c r="BP54" s="654"/>
      <c r="BQ54" s="654"/>
      <c r="BR54" s="654"/>
      <c r="BS54" s="654"/>
      <c r="BT54" s="654"/>
      <c r="BU54" s="654"/>
      <c r="BV54" s="654"/>
      <c r="BW54" s="654"/>
      <c r="BX54" s="654"/>
      <c r="BY54" s="654"/>
      <c r="BZ54" s="74">
        <v>59</v>
      </c>
      <c r="CA54" s="74" t="s">
        <v>875</v>
      </c>
      <c r="CB54" s="74">
        <v>11</v>
      </c>
      <c r="CC54" s="74" t="s">
        <v>874</v>
      </c>
      <c r="CD54" s="96">
        <v>0.06</v>
      </c>
      <c r="CE54" s="96">
        <v>0.19</v>
      </c>
      <c r="CF54" s="96">
        <v>0.69</v>
      </c>
      <c r="CG54" s="96">
        <v>0.06</v>
      </c>
      <c r="CH54" s="96">
        <v>0.36</v>
      </c>
      <c r="CI54" s="96">
        <v>0.27</v>
      </c>
      <c r="CJ54" s="96">
        <v>0.4</v>
      </c>
      <c r="CK54" s="96">
        <v>0.46</v>
      </c>
      <c r="CL54" s="96">
        <v>0.38</v>
      </c>
      <c r="CM54" s="96">
        <v>0.44</v>
      </c>
      <c r="CN54" s="658">
        <v>60</v>
      </c>
      <c r="CO54" s="658" t="s">
        <v>875</v>
      </c>
      <c r="CP54" s="658">
        <v>9</v>
      </c>
      <c r="CQ54" s="658" t="s">
        <v>874</v>
      </c>
      <c r="CR54" s="659">
        <v>0</v>
      </c>
      <c r="CS54" s="659">
        <v>0.22</v>
      </c>
      <c r="CT54" s="659">
        <v>0.67</v>
      </c>
      <c r="CU54" s="659">
        <v>0.11</v>
      </c>
      <c r="CV54" s="659">
        <v>0.27</v>
      </c>
      <c r="CW54" s="659">
        <v>0.3</v>
      </c>
      <c r="CX54" s="659">
        <v>0.41</v>
      </c>
      <c r="CY54" s="659">
        <v>0.44</v>
      </c>
      <c r="CZ54" s="667">
        <v>0.43</v>
      </c>
      <c r="DA54" s="667">
        <v>0.35</v>
      </c>
      <c r="DB54" s="47">
        <v>63</v>
      </c>
      <c r="DC54" s="47" t="s">
        <v>875</v>
      </c>
      <c r="DD54" s="47">
        <v>11</v>
      </c>
      <c r="DE54" s="47" t="s">
        <v>874</v>
      </c>
      <c r="DF54" s="670">
        <v>0.05</v>
      </c>
      <c r="DG54" s="670">
        <v>0.18</v>
      </c>
      <c r="DH54" s="670">
        <v>0.55000000000000004</v>
      </c>
      <c r="DI54" s="670">
        <v>0.23</v>
      </c>
      <c r="DJ54" s="670">
        <v>0.33</v>
      </c>
      <c r="DK54" s="670">
        <v>0.28999999999999998</v>
      </c>
      <c r="DL54" s="670">
        <v>0.37</v>
      </c>
      <c r="DM54" s="670">
        <v>0.3</v>
      </c>
      <c r="DN54" s="670">
        <v>0.28000000000000003</v>
      </c>
      <c r="DO54" s="670">
        <v>0.06</v>
      </c>
    </row>
    <row r="55" spans="1:119" ht="24.95" customHeight="1" x14ac:dyDescent="0.2">
      <c r="A55" s="126" t="s">
        <v>101</v>
      </c>
      <c r="B55" s="1" t="s">
        <v>221</v>
      </c>
      <c r="C55" s="2">
        <v>1</v>
      </c>
      <c r="D55" s="12">
        <v>52</v>
      </c>
      <c r="E55" s="12">
        <v>9</v>
      </c>
      <c r="F55" s="63">
        <v>0.15</v>
      </c>
      <c r="G55" s="63">
        <v>0.4</v>
      </c>
      <c r="H55" s="63">
        <v>0.45</v>
      </c>
      <c r="I55" s="63">
        <v>0</v>
      </c>
      <c r="J55" s="63">
        <v>0.54</v>
      </c>
      <c r="K55" s="63">
        <v>0.48</v>
      </c>
      <c r="L55" s="63">
        <v>0.6</v>
      </c>
      <c r="M55" s="63">
        <v>0.38</v>
      </c>
      <c r="N55" s="63">
        <v>0.4</v>
      </c>
      <c r="O55" s="63">
        <v>0.54</v>
      </c>
      <c r="P55" s="12">
        <v>52</v>
      </c>
      <c r="Q55" s="12">
        <v>10</v>
      </c>
      <c r="R55" s="61">
        <v>0.1</v>
      </c>
      <c r="S55" s="61">
        <v>0.56000000000000005</v>
      </c>
      <c r="T55" s="61">
        <v>0.28999999999999998</v>
      </c>
      <c r="U55" s="61">
        <v>0.04</v>
      </c>
      <c r="V55" s="61">
        <v>0.41</v>
      </c>
      <c r="W55" s="61">
        <v>0.47</v>
      </c>
      <c r="X55" s="61">
        <v>0.55000000000000004</v>
      </c>
      <c r="Y55" s="61">
        <v>0.4</v>
      </c>
      <c r="Z55" s="61">
        <v>0.41</v>
      </c>
      <c r="AA55" s="61">
        <v>0.48</v>
      </c>
      <c r="AB55" s="12">
        <v>53</v>
      </c>
      <c r="AC55" s="12">
        <v>9</v>
      </c>
      <c r="AD55" s="63">
        <v>0.09</v>
      </c>
      <c r="AE55" s="63">
        <v>0.51</v>
      </c>
      <c r="AF55" s="63">
        <v>0.4</v>
      </c>
      <c r="AG55" s="63">
        <v>0</v>
      </c>
      <c r="AH55" s="63">
        <v>0.37</v>
      </c>
      <c r="AI55" s="63">
        <v>0.37</v>
      </c>
      <c r="AJ55" s="63">
        <v>0.34</v>
      </c>
      <c r="AK55" s="63">
        <v>0.46</v>
      </c>
      <c r="AL55" s="63">
        <v>0.52</v>
      </c>
      <c r="AM55" s="63">
        <v>0.46</v>
      </c>
      <c r="AN55" s="12">
        <v>50</v>
      </c>
      <c r="AO55" s="12">
        <v>11</v>
      </c>
      <c r="AP55" s="63">
        <v>0.21</v>
      </c>
      <c r="AQ55" s="63">
        <v>0.47</v>
      </c>
      <c r="AR55" s="63">
        <v>0.3</v>
      </c>
      <c r="AS55" s="63">
        <v>0.02</v>
      </c>
      <c r="AT55" s="63">
        <v>0.49</v>
      </c>
      <c r="AU55" s="63">
        <v>0.43</v>
      </c>
      <c r="AV55" s="63">
        <v>0.43</v>
      </c>
      <c r="AW55" s="63">
        <v>0.41</v>
      </c>
      <c r="AX55" s="63">
        <v>0.44</v>
      </c>
      <c r="AY55" s="63">
        <v>0.48</v>
      </c>
      <c r="AZ55" s="35">
        <v>52</v>
      </c>
      <c r="BA55" s="35">
        <v>11</v>
      </c>
      <c r="BB55" s="40">
        <v>0.18</v>
      </c>
      <c r="BC55" s="40">
        <v>0.4</v>
      </c>
      <c r="BD55" s="40">
        <v>0.4</v>
      </c>
      <c r="BE55" s="40">
        <v>0.02</v>
      </c>
      <c r="BF55" s="40">
        <v>0.46</v>
      </c>
      <c r="BG55" s="40">
        <v>0.45</v>
      </c>
      <c r="BH55" s="40">
        <v>0.45</v>
      </c>
      <c r="BI55" s="40">
        <v>0.48</v>
      </c>
      <c r="BJ55" s="40">
        <v>0.4</v>
      </c>
      <c r="BK55" s="40">
        <v>0.41</v>
      </c>
      <c r="BL55" s="247">
        <v>51</v>
      </c>
      <c r="BM55" s="247" t="s">
        <v>874</v>
      </c>
      <c r="BN55" s="247">
        <v>9</v>
      </c>
      <c r="BO55" s="247" t="s">
        <v>874</v>
      </c>
      <c r="BP55" s="264">
        <v>0.18</v>
      </c>
      <c r="BQ55" s="264">
        <v>0.52</v>
      </c>
      <c r="BR55" s="264">
        <v>0.3</v>
      </c>
      <c r="BS55" s="264">
        <v>0</v>
      </c>
      <c r="BT55" s="264">
        <v>0.46</v>
      </c>
      <c r="BU55" s="264">
        <v>0.47</v>
      </c>
      <c r="BV55" s="264">
        <v>0.48</v>
      </c>
      <c r="BW55" s="264">
        <v>0.41</v>
      </c>
      <c r="BX55" s="264">
        <v>0.43</v>
      </c>
      <c r="BY55" s="264">
        <v>0.53</v>
      </c>
      <c r="BZ55" s="311">
        <v>52</v>
      </c>
      <c r="CA55" s="311" t="s">
        <v>874</v>
      </c>
      <c r="CB55" s="311">
        <v>9</v>
      </c>
      <c r="CC55" s="311" t="s">
        <v>874</v>
      </c>
      <c r="CD55" s="329">
        <v>0.11</v>
      </c>
      <c r="CE55" s="329">
        <v>0.51</v>
      </c>
      <c r="CF55" s="329">
        <v>0.36</v>
      </c>
      <c r="CG55" s="329">
        <v>0.02</v>
      </c>
      <c r="CH55" s="329">
        <v>0.51</v>
      </c>
      <c r="CI55" s="329">
        <v>0.3</v>
      </c>
      <c r="CJ55" s="329">
        <v>0.56000000000000005</v>
      </c>
      <c r="CK55" s="329">
        <v>0.52</v>
      </c>
      <c r="CL55" s="329">
        <v>0.37</v>
      </c>
      <c r="CM55" s="329">
        <v>0.56999999999999995</v>
      </c>
      <c r="CN55" s="426">
        <v>51</v>
      </c>
      <c r="CO55" s="426" t="s">
        <v>874</v>
      </c>
      <c r="CP55" s="426">
        <v>11</v>
      </c>
      <c r="CQ55" s="426" t="s">
        <v>874</v>
      </c>
      <c r="CR55" s="430">
        <v>0.18</v>
      </c>
      <c r="CS55" s="430">
        <v>0.39</v>
      </c>
      <c r="CT55" s="430">
        <v>0.44</v>
      </c>
      <c r="CU55" s="430">
        <v>0</v>
      </c>
      <c r="CV55" s="430">
        <v>0.33</v>
      </c>
      <c r="CW55" s="430">
        <v>0.56000000000000005</v>
      </c>
      <c r="CX55" s="430">
        <v>0.52</v>
      </c>
      <c r="CY55" s="430">
        <v>0.63</v>
      </c>
      <c r="CZ55" s="527">
        <v>0.57999999999999996</v>
      </c>
      <c r="DA55" s="527">
        <v>0.64</v>
      </c>
      <c r="DB55" s="528">
        <v>54</v>
      </c>
      <c r="DC55" s="528" t="s">
        <v>874</v>
      </c>
      <c r="DD55" s="528">
        <v>11</v>
      </c>
      <c r="DE55" s="528" t="s">
        <v>874</v>
      </c>
      <c r="DF55" s="529">
        <v>0.1</v>
      </c>
      <c r="DG55" s="529">
        <v>0.49</v>
      </c>
      <c r="DH55" s="529">
        <v>0.33</v>
      </c>
      <c r="DI55" s="529">
        <v>0.08</v>
      </c>
      <c r="DJ55" s="529">
        <v>0.42</v>
      </c>
      <c r="DK55" s="529">
        <v>0.32</v>
      </c>
      <c r="DL55" s="529">
        <v>0.45</v>
      </c>
      <c r="DM55" s="529">
        <v>0.59</v>
      </c>
      <c r="DN55" s="529">
        <v>0.48</v>
      </c>
      <c r="DO55" s="529">
        <v>0.28999999999999998</v>
      </c>
    </row>
    <row r="56" spans="1:119" ht="24.95" customHeight="1" x14ac:dyDescent="0.2">
      <c r="A56" s="560" t="s">
        <v>229</v>
      </c>
      <c r="B56" s="1" t="s">
        <v>221</v>
      </c>
      <c r="C56" s="311">
        <v>1</v>
      </c>
      <c r="D56" s="330"/>
      <c r="E56" s="330"/>
      <c r="F56" s="330"/>
      <c r="G56" s="330"/>
      <c r="H56" s="330"/>
      <c r="I56" s="330"/>
      <c r="J56" s="330"/>
      <c r="K56" s="330"/>
      <c r="L56" s="330"/>
      <c r="M56" s="330"/>
      <c r="N56" s="330"/>
      <c r="O56" s="330"/>
      <c r="P56" s="330" t="s">
        <v>224</v>
      </c>
      <c r="Q56" s="330" t="s">
        <v>224</v>
      </c>
      <c r="R56" s="332"/>
      <c r="S56" s="332"/>
      <c r="T56" s="332"/>
      <c r="U56" s="332"/>
      <c r="V56" s="332"/>
      <c r="W56" s="332"/>
      <c r="X56" s="332"/>
      <c r="Y56" s="332"/>
      <c r="Z56" s="332"/>
      <c r="AA56" s="332"/>
      <c r="AB56" s="330">
        <v>53</v>
      </c>
      <c r="AC56" s="330">
        <v>11</v>
      </c>
      <c r="AD56" s="329">
        <v>0</v>
      </c>
      <c r="AE56" s="329">
        <v>0.5</v>
      </c>
      <c r="AF56" s="329">
        <v>0.33</v>
      </c>
      <c r="AG56" s="329">
        <v>0.17</v>
      </c>
      <c r="AH56" s="329">
        <v>0.46</v>
      </c>
      <c r="AI56" s="329">
        <v>0.27</v>
      </c>
      <c r="AJ56" s="329">
        <v>0.25</v>
      </c>
      <c r="AK56" s="329">
        <v>0.42</v>
      </c>
      <c r="AL56" s="329">
        <v>0.35</v>
      </c>
      <c r="AM56" s="329">
        <v>0.57999999999999996</v>
      </c>
      <c r="AN56" s="330">
        <v>48</v>
      </c>
      <c r="AO56" s="330">
        <v>13</v>
      </c>
      <c r="AP56" s="329">
        <v>0.3</v>
      </c>
      <c r="AQ56" s="329">
        <v>0.3</v>
      </c>
      <c r="AR56" s="329">
        <v>0.4</v>
      </c>
      <c r="AS56" s="329">
        <v>0</v>
      </c>
      <c r="AT56" s="329">
        <v>0.5</v>
      </c>
      <c r="AU56" s="329">
        <v>0.41</v>
      </c>
      <c r="AV56" s="329">
        <v>0.45</v>
      </c>
      <c r="AW56" s="329">
        <v>0.42</v>
      </c>
      <c r="AX56" s="329">
        <v>0.59</v>
      </c>
      <c r="AY56" s="329">
        <v>0.51</v>
      </c>
      <c r="AZ56" s="313">
        <v>51</v>
      </c>
      <c r="BA56" s="313">
        <v>7</v>
      </c>
      <c r="BB56" s="333">
        <v>0.1</v>
      </c>
      <c r="BC56" s="333">
        <v>0.6</v>
      </c>
      <c r="BD56" s="333">
        <v>0.3</v>
      </c>
      <c r="BE56" s="333">
        <v>0</v>
      </c>
      <c r="BF56" s="333">
        <v>0.59</v>
      </c>
      <c r="BG56" s="333">
        <v>0.45</v>
      </c>
      <c r="BH56" s="333">
        <v>0.45</v>
      </c>
      <c r="BI56" s="333">
        <v>0.33</v>
      </c>
      <c r="BJ56" s="333">
        <v>0.36</v>
      </c>
      <c r="BK56" s="333">
        <v>0.44</v>
      </c>
      <c r="BL56" s="314">
        <v>51</v>
      </c>
      <c r="BM56" s="314" t="s">
        <v>874</v>
      </c>
      <c r="BN56" s="314">
        <v>4</v>
      </c>
      <c r="BO56" s="314" t="s">
        <v>876</v>
      </c>
      <c r="BP56" s="334">
        <v>0</v>
      </c>
      <c r="BQ56" s="334">
        <v>1</v>
      </c>
      <c r="BR56" s="334">
        <v>0</v>
      </c>
      <c r="BS56" s="334">
        <v>0</v>
      </c>
      <c r="BT56" s="334">
        <v>0.83</v>
      </c>
      <c r="BU56" s="334">
        <v>0.36</v>
      </c>
      <c r="BV56" s="334">
        <v>1</v>
      </c>
      <c r="BW56" s="334">
        <v>0.26</v>
      </c>
      <c r="BX56" s="334">
        <v>0.47</v>
      </c>
      <c r="BY56" s="334">
        <v>0.55000000000000004</v>
      </c>
      <c r="BZ56" s="311">
        <v>52</v>
      </c>
      <c r="CA56" s="311" t="s">
        <v>874</v>
      </c>
      <c r="CB56" s="311">
        <v>10</v>
      </c>
      <c r="CC56" s="311" t="s">
        <v>874</v>
      </c>
      <c r="CD56" s="329">
        <v>0.2</v>
      </c>
      <c r="CE56" s="329">
        <v>0.3</v>
      </c>
      <c r="CF56" s="329">
        <v>0.5</v>
      </c>
      <c r="CG56" s="329">
        <v>0</v>
      </c>
      <c r="CH56" s="329">
        <v>0.47</v>
      </c>
      <c r="CI56" s="329">
        <v>0.47</v>
      </c>
      <c r="CJ56" s="329">
        <v>0.55000000000000004</v>
      </c>
      <c r="CK56" s="329">
        <v>0.5</v>
      </c>
      <c r="CL56" s="329">
        <v>0.5</v>
      </c>
      <c r="CM56" s="329">
        <v>0.42</v>
      </c>
      <c r="CN56" s="426">
        <v>54</v>
      </c>
      <c r="CO56" s="426" t="s">
        <v>874</v>
      </c>
      <c r="CP56" s="426">
        <v>10</v>
      </c>
      <c r="CQ56" s="426" t="s">
        <v>874</v>
      </c>
      <c r="CR56" s="430">
        <v>0.05</v>
      </c>
      <c r="CS56" s="430">
        <v>0.6</v>
      </c>
      <c r="CT56" s="430">
        <v>0.35</v>
      </c>
      <c r="CU56" s="430">
        <v>0</v>
      </c>
      <c r="CV56" s="430">
        <v>0.27</v>
      </c>
      <c r="CW56" s="430">
        <v>0.49</v>
      </c>
      <c r="CX56" s="430">
        <v>0.43</v>
      </c>
      <c r="CY56" s="430">
        <v>0.6</v>
      </c>
      <c r="CZ56" s="527">
        <v>0.5</v>
      </c>
      <c r="DA56" s="527">
        <v>0.46</v>
      </c>
      <c r="DB56" s="528">
        <v>45</v>
      </c>
      <c r="DC56" s="528" t="s">
        <v>874</v>
      </c>
      <c r="DD56" s="528">
        <v>10</v>
      </c>
      <c r="DE56" s="528" t="s">
        <v>874</v>
      </c>
      <c r="DF56" s="529">
        <v>0.14000000000000001</v>
      </c>
      <c r="DG56" s="529">
        <v>0.71</v>
      </c>
      <c r="DH56" s="529">
        <v>0.14000000000000001</v>
      </c>
      <c r="DI56" s="529">
        <v>0</v>
      </c>
      <c r="DJ56" s="529">
        <v>0.67</v>
      </c>
      <c r="DK56" s="529">
        <v>0.73</v>
      </c>
      <c r="DL56" s="529">
        <v>0.66</v>
      </c>
      <c r="DM56" s="529">
        <v>0.79</v>
      </c>
      <c r="DN56" s="529">
        <v>0.69</v>
      </c>
      <c r="DO56" s="529">
        <v>0.75</v>
      </c>
    </row>
    <row r="57" spans="1:119" ht="24.95" customHeight="1" x14ac:dyDescent="0.2">
      <c r="A57" s="126" t="s">
        <v>116</v>
      </c>
      <c r="B57" s="1" t="s">
        <v>221</v>
      </c>
      <c r="C57" s="2">
        <v>2</v>
      </c>
      <c r="D57" s="12">
        <v>53</v>
      </c>
      <c r="E57" s="12">
        <v>8</v>
      </c>
      <c r="F57" s="63">
        <v>7.0000000000000007E-2</v>
      </c>
      <c r="G57" s="63">
        <v>0.59</v>
      </c>
      <c r="H57" s="63">
        <v>0.32</v>
      </c>
      <c r="I57" s="63">
        <v>0.01</v>
      </c>
      <c r="J57" s="63">
        <v>0.52</v>
      </c>
      <c r="K57" s="63">
        <v>0.49</v>
      </c>
      <c r="L57" s="63">
        <v>0.59</v>
      </c>
      <c r="M57" s="63">
        <v>0.37</v>
      </c>
      <c r="N57" s="63">
        <v>0.43</v>
      </c>
      <c r="O57" s="63">
        <v>0.44</v>
      </c>
      <c r="P57" s="12">
        <v>52</v>
      </c>
      <c r="Q57" s="12">
        <v>10</v>
      </c>
      <c r="R57" s="61">
        <v>0.11</v>
      </c>
      <c r="S57" s="61">
        <v>0.54</v>
      </c>
      <c r="T57" s="61">
        <v>0.31</v>
      </c>
      <c r="U57" s="61">
        <v>0.04</v>
      </c>
      <c r="V57" s="61">
        <v>0.42</v>
      </c>
      <c r="W57" s="61">
        <v>0.45</v>
      </c>
      <c r="X57" s="61">
        <v>0.56999999999999995</v>
      </c>
      <c r="Y57" s="61">
        <v>0.43</v>
      </c>
      <c r="Z57" s="61">
        <v>0.41</v>
      </c>
      <c r="AA57" s="61">
        <v>0.48</v>
      </c>
      <c r="AB57" s="12">
        <v>50</v>
      </c>
      <c r="AC57" s="12">
        <v>11</v>
      </c>
      <c r="AD57" s="63">
        <v>0.18</v>
      </c>
      <c r="AE57" s="63">
        <v>0.48</v>
      </c>
      <c r="AF57" s="63">
        <v>0.28999999999999998</v>
      </c>
      <c r="AG57" s="63">
        <v>0.05</v>
      </c>
      <c r="AH57" s="63">
        <v>0.44</v>
      </c>
      <c r="AI57" s="63">
        <v>0.46</v>
      </c>
      <c r="AJ57" s="63">
        <v>0.4</v>
      </c>
      <c r="AK57" s="63">
        <v>0.5</v>
      </c>
      <c r="AL57" s="63">
        <v>0.55000000000000004</v>
      </c>
      <c r="AM57" s="63">
        <v>0.47</v>
      </c>
      <c r="AN57" s="12">
        <v>51</v>
      </c>
      <c r="AO57" s="12">
        <v>11</v>
      </c>
      <c r="AP57" s="63">
        <v>0.19</v>
      </c>
      <c r="AQ57" s="63">
        <v>0.36</v>
      </c>
      <c r="AR57" s="63">
        <v>0.44</v>
      </c>
      <c r="AS57" s="63">
        <v>0.02</v>
      </c>
      <c r="AT57" s="63">
        <v>0.49</v>
      </c>
      <c r="AU57" s="63">
        <v>0.42</v>
      </c>
      <c r="AV57" s="63">
        <v>0.38</v>
      </c>
      <c r="AW57" s="63">
        <v>0.43</v>
      </c>
      <c r="AX57" s="63">
        <v>0.4</v>
      </c>
      <c r="AY57" s="63">
        <v>0.44</v>
      </c>
      <c r="AZ57" s="35">
        <v>50</v>
      </c>
      <c r="BA57" s="35">
        <v>9</v>
      </c>
      <c r="BB57" s="40">
        <v>0.2</v>
      </c>
      <c r="BC57" s="40">
        <v>0.53</v>
      </c>
      <c r="BD57" s="40">
        <v>0.26</v>
      </c>
      <c r="BE57" s="40">
        <v>0.01</v>
      </c>
      <c r="BF57" s="40">
        <v>0.45</v>
      </c>
      <c r="BG57" s="40">
        <v>0.5</v>
      </c>
      <c r="BH57" s="40">
        <v>0.48</v>
      </c>
      <c r="BI57" s="40">
        <v>0.57999999999999996</v>
      </c>
      <c r="BJ57" s="40">
        <v>0.42</v>
      </c>
      <c r="BK57" s="40">
        <v>0.41</v>
      </c>
      <c r="BL57" s="247">
        <v>53</v>
      </c>
      <c r="BM57" s="247" t="s">
        <v>874</v>
      </c>
      <c r="BN57" s="247">
        <v>10</v>
      </c>
      <c r="BO57" s="247" t="s">
        <v>874</v>
      </c>
      <c r="BP57" s="264">
        <v>0.1</v>
      </c>
      <c r="BQ57" s="264">
        <v>0.47</v>
      </c>
      <c r="BR57" s="264">
        <v>0.42</v>
      </c>
      <c r="BS57" s="264">
        <v>0.02</v>
      </c>
      <c r="BT57" s="264">
        <v>0.39</v>
      </c>
      <c r="BU57" s="264">
        <v>0.37</v>
      </c>
      <c r="BV57" s="264">
        <v>0.51</v>
      </c>
      <c r="BW57" s="264">
        <v>0.4</v>
      </c>
      <c r="BX57" s="264">
        <v>0.4</v>
      </c>
      <c r="BY57" s="264">
        <v>0.48</v>
      </c>
      <c r="BZ57" s="311">
        <v>54</v>
      </c>
      <c r="CA57" s="311" t="s">
        <v>874</v>
      </c>
      <c r="CB57" s="311">
        <v>11</v>
      </c>
      <c r="CC57" s="311" t="s">
        <v>874</v>
      </c>
      <c r="CD57" s="329">
        <v>0.14000000000000001</v>
      </c>
      <c r="CE57" s="329">
        <v>0.37</v>
      </c>
      <c r="CF57" s="329">
        <v>0.47</v>
      </c>
      <c r="CG57" s="329">
        <v>0.03</v>
      </c>
      <c r="CH57" s="329">
        <v>0.46</v>
      </c>
      <c r="CI57" s="329">
        <v>0.32</v>
      </c>
      <c r="CJ57" s="329">
        <v>0.51</v>
      </c>
      <c r="CK57" s="329">
        <v>0.46</v>
      </c>
      <c r="CL57" s="329">
        <v>0.4</v>
      </c>
      <c r="CM57" s="329">
        <v>0.5</v>
      </c>
      <c r="CN57" s="426">
        <v>53</v>
      </c>
      <c r="CO57" s="426" t="s">
        <v>874</v>
      </c>
      <c r="CP57" s="426">
        <v>10</v>
      </c>
      <c r="CQ57" s="426" t="s">
        <v>874</v>
      </c>
      <c r="CR57" s="430">
        <v>0.14000000000000001</v>
      </c>
      <c r="CS57" s="430">
        <v>0.46</v>
      </c>
      <c r="CT57" s="430">
        <v>0.39</v>
      </c>
      <c r="CU57" s="430">
        <v>0.01</v>
      </c>
      <c r="CV57" s="430">
        <v>0.33</v>
      </c>
      <c r="CW57" s="430">
        <v>0.44</v>
      </c>
      <c r="CX57" s="430">
        <v>0.55000000000000004</v>
      </c>
      <c r="CY57" s="430">
        <v>0.65</v>
      </c>
      <c r="CZ57" s="527">
        <v>0.61</v>
      </c>
      <c r="DA57" s="527">
        <v>0.47</v>
      </c>
      <c r="DB57" s="528">
        <v>53</v>
      </c>
      <c r="DC57" s="528" t="s">
        <v>874</v>
      </c>
      <c r="DD57" s="528">
        <v>11</v>
      </c>
      <c r="DE57" s="528" t="s">
        <v>874</v>
      </c>
      <c r="DF57" s="529">
        <v>0.16</v>
      </c>
      <c r="DG57" s="529">
        <v>0.43</v>
      </c>
      <c r="DH57" s="529">
        <v>0.35</v>
      </c>
      <c r="DI57" s="529">
        <v>0.06</v>
      </c>
      <c r="DJ57" s="529">
        <v>0.42</v>
      </c>
      <c r="DK57" s="529">
        <v>0.52</v>
      </c>
      <c r="DL57" s="529">
        <v>0.44</v>
      </c>
      <c r="DM57" s="529">
        <v>0.62</v>
      </c>
      <c r="DN57" s="529">
        <v>0.47</v>
      </c>
      <c r="DO57" s="529">
        <v>0.3</v>
      </c>
    </row>
    <row r="58" spans="1:119" ht="24.95" customHeight="1" x14ac:dyDescent="0.2">
      <c r="A58" s="126" t="s">
        <v>151</v>
      </c>
      <c r="B58" s="1" t="s">
        <v>221</v>
      </c>
      <c r="C58" s="2">
        <v>3</v>
      </c>
      <c r="D58" s="12">
        <v>55</v>
      </c>
      <c r="E58" s="12">
        <v>8</v>
      </c>
      <c r="F58" s="63">
        <v>0.11</v>
      </c>
      <c r="G58" s="63">
        <v>0.37</v>
      </c>
      <c r="H58" s="63">
        <v>0.52</v>
      </c>
      <c r="I58" s="63">
        <v>0</v>
      </c>
      <c r="J58" s="63">
        <v>0.45</v>
      </c>
      <c r="K58" s="63">
        <v>0.45</v>
      </c>
      <c r="L58" s="63">
        <v>0.61</v>
      </c>
      <c r="M58" s="63">
        <v>0.3</v>
      </c>
      <c r="N58" s="63">
        <v>0.44</v>
      </c>
      <c r="O58" s="63">
        <v>0.45</v>
      </c>
      <c r="P58" s="12">
        <v>52</v>
      </c>
      <c r="Q58" s="12">
        <v>12</v>
      </c>
      <c r="R58" s="61">
        <v>0.14000000000000001</v>
      </c>
      <c r="S58" s="61">
        <v>0.43</v>
      </c>
      <c r="T58" s="61">
        <v>0.43</v>
      </c>
      <c r="U58" s="61">
        <v>0</v>
      </c>
      <c r="V58" s="61">
        <v>0.44</v>
      </c>
      <c r="W58" s="61">
        <v>0.5</v>
      </c>
      <c r="X58" s="61">
        <v>0.47</v>
      </c>
      <c r="Y58" s="61">
        <v>0.43</v>
      </c>
      <c r="Z58" s="61">
        <v>0.48</v>
      </c>
      <c r="AA58" s="61">
        <v>0.55000000000000004</v>
      </c>
      <c r="AB58" s="12">
        <v>51</v>
      </c>
      <c r="AC58" s="12">
        <v>7</v>
      </c>
      <c r="AD58" s="63">
        <v>0.04</v>
      </c>
      <c r="AE58" s="63">
        <v>0.65</v>
      </c>
      <c r="AF58" s="63">
        <v>0.3</v>
      </c>
      <c r="AG58" s="63">
        <v>0</v>
      </c>
      <c r="AH58" s="63">
        <v>0.39</v>
      </c>
      <c r="AI58" s="63">
        <v>0.35</v>
      </c>
      <c r="AJ58" s="63">
        <v>0.4</v>
      </c>
      <c r="AK58" s="63">
        <v>0.49</v>
      </c>
      <c r="AL58" s="63">
        <v>0.52</v>
      </c>
      <c r="AM58" s="63">
        <v>0.53</v>
      </c>
      <c r="AN58" s="12">
        <v>47</v>
      </c>
      <c r="AO58" s="12">
        <v>11</v>
      </c>
      <c r="AP58" s="63">
        <v>0.32</v>
      </c>
      <c r="AQ58" s="63">
        <v>0.45</v>
      </c>
      <c r="AR58" s="63">
        <v>0.23</v>
      </c>
      <c r="AS58" s="63">
        <v>0</v>
      </c>
      <c r="AT58" s="63">
        <v>0.67</v>
      </c>
      <c r="AU58" s="63">
        <v>0.54</v>
      </c>
      <c r="AV58" s="63">
        <v>0.48</v>
      </c>
      <c r="AW58" s="63">
        <v>0.5</v>
      </c>
      <c r="AX58" s="63">
        <v>0.47</v>
      </c>
      <c r="AY58" s="63">
        <v>0.48</v>
      </c>
      <c r="AZ58" s="35">
        <v>53</v>
      </c>
      <c r="BA58" s="35">
        <v>9</v>
      </c>
      <c r="BB58" s="40">
        <v>0.03</v>
      </c>
      <c r="BC58" s="40">
        <v>0.62</v>
      </c>
      <c r="BD58" s="40">
        <v>0.31</v>
      </c>
      <c r="BE58" s="40">
        <v>0.03</v>
      </c>
      <c r="BF58" s="40">
        <v>0.46</v>
      </c>
      <c r="BG58" s="40">
        <v>0.43</v>
      </c>
      <c r="BH58" s="40">
        <v>0.42</v>
      </c>
      <c r="BI58" s="40">
        <v>0.64</v>
      </c>
      <c r="BJ58" s="40">
        <v>0.37</v>
      </c>
      <c r="BK58" s="40">
        <v>0.31</v>
      </c>
      <c r="BL58" s="247">
        <v>49</v>
      </c>
      <c r="BM58" s="247" t="s">
        <v>874</v>
      </c>
      <c r="BN58" s="247">
        <v>11</v>
      </c>
      <c r="BO58" s="247" t="s">
        <v>874</v>
      </c>
      <c r="BP58" s="264">
        <v>0.24</v>
      </c>
      <c r="BQ58" s="264">
        <v>0.43</v>
      </c>
      <c r="BR58" s="264">
        <v>0.3</v>
      </c>
      <c r="BS58" s="264">
        <v>0.02</v>
      </c>
      <c r="BT58" s="264">
        <v>0.43</v>
      </c>
      <c r="BU58" s="264">
        <v>0.44</v>
      </c>
      <c r="BV58" s="264">
        <v>0.56000000000000005</v>
      </c>
      <c r="BW58" s="264">
        <v>0.44</v>
      </c>
      <c r="BX58" s="264">
        <v>0.49</v>
      </c>
      <c r="BY58" s="264">
        <v>0.52</v>
      </c>
      <c r="BZ58" s="311">
        <v>47</v>
      </c>
      <c r="CA58" s="311" t="s">
        <v>874</v>
      </c>
      <c r="CB58" s="311">
        <v>11</v>
      </c>
      <c r="CC58" s="311" t="s">
        <v>874</v>
      </c>
      <c r="CD58" s="329">
        <v>0.31</v>
      </c>
      <c r="CE58" s="329">
        <v>0.46</v>
      </c>
      <c r="CF58" s="329">
        <v>0.23</v>
      </c>
      <c r="CG58" s="329">
        <v>0</v>
      </c>
      <c r="CH58" s="329">
        <v>0.46</v>
      </c>
      <c r="CI58" s="329">
        <v>0.45</v>
      </c>
      <c r="CJ58" s="329">
        <v>0.55000000000000004</v>
      </c>
      <c r="CK58" s="329">
        <v>0.55000000000000004</v>
      </c>
      <c r="CL58" s="329">
        <v>0.41</v>
      </c>
      <c r="CM58" s="329">
        <v>0.55000000000000004</v>
      </c>
      <c r="CN58" s="426">
        <v>48</v>
      </c>
      <c r="CO58" s="426" t="s">
        <v>874</v>
      </c>
      <c r="CP58" s="426">
        <v>11</v>
      </c>
      <c r="CQ58" s="426" t="s">
        <v>874</v>
      </c>
      <c r="CR58" s="430">
        <v>0.26</v>
      </c>
      <c r="CS58" s="430">
        <v>0.53</v>
      </c>
      <c r="CT58" s="430">
        <v>0.16</v>
      </c>
      <c r="CU58" s="430">
        <v>0.05</v>
      </c>
      <c r="CV58" s="430">
        <v>0.38</v>
      </c>
      <c r="CW58" s="430">
        <v>0.55000000000000004</v>
      </c>
      <c r="CX58" s="430">
        <v>0.57999999999999996</v>
      </c>
      <c r="CY58" s="430">
        <v>0.56999999999999995</v>
      </c>
      <c r="CZ58" s="527">
        <v>0.62</v>
      </c>
      <c r="DA58" s="527">
        <v>0.43</v>
      </c>
      <c r="DB58" s="528">
        <v>48</v>
      </c>
      <c r="DC58" s="528" t="s">
        <v>874</v>
      </c>
      <c r="DD58" s="528">
        <v>11</v>
      </c>
      <c r="DE58" s="528" t="s">
        <v>874</v>
      </c>
      <c r="DF58" s="529">
        <v>0.26</v>
      </c>
      <c r="DG58" s="529">
        <v>0.51</v>
      </c>
      <c r="DH58" s="529">
        <v>0.2</v>
      </c>
      <c r="DI58" s="529">
        <v>0.03</v>
      </c>
      <c r="DJ58" s="529">
        <v>0.47</v>
      </c>
      <c r="DK58" s="529">
        <v>0.44</v>
      </c>
      <c r="DL58" s="529">
        <v>0.51</v>
      </c>
      <c r="DM58" s="529">
        <v>0.56999999999999995</v>
      </c>
      <c r="DN58" s="529">
        <v>0.52</v>
      </c>
      <c r="DO58" s="529">
        <v>0.34</v>
      </c>
    </row>
    <row r="59" spans="1:119" ht="24.95" customHeight="1" x14ac:dyDescent="0.2">
      <c r="A59" s="814" t="s">
        <v>843</v>
      </c>
      <c r="B59" s="1" t="s">
        <v>221</v>
      </c>
      <c r="C59" s="2">
        <v>4</v>
      </c>
      <c r="D59" s="12"/>
      <c r="E59" s="12"/>
      <c r="F59" s="63"/>
      <c r="G59" s="63"/>
      <c r="H59" s="63"/>
      <c r="I59" s="63"/>
      <c r="J59" s="63"/>
      <c r="K59" s="63"/>
      <c r="L59" s="63"/>
      <c r="M59" s="63"/>
      <c r="N59" s="63"/>
      <c r="O59" s="63"/>
      <c r="P59" s="12"/>
      <c r="Q59" s="12"/>
      <c r="R59" s="61"/>
      <c r="S59" s="61"/>
      <c r="T59" s="61"/>
      <c r="U59" s="61"/>
      <c r="V59" s="61"/>
      <c r="W59" s="61"/>
      <c r="X59" s="61"/>
      <c r="Y59" s="61"/>
      <c r="Z59" s="61"/>
      <c r="AA59" s="61"/>
      <c r="AB59" s="12"/>
      <c r="AC59" s="12"/>
      <c r="AD59" s="63"/>
      <c r="AE59" s="63"/>
      <c r="AF59" s="63"/>
      <c r="AG59" s="63"/>
      <c r="AH59" s="63"/>
      <c r="AI59" s="63"/>
      <c r="AJ59" s="63"/>
      <c r="AK59" s="63"/>
      <c r="AL59" s="63"/>
      <c r="AM59" s="63"/>
      <c r="AN59" s="12"/>
      <c r="AO59" s="12"/>
      <c r="AP59" s="63"/>
      <c r="AQ59" s="63"/>
      <c r="AR59" s="63"/>
      <c r="AS59" s="63"/>
      <c r="AT59" s="63"/>
      <c r="AU59" s="63"/>
      <c r="AV59" s="63"/>
      <c r="AW59" s="63"/>
      <c r="AX59" s="63"/>
      <c r="AY59" s="63"/>
      <c r="AZ59" s="35"/>
      <c r="BA59" s="35"/>
      <c r="BB59" s="40"/>
      <c r="BC59" s="40"/>
      <c r="BD59" s="40"/>
      <c r="BE59" s="40"/>
      <c r="BF59" s="40"/>
      <c r="BG59" s="40"/>
      <c r="BH59" s="40"/>
      <c r="BI59" s="40"/>
      <c r="BJ59" s="40"/>
      <c r="BK59" s="40"/>
      <c r="BL59" s="652"/>
      <c r="BM59" s="652"/>
      <c r="BN59" s="652"/>
      <c r="BO59" s="652"/>
      <c r="BP59" s="652"/>
      <c r="BQ59" s="652"/>
      <c r="BR59" s="652"/>
      <c r="BS59" s="652"/>
      <c r="BT59" s="652"/>
      <c r="BU59" s="652"/>
      <c r="BV59" s="652"/>
      <c r="BW59" s="652"/>
      <c r="BX59" s="652"/>
      <c r="BY59" s="652"/>
      <c r="BZ59" s="655"/>
      <c r="CA59" s="655"/>
      <c r="CB59" s="655"/>
      <c r="CC59" s="655"/>
      <c r="CD59" s="655"/>
      <c r="CE59" s="655"/>
      <c r="CF59" s="655"/>
      <c r="CG59" s="655"/>
      <c r="CH59" s="655"/>
      <c r="CI59" s="655"/>
      <c r="CJ59" s="655"/>
      <c r="CK59" s="655"/>
      <c r="CL59" s="655"/>
      <c r="CM59" s="655"/>
      <c r="CN59" s="657"/>
      <c r="CO59" s="657"/>
      <c r="CP59" s="657"/>
      <c r="CQ59" s="657"/>
      <c r="CR59" s="657"/>
      <c r="CS59" s="657"/>
      <c r="CT59" s="657"/>
      <c r="CU59" s="657"/>
      <c r="CV59" s="657"/>
      <c r="CW59" s="657"/>
      <c r="CX59" s="657"/>
      <c r="CY59" s="657"/>
      <c r="CZ59" s="666"/>
      <c r="DA59" s="666"/>
      <c r="DB59" s="668"/>
      <c r="DC59" s="668"/>
      <c r="DD59" s="668"/>
      <c r="DE59" s="668"/>
      <c r="DF59" s="668"/>
      <c r="DG59" s="668"/>
      <c r="DH59" s="668"/>
      <c r="DI59" s="668"/>
      <c r="DJ59" s="668"/>
      <c r="DK59" s="668"/>
      <c r="DL59" s="668"/>
      <c r="DM59" s="668"/>
      <c r="DN59" s="668"/>
      <c r="DO59" s="668"/>
    </row>
    <row r="60" spans="1:119" ht="24.95" customHeight="1" x14ac:dyDescent="0.2">
      <c r="A60" s="814" t="s">
        <v>199</v>
      </c>
      <c r="B60" s="1" t="s">
        <v>221</v>
      </c>
      <c r="C60" s="2">
        <v>3</v>
      </c>
      <c r="D60" s="12">
        <v>54</v>
      </c>
      <c r="E60" s="12">
        <v>10</v>
      </c>
      <c r="F60" s="63">
        <v>0.1</v>
      </c>
      <c r="G60" s="63">
        <v>0.47</v>
      </c>
      <c r="H60" s="63">
        <v>0.4</v>
      </c>
      <c r="I60" s="63">
        <v>0.04</v>
      </c>
      <c r="J60" s="63">
        <v>0.49</v>
      </c>
      <c r="K60" s="63">
        <v>0.49</v>
      </c>
      <c r="L60" s="63">
        <v>0.43</v>
      </c>
      <c r="M60" s="63">
        <v>0.37</v>
      </c>
      <c r="N60" s="63">
        <v>0.37</v>
      </c>
      <c r="O60" s="63">
        <v>0.44</v>
      </c>
      <c r="P60" s="12">
        <v>56</v>
      </c>
      <c r="Q60" s="12">
        <v>9</v>
      </c>
      <c r="R60" s="61">
        <v>0.05</v>
      </c>
      <c r="S60" s="61">
        <v>0.43</v>
      </c>
      <c r="T60" s="61">
        <v>0.5</v>
      </c>
      <c r="U60" s="61">
        <v>0.02</v>
      </c>
      <c r="V60" s="61">
        <v>0.32</v>
      </c>
      <c r="W60" s="61">
        <v>0.4</v>
      </c>
      <c r="X60" s="61">
        <v>0.49</v>
      </c>
      <c r="Y60" s="61">
        <v>0.35</v>
      </c>
      <c r="Z60" s="61">
        <v>0.35</v>
      </c>
      <c r="AA60" s="61">
        <v>0.45</v>
      </c>
      <c r="AB60" s="12">
        <v>53</v>
      </c>
      <c r="AC60" s="12">
        <v>10</v>
      </c>
      <c r="AD60" s="63">
        <v>0.1</v>
      </c>
      <c r="AE60" s="63">
        <v>0.48</v>
      </c>
      <c r="AF60" s="63">
        <v>0.38</v>
      </c>
      <c r="AG60" s="63">
        <v>0.04</v>
      </c>
      <c r="AH60" s="63">
        <v>0.38</v>
      </c>
      <c r="AI60" s="63">
        <v>0.36</v>
      </c>
      <c r="AJ60" s="63">
        <v>0.33</v>
      </c>
      <c r="AK60" s="63">
        <v>0.44</v>
      </c>
      <c r="AL60" s="63">
        <v>0.46</v>
      </c>
      <c r="AM60" s="63">
        <v>0.44</v>
      </c>
      <c r="AN60" s="12">
        <v>54</v>
      </c>
      <c r="AO60" s="12">
        <v>10</v>
      </c>
      <c r="AP60" s="63">
        <v>0.13</v>
      </c>
      <c r="AQ60" s="63">
        <v>0.41</v>
      </c>
      <c r="AR60" s="63">
        <v>0.43</v>
      </c>
      <c r="AS60" s="63">
        <v>0.04</v>
      </c>
      <c r="AT60" s="63">
        <v>0.47</v>
      </c>
      <c r="AU60" s="63">
        <v>0.45</v>
      </c>
      <c r="AV60" s="63">
        <v>0.34</v>
      </c>
      <c r="AW60" s="63">
        <v>0.39</v>
      </c>
      <c r="AX60" s="63">
        <v>0.39</v>
      </c>
      <c r="AY60" s="63">
        <v>0.41</v>
      </c>
      <c r="AZ60" s="35">
        <v>56</v>
      </c>
      <c r="BA60" s="35">
        <v>11</v>
      </c>
      <c r="BB60" s="40">
        <v>0.11</v>
      </c>
      <c r="BC60" s="40">
        <v>0.32</v>
      </c>
      <c r="BD60" s="40">
        <v>0.48</v>
      </c>
      <c r="BE60" s="40">
        <v>0.09</v>
      </c>
      <c r="BF60" s="40">
        <v>0.41</v>
      </c>
      <c r="BG60" s="40">
        <v>0.33</v>
      </c>
      <c r="BH60" s="40">
        <v>0.37</v>
      </c>
      <c r="BI60" s="40">
        <v>0.45</v>
      </c>
      <c r="BJ60" s="40">
        <v>0.32</v>
      </c>
      <c r="BK60" s="40">
        <v>0.32</v>
      </c>
      <c r="BL60" s="247">
        <v>55</v>
      </c>
      <c r="BM60" s="247" t="s">
        <v>874</v>
      </c>
      <c r="BN60" s="247">
        <v>11</v>
      </c>
      <c r="BO60" s="247" t="s">
        <v>874</v>
      </c>
      <c r="BP60" s="264">
        <v>0.11</v>
      </c>
      <c r="BQ60" s="264">
        <v>0.41</v>
      </c>
      <c r="BR60" s="264">
        <v>0.43</v>
      </c>
      <c r="BS60" s="264">
        <v>0.05</v>
      </c>
      <c r="BT60" s="264">
        <v>0.37</v>
      </c>
      <c r="BU60" s="264">
        <v>0.36</v>
      </c>
      <c r="BV60" s="264">
        <v>0.42</v>
      </c>
      <c r="BW60" s="264">
        <v>0.35</v>
      </c>
      <c r="BX60" s="264">
        <v>0.37</v>
      </c>
      <c r="BY60" s="264">
        <v>0.44</v>
      </c>
      <c r="BZ60" s="311">
        <v>59</v>
      </c>
      <c r="CA60" s="311" t="s">
        <v>875</v>
      </c>
      <c r="CB60" s="311">
        <v>11</v>
      </c>
      <c r="CC60" s="311" t="s">
        <v>874</v>
      </c>
      <c r="CD60" s="329">
        <v>0.05</v>
      </c>
      <c r="CE60" s="329">
        <v>0.3</v>
      </c>
      <c r="CF60" s="329">
        <v>0.51</v>
      </c>
      <c r="CG60" s="329">
        <v>0.15</v>
      </c>
      <c r="CH60" s="329">
        <v>0.38</v>
      </c>
      <c r="CI60" s="329">
        <v>0.24</v>
      </c>
      <c r="CJ60" s="329">
        <v>0.45</v>
      </c>
      <c r="CK60" s="329">
        <v>0.42</v>
      </c>
      <c r="CL60" s="329">
        <v>0.31</v>
      </c>
      <c r="CM60" s="329">
        <v>0.42</v>
      </c>
      <c r="CN60" s="426">
        <v>55</v>
      </c>
      <c r="CO60" s="426" t="s">
        <v>874</v>
      </c>
      <c r="CP60" s="426">
        <v>9</v>
      </c>
      <c r="CQ60" s="426" t="s">
        <v>874</v>
      </c>
      <c r="CR60" s="430">
        <v>0.06</v>
      </c>
      <c r="CS60" s="430">
        <v>0.45</v>
      </c>
      <c r="CT60" s="430">
        <v>0.44</v>
      </c>
      <c r="CU60" s="430">
        <v>0.05</v>
      </c>
      <c r="CV60" s="430">
        <v>0.27</v>
      </c>
      <c r="CW60" s="430">
        <v>0.45</v>
      </c>
      <c r="CX60" s="430">
        <v>0.52</v>
      </c>
      <c r="CY60" s="430">
        <v>0.6</v>
      </c>
      <c r="CZ60" s="527">
        <v>0.49</v>
      </c>
      <c r="DA60" s="527">
        <v>0.54</v>
      </c>
      <c r="DB60" s="528">
        <v>56</v>
      </c>
      <c r="DC60" s="528" t="s">
        <v>874</v>
      </c>
      <c r="DD60" s="528">
        <v>11</v>
      </c>
      <c r="DE60" s="528" t="s">
        <v>874</v>
      </c>
      <c r="DF60" s="529">
        <v>0.09</v>
      </c>
      <c r="DG60" s="529">
        <v>0.35</v>
      </c>
      <c r="DH60" s="529">
        <v>0.49</v>
      </c>
      <c r="DI60" s="529">
        <v>0.06</v>
      </c>
      <c r="DJ60" s="529">
        <v>0.43</v>
      </c>
      <c r="DK60" s="529">
        <v>0.41</v>
      </c>
      <c r="DL60" s="529">
        <v>0.38</v>
      </c>
      <c r="DM60" s="529">
        <v>0.54</v>
      </c>
      <c r="DN60" s="529">
        <v>0.43</v>
      </c>
      <c r="DO60" s="529">
        <v>0.3</v>
      </c>
    </row>
    <row r="61" spans="1:119" ht="24.95" customHeight="1" x14ac:dyDescent="0.2">
      <c r="A61" s="814" t="s">
        <v>174</v>
      </c>
      <c r="B61" s="1" t="s">
        <v>221</v>
      </c>
      <c r="C61" s="2">
        <v>2</v>
      </c>
      <c r="D61" s="12">
        <v>51</v>
      </c>
      <c r="E61" s="12">
        <v>8</v>
      </c>
      <c r="F61" s="63">
        <v>0.08</v>
      </c>
      <c r="G61" s="63">
        <v>0.69</v>
      </c>
      <c r="H61" s="63">
        <v>0.23</v>
      </c>
      <c r="I61" s="63">
        <v>0</v>
      </c>
      <c r="J61" s="63">
        <v>0.53</v>
      </c>
      <c r="K61" s="63">
        <v>0.51</v>
      </c>
      <c r="L61" s="63">
        <v>0.61</v>
      </c>
      <c r="M61" s="63">
        <v>0.4</v>
      </c>
      <c r="N61" s="63">
        <v>0.47</v>
      </c>
      <c r="O61" s="63">
        <v>0.5</v>
      </c>
      <c r="P61" s="12">
        <v>46</v>
      </c>
      <c r="Q61" s="12">
        <v>11</v>
      </c>
      <c r="R61" s="61">
        <v>0.37</v>
      </c>
      <c r="S61" s="61">
        <v>0.43</v>
      </c>
      <c r="T61" s="61">
        <v>0.17</v>
      </c>
      <c r="U61" s="61">
        <v>0.03</v>
      </c>
      <c r="V61" s="61">
        <v>0.47</v>
      </c>
      <c r="W61" s="61">
        <v>0.61</v>
      </c>
      <c r="X61" s="61">
        <v>0.61</v>
      </c>
      <c r="Y61" s="61">
        <v>0.52</v>
      </c>
      <c r="Z61" s="61">
        <v>0.52</v>
      </c>
      <c r="AA61" s="61">
        <v>0.55000000000000004</v>
      </c>
      <c r="AB61" s="12">
        <v>49</v>
      </c>
      <c r="AC61" s="12">
        <v>10</v>
      </c>
      <c r="AD61" s="63">
        <v>0.22</v>
      </c>
      <c r="AE61" s="63">
        <v>0.5</v>
      </c>
      <c r="AF61" s="63">
        <v>0.25</v>
      </c>
      <c r="AG61" s="63">
        <v>0.03</v>
      </c>
      <c r="AH61" s="63">
        <v>0.42</v>
      </c>
      <c r="AI61" s="63">
        <v>0.47</v>
      </c>
      <c r="AJ61" s="63">
        <v>0.42</v>
      </c>
      <c r="AK61" s="63">
        <v>0.48</v>
      </c>
      <c r="AL61" s="63">
        <v>0.52</v>
      </c>
      <c r="AM61" s="63">
        <v>0.56999999999999995</v>
      </c>
      <c r="AN61" s="12">
        <v>52</v>
      </c>
      <c r="AO61" s="12">
        <v>10</v>
      </c>
      <c r="AP61" s="63">
        <v>0.12</v>
      </c>
      <c r="AQ61" s="63">
        <v>0.5</v>
      </c>
      <c r="AR61" s="63">
        <v>0.35</v>
      </c>
      <c r="AS61" s="63">
        <v>0.04</v>
      </c>
      <c r="AT61" s="63">
        <v>0.46</v>
      </c>
      <c r="AU61" s="63">
        <v>0.4</v>
      </c>
      <c r="AV61" s="63">
        <v>0.39</v>
      </c>
      <c r="AW61" s="63">
        <v>0.42</v>
      </c>
      <c r="AX61" s="63">
        <v>0.48</v>
      </c>
      <c r="AY61" s="63">
        <v>0.43</v>
      </c>
      <c r="AZ61" s="35">
        <v>49</v>
      </c>
      <c r="BA61" s="35">
        <v>11</v>
      </c>
      <c r="BB61" s="40">
        <v>0.22</v>
      </c>
      <c r="BC61" s="40">
        <v>0.5</v>
      </c>
      <c r="BD61" s="40">
        <v>0.28000000000000003</v>
      </c>
      <c r="BE61" s="40">
        <v>0</v>
      </c>
      <c r="BF61" s="40">
        <v>0.56000000000000005</v>
      </c>
      <c r="BG61" s="40">
        <v>0.51</v>
      </c>
      <c r="BH61" s="40">
        <v>0.46</v>
      </c>
      <c r="BI61" s="40">
        <v>0.52</v>
      </c>
      <c r="BJ61" s="40">
        <v>0.38</v>
      </c>
      <c r="BK61" s="40">
        <v>0.48</v>
      </c>
      <c r="BL61" s="653">
        <v>50</v>
      </c>
      <c r="BM61" s="653" t="s">
        <v>874</v>
      </c>
      <c r="BN61" s="653">
        <v>12</v>
      </c>
      <c r="BO61" s="653" t="s">
        <v>874</v>
      </c>
      <c r="BP61" s="654">
        <v>0.34</v>
      </c>
      <c r="BQ61" s="654">
        <v>0.25</v>
      </c>
      <c r="BR61" s="654">
        <v>0.38</v>
      </c>
      <c r="BS61" s="654">
        <v>0.03</v>
      </c>
      <c r="BT61" s="654">
        <v>0.49</v>
      </c>
      <c r="BU61" s="654">
        <v>0.42</v>
      </c>
      <c r="BV61" s="654">
        <v>0.6</v>
      </c>
      <c r="BW61" s="654">
        <v>0.4</v>
      </c>
      <c r="BX61" s="654">
        <v>0.45</v>
      </c>
      <c r="BY61" s="654">
        <v>0.52</v>
      </c>
      <c r="BZ61" s="74">
        <v>54</v>
      </c>
      <c r="CA61" s="74" t="s">
        <v>874</v>
      </c>
      <c r="CB61" s="74">
        <v>10</v>
      </c>
      <c r="CC61" s="74" t="s">
        <v>874</v>
      </c>
      <c r="CD61" s="96">
        <v>0.08</v>
      </c>
      <c r="CE61" s="96">
        <v>0.45</v>
      </c>
      <c r="CF61" s="96">
        <v>0.45</v>
      </c>
      <c r="CG61" s="96">
        <v>0.03</v>
      </c>
      <c r="CH61" s="96">
        <v>0.41</v>
      </c>
      <c r="CI61" s="96">
        <v>0.25</v>
      </c>
      <c r="CJ61" s="96">
        <v>0.56000000000000005</v>
      </c>
      <c r="CK61" s="96">
        <v>0.5</v>
      </c>
      <c r="CL61" s="96">
        <v>0.44</v>
      </c>
      <c r="CM61" s="96">
        <v>0.52</v>
      </c>
      <c r="CN61" s="658">
        <v>55</v>
      </c>
      <c r="CO61" s="658" t="s">
        <v>874</v>
      </c>
      <c r="CP61" s="658">
        <v>10</v>
      </c>
      <c r="CQ61" s="658" t="s">
        <v>874</v>
      </c>
      <c r="CR61" s="659">
        <v>0.09</v>
      </c>
      <c r="CS61" s="659">
        <v>0.39</v>
      </c>
      <c r="CT61" s="659">
        <v>0.45</v>
      </c>
      <c r="CU61" s="659">
        <v>0.06</v>
      </c>
      <c r="CV61" s="659">
        <v>0.24</v>
      </c>
      <c r="CW61" s="659">
        <v>0.47</v>
      </c>
      <c r="CX61" s="659">
        <v>0.51</v>
      </c>
      <c r="CY61" s="659">
        <v>0.7</v>
      </c>
      <c r="CZ61" s="667">
        <v>0.54</v>
      </c>
      <c r="DA61" s="667">
        <v>0.65</v>
      </c>
      <c r="DB61" s="47">
        <v>49</v>
      </c>
      <c r="DC61" s="47" t="s">
        <v>874</v>
      </c>
      <c r="DD61" s="47">
        <v>12</v>
      </c>
      <c r="DE61" s="47" t="s">
        <v>874</v>
      </c>
      <c r="DF61" s="670">
        <v>0.31</v>
      </c>
      <c r="DG61" s="670">
        <v>0.43</v>
      </c>
      <c r="DH61" s="670">
        <v>0.23</v>
      </c>
      <c r="DI61" s="670">
        <v>0.03</v>
      </c>
      <c r="DJ61" s="670">
        <v>0.56000000000000005</v>
      </c>
      <c r="DK61" s="670">
        <v>0.5</v>
      </c>
      <c r="DL61" s="670">
        <v>0.51</v>
      </c>
      <c r="DM61" s="670">
        <v>0.61</v>
      </c>
      <c r="DN61" s="670">
        <v>0.6</v>
      </c>
      <c r="DO61" s="670">
        <v>0.41</v>
      </c>
    </row>
    <row r="62" spans="1:119" ht="24.95" customHeight="1" x14ac:dyDescent="0.2">
      <c r="A62" s="814" t="s">
        <v>84</v>
      </c>
      <c r="B62" s="1" t="s">
        <v>221</v>
      </c>
      <c r="C62" s="2">
        <v>2</v>
      </c>
      <c r="D62" s="12">
        <v>58</v>
      </c>
      <c r="E62" s="12">
        <v>5</v>
      </c>
      <c r="F62" s="63">
        <v>0</v>
      </c>
      <c r="G62" s="63">
        <v>0.3</v>
      </c>
      <c r="H62" s="63">
        <v>0.7</v>
      </c>
      <c r="I62" s="63">
        <v>0</v>
      </c>
      <c r="J62" s="63">
        <v>0.44</v>
      </c>
      <c r="K62" s="63">
        <v>0.34</v>
      </c>
      <c r="L62" s="63">
        <v>0.45</v>
      </c>
      <c r="M62" s="63">
        <v>0.28999999999999998</v>
      </c>
      <c r="N62" s="63">
        <v>0.3</v>
      </c>
      <c r="O62" s="63">
        <v>0.47</v>
      </c>
      <c r="P62" s="12">
        <v>58</v>
      </c>
      <c r="Q62" s="12">
        <v>6</v>
      </c>
      <c r="R62" s="61">
        <v>0</v>
      </c>
      <c r="S62" s="61">
        <v>0.26</v>
      </c>
      <c r="T62" s="61">
        <v>0.74</v>
      </c>
      <c r="U62" s="61">
        <v>0</v>
      </c>
      <c r="V62" s="61">
        <v>0.26</v>
      </c>
      <c r="W62" s="61">
        <v>0.31</v>
      </c>
      <c r="X62" s="61">
        <v>0.49</v>
      </c>
      <c r="Y62" s="61">
        <v>0.36</v>
      </c>
      <c r="Z62" s="61">
        <v>0.35</v>
      </c>
      <c r="AA62" s="61">
        <v>0.46</v>
      </c>
      <c r="AB62" s="12">
        <v>63</v>
      </c>
      <c r="AC62" s="12">
        <v>7</v>
      </c>
      <c r="AD62" s="63">
        <v>0</v>
      </c>
      <c r="AE62" s="63">
        <v>0.19</v>
      </c>
      <c r="AF62" s="63">
        <v>0.63</v>
      </c>
      <c r="AG62" s="63">
        <v>0.19</v>
      </c>
      <c r="AH62" s="63">
        <v>0.26</v>
      </c>
      <c r="AI62" s="63">
        <v>0.15</v>
      </c>
      <c r="AJ62" s="63">
        <v>0.18</v>
      </c>
      <c r="AK62" s="63">
        <v>0.28999999999999998</v>
      </c>
      <c r="AL62" s="63">
        <v>0.35</v>
      </c>
      <c r="AM62" s="63">
        <v>0.25</v>
      </c>
      <c r="AN62" s="12">
        <v>55</v>
      </c>
      <c r="AO62" s="12">
        <v>10</v>
      </c>
      <c r="AP62" s="63">
        <v>0.05</v>
      </c>
      <c r="AQ62" s="63">
        <v>0.45</v>
      </c>
      <c r="AR62" s="63">
        <v>0.45</v>
      </c>
      <c r="AS62" s="63">
        <v>0.05</v>
      </c>
      <c r="AT62" s="63">
        <v>0.52</v>
      </c>
      <c r="AU62" s="63">
        <v>0.31</v>
      </c>
      <c r="AV62" s="63">
        <v>0.32</v>
      </c>
      <c r="AW62" s="63">
        <v>0.36</v>
      </c>
      <c r="AX62" s="63">
        <v>0.3</v>
      </c>
      <c r="AY62" s="63">
        <v>0.42</v>
      </c>
      <c r="AZ62" s="35">
        <v>58</v>
      </c>
      <c r="BA62" s="35">
        <v>8</v>
      </c>
      <c r="BB62" s="40">
        <v>0.04</v>
      </c>
      <c r="BC62" s="40">
        <v>0.3</v>
      </c>
      <c r="BD62" s="40">
        <v>0.63</v>
      </c>
      <c r="BE62" s="40">
        <v>0.04</v>
      </c>
      <c r="BF62" s="40">
        <v>0.32</v>
      </c>
      <c r="BG62" s="40">
        <v>0.31</v>
      </c>
      <c r="BH62" s="40">
        <v>0.32</v>
      </c>
      <c r="BI62" s="40">
        <v>0.37</v>
      </c>
      <c r="BJ62" s="40">
        <v>0.32</v>
      </c>
      <c r="BK62" s="40">
        <v>0.26</v>
      </c>
      <c r="BL62" s="247">
        <v>57</v>
      </c>
      <c r="BM62" s="247" t="s">
        <v>875</v>
      </c>
      <c r="BN62" s="247">
        <v>12</v>
      </c>
      <c r="BO62" s="247" t="s">
        <v>874</v>
      </c>
      <c r="BP62" s="264">
        <v>0.05</v>
      </c>
      <c r="BQ62" s="264">
        <v>0.38</v>
      </c>
      <c r="BR62" s="264">
        <v>0.48</v>
      </c>
      <c r="BS62" s="264">
        <v>0.1</v>
      </c>
      <c r="BT62" s="264">
        <v>0.4</v>
      </c>
      <c r="BU62" s="264">
        <v>0.4</v>
      </c>
      <c r="BV62" s="264">
        <v>0.38</v>
      </c>
      <c r="BW62" s="264">
        <v>0.35</v>
      </c>
      <c r="BX62" s="264">
        <v>0.32</v>
      </c>
      <c r="BY62" s="264">
        <v>0.37</v>
      </c>
      <c r="BZ62" s="311">
        <v>58</v>
      </c>
      <c r="CA62" s="311" t="s">
        <v>875</v>
      </c>
      <c r="CB62" s="311">
        <v>8</v>
      </c>
      <c r="CC62" s="311" t="s">
        <v>874</v>
      </c>
      <c r="CD62" s="329">
        <v>0.05</v>
      </c>
      <c r="CE62" s="329">
        <v>0.25</v>
      </c>
      <c r="CF62" s="329">
        <v>0.7</v>
      </c>
      <c r="CG62" s="329">
        <v>0</v>
      </c>
      <c r="CH62" s="329">
        <v>0.36</v>
      </c>
      <c r="CI62" s="329">
        <v>0.43</v>
      </c>
      <c r="CJ62" s="329">
        <v>0.4</v>
      </c>
      <c r="CK62" s="329">
        <v>0.46</v>
      </c>
      <c r="CL62" s="329">
        <v>0.3</v>
      </c>
      <c r="CM62" s="329">
        <v>0.47</v>
      </c>
      <c r="CN62" s="426">
        <v>60</v>
      </c>
      <c r="CO62" s="426" t="s">
        <v>875</v>
      </c>
      <c r="CP62" s="426">
        <v>10</v>
      </c>
      <c r="CQ62" s="426" t="s">
        <v>874</v>
      </c>
      <c r="CR62" s="430">
        <v>0</v>
      </c>
      <c r="CS62" s="430">
        <v>0.31</v>
      </c>
      <c r="CT62" s="430">
        <v>0.5</v>
      </c>
      <c r="CU62" s="430">
        <v>0.19</v>
      </c>
      <c r="CV62" s="430">
        <v>0.19</v>
      </c>
      <c r="CW62" s="430">
        <v>0.28000000000000003</v>
      </c>
      <c r="CX62" s="430">
        <v>0.48</v>
      </c>
      <c r="CY62" s="430">
        <v>0.5</v>
      </c>
      <c r="CZ62" s="527">
        <v>0.3</v>
      </c>
      <c r="DA62" s="527">
        <v>0.43</v>
      </c>
      <c r="DB62" s="528">
        <v>58</v>
      </c>
      <c r="DC62" s="528" t="s">
        <v>875</v>
      </c>
      <c r="DD62" s="528">
        <v>9</v>
      </c>
      <c r="DE62" s="528" t="s">
        <v>874</v>
      </c>
      <c r="DF62" s="529">
        <v>0</v>
      </c>
      <c r="DG62" s="529">
        <v>0.42</v>
      </c>
      <c r="DH62" s="529">
        <v>0.42</v>
      </c>
      <c r="DI62" s="529">
        <v>0.17</v>
      </c>
      <c r="DJ62" s="529">
        <v>0.35</v>
      </c>
      <c r="DK62" s="529">
        <v>0.36</v>
      </c>
      <c r="DL62" s="529">
        <v>0.27</v>
      </c>
      <c r="DM62" s="529">
        <v>0.45</v>
      </c>
      <c r="DN62" s="529">
        <v>0.37</v>
      </c>
      <c r="DO62" s="529">
        <v>0.13</v>
      </c>
    </row>
    <row r="63" spans="1:119" ht="24.95" customHeight="1" x14ac:dyDescent="0.2">
      <c r="A63" s="814" t="s">
        <v>185</v>
      </c>
      <c r="B63" s="1" t="s">
        <v>221</v>
      </c>
      <c r="C63" s="2">
        <v>1</v>
      </c>
      <c r="D63" s="12">
        <v>43</v>
      </c>
      <c r="E63" s="12">
        <v>8</v>
      </c>
      <c r="F63" s="63">
        <v>0.46</v>
      </c>
      <c r="G63" s="63">
        <v>0.54</v>
      </c>
      <c r="H63" s="63">
        <v>0</v>
      </c>
      <c r="I63" s="63">
        <v>0</v>
      </c>
      <c r="J63" s="63">
        <v>0.65</v>
      </c>
      <c r="K63" s="63">
        <v>0.62</v>
      </c>
      <c r="L63" s="63">
        <v>0.72</v>
      </c>
      <c r="M63" s="63">
        <v>0.59</v>
      </c>
      <c r="N63" s="63">
        <v>0.48</v>
      </c>
      <c r="O63" s="63">
        <v>0.72</v>
      </c>
      <c r="P63" s="12">
        <v>46</v>
      </c>
      <c r="Q63" s="12">
        <v>7</v>
      </c>
      <c r="R63" s="61">
        <v>0.2</v>
      </c>
      <c r="S63" s="61">
        <v>0.7</v>
      </c>
      <c r="T63" s="61">
        <v>0.1</v>
      </c>
      <c r="U63" s="61">
        <v>0</v>
      </c>
      <c r="V63" s="61">
        <v>0.49</v>
      </c>
      <c r="W63" s="61">
        <v>0.59</v>
      </c>
      <c r="X63" s="61">
        <v>0.71</v>
      </c>
      <c r="Y63" s="61">
        <v>0.52</v>
      </c>
      <c r="Z63" s="61">
        <v>0.53</v>
      </c>
      <c r="AA63" s="61">
        <v>0.63</v>
      </c>
      <c r="AB63" s="12">
        <v>47</v>
      </c>
      <c r="AC63" s="12">
        <v>11</v>
      </c>
      <c r="AD63" s="63">
        <v>0.37</v>
      </c>
      <c r="AE63" s="63">
        <v>0.37</v>
      </c>
      <c r="AF63" s="63">
        <v>0.26</v>
      </c>
      <c r="AG63" s="63">
        <v>0</v>
      </c>
      <c r="AH63" s="63">
        <v>0.46</v>
      </c>
      <c r="AI63" s="63">
        <v>0.47</v>
      </c>
      <c r="AJ63" s="63">
        <v>0.48</v>
      </c>
      <c r="AK63" s="63">
        <v>0.54</v>
      </c>
      <c r="AL63" s="63">
        <v>0.6</v>
      </c>
      <c r="AM63" s="63">
        <v>0.51</v>
      </c>
      <c r="AN63" s="12">
        <v>40</v>
      </c>
      <c r="AO63" s="12">
        <v>8</v>
      </c>
      <c r="AP63" s="63">
        <v>0.59</v>
      </c>
      <c r="AQ63" s="63">
        <v>0.35</v>
      </c>
      <c r="AR63" s="63">
        <v>0.06</v>
      </c>
      <c r="AS63" s="63">
        <v>0</v>
      </c>
      <c r="AT63" s="63">
        <v>0.55000000000000004</v>
      </c>
      <c r="AU63" s="63">
        <v>0.69</v>
      </c>
      <c r="AV63" s="63">
        <v>0.55000000000000004</v>
      </c>
      <c r="AW63" s="63">
        <v>0.59</v>
      </c>
      <c r="AX63" s="63">
        <v>0.7</v>
      </c>
      <c r="AY63" s="63">
        <v>0.63</v>
      </c>
      <c r="AZ63" s="35">
        <v>42</v>
      </c>
      <c r="BA63" s="35">
        <v>9</v>
      </c>
      <c r="BB63" s="40">
        <v>0.53</v>
      </c>
      <c r="BC63" s="40">
        <v>0.47</v>
      </c>
      <c r="BD63" s="40">
        <v>0</v>
      </c>
      <c r="BE63" s="40">
        <v>0</v>
      </c>
      <c r="BF63" s="40">
        <v>0.61</v>
      </c>
      <c r="BG63" s="40">
        <v>0.56999999999999995</v>
      </c>
      <c r="BH63" s="40">
        <v>0.66</v>
      </c>
      <c r="BI63" s="40">
        <v>0.59</v>
      </c>
      <c r="BJ63" s="40">
        <v>0.56000000000000005</v>
      </c>
      <c r="BK63" s="40">
        <v>0.61</v>
      </c>
      <c r="BL63" s="247">
        <v>43</v>
      </c>
      <c r="BM63" s="247" t="s">
        <v>874</v>
      </c>
      <c r="BN63" s="247">
        <v>7</v>
      </c>
      <c r="BO63" s="247" t="s">
        <v>876</v>
      </c>
      <c r="BP63" s="264">
        <v>0.25</v>
      </c>
      <c r="BQ63" s="264">
        <v>0.75</v>
      </c>
      <c r="BR63" s="264">
        <v>0</v>
      </c>
      <c r="BS63" s="264">
        <v>0</v>
      </c>
      <c r="BT63" s="264">
        <v>0.61</v>
      </c>
      <c r="BU63" s="264">
        <v>0.61</v>
      </c>
      <c r="BV63" s="264">
        <v>0.6</v>
      </c>
      <c r="BW63" s="264">
        <v>0.52</v>
      </c>
      <c r="BX63" s="264">
        <v>0.51</v>
      </c>
      <c r="BY63" s="264">
        <v>0.63</v>
      </c>
      <c r="BZ63" s="311">
        <v>41</v>
      </c>
      <c r="CA63" s="311" t="s">
        <v>876</v>
      </c>
      <c r="CB63" s="311">
        <v>11</v>
      </c>
      <c r="CC63" s="311" t="s">
        <v>874</v>
      </c>
      <c r="CD63" s="329">
        <v>0.56000000000000005</v>
      </c>
      <c r="CE63" s="329">
        <v>0.25</v>
      </c>
      <c r="CF63" s="329">
        <v>0.19</v>
      </c>
      <c r="CG63" s="329">
        <v>0</v>
      </c>
      <c r="CH63" s="329">
        <v>0.57999999999999996</v>
      </c>
      <c r="CI63" s="329">
        <v>0.44</v>
      </c>
      <c r="CJ63" s="329">
        <v>0.59</v>
      </c>
      <c r="CK63" s="329">
        <v>0.64</v>
      </c>
      <c r="CL63" s="329">
        <v>0.59</v>
      </c>
      <c r="CM63" s="329">
        <v>0.71</v>
      </c>
      <c r="CN63" s="426">
        <v>47</v>
      </c>
      <c r="CO63" s="426" t="s">
        <v>874</v>
      </c>
      <c r="CP63" s="426">
        <v>2</v>
      </c>
      <c r="CQ63" s="426" t="s">
        <v>876</v>
      </c>
      <c r="CR63" s="430">
        <v>0</v>
      </c>
      <c r="CS63" s="430">
        <v>1</v>
      </c>
      <c r="CT63" s="430">
        <v>0</v>
      </c>
      <c r="CU63" s="430">
        <v>0</v>
      </c>
      <c r="CV63" s="430">
        <v>0.52</v>
      </c>
      <c r="CW63" s="430">
        <v>0.64</v>
      </c>
      <c r="CX63" s="430">
        <v>0.63</v>
      </c>
      <c r="CY63" s="430">
        <v>0.75</v>
      </c>
      <c r="CZ63" s="527">
        <v>0.65</v>
      </c>
      <c r="DA63" s="527">
        <v>0.56000000000000005</v>
      </c>
      <c r="DB63" s="528">
        <v>50</v>
      </c>
      <c r="DC63" s="528" t="s">
        <v>874</v>
      </c>
      <c r="DD63" s="528">
        <v>10</v>
      </c>
      <c r="DE63" s="528" t="s">
        <v>874</v>
      </c>
      <c r="DF63" s="529">
        <v>0.16</v>
      </c>
      <c r="DG63" s="529">
        <v>0.48</v>
      </c>
      <c r="DH63" s="529">
        <v>0.36</v>
      </c>
      <c r="DI63" s="529">
        <v>0</v>
      </c>
      <c r="DJ63" s="529">
        <v>0.55000000000000004</v>
      </c>
      <c r="DK63" s="529">
        <v>0.5</v>
      </c>
      <c r="DL63" s="529">
        <v>0.38</v>
      </c>
      <c r="DM63" s="529">
        <v>0.66</v>
      </c>
      <c r="DN63" s="529">
        <v>0.46</v>
      </c>
      <c r="DO63" s="529">
        <v>0.43</v>
      </c>
    </row>
    <row r="64" spans="1:119" ht="24.95" customHeight="1" x14ac:dyDescent="0.2">
      <c r="A64" s="814" t="s">
        <v>161</v>
      </c>
      <c r="B64" s="1" t="s">
        <v>221</v>
      </c>
      <c r="C64" s="2">
        <v>4</v>
      </c>
      <c r="D64" s="12">
        <v>52</v>
      </c>
      <c r="E64" s="12">
        <v>10</v>
      </c>
      <c r="F64" s="63">
        <v>0.12</v>
      </c>
      <c r="G64" s="63">
        <v>0.51</v>
      </c>
      <c r="H64" s="63">
        <v>0.34</v>
      </c>
      <c r="I64" s="63">
        <v>0.02</v>
      </c>
      <c r="J64" s="63">
        <v>0.56999999999999995</v>
      </c>
      <c r="K64" s="63">
        <v>0.5</v>
      </c>
      <c r="L64" s="63">
        <v>0.53</v>
      </c>
      <c r="M64" s="63">
        <v>0.38</v>
      </c>
      <c r="N64" s="63">
        <v>0.38</v>
      </c>
      <c r="O64" s="63">
        <v>0.51</v>
      </c>
      <c r="P64" s="12">
        <v>49</v>
      </c>
      <c r="Q64" s="12">
        <v>8</v>
      </c>
      <c r="R64" s="61">
        <v>0.13</v>
      </c>
      <c r="S64" s="61">
        <v>0.56000000000000005</v>
      </c>
      <c r="T64" s="61">
        <v>0.31</v>
      </c>
      <c r="U64" s="61">
        <v>0</v>
      </c>
      <c r="V64" s="61">
        <v>0.5</v>
      </c>
      <c r="W64" s="61">
        <v>0.51</v>
      </c>
      <c r="X64" s="61">
        <v>0.63</v>
      </c>
      <c r="Y64" s="61">
        <v>0.49</v>
      </c>
      <c r="Z64" s="61">
        <v>0.44</v>
      </c>
      <c r="AA64" s="61">
        <v>0.48</v>
      </c>
      <c r="AB64" s="12">
        <v>50</v>
      </c>
      <c r="AC64" s="12">
        <v>11</v>
      </c>
      <c r="AD64" s="63">
        <v>0.21</v>
      </c>
      <c r="AE64" s="63">
        <v>0.47</v>
      </c>
      <c r="AF64" s="63">
        <v>0.3</v>
      </c>
      <c r="AG64" s="63">
        <v>0.02</v>
      </c>
      <c r="AH64" s="63">
        <v>0.44</v>
      </c>
      <c r="AI64" s="63">
        <v>0.41</v>
      </c>
      <c r="AJ64" s="63">
        <v>0.4</v>
      </c>
      <c r="AK64" s="63">
        <v>0.48</v>
      </c>
      <c r="AL64" s="63">
        <v>0.49</v>
      </c>
      <c r="AM64" s="63">
        <v>0.56999999999999995</v>
      </c>
      <c r="AN64" s="12">
        <v>47</v>
      </c>
      <c r="AO64" s="12">
        <v>10</v>
      </c>
      <c r="AP64" s="63">
        <v>0.27</v>
      </c>
      <c r="AQ64" s="63">
        <v>0.54</v>
      </c>
      <c r="AR64" s="63">
        <v>0.19</v>
      </c>
      <c r="AS64" s="63">
        <v>0</v>
      </c>
      <c r="AT64" s="63">
        <v>0.61</v>
      </c>
      <c r="AU64" s="63">
        <v>0.56000000000000005</v>
      </c>
      <c r="AV64" s="63">
        <v>0.42</v>
      </c>
      <c r="AW64" s="63">
        <v>0.5</v>
      </c>
      <c r="AX64" s="63">
        <v>0.54</v>
      </c>
      <c r="AY64" s="63">
        <v>0.49</v>
      </c>
      <c r="AZ64" s="35">
        <v>52</v>
      </c>
      <c r="BA64" s="35">
        <v>12</v>
      </c>
      <c r="BB64" s="40">
        <v>0.22</v>
      </c>
      <c r="BC64" s="40">
        <v>0.27</v>
      </c>
      <c r="BD64" s="40">
        <v>0.49</v>
      </c>
      <c r="BE64" s="40">
        <v>0.02</v>
      </c>
      <c r="BF64" s="40">
        <v>0.52</v>
      </c>
      <c r="BG64" s="40">
        <v>0.44</v>
      </c>
      <c r="BH64" s="40">
        <v>0.46</v>
      </c>
      <c r="BI64" s="40">
        <v>0.43</v>
      </c>
      <c r="BJ64" s="40">
        <v>0.41</v>
      </c>
      <c r="BK64" s="40">
        <v>0.35</v>
      </c>
      <c r="BL64" s="247">
        <v>50</v>
      </c>
      <c r="BM64" s="247" t="s">
        <v>874</v>
      </c>
      <c r="BN64" s="247">
        <v>12</v>
      </c>
      <c r="BO64" s="247" t="s">
        <v>874</v>
      </c>
      <c r="BP64" s="264">
        <v>0.23</v>
      </c>
      <c r="BQ64" s="264">
        <v>0.43</v>
      </c>
      <c r="BR64" s="264">
        <v>0.33</v>
      </c>
      <c r="BS64" s="264">
        <v>0.03</v>
      </c>
      <c r="BT64" s="264">
        <v>0.41</v>
      </c>
      <c r="BU64" s="264">
        <v>0.43</v>
      </c>
      <c r="BV64" s="264">
        <v>0.47</v>
      </c>
      <c r="BW64" s="264">
        <v>0.45</v>
      </c>
      <c r="BX64" s="264">
        <v>0.45</v>
      </c>
      <c r="BY64" s="264">
        <v>0.53</v>
      </c>
      <c r="BZ64" s="311">
        <v>51</v>
      </c>
      <c r="CA64" s="311" t="s">
        <v>874</v>
      </c>
      <c r="CB64" s="311">
        <v>11</v>
      </c>
      <c r="CC64" s="311" t="s">
        <v>874</v>
      </c>
      <c r="CD64" s="329">
        <v>0.16</v>
      </c>
      <c r="CE64" s="329">
        <v>0.51</v>
      </c>
      <c r="CF64" s="329">
        <v>0.3</v>
      </c>
      <c r="CG64" s="329">
        <v>0.03</v>
      </c>
      <c r="CH64" s="329">
        <v>0.36</v>
      </c>
      <c r="CI64" s="329">
        <v>0.46</v>
      </c>
      <c r="CJ64" s="329">
        <v>0.53</v>
      </c>
      <c r="CK64" s="329">
        <v>0.53</v>
      </c>
      <c r="CL64" s="329">
        <v>0.45</v>
      </c>
      <c r="CM64" s="329">
        <v>0.6</v>
      </c>
      <c r="CN64" s="426">
        <v>50</v>
      </c>
      <c r="CO64" s="426" t="s">
        <v>874</v>
      </c>
      <c r="CP64" s="426">
        <v>9</v>
      </c>
      <c r="CQ64" s="426" t="s">
        <v>874</v>
      </c>
      <c r="CR64" s="430">
        <v>0.17</v>
      </c>
      <c r="CS64" s="430">
        <v>0.48</v>
      </c>
      <c r="CT64" s="430">
        <v>0.36</v>
      </c>
      <c r="CU64" s="430">
        <v>0</v>
      </c>
      <c r="CV64" s="430">
        <v>0.39</v>
      </c>
      <c r="CW64" s="430">
        <v>0.6</v>
      </c>
      <c r="CX64" s="430">
        <v>0.53</v>
      </c>
      <c r="CY64" s="430">
        <v>0.67</v>
      </c>
      <c r="CZ64" s="527">
        <v>0.48</v>
      </c>
      <c r="DA64" s="527">
        <v>0.56999999999999995</v>
      </c>
      <c r="DB64" s="528">
        <v>51</v>
      </c>
      <c r="DC64" s="528" t="s">
        <v>874</v>
      </c>
      <c r="DD64" s="528">
        <v>10</v>
      </c>
      <c r="DE64" s="528" t="s">
        <v>874</v>
      </c>
      <c r="DF64" s="529">
        <v>0.23</v>
      </c>
      <c r="DG64" s="529">
        <v>0.43</v>
      </c>
      <c r="DH64" s="529">
        <v>0.32</v>
      </c>
      <c r="DI64" s="529">
        <v>0.02</v>
      </c>
      <c r="DJ64" s="529">
        <v>0.42</v>
      </c>
      <c r="DK64" s="529">
        <v>0.5</v>
      </c>
      <c r="DL64" s="529">
        <v>0.46</v>
      </c>
      <c r="DM64" s="529">
        <v>0.61</v>
      </c>
      <c r="DN64" s="529">
        <v>0.53</v>
      </c>
      <c r="DO64" s="529">
        <v>0.39</v>
      </c>
    </row>
    <row r="65" spans="1:119" ht="24.95" customHeight="1" x14ac:dyDescent="0.2">
      <c r="A65" s="814" t="s">
        <v>114</v>
      </c>
      <c r="B65" s="1" t="s">
        <v>221</v>
      </c>
      <c r="C65" s="2">
        <v>3</v>
      </c>
      <c r="D65" s="12">
        <v>54</v>
      </c>
      <c r="E65" s="12">
        <v>8</v>
      </c>
      <c r="F65" s="63">
        <v>0.09</v>
      </c>
      <c r="G65" s="63">
        <v>0.51</v>
      </c>
      <c r="H65" s="63">
        <v>0.4</v>
      </c>
      <c r="I65" s="63">
        <v>0</v>
      </c>
      <c r="J65" s="63">
        <v>0.47</v>
      </c>
      <c r="K65" s="63">
        <v>0.46</v>
      </c>
      <c r="L65" s="63">
        <v>0.57999999999999996</v>
      </c>
      <c r="M65" s="63">
        <v>0.38</v>
      </c>
      <c r="N65" s="63">
        <v>0.44</v>
      </c>
      <c r="O65" s="63">
        <v>0.45</v>
      </c>
      <c r="P65" s="12">
        <v>56</v>
      </c>
      <c r="Q65" s="12">
        <v>9</v>
      </c>
      <c r="R65" s="61">
        <v>0</v>
      </c>
      <c r="S65" s="61">
        <v>0.5</v>
      </c>
      <c r="T65" s="61">
        <v>0.42</v>
      </c>
      <c r="U65" s="61">
        <v>0.08</v>
      </c>
      <c r="V65" s="61">
        <v>0.34</v>
      </c>
      <c r="W65" s="61">
        <v>0.43</v>
      </c>
      <c r="X65" s="61">
        <v>0.48</v>
      </c>
      <c r="Y65" s="61">
        <v>0.36</v>
      </c>
      <c r="Z65" s="61">
        <v>0.38</v>
      </c>
      <c r="AA65" s="61">
        <v>0.36</v>
      </c>
      <c r="AB65" s="12">
        <v>54</v>
      </c>
      <c r="AC65" s="12">
        <v>10</v>
      </c>
      <c r="AD65" s="63">
        <v>0.14000000000000001</v>
      </c>
      <c r="AE65" s="63">
        <v>0.4</v>
      </c>
      <c r="AF65" s="63">
        <v>0.42</v>
      </c>
      <c r="AG65" s="63">
        <v>0.04</v>
      </c>
      <c r="AH65" s="63">
        <v>0.33</v>
      </c>
      <c r="AI65" s="63">
        <v>0.36</v>
      </c>
      <c r="AJ65" s="63">
        <v>0.37</v>
      </c>
      <c r="AK65" s="63">
        <v>0.43</v>
      </c>
      <c r="AL65" s="63">
        <v>0.61</v>
      </c>
      <c r="AM65" s="63">
        <v>0.42</v>
      </c>
      <c r="AN65" s="12">
        <v>54</v>
      </c>
      <c r="AO65" s="12">
        <v>10</v>
      </c>
      <c r="AP65" s="63">
        <v>0.09</v>
      </c>
      <c r="AQ65" s="63">
        <v>0.43</v>
      </c>
      <c r="AR65" s="63">
        <v>0.43</v>
      </c>
      <c r="AS65" s="63">
        <v>0.06</v>
      </c>
      <c r="AT65" s="63">
        <v>0.42</v>
      </c>
      <c r="AU65" s="63">
        <v>0.34</v>
      </c>
      <c r="AV65" s="63">
        <v>0.34</v>
      </c>
      <c r="AW65" s="63">
        <v>0.42</v>
      </c>
      <c r="AX65" s="63">
        <v>0.36</v>
      </c>
      <c r="AY65" s="63">
        <v>0.39</v>
      </c>
      <c r="AZ65" s="35">
        <v>57</v>
      </c>
      <c r="BA65" s="35">
        <v>10</v>
      </c>
      <c r="BB65" s="40">
        <v>0.05</v>
      </c>
      <c r="BC65" s="40">
        <v>0.37</v>
      </c>
      <c r="BD65" s="40">
        <v>0.55000000000000004</v>
      </c>
      <c r="BE65" s="40">
        <v>0.03</v>
      </c>
      <c r="BF65" s="40">
        <v>0.4</v>
      </c>
      <c r="BG65" s="40">
        <v>0.34</v>
      </c>
      <c r="BH65" s="40">
        <v>0.35</v>
      </c>
      <c r="BI65" s="40">
        <v>0.37</v>
      </c>
      <c r="BJ65" s="40">
        <v>0.33</v>
      </c>
      <c r="BK65" s="40">
        <v>0.37</v>
      </c>
      <c r="BL65" s="247">
        <v>55</v>
      </c>
      <c r="BM65" s="247" t="s">
        <v>874</v>
      </c>
      <c r="BN65" s="247">
        <v>13</v>
      </c>
      <c r="BO65" s="247" t="s">
        <v>874</v>
      </c>
      <c r="BP65" s="264">
        <v>0.15</v>
      </c>
      <c r="BQ65" s="264">
        <v>0.38</v>
      </c>
      <c r="BR65" s="264">
        <v>0.32</v>
      </c>
      <c r="BS65" s="264">
        <v>0.15</v>
      </c>
      <c r="BT65" s="264">
        <v>0.38</v>
      </c>
      <c r="BU65" s="264">
        <v>0.39</v>
      </c>
      <c r="BV65" s="264">
        <v>0.44</v>
      </c>
      <c r="BW65" s="264">
        <v>0.32</v>
      </c>
      <c r="BX65" s="264">
        <v>0.39</v>
      </c>
      <c r="BY65" s="264">
        <v>0.44</v>
      </c>
      <c r="BZ65" s="311">
        <v>56</v>
      </c>
      <c r="CA65" s="311" t="s">
        <v>874</v>
      </c>
      <c r="CB65" s="311">
        <v>10</v>
      </c>
      <c r="CC65" s="311" t="s">
        <v>874</v>
      </c>
      <c r="CD65" s="329">
        <v>0.1</v>
      </c>
      <c r="CE65" s="329">
        <v>0.35</v>
      </c>
      <c r="CF65" s="329">
        <v>0.48</v>
      </c>
      <c r="CG65" s="329">
        <v>0.08</v>
      </c>
      <c r="CH65" s="329">
        <v>0.28999999999999998</v>
      </c>
      <c r="CI65" s="329">
        <v>0.21</v>
      </c>
      <c r="CJ65" s="329">
        <v>0.47</v>
      </c>
      <c r="CK65" s="329">
        <v>0.47</v>
      </c>
      <c r="CL65" s="329">
        <v>0.38</v>
      </c>
      <c r="CM65" s="329">
        <v>0.49</v>
      </c>
      <c r="CN65" s="426">
        <v>55</v>
      </c>
      <c r="CO65" s="426" t="s">
        <v>874</v>
      </c>
      <c r="CP65" s="426">
        <v>11</v>
      </c>
      <c r="CQ65" s="426" t="s">
        <v>874</v>
      </c>
      <c r="CR65" s="430">
        <v>0.11</v>
      </c>
      <c r="CS65" s="430">
        <v>0.31</v>
      </c>
      <c r="CT65" s="430">
        <v>0.54</v>
      </c>
      <c r="CU65" s="430">
        <v>0.03</v>
      </c>
      <c r="CV65" s="430">
        <v>0.3</v>
      </c>
      <c r="CW65" s="430">
        <v>0.46</v>
      </c>
      <c r="CX65" s="430">
        <v>0.43</v>
      </c>
      <c r="CY65" s="430">
        <v>0.5</v>
      </c>
      <c r="CZ65" s="527">
        <v>0.55000000000000004</v>
      </c>
      <c r="DA65" s="527">
        <v>0.4</v>
      </c>
      <c r="DB65" s="528">
        <v>53</v>
      </c>
      <c r="DC65" s="528" t="s">
        <v>874</v>
      </c>
      <c r="DD65" s="528">
        <v>9</v>
      </c>
      <c r="DE65" s="528" t="s">
        <v>874</v>
      </c>
      <c r="DF65" s="529">
        <v>0.06</v>
      </c>
      <c r="DG65" s="529">
        <v>0.53</v>
      </c>
      <c r="DH65" s="529">
        <v>0.4</v>
      </c>
      <c r="DI65" s="529">
        <v>0</v>
      </c>
      <c r="DJ65" s="529">
        <v>0.38</v>
      </c>
      <c r="DK65" s="529">
        <v>0.4</v>
      </c>
      <c r="DL65" s="529">
        <v>0.44</v>
      </c>
      <c r="DM65" s="529">
        <v>0.6</v>
      </c>
      <c r="DN65" s="529">
        <v>0.49</v>
      </c>
      <c r="DO65" s="529">
        <v>0.34</v>
      </c>
    </row>
    <row r="66" spans="1:119" ht="24.95" customHeight="1" x14ac:dyDescent="0.2">
      <c r="A66" s="814" t="s">
        <v>128</v>
      </c>
      <c r="B66" s="1" t="s">
        <v>221</v>
      </c>
      <c r="C66" s="2">
        <v>5</v>
      </c>
      <c r="D66" s="12">
        <v>55</v>
      </c>
      <c r="E66" s="12">
        <v>9</v>
      </c>
      <c r="F66" s="63">
        <v>0.13</v>
      </c>
      <c r="G66" s="63">
        <v>0.33</v>
      </c>
      <c r="H66" s="63">
        <v>0.53</v>
      </c>
      <c r="I66" s="63">
        <v>0</v>
      </c>
      <c r="J66" s="63">
        <v>0.48</v>
      </c>
      <c r="K66" s="63">
        <v>0.45</v>
      </c>
      <c r="L66" s="63">
        <v>0.49</v>
      </c>
      <c r="M66" s="63">
        <v>0.36</v>
      </c>
      <c r="N66" s="63">
        <v>0.4</v>
      </c>
      <c r="O66" s="63">
        <v>0.52</v>
      </c>
      <c r="P66" s="12">
        <v>55</v>
      </c>
      <c r="Q66" s="12">
        <v>7</v>
      </c>
      <c r="R66" s="61">
        <v>0</v>
      </c>
      <c r="S66" s="61">
        <v>0.61</v>
      </c>
      <c r="T66" s="61">
        <v>0.39</v>
      </c>
      <c r="U66" s="61">
        <v>0</v>
      </c>
      <c r="V66" s="61">
        <v>0.35</v>
      </c>
      <c r="W66" s="61">
        <v>0.42</v>
      </c>
      <c r="X66" s="61">
        <v>0.49</v>
      </c>
      <c r="Y66" s="61">
        <v>0.41</v>
      </c>
      <c r="Z66" s="61">
        <v>0.33</v>
      </c>
      <c r="AA66" s="61">
        <v>0.48</v>
      </c>
      <c r="AB66" s="12">
        <v>55</v>
      </c>
      <c r="AC66" s="12">
        <v>10</v>
      </c>
      <c r="AD66" s="63">
        <v>7.0000000000000007E-2</v>
      </c>
      <c r="AE66" s="63">
        <v>0.38</v>
      </c>
      <c r="AF66" s="63">
        <v>0.48</v>
      </c>
      <c r="AG66" s="63">
        <v>7.0000000000000007E-2</v>
      </c>
      <c r="AH66" s="63">
        <v>0.31</v>
      </c>
      <c r="AI66" s="63">
        <v>0.33</v>
      </c>
      <c r="AJ66" s="63">
        <v>0.28000000000000003</v>
      </c>
      <c r="AK66" s="63">
        <v>0.41</v>
      </c>
      <c r="AL66" s="63">
        <v>0.52</v>
      </c>
      <c r="AM66" s="63">
        <v>0.45</v>
      </c>
      <c r="AN66" s="12">
        <v>54</v>
      </c>
      <c r="AO66" s="12">
        <v>10</v>
      </c>
      <c r="AP66" s="63">
        <v>0.11</v>
      </c>
      <c r="AQ66" s="63">
        <v>0.39</v>
      </c>
      <c r="AR66" s="63">
        <v>0.5</v>
      </c>
      <c r="AS66" s="63">
        <v>0</v>
      </c>
      <c r="AT66" s="63">
        <v>0.48</v>
      </c>
      <c r="AU66" s="63">
        <v>0.41</v>
      </c>
      <c r="AV66" s="63">
        <v>0.34</v>
      </c>
      <c r="AW66" s="63">
        <v>0.35</v>
      </c>
      <c r="AX66" s="63">
        <v>0.37</v>
      </c>
      <c r="AY66" s="63">
        <v>0.38</v>
      </c>
      <c r="AZ66" s="35">
        <v>56</v>
      </c>
      <c r="BA66" s="35">
        <v>9</v>
      </c>
      <c r="BB66" s="40">
        <v>0.05</v>
      </c>
      <c r="BC66" s="40">
        <v>0.4</v>
      </c>
      <c r="BD66" s="40">
        <v>0.55000000000000004</v>
      </c>
      <c r="BE66" s="40">
        <v>0</v>
      </c>
      <c r="BF66" s="40">
        <v>0.3</v>
      </c>
      <c r="BG66" s="40">
        <v>0.38</v>
      </c>
      <c r="BH66" s="40">
        <v>0.39</v>
      </c>
      <c r="BI66" s="40">
        <v>0.42</v>
      </c>
      <c r="BJ66" s="40">
        <v>0.33</v>
      </c>
      <c r="BK66" s="40">
        <v>0.35</v>
      </c>
      <c r="BL66" s="247">
        <v>51</v>
      </c>
      <c r="BM66" s="247" t="s">
        <v>874</v>
      </c>
      <c r="BN66" s="247">
        <v>12</v>
      </c>
      <c r="BO66" s="247" t="s">
        <v>874</v>
      </c>
      <c r="BP66" s="264">
        <v>0.2</v>
      </c>
      <c r="BQ66" s="264">
        <v>0.4</v>
      </c>
      <c r="BR66" s="264">
        <v>0.4</v>
      </c>
      <c r="BS66" s="264">
        <v>0</v>
      </c>
      <c r="BT66" s="264">
        <v>0.37</v>
      </c>
      <c r="BU66" s="264">
        <v>0.44</v>
      </c>
      <c r="BV66" s="264">
        <v>0.65</v>
      </c>
      <c r="BW66" s="264">
        <v>0.4</v>
      </c>
      <c r="BX66" s="264">
        <v>0.41</v>
      </c>
      <c r="BY66" s="264">
        <v>0.5</v>
      </c>
      <c r="BZ66" s="311">
        <v>53</v>
      </c>
      <c r="CA66" s="311" t="s">
        <v>874</v>
      </c>
      <c r="CB66" s="311">
        <v>10</v>
      </c>
      <c r="CC66" s="311" t="s">
        <v>874</v>
      </c>
      <c r="CD66" s="329">
        <v>0.18</v>
      </c>
      <c r="CE66" s="329">
        <v>0.36</v>
      </c>
      <c r="CF66" s="329">
        <v>0.46</v>
      </c>
      <c r="CG66" s="329">
        <v>0</v>
      </c>
      <c r="CH66" s="329">
        <v>0.38</v>
      </c>
      <c r="CI66" s="329">
        <v>0.3</v>
      </c>
      <c r="CJ66" s="329">
        <v>0.46</v>
      </c>
      <c r="CK66" s="329">
        <v>0.48</v>
      </c>
      <c r="CL66" s="329">
        <v>0.39</v>
      </c>
      <c r="CM66" s="329">
        <v>0.53</v>
      </c>
      <c r="CN66" s="426">
        <v>55</v>
      </c>
      <c r="CO66" s="426" t="s">
        <v>874</v>
      </c>
      <c r="CP66" s="426">
        <v>10</v>
      </c>
      <c r="CQ66" s="426" t="s">
        <v>874</v>
      </c>
      <c r="CR66" s="430">
        <v>7.0000000000000007E-2</v>
      </c>
      <c r="CS66" s="430">
        <v>0.52</v>
      </c>
      <c r="CT66" s="430">
        <v>0.3</v>
      </c>
      <c r="CU66" s="430">
        <v>0.11</v>
      </c>
      <c r="CV66" s="430">
        <v>0.31</v>
      </c>
      <c r="CW66" s="430">
        <v>0.42</v>
      </c>
      <c r="CX66" s="430">
        <v>0.41</v>
      </c>
      <c r="CY66" s="430">
        <v>0.42</v>
      </c>
      <c r="CZ66" s="527">
        <v>0.42</v>
      </c>
      <c r="DA66" s="527">
        <v>0.46</v>
      </c>
      <c r="DB66" s="528">
        <v>53</v>
      </c>
      <c r="DC66" s="528" t="s">
        <v>874</v>
      </c>
      <c r="DD66" s="528">
        <v>6</v>
      </c>
      <c r="DE66" s="528" t="s">
        <v>876</v>
      </c>
      <c r="DF66" s="529">
        <v>7.0000000000000007E-2</v>
      </c>
      <c r="DG66" s="529">
        <v>0.33</v>
      </c>
      <c r="DH66" s="529">
        <v>0.6</v>
      </c>
      <c r="DI66" s="529">
        <v>0</v>
      </c>
      <c r="DJ66" s="529">
        <v>0.51</v>
      </c>
      <c r="DK66" s="529">
        <v>0.39</v>
      </c>
      <c r="DL66" s="529">
        <v>0.37</v>
      </c>
      <c r="DM66" s="529">
        <v>0.73</v>
      </c>
      <c r="DN66" s="529">
        <v>0.48</v>
      </c>
      <c r="DO66" s="529">
        <v>0.57999999999999996</v>
      </c>
    </row>
    <row r="67" spans="1:119" ht="24.95" customHeight="1" x14ac:dyDescent="0.2">
      <c r="A67" s="814" t="s">
        <v>159</v>
      </c>
      <c r="B67" s="1" t="s">
        <v>221</v>
      </c>
      <c r="C67" s="2">
        <v>3</v>
      </c>
      <c r="D67" s="12">
        <v>51</v>
      </c>
      <c r="E67" s="12">
        <v>9</v>
      </c>
      <c r="F67" s="63">
        <v>0.11</v>
      </c>
      <c r="G67" s="63">
        <v>0.61</v>
      </c>
      <c r="H67" s="63">
        <v>0.28999999999999998</v>
      </c>
      <c r="I67" s="63">
        <v>0</v>
      </c>
      <c r="J67" s="63">
        <v>0.54</v>
      </c>
      <c r="K67" s="63">
        <v>0.51</v>
      </c>
      <c r="L67" s="63">
        <v>0.52</v>
      </c>
      <c r="M67" s="63">
        <v>0.46</v>
      </c>
      <c r="N67" s="63">
        <v>0.41</v>
      </c>
      <c r="O67" s="63">
        <v>0.57999999999999996</v>
      </c>
      <c r="P67" s="12">
        <v>55</v>
      </c>
      <c r="Q67" s="12">
        <v>10</v>
      </c>
      <c r="R67" s="61">
        <v>0.04</v>
      </c>
      <c r="S67" s="61">
        <v>0.43</v>
      </c>
      <c r="T67" s="61">
        <v>0.48</v>
      </c>
      <c r="U67" s="61">
        <v>0.04</v>
      </c>
      <c r="V67" s="61">
        <v>0.4</v>
      </c>
      <c r="W67" s="61">
        <v>0.41</v>
      </c>
      <c r="X67" s="61">
        <v>0.49</v>
      </c>
      <c r="Y67" s="61">
        <v>0.46</v>
      </c>
      <c r="Z67" s="61">
        <v>0.36</v>
      </c>
      <c r="AA67" s="61">
        <v>0.44</v>
      </c>
      <c r="AB67" s="12">
        <v>60</v>
      </c>
      <c r="AC67" s="12">
        <v>7</v>
      </c>
      <c r="AD67" s="63">
        <v>0</v>
      </c>
      <c r="AE67" s="63">
        <v>0.22</v>
      </c>
      <c r="AF67" s="63">
        <v>0.78</v>
      </c>
      <c r="AG67" s="63">
        <v>0</v>
      </c>
      <c r="AH67" s="63">
        <v>0.24</v>
      </c>
      <c r="AI67" s="63">
        <v>0.23</v>
      </c>
      <c r="AJ67" s="63">
        <v>0.23</v>
      </c>
      <c r="AK67" s="63">
        <v>0.28999999999999998</v>
      </c>
      <c r="AL67" s="63">
        <v>0.39</v>
      </c>
      <c r="AM67" s="63">
        <v>0.34</v>
      </c>
      <c r="AN67" s="12">
        <v>53</v>
      </c>
      <c r="AO67" s="12">
        <v>10</v>
      </c>
      <c r="AP67" s="63">
        <v>0.08</v>
      </c>
      <c r="AQ67" s="63">
        <v>0.5</v>
      </c>
      <c r="AR67" s="63">
        <v>0.38</v>
      </c>
      <c r="AS67" s="63">
        <v>0.04</v>
      </c>
      <c r="AT67" s="63">
        <v>0.56000000000000005</v>
      </c>
      <c r="AU67" s="63">
        <v>0.37</v>
      </c>
      <c r="AV67" s="63">
        <v>0.36</v>
      </c>
      <c r="AW67" s="63">
        <v>0.36</v>
      </c>
      <c r="AX67" s="63">
        <v>0.43</v>
      </c>
      <c r="AY67" s="63">
        <v>0.39</v>
      </c>
      <c r="AZ67" s="35">
        <v>57</v>
      </c>
      <c r="BA67" s="35">
        <v>9</v>
      </c>
      <c r="BB67" s="40">
        <v>0.11</v>
      </c>
      <c r="BC67" s="40">
        <v>0.37</v>
      </c>
      <c r="BD67" s="40">
        <v>0.47</v>
      </c>
      <c r="BE67" s="40">
        <v>0.05</v>
      </c>
      <c r="BF67" s="40">
        <v>0.33</v>
      </c>
      <c r="BG67" s="40">
        <v>0.36</v>
      </c>
      <c r="BH67" s="40">
        <v>0.34</v>
      </c>
      <c r="BI67" s="40">
        <v>0.37</v>
      </c>
      <c r="BJ67" s="40">
        <v>0.34</v>
      </c>
      <c r="BK67" s="40">
        <v>0.22</v>
      </c>
      <c r="BL67" s="247">
        <v>58</v>
      </c>
      <c r="BM67" s="247" t="s">
        <v>875</v>
      </c>
      <c r="BN67" s="247">
        <v>12</v>
      </c>
      <c r="BO67" s="247" t="s">
        <v>874</v>
      </c>
      <c r="BP67" s="264">
        <v>0.06</v>
      </c>
      <c r="BQ67" s="264">
        <v>0.38</v>
      </c>
      <c r="BR67" s="264">
        <v>0.5</v>
      </c>
      <c r="BS67" s="264">
        <v>0.06</v>
      </c>
      <c r="BT67" s="264">
        <v>0.32</v>
      </c>
      <c r="BU67" s="264">
        <v>0.33</v>
      </c>
      <c r="BV67" s="264">
        <v>0.44</v>
      </c>
      <c r="BW67" s="264">
        <v>0.31</v>
      </c>
      <c r="BX67" s="264">
        <v>0.32</v>
      </c>
      <c r="BY67" s="264">
        <v>0.39</v>
      </c>
      <c r="BZ67" s="311">
        <v>58</v>
      </c>
      <c r="CA67" s="311" t="s">
        <v>875</v>
      </c>
      <c r="CB67" s="311">
        <v>9</v>
      </c>
      <c r="CC67" s="311" t="s">
        <v>874</v>
      </c>
      <c r="CD67" s="329">
        <v>0.03</v>
      </c>
      <c r="CE67" s="329">
        <v>0.37</v>
      </c>
      <c r="CF67" s="329">
        <v>0.53</v>
      </c>
      <c r="CG67" s="329">
        <v>0.08</v>
      </c>
      <c r="CH67" s="329">
        <v>0.36</v>
      </c>
      <c r="CI67" s="329">
        <v>0.22</v>
      </c>
      <c r="CJ67" s="329">
        <v>0.45</v>
      </c>
      <c r="CK67" s="329">
        <v>0.39</v>
      </c>
      <c r="CL67" s="329">
        <v>0.34</v>
      </c>
      <c r="CM67" s="329">
        <v>0.45</v>
      </c>
      <c r="CN67" s="426">
        <v>58</v>
      </c>
      <c r="CO67" s="426" t="s">
        <v>875</v>
      </c>
      <c r="CP67" s="426">
        <v>9</v>
      </c>
      <c r="CQ67" s="426" t="s">
        <v>874</v>
      </c>
      <c r="CR67" s="430">
        <v>0.02</v>
      </c>
      <c r="CS67" s="430">
        <v>0.36</v>
      </c>
      <c r="CT67" s="430">
        <v>0.52</v>
      </c>
      <c r="CU67" s="430">
        <v>0.1</v>
      </c>
      <c r="CV67" s="430">
        <v>0.27</v>
      </c>
      <c r="CW67" s="430">
        <v>0.34</v>
      </c>
      <c r="CX67" s="430">
        <v>0.49</v>
      </c>
      <c r="CY67" s="430">
        <v>0.46</v>
      </c>
      <c r="CZ67" s="527">
        <v>0.41</v>
      </c>
      <c r="DA67" s="527">
        <v>0.53</v>
      </c>
      <c r="DB67" s="528">
        <v>61</v>
      </c>
      <c r="DC67" s="528" t="s">
        <v>875</v>
      </c>
      <c r="DD67" s="528">
        <v>8</v>
      </c>
      <c r="DE67" s="528" t="s">
        <v>874</v>
      </c>
      <c r="DF67" s="529">
        <v>0</v>
      </c>
      <c r="DG67" s="529">
        <v>0.28000000000000003</v>
      </c>
      <c r="DH67" s="529">
        <v>0.52</v>
      </c>
      <c r="DI67" s="529">
        <v>0.21</v>
      </c>
      <c r="DJ67" s="529">
        <v>0.3</v>
      </c>
      <c r="DK67" s="529">
        <v>0.41</v>
      </c>
      <c r="DL67" s="529">
        <v>0.32</v>
      </c>
      <c r="DM67" s="529">
        <v>0.48</v>
      </c>
      <c r="DN67" s="529">
        <v>0.28999999999999998</v>
      </c>
      <c r="DO67" s="529">
        <v>0.39</v>
      </c>
    </row>
    <row r="68" spans="1:119" ht="24.95" customHeight="1" x14ac:dyDescent="0.2">
      <c r="A68" s="814" t="s">
        <v>59</v>
      </c>
      <c r="B68" s="1" t="s">
        <v>221</v>
      </c>
      <c r="C68" s="2">
        <v>1</v>
      </c>
      <c r="D68" s="12">
        <v>51</v>
      </c>
      <c r="E68" s="12">
        <v>6</v>
      </c>
      <c r="F68" s="63">
        <v>0.06</v>
      </c>
      <c r="G68" s="63">
        <v>0.61</v>
      </c>
      <c r="H68" s="63">
        <v>0.33</v>
      </c>
      <c r="I68" s="63">
        <v>0</v>
      </c>
      <c r="J68" s="63">
        <v>0.55000000000000004</v>
      </c>
      <c r="K68" s="63">
        <v>0.49</v>
      </c>
      <c r="L68" s="63">
        <v>0.66</v>
      </c>
      <c r="M68" s="63">
        <v>0.38</v>
      </c>
      <c r="N68" s="63">
        <v>0.43</v>
      </c>
      <c r="O68" s="63">
        <v>0.54</v>
      </c>
      <c r="P68" s="12">
        <v>46</v>
      </c>
      <c r="Q68" s="12">
        <v>7</v>
      </c>
      <c r="R68" s="61">
        <v>0.27</v>
      </c>
      <c r="S68" s="61">
        <v>0.63</v>
      </c>
      <c r="T68" s="61">
        <v>0.1</v>
      </c>
      <c r="U68" s="61">
        <v>0</v>
      </c>
      <c r="V68" s="61">
        <v>0.5</v>
      </c>
      <c r="W68" s="61">
        <v>0.59</v>
      </c>
      <c r="X68" s="61">
        <v>0.62</v>
      </c>
      <c r="Y68" s="61">
        <v>0.49</v>
      </c>
      <c r="Z68" s="61">
        <v>0.52</v>
      </c>
      <c r="AA68" s="61">
        <v>0.62</v>
      </c>
      <c r="AB68" s="12">
        <v>44</v>
      </c>
      <c r="AC68" s="12">
        <v>9</v>
      </c>
      <c r="AD68" s="63">
        <v>0.36</v>
      </c>
      <c r="AE68" s="63">
        <v>0.55000000000000004</v>
      </c>
      <c r="AF68" s="63">
        <v>0.09</v>
      </c>
      <c r="AG68" s="63">
        <v>0</v>
      </c>
      <c r="AH68" s="63">
        <v>0.53</v>
      </c>
      <c r="AI68" s="63">
        <v>0.54</v>
      </c>
      <c r="AJ68" s="63">
        <v>0.48</v>
      </c>
      <c r="AK68" s="63">
        <v>0.6</v>
      </c>
      <c r="AL68" s="63">
        <v>0.64</v>
      </c>
      <c r="AM68" s="63">
        <v>0.63</v>
      </c>
      <c r="AN68" s="12">
        <v>46</v>
      </c>
      <c r="AO68" s="12">
        <v>10</v>
      </c>
      <c r="AP68" s="63">
        <v>0.35</v>
      </c>
      <c r="AQ68" s="63">
        <v>0.54</v>
      </c>
      <c r="AR68" s="63">
        <v>0.12</v>
      </c>
      <c r="AS68" s="63">
        <v>0</v>
      </c>
      <c r="AT68" s="63">
        <v>0.51</v>
      </c>
      <c r="AU68" s="63">
        <v>0.57999999999999996</v>
      </c>
      <c r="AV68" s="63">
        <v>0.47</v>
      </c>
      <c r="AW68" s="63">
        <v>0.54</v>
      </c>
      <c r="AX68" s="63">
        <v>0.54</v>
      </c>
      <c r="AY68" s="63">
        <v>0.53</v>
      </c>
      <c r="AZ68" s="35">
        <v>43</v>
      </c>
      <c r="BA68" s="35">
        <v>11</v>
      </c>
      <c r="BB68" s="40">
        <v>0.48</v>
      </c>
      <c r="BC68" s="40">
        <v>0.36</v>
      </c>
      <c r="BD68" s="40">
        <v>0.12</v>
      </c>
      <c r="BE68" s="40">
        <v>0.04</v>
      </c>
      <c r="BF68" s="40">
        <v>0.61</v>
      </c>
      <c r="BG68" s="40">
        <v>0.61</v>
      </c>
      <c r="BH68" s="40">
        <v>0.59</v>
      </c>
      <c r="BI68" s="40">
        <v>0.69</v>
      </c>
      <c r="BJ68" s="40">
        <v>0.57999999999999996</v>
      </c>
      <c r="BK68" s="40">
        <v>0.59</v>
      </c>
      <c r="BL68" s="247">
        <v>48</v>
      </c>
      <c r="BM68" s="247" t="s">
        <v>874</v>
      </c>
      <c r="BN68" s="247">
        <v>12</v>
      </c>
      <c r="BO68" s="247" t="s">
        <v>874</v>
      </c>
      <c r="BP68" s="264">
        <v>0.37</v>
      </c>
      <c r="BQ68" s="264">
        <v>0.37</v>
      </c>
      <c r="BR68" s="264">
        <v>0.19</v>
      </c>
      <c r="BS68" s="264">
        <v>7.0000000000000007E-2</v>
      </c>
      <c r="BT68" s="264">
        <v>0.56000000000000005</v>
      </c>
      <c r="BU68" s="264">
        <v>0.49</v>
      </c>
      <c r="BV68" s="264">
        <v>0.61</v>
      </c>
      <c r="BW68" s="264">
        <v>0.45</v>
      </c>
      <c r="BX68" s="264">
        <v>0.51</v>
      </c>
      <c r="BY68" s="264">
        <v>0.57999999999999996</v>
      </c>
      <c r="BZ68" s="311">
        <v>46</v>
      </c>
      <c r="CA68" s="311" t="s">
        <v>874</v>
      </c>
      <c r="CB68" s="311">
        <v>10</v>
      </c>
      <c r="CC68" s="311" t="s">
        <v>874</v>
      </c>
      <c r="CD68" s="329">
        <v>0.36</v>
      </c>
      <c r="CE68" s="329">
        <v>0.39</v>
      </c>
      <c r="CF68" s="329">
        <v>0.25</v>
      </c>
      <c r="CG68" s="329">
        <v>0</v>
      </c>
      <c r="CH68" s="329">
        <v>0.61</v>
      </c>
      <c r="CI68" s="329">
        <v>0.51</v>
      </c>
      <c r="CJ68" s="329">
        <v>0.74</v>
      </c>
      <c r="CK68" s="329">
        <v>0.65</v>
      </c>
      <c r="CL68" s="329">
        <v>0.38</v>
      </c>
      <c r="CM68" s="329">
        <v>0.55000000000000004</v>
      </c>
      <c r="CN68" s="426">
        <v>47</v>
      </c>
      <c r="CO68" s="426" t="s">
        <v>874</v>
      </c>
      <c r="CP68" s="426">
        <v>11</v>
      </c>
      <c r="CQ68" s="426" t="s">
        <v>874</v>
      </c>
      <c r="CR68" s="430">
        <v>0.23</v>
      </c>
      <c r="CS68" s="430">
        <v>0.55000000000000004</v>
      </c>
      <c r="CT68" s="430">
        <v>0.18</v>
      </c>
      <c r="CU68" s="430">
        <v>0.05</v>
      </c>
      <c r="CV68" s="430">
        <v>0.44</v>
      </c>
      <c r="CW68" s="430">
        <v>0.55000000000000004</v>
      </c>
      <c r="CX68" s="430">
        <v>0.61</v>
      </c>
      <c r="CY68" s="430">
        <v>0.57999999999999996</v>
      </c>
      <c r="CZ68" s="527">
        <v>0.56999999999999995</v>
      </c>
      <c r="DA68" s="527">
        <v>0.65</v>
      </c>
      <c r="DB68" s="528">
        <v>47</v>
      </c>
      <c r="DC68" s="528" t="s">
        <v>874</v>
      </c>
      <c r="DD68" s="528">
        <v>10</v>
      </c>
      <c r="DE68" s="528" t="s">
        <v>874</v>
      </c>
      <c r="DF68" s="529">
        <v>0.31</v>
      </c>
      <c r="DG68" s="529">
        <v>0.44</v>
      </c>
      <c r="DH68" s="529">
        <v>0.25</v>
      </c>
      <c r="DI68" s="529">
        <v>0</v>
      </c>
      <c r="DJ68" s="529">
        <v>0.56999999999999995</v>
      </c>
      <c r="DK68" s="529">
        <v>0.44</v>
      </c>
      <c r="DL68" s="529">
        <v>0.42</v>
      </c>
      <c r="DM68" s="529">
        <v>0.63</v>
      </c>
      <c r="DN68" s="529">
        <v>0.55000000000000004</v>
      </c>
      <c r="DO68" s="529">
        <v>0.44</v>
      </c>
    </row>
    <row r="69" spans="1:119" ht="24.95" customHeight="1" x14ac:dyDescent="0.2">
      <c r="A69" s="814" t="s">
        <v>132</v>
      </c>
      <c r="B69" s="1" t="s">
        <v>221</v>
      </c>
      <c r="C69" s="2">
        <v>3</v>
      </c>
      <c r="D69" s="12">
        <v>58</v>
      </c>
      <c r="E69" s="12">
        <v>8</v>
      </c>
      <c r="F69" s="63">
        <v>0</v>
      </c>
      <c r="G69" s="63">
        <v>0.41</v>
      </c>
      <c r="H69" s="63">
        <v>0.56000000000000005</v>
      </c>
      <c r="I69" s="63">
        <v>0.03</v>
      </c>
      <c r="J69" s="63">
        <v>0.44</v>
      </c>
      <c r="K69" s="63">
        <v>0.31</v>
      </c>
      <c r="L69" s="63">
        <v>0.45</v>
      </c>
      <c r="M69" s="63">
        <v>0.31</v>
      </c>
      <c r="N69" s="63">
        <v>0.28999999999999998</v>
      </c>
      <c r="O69" s="63">
        <v>0.38</v>
      </c>
      <c r="P69" s="12">
        <v>57</v>
      </c>
      <c r="Q69" s="12">
        <v>9</v>
      </c>
      <c r="R69" s="61">
        <v>0.02</v>
      </c>
      <c r="S69" s="61">
        <v>0.47</v>
      </c>
      <c r="T69" s="61">
        <v>0.44</v>
      </c>
      <c r="U69" s="61">
        <v>7.0000000000000007E-2</v>
      </c>
      <c r="V69" s="61">
        <v>0.31</v>
      </c>
      <c r="W69" s="61">
        <v>0.37</v>
      </c>
      <c r="X69" s="61">
        <v>0.5</v>
      </c>
      <c r="Y69" s="61">
        <v>0.36</v>
      </c>
      <c r="Z69" s="61">
        <v>0.35</v>
      </c>
      <c r="AA69" s="61">
        <v>0.44</v>
      </c>
      <c r="AB69" s="12">
        <v>54</v>
      </c>
      <c r="AC69" s="12">
        <v>10</v>
      </c>
      <c r="AD69" s="63">
        <v>0.1</v>
      </c>
      <c r="AE69" s="63">
        <v>0.4</v>
      </c>
      <c r="AF69" s="63">
        <v>0.47</v>
      </c>
      <c r="AG69" s="63">
        <v>0.03</v>
      </c>
      <c r="AH69" s="63">
        <v>0.35</v>
      </c>
      <c r="AI69" s="63">
        <v>0.37</v>
      </c>
      <c r="AJ69" s="63">
        <v>0.32</v>
      </c>
      <c r="AK69" s="63">
        <v>0.42</v>
      </c>
      <c r="AL69" s="63">
        <v>0.42</v>
      </c>
      <c r="AM69" s="63">
        <v>0.44</v>
      </c>
      <c r="AN69" s="12">
        <v>50</v>
      </c>
      <c r="AO69" s="12">
        <v>9</v>
      </c>
      <c r="AP69" s="63">
        <v>0.16</v>
      </c>
      <c r="AQ69" s="63">
        <v>0.53</v>
      </c>
      <c r="AR69" s="63">
        <v>0.31</v>
      </c>
      <c r="AS69" s="63">
        <v>0</v>
      </c>
      <c r="AT69" s="63">
        <v>0.56000000000000005</v>
      </c>
      <c r="AU69" s="63">
        <v>0.42</v>
      </c>
      <c r="AV69" s="63">
        <v>0.41</v>
      </c>
      <c r="AW69" s="63">
        <v>0.44</v>
      </c>
      <c r="AX69" s="63">
        <v>0.46</v>
      </c>
      <c r="AY69" s="63">
        <v>0.45</v>
      </c>
      <c r="AZ69" s="35">
        <v>52</v>
      </c>
      <c r="BA69" s="35">
        <v>9</v>
      </c>
      <c r="BB69" s="40">
        <v>0.1</v>
      </c>
      <c r="BC69" s="40">
        <v>0.55000000000000004</v>
      </c>
      <c r="BD69" s="40">
        <v>0.31</v>
      </c>
      <c r="BE69" s="40">
        <v>0.04</v>
      </c>
      <c r="BF69" s="40">
        <v>0.44</v>
      </c>
      <c r="BG69" s="40">
        <v>0.47</v>
      </c>
      <c r="BH69" s="40">
        <v>0.44</v>
      </c>
      <c r="BI69" s="40">
        <v>0.5</v>
      </c>
      <c r="BJ69" s="40">
        <v>0.41</v>
      </c>
      <c r="BK69" s="40">
        <v>0.32</v>
      </c>
      <c r="BL69" s="247">
        <v>55</v>
      </c>
      <c r="BM69" s="247" t="s">
        <v>874</v>
      </c>
      <c r="BN69" s="247">
        <v>10</v>
      </c>
      <c r="BO69" s="247" t="s">
        <v>874</v>
      </c>
      <c r="BP69" s="264">
        <v>0.09</v>
      </c>
      <c r="BQ69" s="264">
        <v>0.37</v>
      </c>
      <c r="BR69" s="264">
        <v>0.51</v>
      </c>
      <c r="BS69" s="264">
        <v>0.03</v>
      </c>
      <c r="BT69" s="264">
        <v>0.35</v>
      </c>
      <c r="BU69" s="264">
        <v>0.38</v>
      </c>
      <c r="BV69" s="264">
        <v>0.52</v>
      </c>
      <c r="BW69" s="264">
        <v>0.37</v>
      </c>
      <c r="BX69" s="264">
        <v>0.35</v>
      </c>
      <c r="BY69" s="264">
        <v>0.43</v>
      </c>
      <c r="BZ69" s="311">
        <v>56</v>
      </c>
      <c r="CA69" s="311" t="s">
        <v>874</v>
      </c>
      <c r="CB69" s="311">
        <v>10</v>
      </c>
      <c r="CC69" s="311" t="s">
        <v>874</v>
      </c>
      <c r="CD69" s="329">
        <v>0.06</v>
      </c>
      <c r="CE69" s="329">
        <v>0.37</v>
      </c>
      <c r="CF69" s="329">
        <v>0.54</v>
      </c>
      <c r="CG69" s="329">
        <v>0.03</v>
      </c>
      <c r="CH69" s="329">
        <v>0.38</v>
      </c>
      <c r="CI69" s="329">
        <v>0.35</v>
      </c>
      <c r="CJ69" s="329">
        <v>0.51</v>
      </c>
      <c r="CK69" s="329">
        <v>0.43</v>
      </c>
      <c r="CL69" s="329">
        <v>0.3</v>
      </c>
      <c r="CM69" s="329">
        <v>0.52</v>
      </c>
      <c r="CN69" s="426">
        <v>55</v>
      </c>
      <c r="CO69" s="426" t="s">
        <v>874</v>
      </c>
      <c r="CP69" s="426">
        <v>9</v>
      </c>
      <c r="CQ69" s="426" t="s">
        <v>874</v>
      </c>
      <c r="CR69" s="430">
        <v>0.09</v>
      </c>
      <c r="CS69" s="430">
        <v>0.36</v>
      </c>
      <c r="CT69" s="430">
        <v>0.55000000000000004</v>
      </c>
      <c r="CU69" s="430">
        <v>0</v>
      </c>
      <c r="CV69" s="430">
        <v>0.32</v>
      </c>
      <c r="CW69" s="430">
        <v>0.46</v>
      </c>
      <c r="CX69" s="430">
        <v>0.48</v>
      </c>
      <c r="CY69" s="430">
        <v>0.52</v>
      </c>
      <c r="CZ69" s="527">
        <v>0.39</v>
      </c>
      <c r="DA69" s="527">
        <v>0.44</v>
      </c>
      <c r="DB69" s="528">
        <v>56</v>
      </c>
      <c r="DC69" s="528" t="s">
        <v>874</v>
      </c>
      <c r="DD69" s="528">
        <v>9</v>
      </c>
      <c r="DE69" s="528" t="s">
        <v>874</v>
      </c>
      <c r="DF69" s="529">
        <v>0.1</v>
      </c>
      <c r="DG69" s="529">
        <v>0.31</v>
      </c>
      <c r="DH69" s="529">
        <v>0.53</v>
      </c>
      <c r="DI69" s="529">
        <v>0.06</v>
      </c>
      <c r="DJ69" s="529">
        <v>0.43</v>
      </c>
      <c r="DK69" s="529">
        <v>0.36</v>
      </c>
      <c r="DL69" s="529">
        <v>0.35</v>
      </c>
      <c r="DM69" s="529">
        <v>0.61</v>
      </c>
      <c r="DN69" s="529">
        <v>0.43</v>
      </c>
      <c r="DO69" s="529">
        <v>0.21</v>
      </c>
    </row>
    <row r="70" spans="1:119" ht="24.95" customHeight="1" x14ac:dyDescent="0.2">
      <c r="A70" s="814" t="s">
        <v>178</v>
      </c>
      <c r="B70" s="1" t="s">
        <v>221</v>
      </c>
      <c r="C70" s="2">
        <v>5</v>
      </c>
      <c r="D70" s="12">
        <v>54</v>
      </c>
      <c r="E70" s="12">
        <v>8</v>
      </c>
      <c r="F70" s="63">
        <v>0.06</v>
      </c>
      <c r="G70" s="63">
        <v>0.51</v>
      </c>
      <c r="H70" s="63">
        <v>0.42</v>
      </c>
      <c r="I70" s="63">
        <v>0.01</v>
      </c>
      <c r="J70" s="63">
        <v>0.52</v>
      </c>
      <c r="K70" s="63">
        <v>0.47</v>
      </c>
      <c r="L70" s="63">
        <v>0.54</v>
      </c>
      <c r="M70" s="63">
        <v>0.34</v>
      </c>
      <c r="N70" s="63">
        <v>0.42</v>
      </c>
      <c r="O70" s="63">
        <v>0.46</v>
      </c>
      <c r="P70" s="12">
        <v>52</v>
      </c>
      <c r="Q70" s="12">
        <v>9</v>
      </c>
      <c r="R70" s="61">
        <v>0.08</v>
      </c>
      <c r="S70" s="61">
        <v>0.57999999999999996</v>
      </c>
      <c r="T70" s="61">
        <v>0.32</v>
      </c>
      <c r="U70" s="61">
        <v>0.02</v>
      </c>
      <c r="V70" s="61">
        <v>0.42</v>
      </c>
      <c r="W70" s="61">
        <v>0.44</v>
      </c>
      <c r="X70" s="61">
        <v>0.54</v>
      </c>
      <c r="Y70" s="61">
        <v>0.44</v>
      </c>
      <c r="Z70" s="61">
        <v>0.42</v>
      </c>
      <c r="AA70" s="61">
        <v>0.44</v>
      </c>
      <c r="AB70" s="12">
        <v>51</v>
      </c>
      <c r="AC70" s="12">
        <v>10</v>
      </c>
      <c r="AD70" s="63">
        <v>0.17</v>
      </c>
      <c r="AE70" s="63">
        <v>0.52</v>
      </c>
      <c r="AF70" s="63">
        <v>0.28999999999999998</v>
      </c>
      <c r="AG70" s="63">
        <v>0.02</v>
      </c>
      <c r="AH70" s="63">
        <v>0.37</v>
      </c>
      <c r="AI70" s="63">
        <v>0.44</v>
      </c>
      <c r="AJ70" s="63">
        <v>0.38</v>
      </c>
      <c r="AK70" s="63">
        <v>0.5</v>
      </c>
      <c r="AL70" s="63">
        <v>0.53</v>
      </c>
      <c r="AM70" s="63">
        <v>0.52</v>
      </c>
      <c r="AN70" s="12">
        <v>50</v>
      </c>
      <c r="AO70" s="12">
        <v>10</v>
      </c>
      <c r="AP70" s="63">
        <v>0.16</v>
      </c>
      <c r="AQ70" s="63">
        <v>0.54</v>
      </c>
      <c r="AR70" s="63">
        <v>0.28000000000000003</v>
      </c>
      <c r="AS70" s="63">
        <v>0.02</v>
      </c>
      <c r="AT70" s="63">
        <v>0.56000000000000005</v>
      </c>
      <c r="AU70" s="63">
        <v>0.42</v>
      </c>
      <c r="AV70" s="63">
        <v>0.43</v>
      </c>
      <c r="AW70" s="63">
        <v>0.46</v>
      </c>
      <c r="AX70" s="63">
        <v>0.42</v>
      </c>
      <c r="AY70" s="63">
        <v>0.44</v>
      </c>
      <c r="AZ70" s="35">
        <v>53</v>
      </c>
      <c r="BA70" s="35">
        <v>9</v>
      </c>
      <c r="BB70" s="40">
        <v>0.05</v>
      </c>
      <c r="BC70" s="40">
        <v>0.56999999999999995</v>
      </c>
      <c r="BD70" s="40">
        <v>0.36</v>
      </c>
      <c r="BE70" s="40">
        <v>0.02</v>
      </c>
      <c r="BF70" s="40">
        <v>0.43</v>
      </c>
      <c r="BG70" s="40">
        <v>0.38</v>
      </c>
      <c r="BH70" s="40">
        <v>0.42</v>
      </c>
      <c r="BI70" s="40">
        <v>0.5</v>
      </c>
      <c r="BJ70" s="40">
        <v>0.39</v>
      </c>
      <c r="BK70" s="40">
        <v>0.32</v>
      </c>
      <c r="BL70" s="247">
        <v>49</v>
      </c>
      <c r="BM70" s="247" t="s">
        <v>874</v>
      </c>
      <c r="BN70" s="247">
        <v>11</v>
      </c>
      <c r="BO70" s="247" t="s">
        <v>874</v>
      </c>
      <c r="BP70" s="264">
        <v>0.25</v>
      </c>
      <c r="BQ70" s="264">
        <v>0.46</v>
      </c>
      <c r="BR70" s="264">
        <v>0.25</v>
      </c>
      <c r="BS70" s="264">
        <v>0.03</v>
      </c>
      <c r="BT70" s="264">
        <v>0.5</v>
      </c>
      <c r="BU70" s="264">
        <v>0.48</v>
      </c>
      <c r="BV70" s="264">
        <v>0.53</v>
      </c>
      <c r="BW70" s="264">
        <v>0.44</v>
      </c>
      <c r="BX70" s="264">
        <v>0.45</v>
      </c>
      <c r="BY70" s="264">
        <v>0.55000000000000004</v>
      </c>
      <c r="BZ70" s="311">
        <v>51</v>
      </c>
      <c r="CA70" s="311" t="s">
        <v>874</v>
      </c>
      <c r="CB70" s="311">
        <v>10</v>
      </c>
      <c r="CC70" s="311" t="s">
        <v>874</v>
      </c>
      <c r="CD70" s="329">
        <v>0.14000000000000001</v>
      </c>
      <c r="CE70" s="329">
        <v>0.48</v>
      </c>
      <c r="CF70" s="329">
        <v>0.36</v>
      </c>
      <c r="CG70" s="329">
        <v>0.02</v>
      </c>
      <c r="CH70" s="329">
        <v>0.47</v>
      </c>
      <c r="CI70" s="329">
        <v>0.39</v>
      </c>
      <c r="CJ70" s="329">
        <v>0.56000000000000005</v>
      </c>
      <c r="CK70" s="329">
        <v>0.51</v>
      </c>
      <c r="CL70" s="329">
        <v>0.42</v>
      </c>
      <c r="CM70" s="329">
        <v>0.56000000000000005</v>
      </c>
      <c r="CN70" s="426">
        <v>52</v>
      </c>
      <c r="CO70" s="426" t="s">
        <v>874</v>
      </c>
      <c r="CP70" s="426">
        <v>11</v>
      </c>
      <c r="CQ70" s="426" t="s">
        <v>874</v>
      </c>
      <c r="CR70" s="430">
        <v>0.18</v>
      </c>
      <c r="CS70" s="430">
        <v>0.44</v>
      </c>
      <c r="CT70" s="430">
        <v>0.35</v>
      </c>
      <c r="CU70" s="430">
        <v>0.03</v>
      </c>
      <c r="CV70" s="430">
        <v>0.37</v>
      </c>
      <c r="CW70" s="430">
        <v>0.49</v>
      </c>
      <c r="CX70" s="430">
        <v>0.55000000000000004</v>
      </c>
      <c r="CY70" s="430">
        <v>0.67</v>
      </c>
      <c r="CZ70" s="527">
        <v>0.5</v>
      </c>
      <c r="DA70" s="527">
        <v>0.6</v>
      </c>
      <c r="DB70" s="528">
        <v>50</v>
      </c>
      <c r="DC70" s="528" t="s">
        <v>874</v>
      </c>
      <c r="DD70" s="528">
        <v>9</v>
      </c>
      <c r="DE70" s="528" t="s">
        <v>874</v>
      </c>
      <c r="DF70" s="529">
        <v>0.15</v>
      </c>
      <c r="DG70" s="529">
        <v>0.52</v>
      </c>
      <c r="DH70" s="529">
        <v>0.33</v>
      </c>
      <c r="DI70" s="529">
        <v>0</v>
      </c>
      <c r="DJ70" s="529">
        <v>0.55000000000000004</v>
      </c>
      <c r="DK70" s="529">
        <v>0.49</v>
      </c>
      <c r="DL70" s="529">
        <v>0.46</v>
      </c>
      <c r="DM70" s="529">
        <v>0.65</v>
      </c>
      <c r="DN70" s="529">
        <v>0.56000000000000005</v>
      </c>
      <c r="DO70" s="529">
        <v>0.47</v>
      </c>
    </row>
    <row r="71" spans="1:119" ht="24.95" customHeight="1" x14ac:dyDescent="0.2">
      <c r="A71" s="814" t="s">
        <v>75</v>
      </c>
      <c r="B71" s="1" t="s">
        <v>221</v>
      </c>
      <c r="C71" s="2">
        <v>1</v>
      </c>
      <c r="D71" s="12">
        <v>47</v>
      </c>
      <c r="E71" s="12">
        <v>7</v>
      </c>
      <c r="F71" s="63">
        <v>0.17</v>
      </c>
      <c r="G71" s="63">
        <v>0.71</v>
      </c>
      <c r="H71" s="63">
        <v>0.11</v>
      </c>
      <c r="I71" s="63">
        <v>0</v>
      </c>
      <c r="J71" s="63">
        <v>0.62</v>
      </c>
      <c r="K71" s="63">
        <v>0.55000000000000004</v>
      </c>
      <c r="L71" s="63">
        <v>0.71</v>
      </c>
      <c r="M71" s="63">
        <v>0.46</v>
      </c>
      <c r="N71" s="63">
        <v>0.49</v>
      </c>
      <c r="O71" s="63">
        <v>0.48</v>
      </c>
      <c r="P71" s="12">
        <v>50</v>
      </c>
      <c r="Q71" s="12">
        <v>8</v>
      </c>
      <c r="R71" s="61">
        <v>0.17</v>
      </c>
      <c r="S71" s="61">
        <v>0.56000000000000005</v>
      </c>
      <c r="T71" s="61">
        <v>0.28000000000000003</v>
      </c>
      <c r="U71" s="61">
        <v>0</v>
      </c>
      <c r="V71" s="61">
        <v>0.42</v>
      </c>
      <c r="W71" s="61">
        <v>0.49</v>
      </c>
      <c r="X71" s="61">
        <v>0.62</v>
      </c>
      <c r="Y71" s="61">
        <v>0.49</v>
      </c>
      <c r="Z71" s="61">
        <v>0.42</v>
      </c>
      <c r="AA71" s="61">
        <v>0.53</v>
      </c>
      <c r="AB71" s="12">
        <v>48</v>
      </c>
      <c r="AC71" s="12">
        <v>10</v>
      </c>
      <c r="AD71" s="63">
        <v>0.32</v>
      </c>
      <c r="AE71" s="63">
        <v>0.46</v>
      </c>
      <c r="AF71" s="63">
        <v>0.21</v>
      </c>
      <c r="AG71" s="63">
        <v>0</v>
      </c>
      <c r="AH71" s="63">
        <v>0.43</v>
      </c>
      <c r="AI71" s="63">
        <v>0.47</v>
      </c>
      <c r="AJ71" s="63">
        <v>0.41</v>
      </c>
      <c r="AK71" s="63">
        <v>0.53</v>
      </c>
      <c r="AL71" s="63">
        <v>0.44</v>
      </c>
      <c r="AM71" s="63">
        <v>0.63</v>
      </c>
      <c r="AN71" s="12">
        <v>44</v>
      </c>
      <c r="AO71" s="12">
        <v>11</v>
      </c>
      <c r="AP71" s="63">
        <v>0.42</v>
      </c>
      <c r="AQ71" s="63">
        <v>0.39</v>
      </c>
      <c r="AR71" s="63">
        <v>0.19</v>
      </c>
      <c r="AS71" s="63">
        <v>0</v>
      </c>
      <c r="AT71" s="63">
        <v>0.65</v>
      </c>
      <c r="AU71" s="63">
        <v>0.59</v>
      </c>
      <c r="AV71" s="63">
        <v>0.49</v>
      </c>
      <c r="AW71" s="63">
        <v>0.53</v>
      </c>
      <c r="AX71" s="63">
        <v>0.57999999999999996</v>
      </c>
      <c r="AY71" s="63">
        <v>0.52</v>
      </c>
      <c r="AZ71" s="35">
        <v>52</v>
      </c>
      <c r="BA71" s="35">
        <v>12</v>
      </c>
      <c r="BB71" s="40">
        <v>0.17</v>
      </c>
      <c r="BC71" s="40">
        <v>0.42</v>
      </c>
      <c r="BD71" s="40">
        <v>0.39</v>
      </c>
      <c r="BE71" s="40">
        <v>0.03</v>
      </c>
      <c r="BF71" s="40">
        <v>0.48</v>
      </c>
      <c r="BG71" s="40">
        <v>0.46</v>
      </c>
      <c r="BH71" s="40">
        <v>0.43</v>
      </c>
      <c r="BI71" s="40">
        <v>0.46</v>
      </c>
      <c r="BJ71" s="40">
        <v>0.43</v>
      </c>
      <c r="BK71" s="40">
        <v>0.4</v>
      </c>
      <c r="BL71" s="247">
        <v>50</v>
      </c>
      <c r="BM71" s="247" t="s">
        <v>874</v>
      </c>
      <c r="BN71" s="247">
        <v>12</v>
      </c>
      <c r="BO71" s="247" t="s">
        <v>874</v>
      </c>
      <c r="BP71" s="264">
        <v>0.19</v>
      </c>
      <c r="BQ71" s="264">
        <v>0.5</v>
      </c>
      <c r="BR71" s="264">
        <v>0.28000000000000003</v>
      </c>
      <c r="BS71" s="264">
        <v>0.03</v>
      </c>
      <c r="BT71" s="264">
        <v>0.44</v>
      </c>
      <c r="BU71" s="264">
        <v>0.44</v>
      </c>
      <c r="BV71" s="264">
        <v>0.43</v>
      </c>
      <c r="BW71" s="264">
        <v>0.44</v>
      </c>
      <c r="BX71" s="264">
        <v>0.45</v>
      </c>
      <c r="BY71" s="264">
        <v>0.48</v>
      </c>
      <c r="BZ71" s="311">
        <v>48</v>
      </c>
      <c r="CA71" s="311" t="s">
        <v>874</v>
      </c>
      <c r="CB71" s="311">
        <v>9</v>
      </c>
      <c r="CC71" s="311" t="s">
        <v>874</v>
      </c>
      <c r="CD71" s="329">
        <v>0.21</v>
      </c>
      <c r="CE71" s="329">
        <v>0.55000000000000004</v>
      </c>
      <c r="CF71" s="329">
        <v>0.24</v>
      </c>
      <c r="CG71" s="329">
        <v>0</v>
      </c>
      <c r="CH71" s="329">
        <v>0.61</v>
      </c>
      <c r="CI71" s="329">
        <v>0.38</v>
      </c>
      <c r="CJ71" s="329">
        <v>0.61</v>
      </c>
      <c r="CK71" s="329">
        <v>0.54</v>
      </c>
      <c r="CL71" s="329">
        <v>0.48</v>
      </c>
      <c r="CM71" s="329">
        <v>0.67</v>
      </c>
      <c r="CN71" s="426">
        <v>46</v>
      </c>
      <c r="CO71" s="426" t="s">
        <v>874</v>
      </c>
      <c r="CP71" s="426">
        <v>12</v>
      </c>
      <c r="CQ71" s="426" t="s">
        <v>874</v>
      </c>
      <c r="CR71" s="430">
        <v>0.38</v>
      </c>
      <c r="CS71" s="430">
        <v>0.34</v>
      </c>
      <c r="CT71" s="430">
        <v>0.28000000000000003</v>
      </c>
      <c r="CU71" s="430">
        <v>0</v>
      </c>
      <c r="CV71" s="430">
        <v>0.43</v>
      </c>
      <c r="CW71" s="430">
        <v>0.54</v>
      </c>
      <c r="CX71" s="430">
        <v>0.6</v>
      </c>
      <c r="CY71" s="430">
        <v>0.41</v>
      </c>
      <c r="CZ71" s="527">
        <v>0.68</v>
      </c>
      <c r="DA71" s="527">
        <v>0.56999999999999995</v>
      </c>
      <c r="DB71" s="528">
        <v>50</v>
      </c>
      <c r="DC71" s="528" t="s">
        <v>874</v>
      </c>
      <c r="DD71" s="528">
        <v>11</v>
      </c>
      <c r="DE71" s="528" t="s">
        <v>874</v>
      </c>
      <c r="DF71" s="529">
        <v>0.16</v>
      </c>
      <c r="DG71" s="529">
        <v>0.55000000000000004</v>
      </c>
      <c r="DH71" s="529">
        <v>0.25</v>
      </c>
      <c r="DI71" s="529">
        <v>0.05</v>
      </c>
      <c r="DJ71" s="529">
        <v>0.46</v>
      </c>
      <c r="DK71" s="529">
        <v>0.53</v>
      </c>
      <c r="DL71" s="529">
        <v>0.42</v>
      </c>
      <c r="DM71" s="529">
        <v>0.63</v>
      </c>
      <c r="DN71" s="529">
        <v>0.59</v>
      </c>
      <c r="DO71" s="529">
        <v>0.41</v>
      </c>
    </row>
    <row r="72" spans="1:119" ht="24.95" customHeight="1" x14ac:dyDescent="0.2">
      <c r="A72" s="814" t="s">
        <v>25</v>
      </c>
      <c r="B72" s="1" t="s">
        <v>221</v>
      </c>
      <c r="C72" s="2">
        <v>3</v>
      </c>
      <c r="D72" s="12">
        <v>55</v>
      </c>
      <c r="E72" s="12">
        <v>8</v>
      </c>
      <c r="F72" s="63">
        <v>0.02</v>
      </c>
      <c r="G72" s="63">
        <v>0.5</v>
      </c>
      <c r="H72" s="63">
        <v>0.48</v>
      </c>
      <c r="I72" s="63">
        <v>0</v>
      </c>
      <c r="J72" s="63">
        <v>0.5</v>
      </c>
      <c r="K72" s="63">
        <v>0.43</v>
      </c>
      <c r="L72" s="63">
        <v>0.5</v>
      </c>
      <c r="M72" s="63">
        <v>0.42</v>
      </c>
      <c r="N72" s="63">
        <v>0.37</v>
      </c>
      <c r="O72" s="63">
        <v>0.34</v>
      </c>
      <c r="P72" s="12">
        <v>54</v>
      </c>
      <c r="Q72" s="12">
        <v>12</v>
      </c>
      <c r="R72" s="61">
        <v>0.13</v>
      </c>
      <c r="S72" s="61">
        <v>0.42</v>
      </c>
      <c r="T72" s="61">
        <v>0.33</v>
      </c>
      <c r="U72" s="61">
        <v>0.13</v>
      </c>
      <c r="V72" s="61">
        <v>0.38</v>
      </c>
      <c r="W72" s="61">
        <v>0.43</v>
      </c>
      <c r="X72" s="61">
        <v>0.55000000000000004</v>
      </c>
      <c r="Y72" s="61">
        <v>0.4</v>
      </c>
      <c r="Z72" s="61">
        <v>0.37</v>
      </c>
      <c r="AA72" s="61">
        <v>0.42</v>
      </c>
      <c r="AB72" s="12">
        <v>48</v>
      </c>
      <c r="AC72" s="12">
        <v>10</v>
      </c>
      <c r="AD72" s="63">
        <v>0.23</v>
      </c>
      <c r="AE72" s="63">
        <v>0.5</v>
      </c>
      <c r="AF72" s="63">
        <v>0.27</v>
      </c>
      <c r="AG72" s="63">
        <v>0</v>
      </c>
      <c r="AH72" s="63">
        <v>0.46</v>
      </c>
      <c r="AI72" s="63">
        <v>0.42</v>
      </c>
      <c r="AJ72" s="63">
        <v>0.41</v>
      </c>
      <c r="AK72" s="63">
        <v>0.53</v>
      </c>
      <c r="AL72" s="63">
        <v>0.51</v>
      </c>
      <c r="AM72" s="63">
        <v>0.55000000000000004</v>
      </c>
      <c r="AN72" s="12">
        <v>50</v>
      </c>
      <c r="AO72" s="12">
        <v>10</v>
      </c>
      <c r="AP72" s="63">
        <v>0.15</v>
      </c>
      <c r="AQ72" s="63">
        <v>0.56000000000000005</v>
      </c>
      <c r="AR72" s="63">
        <v>0.28999999999999998</v>
      </c>
      <c r="AS72" s="63">
        <v>0</v>
      </c>
      <c r="AT72" s="63">
        <v>0.5</v>
      </c>
      <c r="AU72" s="63">
        <v>0.34</v>
      </c>
      <c r="AV72" s="63">
        <v>0.43</v>
      </c>
      <c r="AW72" s="63">
        <v>0.45</v>
      </c>
      <c r="AX72" s="63">
        <v>0.43</v>
      </c>
      <c r="AY72" s="63">
        <v>0.48</v>
      </c>
      <c r="AZ72" s="35">
        <v>53</v>
      </c>
      <c r="BA72" s="35">
        <v>12</v>
      </c>
      <c r="BB72" s="40">
        <v>0.1</v>
      </c>
      <c r="BC72" s="40">
        <v>0.49</v>
      </c>
      <c r="BD72" s="40">
        <v>0.34</v>
      </c>
      <c r="BE72" s="40">
        <v>7.0000000000000007E-2</v>
      </c>
      <c r="BF72" s="40">
        <v>0.36</v>
      </c>
      <c r="BG72" s="40">
        <v>0.41</v>
      </c>
      <c r="BH72" s="40">
        <v>0.4</v>
      </c>
      <c r="BI72" s="40">
        <v>0.54</v>
      </c>
      <c r="BJ72" s="40">
        <v>0.41</v>
      </c>
      <c r="BK72" s="40">
        <v>0.38</v>
      </c>
      <c r="BL72" s="247">
        <v>50</v>
      </c>
      <c r="BM72" s="247" t="s">
        <v>874</v>
      </c>
      <c r="BN72" s="247">
        <v>9</v>
      </c>
      <c r="BO72" s="247" t="s">
        <v>874</v>
      </c>
      <c r="BP72" s="264">
        <v>0.19</v>
      </c>
      <c r="BQ72" s="264">
        <v>0.5</v>
      </c>
      <c r="BR72" s="264">
        <v>0.31</v>
      </c>
      <c r="BS72" s="264">
        <v>0</v>
      </c>
      <c r="BT72" s="264">
        <v>0.38</v>
      </c>
      <c r="BU72" s="264">
        <v>0.41</v>
      </c>
      <c r="BV72" s="264">
        <v>0.56999999999999995</v>
      </c>
      <c r="BW72" s="264">
        <v>0.44</v>
      </c>
      <c r="BX72" s="264">
        <v>0.44</v>
      </c>
      <c r="BY72" s="264">
        <v>0.55000000000000004</v>
      </c>
      <c r="BZ72" s="311">
        <v>54</v>
      </c>
      <c r="CA72" s="311" t="s">
        <v>874</v>
      </c>
      <c r="CB72" s="311">
        <v>9</v>
      </c>
      <c r="CC72" s="311" t="s">
        <v>874</v>
      </c>
      <c r="CD72" s="329">
        <v>7.0000000000000007E-2</v>
      </c>
      <c r="CE72" s="329">
        <v>0.45</v>
      </c>
      <c r="CF72" s="329">
        <v>0.46</v>
      </c>
      <c r="CG72" s="329">
        <v>0.02</v>
      </c>
      <c r="CH72" s="329">
        <v>0.43</v>
      </c>
      <c r="CI72" s="329">
        <v>0.28999999999999998</v>
      </c>
      <c r="CJ72" s="329">
        <v>0.47</v>
      </c>
      <c r="CK72" s="329">
        <v>0.49</v>
      </c>
      <c r="CL72" s="329">
        <v>0.34</v>
      </c>
      <c r="CM72" s="329">
        <v>0.56999999999999995</v>
      </c>
      <c r="CN72" s="426">
        <v>51</v>
      </c>
      <c r="CO72" s="426" t="s">
        <v>874</v>
      </c>
      <c r="CP72" s="426">
        <v>11</v>
      </c>
      <c r="CQ72" s="426" t="s">
        <v>874</v>
      </c>
      <c r="CR72" s="430">
        <v>0.17</v>
      </c>
      <c r="CS72" s="430">
        <v>0.44</v>
      </c>
      <c r="CT72" s="430">
        <v>0.38</v>
      </c>
      <c r="CU72" s="430">
        <v>0.02</v>
      </c>
      <c r="CV72" s="430">
        <v>0.36</v>
      </c>
      <c r="CW72" s="430">
        <v>0.51</v>
      </c>
      <c r="CX72" s="430">
        <v>0.53</v>
      </c>
      <c r="CY72" s="430">
        <v>0.7</v>
      </c>
      <c r="CZ72" s="527">
        <v>0.46</v>
      </c>
      <c r="DA72" s="527">
        <v>0.41</v>
      </c>
      <c r="DB72" s="528">
        <v>54</v>
      </c>
      <c r="DC72" s="528" t="s">
        <v>874</v>
      </c>
      <c r="DD72" s="528">
        <v>9</v>
      </c>
      <c r="DE72" s="528" t="s">
        <v>874</v>
      </c>
      <c r="DF72" s="529">
        <v>0.12</v>
      </c>
      <c r="DG72" s="529">
        <v>0.4</v>
      </c>
      <c r="DH72" s="529">
        <v>0.46</v>
      </c>
      <c r="DI72" s="529">
        <v>0.01</v>
      </c>
      <c r="DJ72" s="529">
        <v>0.48</v>
      </c>
      <c r="DK72" s="529">
        <v>0.43</v>
      </c>
      <c r="DL72" s="529">
        <v>0.41</v>
      </c>
      <c r="DM72" s="529">
        <v>0.57999999999999996</v>
      </c>
      <c r="DN72" s="529">
        <v>0.48</v>
      </c>
      <c r="DO72" s="529">
        <v>0.24</v>
      </c>
    </row>
    <row r="73" spans="1:119" ht="24.95" customHeight="1" x14ac:dyDescent="0.2">
      <c r="A73" s="814" t="s">
        <v>94</v>
      </c>
      <c r="B73" s="1" t="s">
        <v>221</v>
      </c>
      <c r="C73" s="2">
        <v>6</v>
      </c>
      <c r="D73" s="12">
        <v>53</v>
      </c>
      <c r="E73" s="12">
        <v>6</v>
      </c>
      <c r="F73" s="63">
        <v>0</v>
      </c>
      <c r="G73" s="63">
        <v>0.5</v>
      </c>
      <c r="H73" s="63">
        <v>0.5</v>
      </c>
      <c r="I73" s="63">
        <v>0</v>
      </c>
      <c r="J73" s="63">
        <v>0.44</v>
      </c>
      <c r="K73" s="63">
        <v>0.44</v>
      </c>
      <c r="L73" s="63">
        <v>0.31</v>
      </c>
      <c r="M73" s="63">
        <v>0.25</v>
      </c>
      <c r="N73" s="63">
        <v>0.57999999999999996</v>
      </c>
      <c r="O73" s="63">
        <v>0.67</v>
      </c>
      <c r="P73" s="12">
        <v>53</v>
      </c>
      <c r="Q73" s="12">
        <v>8</v>
      </c>
      <c r="R73" s="61">
        <v>0</v>
      </c>
      <c r="S73" s="61">
        <v>0.5</v>
      </c>
      <c r="T73" s="61">
        <v>0.5</v>
      </c>
      <c r="U73" s="61">
        <v>0</v>
      </c>
      <c r="V73" s="61">
        <v>0.35</v>
      </c>
      <c r="W73" s="61">
        <v>0.53</v>
      </c>
      <c r="X73" s="61">
        <v>0.42</v>
      </c>
      <c r="Y73" s="61">
        <v>0.48</v>
      </c>
      <c r="Z73" s="61">
        <v>0.38</v>
      </c>
      <c r="AA73" s="61">
        <v>0.56999999999999995</v>
      </c>
      <c r="AB73" s="12" t="s">
        <v>224</v>
      </c>
      <c r="AC73" s="12" t="s">
        <v>226</v>
      </c>
      <c r="AD73" s="2"/>
      <c r="AE73" s="2"/>
      <c r="AF73" s="2"/>
      <c r="AG73" s="2"/>
      <c r="AH73" s="2"/>
      <c r="AI73" s="2"/>
      <c r="AJ73" s="2"/>
      <c r="AK73" s="2"/>
      <c r="AL73" s="2"/>
      <c r="AM73" s="2"/>
      <c r="AN73" s="12">
        <v>42</v>
      </c>
      <c r="AO73" s="12">
        <v>10</v>
      </c>
      <c r="AP73" s="63">
        <v>0.5</v>
      </c>
      <c r="AQ73" s="63">
        <v>0.5</v>
      </c>
      <c r="AR73" s="63">
        <v>0</v>
      </c>
      <c r="AS73" s="63">
        <v>0</v>
      </c>
      <c r="AT73" s="63">
        <v>0.56999999999999995</v>
      </c>
      <c r="AU73" s="63">
        <v>0.33</v>
      </c>
      <c r="AV73" s="63">
        <v>0.62</v>
      </c>
      <c r="AW73" s="63">
        <v>0.68</v>
      </c>
      <c r="AX73" s="63">
        <v>0.56999999999999995</v>
      </c>
      <c r="AY73" s="63">
        <v>0.64</v>
      </c>
      <c r="AZ73" s="35">
        <v>44</v>
      </c>
      <c r="BA73" s="35">
        <v>13</v>
      </c>
      <c r="BB73" s="40">
        <v>0.5</v>
      </c>
      <c r="BC73" s="40">
        <v>0.38</v>
      </c>
      <c r="BD73" s="40">
        <v>0</v>
      </c>
      <c r="BE73" s="40">
        <v>0.13</v>
      </c>
      <c r="BF73" s="40">
        <v>0.53</v>
      </c>
      <c r="BG73" s="40">
        <v>0.57999999999999996</v>
      </c>
      <c r="BH73" s="40">
        <v>0.63</v>
      </c>
      <c r="BI73" s="40">
        <v>0.54</v>
      </c>
      <c r="BJ73" s="40">
        <v>0.55000000000000004</v>
      </c>
      <c r="BK73" s="40">
        <v>0.63</v>
      </c>
      <c r="BL73" s="652"/>
      <c r="BM73" s="652"/>
      <c r="BN73" s="652"/>
      <c r="BO73" s="652"/>
      <c r="BP73" s="652"/>
      <c r="BQ73" s="652"/>
      <c r="BR73" s="652"/>
      <c r="BS73" s="652"/>
      <c r="BT73" s="652"/>
      <c r="BU73" s="652"/>
      <c r="BV73" s="652"/>
      <c r="BW73" s="652"/>
      <c r="BX73" s="652"/>
      <c r="BY73" s="652"/>
      <c r="BZ73" s="655"/>
      <c r="CA73" s="655"/>
      <c r="CB73" s="655"/>
      <c r="CC73" s="655"/>
      <c r="CD73" s="655"/>
      <c r="CE73" s="655"/>
      <c r="CF73" s="655"/>
      <c r="CG73" s="655"/>
      <c r="CH73" s="655"/>
      <c r="CI73" s="655"/>
      <c r="CJ73" s="655"/>
      <c r="CK73" s="655"/>
      <c r="CL73" s="655"/>
      <c r="CM73" s="655"/>
      <c r="CN73" s="426">
        <v>54</v>
      </c>
      <c r="CO73" s="426" t="s">
        <v>874</v>
      </c>
      <c r="CP73" s="426">
        <v>7</v>
      </c>
      <c r="CQ73" s="426" t="s">
        <v>876</v>
      </c>
      <c r="CR73" s="430">
        <v>0</v>
      </c>
      <c r="CS73" s="430">
        <v>0.6</v>
      </c>
      <c r="CT73" s="430">
        <v>0.4</v>
      </c>
      <c r="CU73" s="430">
        <v>0</v>
      </c>
      <c r="CV73" s="430">
        <v>0.2</v>
      </c>
      <c r="CW73" s="430">
        <v>0.38</v>
      </c>
      <c r="CX73" s="430">
        <v>0.36</v>
      </c>
      <c r="CY73" s="430">
        <v>1</v>
      </c>
      <c r="CZ73" s="527">
        <v>0.69</v>
      </c>
      <c r="DA73" s="527">
        <v>0</v>
      </c>
      <c r="DB73" s="528">
        <v>47</v>
      </c>
      <c r="DC73" s="528" t="s">
        <v>874</v>
      </c>
      <c r="DD73" s="528">
        <v>8</v>
      </c>
      <c r="DE73" s="528" t="s">
        <v>874</v>
      </c>
      <c r="DF73" s="529">
        <v>0.5</v>
      </c>
      <c r="DG73" s="529">
        <v>0.25</v>
      </c>
      <c r="DH73" s="529">
        <v>0.25</v>
      </c>
      <c r="DI73" s="529">
        <v>0</v>
      </c>
      <c r="DJ73" s="529">
        <v>0.39</v>
      </c>
      <c r="DK73" s="529">
        <v>0.67</v>
      </c>
      <c r="DL73" s="529">
        <v>0.47</v>
      </c>
      <c r="DM73" s="529">
        <v>0.63</v>
      </c>
      <c r="DN73" s="529">
        <v>0.5</v>
      </c>
      <c r="DO73" s="529">
        <v>0.25</v>
      </c>
    </row>
    <row r="74" spans="1:119" ht="24.95" customHeight="1" x14ac:dyDescent="0.2">
      <c r="A74" s="817" t="s">
        <v>878</v>
      </c>
      <c r="B74" s="1" t="s">
        <v>221</v>
      </c>
      <c r="C74" s="2">
        <v>6</v>
      </c>
      <c r="D74" s="12"/>
      <c r="E74" s="12"/>
      <c r="F74" s="63"/>
      <c r="G74" s="63"/>
      <c r="H74" s="63"/>
      <c r="I74" s="63"/>
      <c r="J74" s="63"/>
      <c r="K74" s="63"/>
      <c r="L74" s="63"/>
      <c r="M74" s="63"/>
      <c r="N74" s="63"/>
      <c r="O74" s="63"/>
      <c r="P74" s="12"/>
      <c r="Q74" s="12"/>
      <c r="R74" s="61"/>
      <c r="S74" s="61"/>
      <c r="T74" s="61"/>
      <c r="U74" s="61"/>
      <c r="V74" s="61"/>
      <c r="W74" s="61"/>
      <c r="X74" s="61"/>
      <c r="Y74" s="61"/>
      <c r="Z74" s="61"/>
      <c r="AA74" s="61"/>
      <c r="AB74" s="12"/>
      <c r="AC74" s="12"/>
      <c r="AD74" s="63"/>
      <c r="AE74" s="63"/>
      <c r="AF74" s="63"/>
      <c r="AG74" s="63"/>
      <c r="AH74" s="63"/>
      <c r="AI74" s="63"/>
      <c r="AJ74" s="63"/>
      <c r="AK74" s="63"/>
      <c r="AL74" s="63"/>
      <c r="AM74" s="63"/>
      <c r="AN74" s="12"/>
      <c r="AO74" s="12"/>
      <c r="AP74" s="63"/>
      <c r="AQ74" s="63"/>
      <c r="AR74" s="63"/>
      <c r="AS74" s="63"/>
      <c r="AT74" s="63"/>
      <c r="AU74" s="63"/>
      <c r="AV74" s="63"/>
      <c r="AW74" s="63"/>
      <c r="AX74" s="63"/>
      <c r="AY74" s="63"/>
      <c r="AZ74" s="35"/>
      <c r="BA74" s="35"/>
      <c r="BB74" s="40"/>
      <c r="BC74" s="40"/>
      <c r="BD74" s="40"/>
      <c r="BE74" s="40"/>
      <c r="BF74" s="40"/>
      <c r="BG74" s="40"/>
      <c r="BH74" s="40"/>
      <c r="BI74" s="40"/>
      <c r="BJ74" s="40"/>
      <c r="BK74" s="40"/>
      <c r="BL74" s="247">
        <v>45</v>
      </c>
      <c r="BM74" s="247" t="s">
        <v>874</v>
      </c>
      <c r="BN74" s="247">
        <v>8</v>
      </c>
      <c r="BO74" s="247" t="s">
        <v>874</v>
      </c>
      <c r="BP74" s="264">
        <v>0.33</v>
      </c>
      <c r="BQ74" s="264">
        <v>0.5</v>
      </c>
      <c r="BR74" s="264">
        <v>0.17</v>
      </c>
      <c r="BS74" s="264">
        <v>0</v>
      </c>
      <c r="BT74" s="264">
        <v>0.54</v>
      </c>
      <c r="BU74" s="264">
        <v>0.59</v>
      </c>
      <c r="BV74" s="264">
        <v>0.52</v>
      </c>
      <c r="BW74" s="264">
        <v>0.47</v>
      </c>
      <c r="BX74" s="264">
        <v>0.55000000000000004</v>
      </c>
      <c r="BY74" s="264">
        <v>0.59</v>
      </c>
      <c r="BZ74" s="311">
        <v>44</v>
      </c>
      <c r="CA74" s="311" t="s">
        <v>874</v>
      </c>
      <c r="CB74" s="311">
        <v>11</v>
      </c>
      <c r="CC74" s="311" t="s">
        <v>874</v>
      </c>
      <c r="CD74" s="329">
        <v>0.48</v>
      </c>
      <c r="CE74" s="329">
        <v>0.32</v>
      </c>
      <c r="CF74" s="329">
        <v>0.19</v>
      </c>
      <c r="CG74" s="329">
        <v>0</v>
      </c>
      <c r="CH74" s="329">
        <v>0.61</v>
      </c>
      <c r="CI74" s="329">
        <v>0.42</v>
      </c>
      <c r="CJ74" s="329">
        <v>0.56999999999999995</v>
      </c>
      <c r="CK74" s="329">
        <v>0.54</v>
      </c>
      <c r="CL74" s="329">
        <v>0.56999999999999995</v>
      </c>
      <c r="CM74" s="329">
        <v>0.59</v>
      </c>
      <c r="CN74" s="426">
        <v>50</v>
      </c>
      <c r="CO74" s="426" t="s">
        <v>874</v>
      </c>
      <c r="CP74" s="426">
        <v>10</v>
      </c>
      <c r="CQ74" s="426" t="s">
        <v>874</v>
      </c>
      <c r="CR74" s="430">
        <v>0.17</v>
      </c>
      <c r="CS74" s="430">
        <v>0.48</v>
      </c>
      <c r="CT74" s="430">
        <v>0.34</v>
      </c>
      <c r="CU74" s="430">
        <v>0</v>
      </c>
      <c r="CV74" s="430">
        <v>0.34</v>
      </c>
      <c r="CW74" s="430">
        <v>0.54</v>
      </c>
      <c r="CX74" s="430">
        <v>0.63</v>
      </c>
      <c r="CY74" s="430">
        <v>0.88</v>
      </c>
      <c r="CZ74" s="527">
        <v>0.6</v>
      </c>
      <c r="DA74" s="527">
        <v>0.65</v>
      </c>
      <c r="DB74" s="528">
        <v>51</v>
      </c>
      <c r="DC74" s="528" t="s">
        <v>874</v>
      </c>
      <c r="DD74" s="528">
        <v>12</v>
      </c>
      <c r="DE74" s="528" t="s">
        <v>874</v>
      </c>
      <c r="DF74" s="529">
        <v>0.19</v>
      </c>
      <c r="DG74" s="529">
        <v>0.41</v>
      </c>
      <c r="DH74" s="529">
        <v>0.41</v>
      </c>
      <c r="DI74" s="529">
        <v>0</v>
      </c>
      <c r="DJ74" s="529">
        <v>0.51</v>
      </c>
      <c r="DK74" s="529">
        <v>0.59</v>
      </c>
      <c r="DL74" s="529">
        <v>0.51</v>
      </c>
      <c r="DM74" s="529">
        <v>0.56999999999999995</v>
      </c>
      <c r="DN74" s="529">
        <v>0.52</v>
      </c>
      <c r="DO74" s="529">
        <v>0.45</v>
      </c>
    </row>
    <row r="75" spans="1:119" ht="24.95" customHeight="1" x14ac:dyDescent="0.2">
      <c r="A75" s="818" t="s">
        <v>166</v>
      </c>
      <c r="B75" s="1" t="s">
        <v>221</v>
      </c>
      <c r="C75" s="250">
        <v>3</v>
      </c>
      <c r="D75" s="255">
        <v>46</v>
      </c>
      <c r="E75" s="255">
        <v>8</v>
      </c>
      <c r="F75" s="256">
        <v>0.11</v>
      </c>
      <c r="G75" s="256">
        <v>0.67</v>
      </c>
      <c r="H75" s="256">
        <v>0.22</v>
      </c>
      <c r="I75" s="256">
        <v>0</v>
      </c>
      <c r="J75" s="256">
        <v>0.71</v>
      </c>
      <c r="K75" s="256">
        <v>0.59</v>
      </c>
      <c r="L75" s="256">
        <v>0.72</v>
      </c>
      <c r="M75" s="256">
        <v>0.39</v>
      </c>
      <c r="N75" s="256">
        <v>0.55000000000000004</v>
      </c>
      <c r="O75" s="256">
        <v>0.49</v>
      </c>
      <c r="P75" s="255">
        <v>51</v>
      </c>
      <c r="Q75" s="255">
        <v>10</v>
      </c>
      <c r="R75" s="258">
        <v>0.12</v>
      </c>
      <c r="S75" s="258">
        <v>0.6</v>
      </c>
      <c r="T75" s="258">
        <v>0.24</v>
      </c>
      <c r="U75" s="258">
        <v>0.04</v>
      </c>
      <c r="V75" s="258">
        <v>0.43</v>
      </c>
      <c r="W75" s="258">
        <v>0.46</v>
      </c>
      <c r="X75" s="258">
        <v>0.5</v>
      </c>
      <c r="Y75" s="258">
        <v>0.49</v>
      </c>
      <c r="Z75" s="258">
        <v>0.48</v>
      </c>
      <c r="AA75" s="258">
        <v>0.41</v>
      </c>
      <c r="AB75" s="255">
        <v>55</v>
      </c>
      <c r="AC75" s="255">
        <v>10</v>
      </c>
      <c r="AD75" s="256">
        <v>0.04</v>
      </c>
      <c r="AE75" s="256">
        <v>0.43</v>
      </c>
      <c r="AF75" s="256">
        <v>0.48</v>
      </c>
      <c r="AG75" s="256">
        <v>0.04</v>
      </c>
      <c r="AH75" s="256">
        <v>0.34</v>
      </c>
      <c r="AI75" s="256">
        <v>0.32</v>
      </c>
      <c r="AJ75" s="256">
        <v>0.28000000000000003</v>
      </c>
      <c r="AK75" s="256">
        <v>0.39</v>
      </c>
      <c r="AL75" s="256">
        <v>0.53</v>
      </c>
      <c r="AM75" s="256">
        <v>0.42</v>
      </c>
      <c r="AN75" s="255">
        <v>51</v>
      </c>
      <c r="AO75" s="255">
        <v>11</v>
      </c>
      <c r="AP75" s="256">
        <v>0.22</v>
      </c>
      <c r="AQ75" s="256">
        <v>0.44</v>
      </c>
      <c r="AR75" s="256">
        <v>0.33</v>
      </c>
      <c r="AS75" s="256">
        <v>0</v>
      </c>
      <c r="AT75" s="256">
        <v>0.46</v>
      </c>
      <c r="AU75" s="256">
        <v>0.41</v>
      </c>
      <c r="AV75" s="256">
        <v>0.41</v>
      </c>
      <c r="AW75" s="256">
        <v>0.42</v>
      </c>
      <c r="AX75" s="256">
        <v>0.45</v>
      </c>
      <c r="AY75" s="256">
        <v>0.5</v>
      </c>
      <c r="AZ75" s="251">
        <v>48</v>
      </c>
      <c r="BA75" s="251">
        <v>10</v>
      </c>
      <c r="BB75" s="260">
        <v>0.27</v>
      </c>
      <c r="BC75" s="260">
        <v>0.54</v>
      </c>
      <c r="BD75" s="260">
        <v>0.15</v>
      </c>
      <c r="BE75" s="260">
        <v>0.04</v>
      </c>
      <c r="BF75" s="260">
        <v>0.51</v>
      </c>
      <c r="BG75" s="260">
        <v>0.47</v>
      </c>
      <c r="BH75" s="260">
        <v>0.52</v>
      </c>
      <c r="BI75" s="260">
        <v>0.6</v>
      </c>
      <c r="BJ75" s="260">
        <v>0.52</v>
      </c>
      <c r="BK75" s="260">
        <v>0.39</v>
      </c>
      <c r="BL75" s="247">
        <v>44</v>
      </c>
      <c r="BM75" s="247" t="s">
        <v>874</v>
      </c>
      <c r="BN75" s="247">
        <v>11</v>
      </c>
      <c r="BO75" s="247" t="s">
        <v>874</v>
      </c>
      <c r="BP75" s="264">
        <v>0.47</v>
      </c>
      <c r="BQ75" s="264">
        <v>0.28999999999999998</v>
      </c>
      <c r="BR75" s="264">
        <v>0.24</v>
      </c>
      <c r="BS75" s="264">
        <v>0</v>
      </c>
      <c r="BT75" s="264">
        <v>0.59</v>
      </c>
      <c r="BU75" s="264">
        <v>0.57999999999999996</v>
      </c>
      <c r="BV75" s="264">
        <v>0.65</v>
      </c>
      <c r="BW75" s="264">
        <v>0.49</v>
      </c>
      <c r="BX75" s="264">
        <v>0.56999999999999995</v>
      </c>
      <c r="BY75" s="264">
        <v>0.56999999999999995</v>
      </c>
      <c r="BZ75" s="311">
        <v>51</v>
      </c>
      <c r="CA75" s="311" t="s">
        <v>874</v>
      </c>
      <c r="CB75" s="311">
        <v>11</v>
      </c>
      <c r="CC75" s="311" t="s">
        <v>874</v>
      </c>
      <c r="CD75" s="329">
        <v>0.21</v>
      </c>
      <c r="CE75" s="329">
        <v>0.42</v>
      </c>
      <c r="CF75" s="329">
        <v>0.38</v>
      </c>
      <c r="CG75" s="329">
        <v>0</v>
      </c>
      <c r="CH75" s="329">
        <v>0.44</v>
      </c>
      <c r="CI75" s="329">
        <v>0.27</v>
      </c>
      <c r="CJ75" s="329">
        <v>0.63</v>
      </c>
      <c r="CK75" s="329">
        <v>0.56999999999999995</v>
      </c>
      <c r="CL75" s="329">
        <v>0.38</v>
      </c>
      <c r="CM75" s="329">
        <v>0.47</v>
      </c>
      <c r="CN75" s="426">
        <v>56</v>
      </c>
      <c r="CO75" s="426" t="s">
        <v>874</v>
      </c>
      <c r="CP75" s="426">
        <v>11</v>
      </c>
      <c r="CQ75" s="426" t="s">
        <v>874</v>
      </c>
      <c r="CR75" s="430">
        <v>0.04</v>
      </c>
      <c r="CS75" s="430">
        <v>0.42</v>
      </c>
      <c r="CT75" s="430">
        <v>0.46</v>
      </c>
      <c r="CU75" s="430">
        <v>0.08</v>
      </c>
      <c r="CV75" s="430">
        <v>0.25</v>
      </c>
      <c r="CW75" s="430">
        <v>0.42</v>
      </c>
      <c r="CX75" s="430">
        <v>0.42</v>
      </c>
      <c r="CY75" s="430">
        <v>0.38</v>
      </c>
      <c r="CZ75" s="527">
        <v>0.41</v>
      </c>
      <c r="DA75" s="527">
        <v>0.38</v>
      </c>
      <c r="DB75" s="528">
        <v>55</v>
      </c>
      <c r="DC75" s="528" t="s">
        <v>874</v>
      </c>
      <c r="DD75" s="528">
        <v>12</v>
      </c>
      <c r="DE75" s="528" t="s">
        <v>874</v>
      </c>
      <c r="DF75" s="529">
        <v>0.14000000000000001</v>
      </c>
      <c r="DG75" s="529">
        <v>0.32</v>
      </c>
      <c r="DH75" s="529">
        <v>0.45</v>
      </c>
      <c r="DI75" s="529">
        <v>0.09</v>
      </c>
      <c r="DJ75" s="529">
        <v>0.41</v>
      </c>
      <c r="DK75" s="529">
        <v>0.33</v>
      </c>
      <c r="DL75" s="529">
        <v>0.4</v>
      </c>
      <c r="DM75" s="529">
        <v>0.55000000000000004</v>
      </c>
      <c r="DN75" s="529">
        <v>0.51</v>
      </c>
      <c r="DO75" s="529">
        <v>0.25</v>
      </c>
    </row>
    <row r="76" spans="1:119" ht="24.95" customHeight="1" x14ac:dyDescent="0.2">
      <c r="A76" s="814" t="s">
        <v>203</v>
      </c>
      <c r="B76" s="1" t="s">
        <v>221</v>
      </c>
      <c r="C76" s="2">
        <v>1</v>
      </c>
      <c r="D76" s="12">
        <v>53</v>
      </c>
      <c r="E76" s="12">
        <v>9</v>
      </c>
      <c r="F76" s="63">
        <v>0.12</v>
      </c>
      <c r="G76" s="63">
        <v>0.47</v>
      </c>
      <c r="H76" s="63">
        <v>0.41</v>
      </c>
      <c r="I76" s="63">
        <v>0</v>
      </c>
      <c r="J76" s="63">
        <v>0.48</v>
      </c>
      <c r="K76" s="63">
        <v>0.49</v>
      </c>
      <c r="L76" s="63">
        <v>0.56999999999999995</v>
      </c>
      <c r="M76" s="63">
        <v>0.44</v>
      </c>
      <c r="N76" s="63">
        <v>0.42</v>
      </c>
      <c r="O76" s="63">
        <v>0.48</v>
      </c>
      <c r="P76" s="12">
        <v>50</v>
      </c>
      <c r="Q76" s="12">
        <v>11</v>
      </c>
      <c r="R76" s="61">
        <v>0.22</v>
      </c>
      <c r="S76" s="61">
        <v>0.44</v>
      </c>
      <c r="T76" s="61">
        <v>0.33</v>
      </c>
      <c r="U76" s="61">
        <v>0</v>
      </c>
      <c r="V76" s="61">
        <v>0.46</v>
      </c>
      <c r="W76" s="61">
        <v>0.48</v>
      </c>
      <c r="X76" s="61">
        <v>0.51</v>
      </c>
      <c r="Y76" s="61">
        <v>0.51</v>
      </c>
      <c r="Z76" s="61">
        <v>0.47</v>
      </c>
      <c r="AA76" s="61">
        <v>0.48</v>
      </c>
      <c r="AB76" s="12">
        <v>49</v>
      </c>
      <c r="AC76" s="12">
        <v>8</v>
      </c>
      <c r="AD76" s="63">
        <v>0.13</v>
      </c>
      <c r="AE76" s="63">
        <v>0.63</v>
      </c>
      <c r="AF76" s="63">
        <v>0.25</v>
      </c>
      <c r="AG76" s="63">
        <v>0</v>
      </c>
      <c r="AH76" s="63">
        <v>0.49</v>
      </c>
      <c r="AI76" s="63">
        <v>0.49</v>
      </c>
      <c r="AJ76" s="63">
        <v>0.38</v>
      </c>
      <c r="AK76" s="63">
        <v>0.42</v>
      </c>
      <c r="AL76" s="63">
        <v>0.56999999999999995</v>
      </c>
      <c r="AM76" s="63">
        <v>0.63</v>
      </c>
      <c r="AN76" s="12">
        <v>48</v>
      </c>
      <c r="AO76" s="12">
        <v>10</v>
      </c>
      <c r="AP76" s="63">
        <v>0.22</v>
      </c>
      <c r="AQ76" s="63">
        <v>0.56000000000000005</v>
      </c>
      <c r="AR76" s="63">
        <v>0.22</v>
      </c>
      <c r="AS76" s="63">
        <v>0</v>
      </c>
      <c r="AT76" s="63">
        <v>0.48</v>
      </c>
      <c r="AU76" s="63">
        <v>0.35</v>
      </c>
      <c r="AV76" s="63">
        <v>0.51</v>
      </c>
      <c r="AW76" s="63">
        <v>0.46</v>
      </c>
      <c r="AX76" s="63">
        <v>0.49</v>
      </c>
      <c r="AY76" s="63">
        <v>0.47</v>
      </c>
      <c r="AZ76" s="35">
        <v>50</v>
      </c>
      <c r="BA76" s="35">
        <v>8</v>
      </c>
      <c r="BB76" s="40">
        <v>0.13</v>
      </c>
      <c r="BC76" s="40">
        <v>0.63</v>
      </c>
      <c r="BD76" s="40">
        <v>0.25</v>
      </c>
      <c r="BE76" s="40">
        <v>0</v>
      </c>
      <c r="BF76" s="40">
        <v>0.56000000000000005</v>
      </c>
      <c r="BG76" s="40">
        <v>0.52</v>
      </c>
      <c r="BH76" s="40">
        <v>0.46</v>
      </c>
      <c r="BI76" s="40">
        <v>0.57999999999999996</v>
      </c>
      <c r="BJ76" s="40">
        <v>0.47</v>
      </c>
      <c r="BK76" s="40">
        <v>0.33</v>
      </c>
      <c r="BL76" s="653">
        <v>53</v>
      </c>
      <c r="BM76" s="653" t="s">
        <v>874</v>
      </c>
      <c r="BN76" s="653">
        <v>7</v>
      </c>
      <c r="BO76" s="653" t="s">
        <v>876</v>
      </c>
      <c r="BP76" s="654">
        <v>0</v>
      </c>
      <c r="BQ76" s="654">
        <v>0.55000000000000004</v>
      </c>
      <c r="BR76" s="654">
        <v>0.45</v>
      </c>
      <c r="BS76" s="654">
        <v>0</v>
      </c>
      <c r="BT76" s="654">
        <v>0.34</v>
      </c>
      <c r="BU76" s="654">
        <v>0.4</v>
      </c>
      <c r="BV76" s="654">
        <v>0.63</v>
      </c>
      <c r="BW76" s="654">
        <v>0.42</v>
      </c>
      <c r="BX76" s="654">
        <v>0.48</v>
      </c>
      <c r="BY76" s="654">
        <v>0.45</v>
      </c>
      <c r="BZ76" s="74">
        <v>49</v>
      </c>
      <c r="CA76" s="74" t="s">
        <v>874</v>
      </c>
      <c r="CB76" s="74">
        <v>10</v>
      </c>
      <c r="CC76" s="74" t="s">
        <v>874</v>
      </c>
      <c r="CD76" s="96">
        <v>0.17</v>
      </c>
      <c r="CE76" s="96">
        <v>0.48</v>
      </c>
      <c r="CF76" s="96">
        <v>0.35</v>
      </c>
      <c r="CG76" s="96">
        <v>0</v>
      </c>
      <c r="CH76" s="96">
        <v>0.55000000000000004</v>
      </c>
      <c r="CI76" s="96">
        <v>0.5</v>
      </c>
      <c r="CJ76" s="96">
        <v>0.54</v>
      </c>
      <c r="CK76" s="96">
        <v>0.51</v>
      </c>
      <c r="CL76" s="96">
        <v>0.38</v>
      </c>
      <c r="CM76" s="96">
        <v>0.51</v>
      </c>
      <c r="CN76" s="426">
        <v>50</v>
      </c>
      <c r="CO76" s="426" t="s">
        <v>874</v>
      </c>
      <c r="CP76" s="426">
        <v>10</v>
      </c>
      <c r="CQ76" s="426" t="s">
        <v>874</v>
      </c>
      <c r="CR76" s="430">
        <v>0.18</v>
      </c>
      <c r="CS76" s="430">
        <v>0.45</v>
      </c>
      <c r="CT76" s="430">
        <v>0.36</v>
      </c>
      <c r="CU76" s="430">
        <v>0</v>
      </c>
      <c r="CV76" s="430">
        <v>0.38</v>
      </c>
      <c r="CW76" s="430">
        <v>0.52</v>
      </c>
      <c r="CX76" s="430">
        <v>0.61</v>
      </c>
      <c r="CY76" s="430">
        <v>0.55000000000000004</v>
      </c>
      <c r="CZ76" s="527">
        <v>0.57999999999999996</v>
      </c>
      <c r="DA76" s="527">
        <v>0.55000000000000004</v>
      </c>
      <c r="DB76" s="528">
        <v>54</v>
      </c>
      <c r="DC76" s="528" t="s">
        <v>874</v>
      </c>
      <c r="DD76" s="528">
        <v>10</v>
      </c>
      <c r="DE76" s="528" t="s">
        <v>874</v>
      </c>
      <c r="DF76" s="529">
        <v>0.11</v>
      </c>
      <c r="DG76" s="529">
        <v>0.42</v>
      </c>
      <c r="DH76" s="529">
        <v>0.42</v>
      </c>
      <c r="DI76" s="529">
        <v>0.05</v>
      </c>
      <c r="DJ76" s="529">
        <v>0.42</v>
      </c>
      <c r="DK76" s="529">
        <v>0.54</v>
      </c>
      <c r="DL76" s="529">
        <v>0.38</v>
      </c>
      <c r="DM76" s="529">
        <v>0.56000000000000005</v>
      </c>
      <c r="DN76" s="529">
        <v>0.45</v>
      </c>
      <c r="DO76" s="529">
        <v>0.21</v>
      </c>
    </row>
    <row r="77" spans="1:119" ht="24.95" customHeight="1" x14ac:dyDescent="0.2">
      <c r="A77" s="814" t="s">
        <v>922</v>
      </c>
      <c r="B77" s="14" t="s">
        <v>221</v>
      </c>
      <c r="C77" s="2">
        <v>2</v>
      </c>
      <c r="D77" s="12"/>
      <c r="E77" s="12"/>
      <c r="F77" s="63"/>
      <c r="G77" s="63"/>
      <c r="H77" s="63"/>
      <c r="I77" s="63"/>
      <c r="J77" s="63"/>
      <c r="K77" s="63"/>
      <c r="L77" s="63"/>
      <c r="M77" s="63"/>
      <c r="N77" s="63"/>
      <c r="O77" s="63"/>
      <c r="P77" s="12"/>
      <c r="Q77" s="12"/>
      <c r="R77" s="61"/>
      <c r="S77" s="61"/>
      <c r="T77" s="61"/>
      <c r="U77" s="61"/>
      <c r="V77" s="61"/>
      <c r="W77" s="61"/>
      <c r="X77" s="61"/>
      <c r="Y77" s="61"/>
      <c r="Z77" s="61"/>
      <c r="AA77" s="61"/>
      <c r="AB77" s="12"/>
      <c r="AC77" s="12"/>
      <c r="AD77" s="63"/>
      <c r="AE77" s="63"/>
      <c r="AF77" s="63"/>
      <c r="AG77" s="63"/>
      <c r="AH77" s="63"/>
      <c r="AI77" s="63"/>
      <c r="AJ77" s="63"/>
      <c r="AK77" s="63"/>
      <c r="AL77" s="63"/>
      <c r="AM77" s="63"/>
      <c r="AN77" s="12"/>
      <c r="AO77" s="12"/>
      <c r="AP77" s="63"/>
      <c r="AQ77" s="63"/>
      <c r="AR77" s="63"/>
      <c r="AS77" s="63"/>
      <c r="AT77" s="63"/>
      <c r="AU77" s="63"/>
      <c r="AV77" s="63"/>
      <c r="AW77" s="63"/>
      <c r="AX77" s="63"/>
      <c r="AY77" s="63"/>
      <c r="AZ77" s="35"/>
      <c r="BA77" s="35"/>
      <c r="BB77" s="40"/>
      <c r="BC77" s="40"/>
      <c r="BD77" s="40"/>
      <c r="BE77" s="40"/>
      <c r="BF77" s="40"/>
      <c r="BG77" s="40"/>
      <c r="BH77" s="40"/>
      <c r="BI77" s="40"/>
      <c r="BJ77" s="40"/>
      <c r="BK77" s="40"/>
      <c r="BL77" s="247"/>
      <c r="BM77" s="247"/>
      <c r="BN77" s="247"/>
      <c r="BO77" s="247"/>
      <c r="BP77" s="264"/>
      <c r="BQ77" s="264"/>
      <c r="BR77" s="264"/>
      <c r="BS77" s="264"/>
      <c r="BT77" s="264"/>
      <c r="BU77" s="264"/>
      <c r="BV77" s="264"/>
      <c r="BW77" s="264"/>
      <c r="BX77" s="264"/>
      <c r="BY77" s="264"/>
      <c r="BZ77" s="311">
        <v>50</v>
      </c>
      <c r="CA77" s="311" t="s">
        <v>874</v>
      </c>
      <c r="CB77" s="311">
        <v>10</v>
      </c>
      <c r="CC77" s="311" t="s">
        <v>874</v>
      </c>
      <c r="CD77" s="329">
        <v>0.2</v>
      </c>
      <c r="CE77" s="329">
        <v>0.47</v>
      </c>
      <c r="CF77" s="329">
        <v>0.33</v>
      </c>
      <c r="CG77" s="329">
        <v>0</v>
      </c>
      <c r="CH77" s="329">
        <v>0.52</v>
      </c>
      <c r="CI77" s="329">
        <v>0.45</v>
      </c>
      <c r="CJ77" s="329">
        <v>0.67</v>
      </c>
      <c r="CK77" s="329">
        <v>0.45</v>
      </c>
      <c r="CL77" s="329">
        <v>0.43</v>
      </c>
      <c r="CM77" s="329">
        <v>0.55000000000000004</v>
      </c>
      <c r="CN77" s="426">
        <v>49</v>
      </c>
      <c r="CO77" s="426" t="s">
        <v>874</v>
      </c>
      <c r="CP77" s="426">
        <v>8</v>
      </c>
      <c r="CQ77" s="426" t="s">
        <v>874</v>
      </c>
      <c r="CR77" s="430">
        <v>0.14000000000000001</v>
      </c>
      <c r="CS77" s="430">
        <v>0.67</v>
      </c>
      <c r="CT77" s="430">
        <v>0.19</v>
      </c>
      <c r="CU77" s="430">
        <v>0</v>
      </c>
      <c r="CV77" s="430">
        <v>0.43</v>
      </c>
      <c r="CW77" s="430">
        <v>0.48</v>
      </c>
      <c r="CX77" s="430">
        <v>0.63</v>
      </c>
      <c r="CY77" s="430">
        <v>0.75</v>
      </c>
      <c r="CZ77" s="527">
        <v>0.59</v>
      </c>
      <c r="DA77" s="527">
        <v>0.56000000000000005</v>
      </c>
      <c r="DB77" s="528">
        <v>47</v>
      </c>
      <c r="DC77" s="528" t="s">
        <v>874</v>
      </c>
      <c r="DD77" s="528">
        <v>11</v>
      </c>
      <c r="DE77" s="528" t="s">
        <v>874</v>
      </c>
      <c r="DF77" s="529">
        <v>0.25</v>
      </c>
      <c r="DG77" s="529">
        <v>0.56999999999999995</v>
      </c>
      <c r="DH77" s="529">
        <v>0.14000000000000001</v>
      </c>
      <c r="DI77" s="529">
        <v>0.04</v>
      </c>
      <c r="DJ77" s="529">
        <v>0.53</v>
      </c>
      <c r="DK77" s="529">
        <v>0.38</v>
      </c>
      <c r="DL77" s="529">
        <v>0.48</v>
      </c>
      <c r="DM77" s="529">
        <v>0.73</v>
      </c>
      <c r="DN77" s="529">
        <v>0.52</v>
      </c>
      <c r="DO77" s="529">
        <v>0.42</v>
      </c>
    </row>
    <row r="78" spans="1:119" ht="24.95" customHeight="1" x14ac:dyDescent="0.2">
      <c r="A78" s="814" t="s">
        <v>81</v>
      </c>
      <c r="B78" s="1" t="s">
        <v>221</v>
      </c>
      <c r="C78" s="2">
        <v>4</v>
      </c>
      <c r="D78" s="12">
        <v>46</v>
      </c>
      <c r="E78" s="12">
        <v>9</v>
      </c>
      <c r="F78" s="63">
        <v>0.27</v>
      </c>
      <c r="G78" s="63">
        <v>0.55000000000000004</v>
      </c>
      <c r="H78" s="63">
        <v>0.18</v>
      </c>
      <c r="I78" s="63">
        <v>0</v>
      </c>
      <c r="J78" s="63">
        <v>0.61</v>
      </c>
      <c r="K78" s="63">
        <v>0.66</v>
      </c>
      <c r="L78" s="63">
        <v>0.61</v>
      </c>
      <c r="M78" s="63">
        <v>0.52</v>
      </c>
      <c r="N78" s="63">
        <v>0.46</v>
      </c>
      <c r="O78" s="63">
        <v>0.6</v>
      </c>
      <c r="P78" s="12">
        <v>46</v>
      </c>
      <c r="Q78" s="12">
        <v>10</v>
      </c>
      <c r="R78" s="61">
        <v>0.28999999999999998</v>
      </c>
      <c r="S78" s="61">
        <v>0.51</v>
      </c>
      <c r="T78" s="61">
        <v>0.2</v>
      </c>
      <c r="U78" s="61">
        <v>0</v>
      </c>
      <c r="V78" s="61">
        <v>0.48</v>
      </c>
      <c r="W78" s="61">
        <v>0.57999999999999996</v>
      </c>
      <c r="X78" s="61">
        <v>0.61</v>
      </c>
      <c r="Y78" s="61">
        <v>0.55000000000000004</v>
      </c>
      <c r="Z78" s="61">
        <v>0.51</v>
      </c>
      <c r="AA78" s="61">
        <v>0.6</v>
      </c>
      <c r="AB78" s="12">
        <v>50</v>
      </c>
      <c r="AC78" s="12">
        <v>10</v>
      </c>
      <c r="AD78" s="63">
        <v>0.17</v>
      </c>
      <c r="AE78" s="63">
        <v>0.57999999999999996</v>
      </c>
      <c r="AF78" s="63">
        <v>0.25</v>
      </c>
      <c r="AG78" s="63">
        <v>0</v>
      </c>
      <c r="AH78" s="63">
        <v>0.42</v>
      </c>
      <c r="AI78" s="63">
        <v>0.43</v>
      </c>
      <c r="AJ78" s="63">
        <v>0.43</v>
      </c>
      <c r="AK78" s="63">
        <v>0.45</v>
      </c>
      <c r="AL78" s="63">
        <v>0.48</v>
      </c>
      <c r="AM78" s="63">
        <v>0.6</v>
      </c>
      <c r="AN78" s="12">
        <v>43</v>
      </c>
      <c r="AO78" s="12">
        <v>11</v>
      </c>
      <c r="AP78" s="63">
        <v>0.48</v>
      </c>
      <c r="AQ78" s="63">
        <v>0.39</v>
      </c>
      <c r="AR78" s="63">
        <v>0.13</v>
      </c>
      <c r="AS78" s="63">
        <v>0</v>
      </c>
      <c r="AT78" s="63">
        <v>0.65</v>
      </c>
      <c r="AU78" s="63">
        <v>0.56000000000000005</v>
      </c>
      <c r="AV78" s="63">
        <v>0.55000000000000004</v>
      </c>
      <c r="AW78" s="63">
        <v>0.53</v>
      </c>
      <c r="AX78" s="63">
        <v>0.53</v>
      </c>
      <c r="AY78" s="63">
        <v>0.61</v>
      </c>
      <c r="AZ78" s="35"/>
      <c r="BA78" s="35"/>
      <c r="BB78" s="40"/>
      <c r="BC78" s="40"/>
      <c r="BD78" s="40"/>
      <c r="BE78" s="40"/>
      <c r="BF78" s="40"/>
      <c r="BG78" s="40"/>
      <c r="BH78" s="40"/>
      <c r="BI78" s="40"/>
      <c r="BJ78" s="40"/>
      <c r="BK78" s="40"/>
      <c r="BL78" s="247">
        <v>46</v>
      </c>
      <c r="BM78" s="247" t="s">
        <v>874</v>
      </c>
      <c r="BN78" s="247">
        <v>0</v>
      </c>
      <c r="BO78" s="247" t="s">
        <v>876</v>
      </c>
      <c r="BP78" s="264">
        <v>0</v>
      </c>
      <c r="BQ78" s="264">
        <v>1</v>
      </c>
      <c r="BR78" s="264">
        <v>0</v>
      </c>
      <c r="BS78" s="264">
        <v>0</v>
      </c>
      <c r="BT78" s="264">
        <v>0.5</v>
      </c>
      <c r="BU78" s="264">
        <v>0.5</v>
      </c>
      <c r="BV78" s="264">
        <v>0.5</v>
      </c>
      <c r="BW78" s="264">
        <v>0.55000000000000004</v>
      </c>
      <c r="BX78" s="264">
        <v>0.5</v>
      </c>
      <c r="BY78" s="264">
        <v>0.78</v>
      </c>
      <c r="BZ78" s="655"/>
      <c r="CA78" s="655"/>
      <c r="CB78" s="655"/>
      <c r="CC78" s="655"/>
      <c r="CD78" s="655"/>
      <c r="CE78" s="655"/>
      <c r="CF78" s="655"/>
      <c r="CG78" s="655"/>
      <c r="CH78" s="655"/>
      <c r="CI78" s="655"/>
      <c r="CJ78" s="655"/>
      <c r="CK78" s="655"/>
      <c r="CL78" s="655"/>
      <c r="CM78" s="655"/>
      <c r="CN78" s="657"/>
      <c r="CO78" s="657"/>
      <c r="CP78" s="657"/>
      <c r="CQ78" s="657"/>
      <c r="CR78" s="657"/>
      <c r="CS78" s="657"/>
      <c r="CT78" s="657"/>
      <c r="CU78" s="657"/>
      <c r="CV78" s="657"/>
      <c r="CW78" s="657"/>
      <c r="CX78" s="657"/>
      <c r="CY78" s="657"/>
      <c r="CZ78" s="666"/>
      <c r="DA78" s="666"/>
      <c r="DB78" s="668"/>
      <c r="DC78" s="668"/>
      <c r="DD78" s="668"/>
      <c r="DE78" s="668"/>
      <c r="DF78" s="668"/>
      <c r="DG78" s="668"/>
      <c r="DH78" s="668"/>
      <c r="DI78" s="668"/>
      <c r="DJ78" s="668"/>
      <c r="DK78" s="668"/>
      <c r="DL78" s="668"/>
      <c r="DM78" s="668"/>
      <c r="DN78" s="668"/>
      <c r="DO78" s="668"/>
    </row>
    <row r="79" spans="1:119" ht="24.95" customHeight="1" x14ac:dyDescent="0.2">
      <c r="A79" s="815" t="s">
        <v>168</v>
      </c>
      <c r="B79" s="1" t="s">
        <v>221</v>
      </c>
      <c r="C79" s="311">
        <v>6</v>
      </c>
      <c r="D79" s="330">
        <v>50</v>
      </c>
      <c r="E79" s="330">
        <v>8</v>
      </c>
      <c r="F79" s="329">
        <v>0.2</v>
      </c>
      <c r="G79" s="329">
        <v>0.53</v>
      </c>
      <c r="H79" s="329">
        <v>0.27</v>
      </c>
      <c r="I79" s="329">
        <v>0</v>
      </c>
      <c r="J79" s="329">
        <v>0.57999999999999996</v>
      </c>
      <c r="K79" s="329">
        <v>0.49</v>
      </c>
      <c r="L79" s="329">
        <v>0.73</v>
      </c>
      <c r="M79" s="329">
        <v>0.49</v>
      </c>
      <c r="N79" s="329">
        <v>0.41</v>
      </c>
      <c r="O79" s="329">
        <v>0.53</v>
      </c>
      <c r="P79" s="330">
        <v>45</v>
      </c>
      <c r="Q79" s="330">
        <v>9</v>
      </c>
      <c r="R79" s="332">
        <v>0.28999999999999998</v>
      </c>
      <c r="S79" s="332">
        <v>0.71</v>
      </c>
      <c r="T79" s="332">
        <v>0</v>
      </c>
      <c r="U79" s="332">
        <v>0</v>
      </c>
      <c r="V79" s="332">
        <v>0.48</v>
      </c>
      <c r="W79" s="332">
        <v>0.57999999999999996</v>
      </c>
      <c r="X79" s="332">
        <v>0.79</v>
      </c>
      <c r="Y79" s="332">
        <v>0.53</v>
      </c>
      <c r="Z79" s="332">
        <v>0.54</v>
      </c>
      <c r="AA79" s="332">
        <v>0.64</v>
      </c>
      <c r="AB79" s="330">
        <v>46</v>
      </c>
      <c r="AC79" s="330">
        <v>10</v>
      </c>
      <c r="AD79" s="329">
        <v>0.25</v>
      </c>
      <c r="AE79" s="329">
        <v>0.63</v>
      </c>
      <c r="AF79" s="329">
        <v>0.13</v>
      </c>
      <c r="AG79" s="329">
        <v>0</v>
      </c>
      <c r="AH79" s="329">
        <v>0.44</v>
      </c>
      <c r="AI79" s="329">
        <v>0.56999999999999995</v>
      </c>
      <c r="AJ79" s="329">
        <v>0.44</v>
      </c>
      <c r="AK79" s="329">
        <v>0.6</v>
      </c>
      <c r="AL79" s="329">
        <v>0.68</v>
      </c>
      <c r="AM79" s="329">
        <v>0.48</v>
      </c>
      <c r="AN79" s="330">
        <v>48</v>
      </c>
      <c r="AO79" s="330">
        <v>10</v>
      </c>
      <c r="AP79" s="329">
        <v>0.18</v>
      </c>
      <c r="AQ79" s="329">
        <v>0.64</v>
      </c>
      <c r="AR79" s="329">
        <v>0.18</v>
      </c>
      <c r="AS79" s="329">
        <v>0</v>
      </c>
      <c r="AT79" s="329">
        <v>0.5</v>
      </c>
      <c r="AU79" s="329">
        <v>0.54</v>
      </c>
      <c r="AV79" s="329">
        <v>0.47</v>
      </c>
      <c r="AW79" s="329">
        <v>0.38</v>
      </c>
      <c r="AX79" s="329">
        <v>0.51</v>
      </c>
      <c r="AY79" s="329">
        <v>0.59</v>
      </c>
      <c r="AZ79" s="313">
        <v>44</v>
      </c>
      <c r="BA79" s="313">
        <v>8</v>
      </c>
      <c r="BB79" s="333">
        <v>0.36</v>
      </c>
      <c r="BC79" s="333">
        <v>0.45</v>
      </c>
      <c r="BD79" s="333">
        <v>0.18</v>
      </c>
      <c r="BE79" s="333">
        <v>0</v>
      </c>
      <c r="BF79" s="333">
        <v>0.57999999999999996</v>
      </c>
      <c r="BG79" s="333">
        <v>0.65</v>
      </c>
      <c r="BH79" s="333">
        <v>0.57999999999999996</v>
      </c>
      <c r="BI79" s="333">
        <v>0.57999999999999996</v>
      </c>
      <c r="BJ79" s="333">
        <v>0.51</v>
      </c>
      <c r="BK79" s="333">
        <v>0.53</v>
      </c>
      <c r="BL79" s="314">
        <v>47</v>
      </c>
      <c r="BM79" s="314" t="s">
        <v>874</v>
      </c>
      <c r="BN79" s="314">
        <v>12</v>
      </c>
      <c r="BO79" s="314" t="s">
        <v>874</v>
      </c>
      <c r="BP79" s="334">
        <v>0.33</v>
      </c>
      <c r="BQ79" s="334">
        <v>0.4</v>
      </c>
      <c r="BR79" s="334">
        <v>0.27</v>
      </c>
      <c r="BS79" s="334">
        <v>0</v>
      </c>
      <c r="BT79" s="334">
        <v>0.43</v>
      </c>
      <c r="BU79" s="334">
        <v>0.56000000000000005</v>
      </c>
      <c r="BV79" s="334">
        <v>0.65</v>
      </c>
      <c r="BW79" s="334">
        <v>0.49</v>
      </c>
      <c r="BX79" s="334">
        <v>0.47</v>
      </c>
      <c r="BY79" s="334">
        <v>0.56000000000000005</v>
      </c>
      <c r="BZ79" s="311">
        <v>48</v>
      </c>
      <c r="CA79" s="311" t="s">
        <v>874</v>
      </c>
      <c r="CB79" s="311">
        <v>11</v>
      </c>
      <c r="CC79" s="311" t="s">
        <v>874</v>
      </c>
      <c r="CD79" s="329">
        <v>0.2</v>
      </c>
      <c r="CE79" s="329">
        <v>0.5</v>
      </c>
      <c r="CF79" s="329">
        <v>0.3</v>
      </c>
      <c r="CG79" s="329">
        <v>0</v>
      </c>
      <c r="CH79" s="329">
        <v>0.54</v>
      </c>
      <c r="CI79" s="329">
        <v>0.28000000000000003</v>
      </c>
      <c r="CJ79" s="329">
        <v>0.61</v>
      </c>
      <c r="CK79" s="329">
        <v>0.49</v>
      </c>
      <c r="CL79" s="329">
        <v>0.53</v>
      </c>
      <c r="CM79" s="329">
        <v>0.63</v>
      </c>
      <c r="CN79" s="426">
        <v>45</v>
      </c>
      <c r="CO79" s="426" t="s">
        <v>874</v>
      </c>
      <c r="CP79" s="426">
        <v>8</v>
      </c>
      <c r="CQ79" s="426" t="s">
        <v>874</v>
      </c>
      <c r="CR79" s="430">
        <v>0.33</v>
      </c>
      <c r="CS79" s="430">
        <v>0.47</v>
      </c>
      <c r="CT79" s="430">
        <v>0.2</v>
      </c>
      <c r="CU79" s="430">
        <v>0</v>
      </c>
      <c r="CV79" s="430">
        <v>0.45</v>
      </c>
      <c r="CW79" s="430">
        <v>0.59</v>
      </c>
      <c r="CX79" s="430">
        <v>0.65</v>
      </c>
      <c r="CY79" s="430">
        <v>0.38</v>
      </c>
      <c r="CZ79" s="527">
        <v>0.62</v>
      </c>
      <c r="DA79" s="527">
        <v>0.67</v>
      </c>
      <c r="DB79" s="528">
        <v>43</v>
      </c>
      <c r="DC79" s="528" t="s">
        <v>874</v>
      </c>
      <c r="DD79" s="528">
        <v>11</v>
      </c>
      <c r="DE79" s="528" t="s">
        <v>874</v>
      </c>
      <c r="DF79" s="529">
        <v>0.52</v>
      </c>
      <c r="DG79" s="529">
        <v>0.28000000000000003</v>
      </c>
      <c r="DH79" s="529">
        <v>0.2</v>
      </c>
      <c r="DI79" s="529">
        <v>0</v>
      </c>
      <c r="DJ79" s="529">
        <v>0.52</v>
      </c>
      <c r="DK79" s="529">
        <v>0.7</v>
      </c>
      <c r="DL79" s="529">
        <v>0.61</v>
      </c>
      <c r="DM79" s="529">
        <v>0.74</v>
      </c>
      <c r="DN79" s="529">
        <v>0.63</v>
      </c>
      <c r="DO79" s="529">
        <v>0.55000000000000004</v>
      </c>
    </row>
    <row r="80" spans="1:119" ht="24.95" customHeight="1" x14ac:dyDescent="0.2">
      <c r="A80" s="814" t="s">
        <v>230</v>
      </c>
      <c r="B80" s="1" t="s">
        <v>221</v>
      </c>
      <c r="C80" s="2">
        <v>2</v>
      </c>
      <c r="D80" s="12"/>
      <c r="E80" s="12"/>
      <c r="F80" s="12"/>
      <c r="G80" s="12"/>
      <c r="H80" s="12"/>
      <c r="I80" s="12"/>
      <c r="J80" s="12"/>
      <c r="K80" s="12"/>
      <c r="L80" s="12"/>
      <c r="M80" s="12"/>
      <c r="N80" s="12"/>
      <c r="O80" s="12"/>
      <c r="P80" s="12">
        <v>58</v>
      </c>
      <c r="Q80" s="12">
        <v>9</v>
      </c>
      <c r="R80" s="61">
        <v>0.04</v>
      </c>
      <c r="S80" s="61">
        <v>0.28999999999999998</v>
      </c>
      <c r="T80" s="61">
        <v>0.63</v>
      </c>
      <c r="U80" s="61">
        <v>0.04</v>
      </c>
      <c r="V80" s="61">
        <v>0.27</v>
      </c>
      <c r="W80" s="61">
        <v>0.38</v>
      </c>
      <c r="X80" s="61">
        <v>0.39</v>
      </c>
      <c r="Y80" s="61">
        <v>0.38</v>
      </c>
      <c r="Z80" s="61">
        <v>0.28000000000000003</v>
      </c>
      <c r="AA80" s="61">
        <v>0.34</v>
      </c>
      <c r="AB80" s="12">
        <v>55</v>
      </c>
      <c r="AC80" s="12">
        <v>10</v>
      </c>
      <c r="AD80" s="63">
        <v>0.14000000000000001</v>
      </c>
      <c r="AE80" s="63">
        <v>0.28999999999999998</v>
      </c>
      <c r="AF80" s="63">
        <v>0.56999999999999995</v>
      </c>
      <c r="AG80" s="63">
        <v>0</v>
      </c>
      <c r="AH80" s="63">
        <v>0.35</v>
      </c>
      <c r="AI80" s="63">
        <v>0.26</v>
      </c>
      <c r="AJ80" s="63">
        <v>0.27</v>
      </c>
      <c r="AK80" s="63">
        <v>0.5</v>
      </c>
      <c r="AL80" s="63">
        <v>0.41</v>
      </c>
      <c r="AM80" s="63">
        <v>0.41</v>
      </c>
      <c r="AN80" s="12">
        <v>57</v>
      </c>
      <c r="AO80" s="12">
        <v>13</v>
      </c>
      <c r="AP80" s="63">
        <v>0.13</v>
      </c>
      <c r="AQ80" s="63">
        <v>0.25</v>
      </c>
      <c r="AR80" s="63">
        <v>0.5</v>
      </c>
      <c r="AS80" s="63">
        <v>0.13</v>
      </c>
      <c r="AT80" s="63">
        <v>0.43</v>
      </c>
      <c r="AU80" s="63">
        <v>0.32</v>
      </c>
      <c r="AV80" s="63">
        <v>0.31</v>
      </c>
      <c r="AW80" s="63">
        <v>0.31</v>
      </c>
      <c r="AX80" s="63">
        <v>0.3</v>
      </c>
      <c r="AY80" s="63">
        <v>0.38</v>
      </c>
      <c r="AZ80" s="35">
        <v>63</v>
      </c>
      <c r="BA80" s="35">
        <v>8</v>
      </c>
      <c r="BB80" s="40">
        <v>0</v>
      </c>
      <c r="BC80" s="40">
        <v>0.19</v>
      </c>
      <c r="BD80" s="40">
        <v>0.75</v>
      </c>
      <c r="BE80" s="40">
        <v>0.06</v>
      </c>
      <c r="BF80" s="40">
        <v>0.27</v>
      </c>
      <c r="BG80" s="40">
        <v>0.24</v>
      </c>
      <c r="BH80" s="40">
        <v>0.21</v>
      </c>
      <c r="BI80" s="40">
        <v>0.42</v>
      </c>
      <c r="BJ80" s="40">
        <v>0.24</v>
      </c>
      <c r="BK80" s="40">
        <v>0.17</v>
      </c>
      <c r="BL80" s="247">
        <v>61</v>
      </c>
      <c r="BM80" s="247" t="s">
        <v>875</v>
      </c>
      <c r="BN80" s="247">
        <v>9</v>
      </c>
      <c r="BO80" s="247" t="s">
        <v>874</v>
      </c>
      <c r="BP80" s="264">
        <v>0.05</v>
      </c>
      <c r="BQ80" s="264">
        <v>0.15</v>
      </c>
      <c r="BR80" s="264">
        <v>0.7</v>
      </c>
      <c r="BS80" s="264">
        <v>0.1</v>
      </c>
      <c r="BT80" s="264">
        <v>0.27</v>
      </c>
      <c r="BU80" s="264">
        <v>0.27</v>
      </c>
      <c r="BV80" s="264">
        <v>0.27</v>
      </c>
      <c r="BW80" s="264">
        <v>0.27</v>
      </c>
      <c r="BX80" s="264">
        <v>0.3</v>
      </c>
      <c r="BY80" s="264">
        <v>0.28999999999999998</v>
      </c>
      <c r="BZ80" s="74">
        <v>59</v>
      </c>
      <c r="CA80" s="74" t="s">
        <v>875</v>
      </c>
      <c r="CB80" s="74">
        <v>8</v>
      </c>
      <c r="CC80" s="74" t="s">
        <v>874</v>
      </c>
      <c r="CD80" s="96">
        <v>0.08</v>
      </c>
      <c r="CE80" s="96">
        <v>0.12</v>
      </c>
      <c r="CF80" s="96">
        <v>0.81</v>
      </c>
      <c r="CG80" s="96">
        <v>0</v>
      </c>
      <c r="CH80" s="96">
        <v>0.28999999999999998</v>
      </c>
      <c r="CI80" s="96">
        <v>0.13</v>
      </c>
      <c r="CJ80" s="96">
        <v>0.38</v>
      </c>
      <c r="CK80" s="96">
        <v>0.46</v>
      </c>
      <c r="CL80" s="96">
        <v>0.28999999999999998</v>
      </c>
      <c r="CM80" s="96">
        <v>0.49</v>
      </c>
      <c r="CN80" s="658">
        <v>59</v>
      </c>
      <c r="CO80" s="658" t="s">
        <v>875</v>
      </c>
      <c r="CP80" s="658">
        <v>8</v>
      </c>
      <c r="CQ80" s="658" t="s">
        <v>874</v>
      </c>
      <c r="CR80" s="659">
        <v>0</v>
      </c>
      <c r="CS80" s="659">
        <v>0.34</v>
      </c>
      <c r="CT80" s="659">
        <v>0.59</v>
      </c>
      <c r="CU80" s="659">
        <v>7.0000000000000007E-2</v>
      </c>
      <c r="CV80" s="659">
        <v>0.21</v>
      </c>
      <c r="CW80" s="659">
        <v>0.37</v>
      </c>
      <c r="CX80" s="659">
        <v>0.41</v>
      </c>
      <c r="CY80" s="659">
        <v>0.54</v>
      </c>
      <c r="CZ80" s="667">
        <v>0.34</v>
      </c>
      <c r="DA80" s="667">
        <v>0.57999999999999996</v>
      </c>
      <c r="DB80" s="47">
        <v>60</v>
      </c>
      <c r="DC80" s="47" t="s">
        <v>875</v>
      </c>
      <c r="DD80" s="47">
        <v>8</v>
      </c>
      <c r="DE80" s="47" t="s">
        <v>874</v>
      </c>
      <c r="DF80" s="670">
        <v>0.05</v>
      </c>
      <c r="DG80" s="670">
        <v>0.05</v>
      </c>
      <c r="DH80" s="670">
        <v>0.84</v>
      </c>
      <c r="DI80" s="670">
        <v>0.05</v>
      </c>
      <c r="DJ80" s="670">
        <v>0.33</v>
      </c>
      <c r="DK80" s="670">
        <v>0.33</v>
      </c>
      <c r="DL80" s="670">
        <v>0.25</v>
      </c>
      <c r="DM80" s="670">
        <v>0.43</v>
      </c>
      <c r="DN80" s="670">
        <v>0.36</v>
      </c>
      <c r="DO80" s="670">
        <v>0.28999999999999998</v>
      </c>
    </row>
    <row r="81" spans="1:119" ht="24.95" customHeight="1" x14ac:dyDescent="0.2">
      <c r="A81" s="814" t="s">
        <v>42</v>
      </c>
      <c r="B81" s="1" t="s">
        <v>221</v>
      </c>
      <c r="C81" s="2">
        <v>6</v>
      </c>
      <c r="D81" s="12">
        <v>58</v>
      </c>
      <c r="E81" s="12">
        <v>7</v>
      </c>
      <c r="F81" s="63">
        <v>0</v>
      </c>
      <c r="G81" s="63">
        <v>0.36</v>
      </c>
      <c r="H81" s="63">
        <v>0.61</v>
      </c>
      <c r="I81" s="63">
        <v>0.03</v>
      </c>
      <c r="J81" s="63">
        <v>0.49</v>
      </c>
      <c r="K81" s="63">
        <v>0.37</v>
      </c>
      <c r="L81" s="63">
        <v>0.41</v>
      </c>
      <c r="M81" s="63">
        <v>0.33</v>
      </c>
      <c r="N81" s="63">
        <v>0.31</v>
      </c>
      <c r="O81" s="63">
        <v>0.34</v>
      </c>
      <c r="P81" s="12">
        <v>55</v>
      </c>
      <c r="Q81" s="12">
        <v>10</v>
      </c>
      <c r="R81" s="61">
        <v>0.04</v>
      </c>
      <c r="S81" s="61">
        <v>0.46</v>
      </c>
      <c r="T81" s="61">
        <v>0.42</v>
      </c>
      <c r="U81" s="61">
        <v>0.08</v>
      </c>
      <c r="V81" s="61">
        <v>0.32</v>
      </c>
      <c r="W81" s="61">
        <v>0.4</v>
      </c>
      <c r="X81" s="61">
        <v>0.45</v>
      </c>
      <c r="Y81" s="61">
        <v>0.43</v>
      </c>
      <c r="Z81" s="61">
        <v>0.39</v>
      </c>
      <c r="AA81" s="61">
        <v>0.37</v>
      </c>
      <c r="AB81" s="12">
        <v>56</v>
      </c>
      <c r="AC81" s="12">
        <v>11</v>
      </c>
      <c r="AD81" s="63">
        <v>0.08</v>
      </c>
      <c r="AE81" s="63">
        <v>0.36</v>
      </c>
      <c r="AF81" s="63">
        <v>0.53</v>
      </c>
      <c r="AG81" s="63">
        <v>0.03</v>
      </c>
      <c r="AH81" s="63">
        <v>0.28000000000000003</v>
      </c>
      <c r="AI81" s="63">
        <v>0.34</v>
      </c>
      <c r="AJ81" s="63">
        <v>0.33</v>
      </c>
      <c r="AK81" s="63">
        <v>0.38</v>
      </c>
      <c r="AL81" s="63">
        <v>0.52</v>
      </c>
      <c r="AM81" s="63">
        <v>0.42</v>
      </c>
      <c r="AN81" s="12">
        <v>56</v>
      </c>
      <c r="AO81" s="12">
        <v>10</v>
      </c>
      <c r="AP81" s="63">
        <v>7.0000000000000007E-2</v>
      </c>
      <c r="AQ81" s="63">
        <v>0.33</v>
      </c>
      <c r="AR81" s="63">
        <v>0.56999999999999995</v>
      </c>
      <c r="AS81" s="63">
        <v>0.03</v>
      </c>
      <c r="AT81" s="63">
        <v>0.43</v>
      </c>
      <c r="AU81" s="63">
        <v>0.42</v>
      </c>
      <c r="AV81" s="63">
        <v>0.32</v>
      </c>
      <c r="AW81" s="63">
        <v>0.34</v>
      </c>
      <c r="AX81" s="63">
        <v>0.35</v>
      </c>
      <c r="AY81" s="63">
        <v>0.35</v>
      </c>
      <c r="AZ81" s="35">
        <v>57</v>
      </c>
      <c r="BA81" s="35">
        <v>10</v>
      </c>
      <c r="BB81" s="40">
        <v>0.04</v>
      </c>
      <c r="BC81" s="40">
        <v>0.38</v>
      </c>
      <c r="BD81" s="40">
        <v>0.5</v>
      </c>
      <c r="BE81" s="40">
        <v>0.08</v>
      </c>
      <c r="BF81" s="40">
        <v>0.44</v>
      </c>
      <c r="BG81" s="40">
        <v>0.42</v>
      </c>
      <c r="BH81" s="40">
        <v>0.28000000000000003</v>
      </c>
      <c r="BI81" s="40">
        <v>0.41</v>
      </c>
      <c r="BJ81" s="40">
        <v>0.27</v>
      </c>
      <c r="BK81" s="40">
        <v>0.34</v>
      </c>
      <c r="BL81" s="247">
        <v>52</v>
      </c>
      <c r="BM81" s="247" t="s">
        <v>874</v>
      </c>
      <c r="BN81" s="247">
        <v>8</v>
      </c>
      <c r="BO81" s="247" t="s">
        <v>874</v>
      </c>
      <c r="BP81" s="264">
        <v>7.0000000000000007E-2</v>
      </c>
      <c r="BQ81" s="264">
        <v>0.61</v>
      </c>
      <c r="BR81" s="264">
        <v>0.32</v>
      </c>
      <c r="BS81" s="264">
        <v>0</v>
      </c>
      <c r="BT81" s="264">
        <v>0.44</v>
      </c>
      <c r="BU81" s="264">
        <v>0.42</v>
      </c>
      <c r="BV81" s="264">
        <v>0.39</v>
      </c>
      <c r="BW81" s="264">
        <v>0.39</v>
      </c>
      <c r="BX81" s="264">
        <v>0.43</v>
      </c>
      <c r="BY81" s="264">
        <v>0.48</v>
      </c>
      <c r="BZ81" s="311">
        <v>58</v>
      </c>
      <c r="CA81" s="311" t="s">
        <v>875</v>
      </c>
      <c r="CB81" s="311">
        <v>9</v>
      </c>
      <c r="CC81" s="311" t="s">
        <v>874</v>
      </c>
      <c r="CD81" s="329">
        <v>0.03</v>
      </c>
      <c r="CE81" s="329">
        <v>0.28000000000000003</v>
      </c>
      <c r="CF81" s="329">
        <v>0.62</v>
      </c>
      <c r="CG81" s="329">
        <v>7.0000000000000007E-2</v>
      </c>
      <c r="CH81" s="329">
        <v>0.37</v>
      </c>
      <c r="CI81" s="329">
        <v>0.31</v>
      </c>
      <c r="CJ81" s="329">
        <v>0.4</v>
      </c>
      <c r="CK81" s="329">
        <v>0.42</v>
      </c>
      <c r="CL81" s="329">
        <v>0.33</v>
      </c>
      <c r="CM81" s="329">
        <v>0.49</v>
      </c>
      <c r="CN81" s="426">
        <v>57</v>
      </c>
      <c r="CO81" s="426" t="s">
        <v>874</v>
      </c>
      <c r="CP81" s="426">
        <v>8</v>
      </c>
      <c r="CQ81" s="426" t="s">
        <v>874</v>
      </c>
      <c r="CR81" s="430">
        <v>0</v>
      </c>
      <c r="CS81" s="430">
        <v>0.47</v>
      </c>
      <c r="CT81" s="430">
        <v>0.5</v>
      </c>
      <c r="CU81" s="430">
        <v>0.03</v>
      </c>
      <c r="CV81" s="430">
        <v>0.32</v>
      </c>
      <c r="CW81" s="430">
        <v>0.38</v>
      </c>
      <c r="CX81" s="430">
        <v>0.39</v>
      </c>
      <c r="CY81" s="430">
        <v>0.5</v>
      </c>
      <c r="CZ81" s="527">
        <v>0.42</v>
      </c>
      <c r="DA81" s="527">
        <v>0.47</v>
      </c>
      <c r="DB81" s="528">
        <v>57</v>
      </c>
      <c r="DC81" s="528" t="s">
        <v>874</v>
      </c>
      <c r="DD81" s="528">
        <v>8</v>
      </c>
      <c r="DE81" s="528" t="s">
        <v>874</v>
      </c>
      <c r="DF81" s="529">
        <v>0.06</v>
      </c>
      <c r="DG81" s="529">
        <v>0.26</v>
      </c>
      <c r="DH81" s="529">
        <v>0.65</v>
      </c>
      <c r="DI81" s="529">
        <v>0.03</v>
      </c>
      <c r="DJ81" s="529">
        <v>0.42</v>
      </c>
      <c r="DK81" s="529">
        <v>0.41</v>
      </c>
      <c r="DL81" s="529">
        <v>0.4</v>
      </c>
      <c r="DM81" s="529">
        <v>0.68</v>
      </c>
      <c r="DN81" s="529">
        <v>0.38</v>
      </c>
      <c r="DO81" s="529">
        <v>0.18</v>
      </c>
    </row>
    <row r="82" spans="1:119" ht="24.95" customHeight="1" x14ac:dyDescent="0.2">
      <c r="A82" s="814" t="s">
        <v>924</v>
      </c>
      <c r="B82" s="14" t="s">
        <v>221</v>
      </c>
      <c r="C82" s="2">
        <v>3</v>
      </c>
      <c r="D82" s="12"/>
      <c r="E82" s="12"/>
      <c r="F82" s="63"/>
      <c r="G82" s="63"/>
      <c r="H82" s="63"/>
      <c r="I82" s="63"/>
      <c r="J82" s="63"/>
      <c r="K82" s="63"/>
      <c r="L82" s="63"/>
      <c r="M82" s="63"/>
      <c r="N82" s="63"/>
      <c r="O82" s="63"/>
      <c r="P82" s="12"/>
      <c r="Q82" s="12"/>
      <c r="R82" s="61"/>
      <c r="S82" s="61"/>
      <c r="T82" s="61"/>
      <c r="U82" s="61"/>
      <c r="V82" s="61"/>
      <c r="W82" s="61"/>
      <c r="X82" s="61"/>
      <c r="Y82" s="61"/>
      <c r="Z82" s="61"/>
      <c r="AA82" s="61"/>
      <c r="AB82" s="12"/>
      <c r="AC82" s="12"/>
      <c r="AD82" s="63"/>
      <c r="AE82" s="63"/>
      <c r="AF82" s="63"/>
      <c r="AG82" s="63"/>
      <c r="AH82" s="63"/>
      <c r="AI82" s="63"/>
      <c r="AJ82" s="63"/>
      <c r="AK82" s="63"/>
      <c r="AL82" s="63"/>
      <c r="AM82" s="63"/>
      <c r="AN82" s="12"/>
      <c r="AO82" s="12"/>
      <c r="AP82" s="63"/>
      <c r="AQ82" s="63"/>
      <c r="AR82" s="63"/>
      <c r="AS82" s="63"/>
      <c r="AT82" s="63"/>
      <c r="AU82" s="63"/>
      <c r="AV82" s="63"/>
      <c r="AW82" s="63"/>
      <c r="AX82" s="63"/>
      <c r="AY82" s="63"/>
      <c r="AZ82" s="35"/>
      <c r="BA82" s="35"/>
      <c r="BB82" s="40"/>
      <c r="BC82" s="40"/>
      <c r="BD82" s="40"/>
      <c r="BE82" s="40"/>
      <c r="BF82" s="40"/>
      <c r="BG82" s="40"/>
      <c r="BH82" s="40"/>
      <c r="BI82" s="40"/>
      <c r="BJ82" s="40"/>
      <c r="BK82" s="40"/>
      <c r="BL82" s="247"/>
      <c r="BM82" s="247"/>
      <c r="BN82" s="247"/>
      <c r="BO82" s="247"/>
      <c r="BP82" s="264"/>
      <c r="BQ82" s="264"/>
      <c r="BR82" s="264"/>
      <c r="BS82" s="264"/>
      <c r="BT82" s="264"/>
      <c r="BU82" s="264"/>
      <c r="BV82" s="264"/>
      <c r="BW82" s="264"/>
      <c r="BX82" s="264"/>
      <c r="BY82" s="264"/>
      <c r="BZ82" s="311">
        <v>55</v>
      </c>
      <c r="CA82" s="311" t="s">
        <v>874</v>
      </c>
      <c r="CB82" s="311">
        <v>11</v>
      </c>
      <c r="CC82" s="311" t="s">
        <v>874</v>
      </c>
      <c r="CD82" s="329">
        <v>7.0000000000000007E-2</v>
      </c>
      <c r="CE82" s="329">
        <v>0.43</v>
      </c>
      <c r="CF82" s="329">
        <v>0.43</v>
      </c>
      <c r="CG82" s="329">
        <v>7.0000000000000007E-2</v>
      </c>
      <c r="CH82" s="329">
        <v>0.3</v>
      </c>
      <c r="CI82" s="329">
        <v>0.39</v>
      </c>
      <c r="CJ82" s="329">
        <v>0.53</v>
      </c>
      <c r="CK82" s="329">
        <v>0.46</v>
      </c>
      <c r="CL82" s="329">
        <v>0.47</v>
      </c>
      <c r="CM82" s="329">
        <v>0.49</v>
      </c>
      <c r="CN82" s="426">
        <v>44</v>
      </c>
      <c r="CO82" s="426" t="s">
        <v>874</v>
      </c>
      <c r="CP82" s="426">
        <v>11</v>
      </c>
      <c r="CQ82" s="426" t="s">
        <v>874</v>
      </c>
      <c r="CR82" s="430">
        <v>0.55000000000000004</v>
      </c>
      <c r="CS82" s="430">
        <v>0.25</v>
      </c>
      <c r="CT82" s="430">
        <v>0.2</v>
      </c>
      <c r="CU82" s="430">
        <v>0</v>
      </c>
      <c r="CV82" s="430">
        <v>0.49</v>
      </c>
      <c r="CW82" s="430">
        <v>0.67</v>
      </c>
      <c r="CX82" s="430">
        <v>0.61</v>
      </c>
      <c r="CY82" s="430">
        <v>0.86</v>
      </c>
      <c r="CZ82" s="527">
        <v>0.67</v>
      </c>
      <c r="DA82" s="527">
        <v>0.67</v>
      </c>
      <c r="DB82" s="528">
        <v>51</v>
      </c>
      <c r="DC82" s="528" t="s">
        <v>874</v>
      </c>
      <c r="DD82" s="528">
        <v>10</v>
      </c>
      <c r="DE82" s="528" t="s">
        <v>874</v>
      </c>
      <c r="DF82" s="529">
        <v>0.15</v>
      </c>
      <c r="DG82" s="529">
        <v>0.5</v>
      </c>
      <c r="DH82" s="529">
        <v>0.35</v>
      </c>
      <c r="DI82" s="529">
        <v>0</v>
      </c>
      <c r="DJ82" s="529">
        <v>0.5</v>
      </c>
      <c r="DK82" s="529">
        <v>0.56000000000000005</v>
      </c>
      <c r="DL82" s="529">
        <v>0.44</v>
      </c>
      <c r="DM82" s="529">
        <v>0.57999999999999996</v>
      </c>
      <c r="DN82" s="529">
        <v>0.45</v>
      </c>
      <c r="DO82" s="529">
        <v>0.5</v>
      </c>
    </row>
    <row r="83" spans="1:119" ht="24.95" customHeight="1" x14ac:dyDescent="0.2">
      <c r="A83" s="814" t="s">
        <v>1100</v>
      </c>
      <c r="B83" s="1" t="s">
        <v>221</v>
      </c>
      <c r="C83" s="824"/>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824"/>
      <c r="CF83" s="824"/>
      <c r="CG83" s="824"/>
      <c r="CH83" s="824"/>
      <c r="CI83" s="824"/>
      <c r="CJ83" s="824"/>
      <c r="CK83" s="824"/>
      <c r="CL83" s="824"/>
      <c r="CM83" s="824"/>
      <c r="CN83" s="824"/>
      <c r="CO83" s="824"/>
      <c r="CP83" s="824"/>
      <c r="CQ83" s="824"/>
      <c r="CR83" s="824"/>
      <c r="CS83" s="824"/>
      <c r="CT83" s="824"/>
      <c r="CU83" s="824"/>
      <c r="CV83" s="824"/>
      <c r="CW83" s="824"/>
      <c r="CX83" s="824"/>
      <c r="CY83" s="824"/>
      <c r="CZ83" s="824"/>
      <c r="DA83" s="824"/>
      <c r="DB83" s="824"/>
      <c r="DC83" s="824"/>
      <c r="DD83" s="824"/>
      <c r="DE83" s="824"/>
      <c r="DF83" s="824"/>
      <c r="DG83" s="824"/>
      <c r="DH83" s="824"/>
      <c r="DI83" s="824"/>
      <c r="DJ83" s="824"/>
      <c r="DK83" s="824"/>
      <c r="DL83" s="824"/>
      <c r="DM83" s="824"/>
      <c r="DN83" s="824"/>
      <c r="DO83" s="824"/>
    </row>
    <row r="84" spans="1:119" ht="24.95" customHeight="1" x14ac:dyDescent="0.2">
      <c r="A84" s="814" t="s">
        <v>108</v>
      </c>
      <c r="B84" s="1" t="s">
        <v>221</v>
      </c>
      <c r="C84" s="2">
        <v>6</v>
      </c>
      <c r="D84" s="12">
        <v>58</v>
      </c>
      <c r="E84" s="12">
        <v>7</v>
      </c>
      <c r="F84" s="63">
        <v>7.0000000000000007E-2</v>
      </c>
      <c r="G84" s="63">
        <v>0.4</v>
      </c>
      <c r="H84" s="63">
        <v>0.53</v>
      </c>
      <c r="I84" s="63">
        <v>0</v>
      </c>
      <c r="J84" s="63">
        <v>0.47</v>
      </c>
      <c r="K84" s="63">
        <v>0.39</v>
      </c>
      <c r="L84" s="63">
        <v>0.5</v>
      </c>
      <c r="M84" s="63">
        <v>0.32</v>
      </c>
      <c r="N84" s="63">
        <v>0.33</v>
      </c>
      <c r="O84" s="63">
        <v>0.53</v>
      </c>
      <c r="P84" s="12">
        <v>48</v>
      </c>
      <c r="Q84" s="12">
        <v>8</v>
      </c>
      <c r="R84" s="61">
        <v>0.12</v>
      </c>
      <c r="S84" s="61">
        <v>0.71</v>
      </c>
      <c r="T84" s="61">
        <v>0.18</v>
      </c>
      <c r="U84" s="61">
        <v>0</v>
      </c>
      <c r="V84" s="61">
        <v>0.42</v>
      </c>
      <c r="W84" s="61">
        <v>0.59</v>
      </c>
      <c r="X84" s="61">
        <v>0.62</v>
      </c>
      <c r="Y84" s="61">
        <v>0.51</v>
      </c>
      <c r="Z84" s="61">
        <v>0.49</v>
      </c>
      <c r="AA84" s="61">
        <v>0.56999999999999995</v>
      </c>
      <c r="AB84" s="12">
        <v>52</v>
      </c>
      <c r="AC84" s="12">
        <v>10</v>
      </c>
      <c r="AD84" s="63">
        <v>0.18</v>
      </c>
      <c r="AE84" s="63">
        <v>0.45</v>
      </c>
      <c r="AF84" s="63">
        <v>0.36</v>
      </c>
      <c r="AG84" s="63">
        <v>0</v>
      </c>
      <c r="AH84" s="63">
        <v>0.36</v>
      </c>
      <c r="AI84" s="63">
        <v>0.49</v>
      </c>
      <c r="AJ84" s="63">
        <v>0.34</v>
      </c>
      <c r="AK84" s="63">
        <v>0.44</v>
      </c>
      <c r="AL84" s="63">
        <v>0.5</v>
      </c>
      <c r="AM84" s="63">
        <v>0.47</v>
      </c>
      <c r="AN84" s="12">
        <v>53</v>
      </c>
      <c r="AO84" s="12">
        <v>9</v>
      </c>
      <c r="AP84" s="63">
        <v>0.13</v>
      </c>
      <c r="AQ84" s="63">
        <v>0.38</v>
      </c>
      <c r="AR84" s="63">
        <v>0.5</v>
      </c>
      <c r="AS84" s="63">
        <v>0</v>
      </c>
      <c r="AT84" s="63">
        <v>0.4</v>
      </c>
      <c r="AU84" s="63">
        <v>0.33</v>
      </c>
      <c r="AV84" s="63">
        <v>0.37</v>
      </c>
      <c r="AW84" s="63">
        <v>0.38</v>
      </c>
      <c r="AX84" s="63">
        <v>0.43</v>
      </c>
      <c r="AY84" s="63">
        <v>0.4</v>
      </c>
      <c r="AZ84" s="35">
        <v>51</v>
      </c>
      <c r="BA84" s="35">
        <v>12</v>
      </c>
      <c r="BB84" s="40">
        <v>0.16</v>
      </c>
      <c r="BC84" s="40">
        <v>0.47</v>
      </c>
      <c r="BD84" s="40">
        <v>0.32</v>
      </c>
      <c r="BE84" s="40">
        <v>0.05</v>
      </c>
      <c r="BF84" s="40">
        <v>0.48</v>
      </c>
      <c r="BG84" s="40">
        <v>0.42</v>
      </c>
      <c r="BH84" s="40">
        <v>0.47</v>
      </c>
      <c r="BI84" s="40">
        <v>0.56000000000000005</v>
      </c>
      <c r="BJ84" s="40">
        <v>0.38</v>
      </c>
      <c r="BK84" s="40">
        <v>0.39</v>
      </c>
      <c r="BL84" s="247">
        <v>50</v>
      </c>
      <c r="BM84" s="247" t="s">
        <v>874</v>
      </c>
      <c r="BN84" s="247">
        <v>12</v>
      </c>
      <c r="BO84" s="247" t="s">
        <v>874</v>
      </c>
      <c r="BP84" s="264">
        <v>0.15</v>
      </c>
      <c r="BQ84" s="264">
        <v>0.62</v>
      </c>
      <c r="BR84" s="264">
        <v>0.15</v>
      </c>
      <c r="BS84" s="264">
        <v>0.08</v>
      </c>
      <c r="BT84" s="264">
        <v>0.48</v>
      </c>
      <c r="BU84" s="264">
        <v>0.43</v>
      </c>
      <c r="BV84" s="264">
        <v>0.6</v>
      </c>
      <c r="BW84" s="264">
        <v>0.46</v>
      </c>
      <c r="BX84" s="264">
        <v>0.47</v>
      </c>
      <c r="BY84" s="264">
        <v>0.51</v>
      </c>
      <c r="BZ84" s="311">
        <v>48</v>
      </c>
      <c r="CA84" s="311" t="s">
        <v>874</v>
      </c>
      <c r="CB84" s="311">
        <v>10</v>
      </c>
      <c r="CC84" s="311" t="s">
        <v>874</v>
      </c>
      <c r="CD84" s="329">
        <v>0.3</v>
      </c>
      <c r="CE84" s="329">
        <v>0.5</v>
      </c>
      <c r="CF84" s="329">
        <v>0.2</v>
      </c>
      <c r="CG84" s="329">
        <v>0</v>
      </c>
      <c r="CH84" s="329">
        <v>0.67</v>
      </c>
      <c r="CI84" s="329">
        <v>0.64</v>
      </c>
      <c r="CJ84" s="329">
        <v>0.67</v>
      </c>
      <c r="CK84" s="329">
        <v>0.52</v>
      </c>
      <c r="CL84" s="329">
        <v>0.62</v>
      </c>
      <c r="CM84" s="329">
        <v>0.56000000000000005</v>
      </c>
      <c r="CN84" s="426">
        <v>59</v>
      </c>
      <c r="CO84" s="426" t="s">
        <v>875</v>
      </c>
      <c r="CP84" s="426">
        <v>9</v>
      </c>
      <c r="CQ84" s="426" t="s">
        <v>874</v>
      </c>
      <c r="CR84" s="430">
        <v>0.11</v>
      </c>
      <c r="CS84" s="430">
        <v>0.22</v>
      </c>
      <c r="CT84" s="430">
        <v>0.67</v>
      </c>
      <c r="CU84" s="430">
        <v>0</v>
      </c>
      <c r="CV84" s="430">
        <v>0.39</v>
      </c>
      <c r="CW84" s="430">
        <v>0.19</v>
      </c>
      <c r="CX84" s="430">
        <v>0.45</v>
      </c>
      <c r="CY84" s="430">
        <v>1</v>
      </c>
      <c r="CZ84" s="527">
        <v>0.5</v>
      </c>
      <c r="DA84" s="527">
        <v>0.5</v>
      </c>
      <c r="DB84" s="619"/>
      <c r="DC84" s="619"/>
      <c r="DD84" s="619"/>
      <c r="DE84" s="619"/>
      <c r="DF84" s="664"/>
      <c r="DG84" s="664"/>
      <c r="DH84" s="664"/>
      <c r="DI84" s="664"/>
      <c r="DJ84" s="664"/>
      <c r="DK84" s="664"/>
      <c r="DL84" s="664"/>
      <c r="DM84" s="664"/>
      <c r="DN84" s="664"/>
      <c r="DO84" s="664"/>
    </row>
    <row r="85" spans="1:119" ht="24.95" customHeight="1" x14ac:dyDescent="0.2">
      <c r="A85" s="815" t="s">
        <v>1081</v>
      </c>
      <c r="B85" s="1" t="s">
        <v>221</v>
      </c>
      <c r="C85" s="311">
        <v>5</v>
      </c>
      <c r="D85" s="330"/>
      <c r="E85" s="330"/>
      <c r="F85" s="330"/>
      <c r="G85" s="330"/>
      <c r="H85" s="330"/>
      <c r="I85" s="330"/>
      <c r="J85" s="330"/>
      <c r="K85" s="330"/>
      <c r="L85" s="330"/>
      <c r="M85" s="330"/>
      <c r="N85" s="330"/>
      <c r="O85" s="330"/>
      <c r="P85" s="330"/>
      <c r="Q85" s="330"/>
      <c r="R85" s="332"/>
      <c r="S85" s="332"/>
      <c r="T85" s="332"/>
      <c r="U85" s="332"/>
      <c r="V85" s="332"/>
      <c r="W85" s="332"/>
      <c r="X85" s="332"/>
      <c r="Y85" s="332"/>
      <c r="Z85" s="332"/>
      <c r="AA85" s="332"/>
      <c r="AB85" s="330"/>
      <c r="AC85" s="330"/>
      <c r="AD85" s="311"/>
      <c r="AE85" s="311"/>
      <c r="AF85" s="311"/>
      <c r="AG85" s="311"/>
      <c r="AH85" s="311"/>
      <c r="AI85" s="311"/>
      <c r="AJ85" s="311"/>
      <c r="AK85" s="311"/>
      <c r="AL85" s="311"/>
      <c r="AM85" s="311"/>
      <c r="AN85" s="330"/>
      <c r="AO85" s="330"/>
      <c r="AP85" s="311"/>
      <c r="AQ85" s="311"/>
      <c r="AR85" s="311"/>
      <c r="AS85" s="311"/>
      <c r="AT85" s="311"/>
      <c r="AU85" s="311"/>
      <c r="AV85" s="311"/>
      <c r="AW85" s="311"/>
      <c r="AX85" s="311"/>
      <c r="AY85" s="311"/>
      <c r="AZ85" s="313"/>
      <c r="BA85" s="313"/>
      <c r="BB85" s="333"/>
      <c r="BC85" s="333"/>
      <c r="BD85" s="333"/>
      <c r="BE85" s="333"/>
      <c r="BF85" s="333"/>
      <c r="BG85" s="333"/>
      <c r="BH85" s="333"/>
      <c r="BI85" s="333"/>
      <c r="BJ85" s="333"/>
      <c r="BK85" s="333"/>
      <c r="BL85" s="314"/>
      <c r="BM85" s="314"/>
      <c r="BN85" s="314"/>
      <c r="BO85" s="314"/>
      <c r="BP85" s="334"/>
      <c r="BQ85" s="334"/>
      <c r="BR85" s="334"/>
      <c r="BS85" s="334"/>
      <c r="BT85" s="334"/>
      <c r="BU85" s="334"/>
      <c r="BV85" s="334"/>
      <c r="BW85" s="334"/>
      <c r="BX85" s="334"/>
      <c r="BY85" s="334"/>
      <c r="BZ85" s="311"/>
      <c r="CA85" s="311"/>
      <c r="CB85" s="311"/>
      <c r="CC85" s="311"/>
      <c r="CD85" s="329"/>
      <c r="CE85" s="329"/>
      <c r="CF85" s="329"/>
      <c r="CG85" s="329"/>
      <c r="CH85" s="329"/>
      <c r="CI85" s="329"/>
      <c r="CJ85" s="329"/>
      <c r="CK85" s="329"/>
      <c r="CL85" s="329"/>
      <c r="CM85" s="329"/>
      <c r="CN85" s="426"/>
      <c r="CO85" s="426"/>
      <c r="CP85" s="426"/>
      <c r="CQ85" s="426"/>
      <c r="CR85" s="430"/>
      <c r="CS85" s="430"/>
      <c r="CT85" s="430"/>
      <c r="CU85" s="430"/>
      <c r="CV85" s="430"/>
      <c r="CW85" s="430"/>
      <c r="CX85" s="430"/>
      <c r="CY85" s="426"/>
      <c r="CZ85" s="527"/>
      <c r="DA85" s="527"/>
      <c r="DB85" s="528">
        <v>41</v>
      </c>
      <c r="DC85" s="528" t="s">
        <v>876</v>
      </c>
      <c r="DD85" s="528">
        <v>14</v>
      </c>
      <c r="DE85" s="528" t="s">
        <v>874</v>
      </c>
      <c r="DF85" s="529">
        <v>0.67</v>
      </c>
      <c r="DG85" s="529">
        <v>0</v>
      </c>
      <c r="DH85" s="529">
        <v>0.33</v>
      </c>
      <c r="DI85" s="529">
        <v>0</v>
      </c>
      <c r="DJ85" s="529">
        <v>0.25</v>
      </c>
      <c r="DK85" s="529">
        <v>0.46</v>
      </c>
      <c r="DL85" s="529">
        <v>0.83</v>
      </c>
      <c r="DM85" s="529">
        <v>0.67</v>
      </c>
      <c r="DN85" s="529">
        <v>0.75</v>
      </c>
      <c r="DO85" s="529">
        <v>0.55000000000000004</v>
      </c>
    </row>
    <row r="86" spans="1:119" ht="24.95" customHeight="1" x14ac:dyDescent="0.2">
      <c r="A86" s="814" t="s">
        <v>38</v>
      </c>
      <c r="B86" s="1" t="s">
        <v>221</v>
      </c>
      <c r="C86" s="2">
        <v>6</v>
      </c>
      <c r="D86" s="12">
        <v>56</v>
      </c>
      <c r="E86" s="12">
        <v>8</v>
      </c>
      <c r="F86" s="63">
        <v>0.03</v>
      </c>
      <c r="G86" s="63">
        <v>0.51</v>
      </c>
      <c r="H86" s="63">
        <v>0.41</v>
      </c>
      <c r="I86" s="63">
        <v>0.05</v>
      </c>
      <c r="J86" s="63">
        <v>0.46</v>
      </c>
      <c r="K86" s="63">
        <v>0.39</v>
      </c>
      <c r="L86" s="63">
        <v>0.45</v>
      </c>
      <c r="M86" s="63">
        <v>0.34</v>
      </c>
      <c r="N86" s="63">
        <v>0.37</v>
      </c>
      <c r="O86" s="63">
        <v>0.48</v>
      </c>
      <c r="P86" s="12">
        <v>48</v>
      </c>
      <c r="Q86" s="12">
        <v>12</v>
      </c>
      <c r="R86" s="61">
        <v>0.26</v>
      </c>
      <c r="S86" s="61">
        <v>0.48</v>
      </c>
      <c r="T86" s="61">
        <v>0.26</v>
      </c>
      <c r="U86" s="61">
        <v>0</v>
      </c>
      <c r="V86" s="61">
        <v>0.46</v>
      </c>
      <c r="W86" s="61">
        <v>0.52</v>
      </c>
      <c r="X86" s="61">
        <v>0.57999999999999996</v>
      </c>
      <c r="Y86" s="61">
        <v>0.51</v>
      </c>
      <c r="Z86" s="61">
        <v>0.5</v>
      </c>
      <c r="AA86" s="61">
        <v>0.56999999999999995</v>
      </c>
      <c r="AB86" s="12">
        <v>50</v>
      </c>
      <c r="AC86" s="12">
        <v>10</v>
      </c>
      <c r="AD86" s="63">
        <v>0.21</v>
      </c>
      <c r="AE86" s="63">
        <v>0.53</v>
      </c>
      <c r="AF86" s="63">
        <v>0.23</v>
      </c>
      <c r="AG86" s="63">
        <v>0.02</v>
      </c>
      <c r="AH86" s="63">
        <v>0.41</v>
      </c>
      <c r="AI86" s="63">
        <v>0.46</v>
      </c>
      <c r="AJ86" s="63">
        <v>0.41</v>
      </c>
      <c r="AK86" s="63">
        <v>0.51</v>
      </c>
      <c r="AL86" s="63">
        <v>0.53</v>
      </c>
      <c r="AM86" s="63">
        <v>0.49</v>
      </c>
      <c r="AN86" s="12">
        <v>50</v>
      </c>
      <c r="AO86" s="12">
        <v>11</v>
      </c>
      <c r="AP86" s="63">
        <v>0.23</v>
      </c>
      <c r="AQ86" s="63">
        <v>0.46</v>
      </c>
      <c r="AR86" s="63">
        <v>0.28999999999999998</v>
      </c>
      <c r="AS86" s="63">
        <v>0.02</v>
      </c>
      <c r="AT86" s="63">
        <v>0.49</v>
      </c>
      <c r="AU86" s="63">
        <v>0.48</v>
      </c>
      <c r="AV86" s="63">
        <v>0.43</v>
      </c>
      <c r="AW86" s="63">
        <v>0.46</v>
      </c>
      <c r="AX86" s="63">
        <v>0.46</v>
      </c>
      <c r="AY86" s="63">
        <v>0.43</v>
      </c>
      <c r="AZ86" s="35">
        <v>50</v>
      </c>
      <c r="BA86" s="35">
        <v>11</v>
      </c>
      <c r="BB86" s="40">
        <v>0.21</v>
      </c>
      <c r="BC86" s="40">
        <v>0.47</v>
      </c>
      <c r="BD86" s="40">
        <v>0.28000000000000003</v>
      </c>
      <c r="BE86" s="40">
        <v>0.04</v>
      </c>
      <c r="BF86" s="40">
        <v>0.46</v>
      </c>
      <c r="BG86" s="40">
        <v>0.49</v>
      </c>
      <c r="BH86" s="40">
        <v>0.5</v>
      </c>
      <c r="BI86" s="40">
        <v>0.59</v>
      </c>
      <c r="BJ86" s="40">
        <v>0.43</v>
      </c>
      <c r="BK86" s="40">
        <v>0.43</v>
      </c>
      <c r="BL86" s="247">
        <v>46</v>
      </c>
      <c r="BM86" s="247" t="s">
        <v>874</v>
      </c>
      <c r="BN86" s="247">
        <v>12</v>
      </c>
      <c r="BO86" s="247" t="s">
        <v>874</v>
      </c>
      <c r="BP86" s="264">
        <v>0.36</v>
      </c>
      <c r="BQ86" s="264">
        <v>0.41</v>
      </c>
      <c r="BR86" s="264">
        <v>0.23</v>
      </c>
      <c r="BS86" s="264">
        <v>0</v>
      </c>
      <c r="BT86" s="264">
        <v>0.48</v>
      </c>
      <c r="BU86" s="264">
        <v>0.54</v>
      </c>
      <c r="BV86" s="264">
        <v>0.56000000000000005</v>
      </c>
      <c r="BW86" s="264">
        <v>0.46</v>
      </c>
      <c r="BX86" s="264">
        <v>0.49</v>
      </c>
      <c r="BY86" s="264">
        <v>0.57999999999999996</v>
      </c>
      <c r="BZ86" s="311">
        <v>49</v>
      </c>
      <c r="CA86" s="311" t="s">
        <v>874</v>
      </c>
      <c r="CB86" s="311">
        <v>10</v>
      </c>
      <c r="CC86" s="311" t="s">
        <v>874</v>
      </c>
      <c r="CD86" s="329">
        <v>0.26</v>
      </c>
      <c r="CE86" s="329">
        <v>0.46</v>
      </c>
      <c r="CF86" s="329">
        <v>0.28000000000000003</v>
      </c>
      <c r="CG86" s="329">
        <v>0</v>
      </c>
      <c r="CH86" s="329">
        <v>0.48</v>
      </c>
      <c r="CI86" s="329">
        <v>0.4</v>
      </c>
      <c r="CJ86" s="329">
        <v>0.62</v>
      </c>
      <c r="CK86" s="329">
        <v>0.53</v>
      </c>
      <c r="CL86" s="329">
        <v>0.44</v>
      </c>
      <c r="CM86" s="329">
        <v>0.61</v>
      </c>
      <c r="CN86" s="426">
        <v>51</v>
      </c>
      <c r="CO86" s="426" t="s">
        <v>874</v>
      </c>
      <c r="CP86" s="426">
        <v>10</v>
      </c>
      <c r="CQ86" s="426" t="s">
        <v>874</v>
      </c>
      <c r="CR86" s="430">
        <v>0.17</v>
      </c>
      <c r="CS86" s="430">
        <v>0.49</v>
      </c>
      <c r="CT86" s="430">
        <v>0.32</v>
      </c>
      <c r="CU86" s="430">
        <v>0.02</v>
      </c>
      <c r="CV86" s="430">
        <v>0.38</v>
      </c>
      <c r="CW86" s="430">
        <v>0.54</v>
      </c>
      <c r="CX86" s="430">
        <v>0.56000000000000005</v>
      </c>
      <c r="CY86" s="430">
        <v>0.6</v>
      </c>
      <c r="CZ86" s="527">
        <v>0.6</v>
      </c>
      <c r="DA86" s="527">
        <v>0.59</v>
      </c>
      <c r="DB86" s="618">
        <v>49</v>
      </c>
      <c r="DC86" s="618" t="s">
        <v>874</v>
      </c>
      <c r="DD86" s="618">
        <v>10</v>
      </c>
      <c r="DE86" s="618" t="s">
        <v>874</v>
      </c>
      <c r="DF86" s="669">
        <v>0.24</v>
      </c>
      <c r="DG86" s="669">
        <v>0.53</v>
      </c>
      <c r="DH86" s="669">
        <v>0.22</v>
      </c>
      <c r="DI86" s="669">
        <v>0.02</v>
      </c>
      <c r="DJ86" s="669">
        <v>0.54</v>
      </c>
      <c r="DK86" s="669">
        <v>0.64</v>
      </c>
      <c r="DL86" s="669">
        <v>0.51</v>
      </c>
      <c r="DM86" s="669">
        <v>0.73</v>
      </c>
      <c r="DN86" s="669">
        <v>0.53</v>
      </c>
      <c r="DO86" s="669">
        <v>0.33</v>
      </c>
    </row>
    <row r="87" spans="1:119" ht="24.95" customHeight="1" x14ac:dyDescent="0.2">
      <c r="A87" s="814" t="s">
        <v>183</v>
      </c>
      <c r="B87" s="1" t="s">
        <v>221</v>
      </c>
      <c r="C87" s="2">
        <v>3</v>
      </c>
      <c r="D87" s="12">
        <v>52</v>
      </c>
      <c r="E87" s="12">
        <v>11</v>
      </c>
      <c r="F87" s="63">
        <v>0.09</v>
      </c>
      <c r="G87" s="63">
        <v>0.65</v>
      </c>
      <c r="H87" s="63">
        <v>0.22</v>
      </c>
      <c r="I87" s="63">
        <v>0.04</v>
      </c>
      <c r="J87" s="63">
        <v>0.52</v>
      </c>
      <c r="K87" s="63">
        <v>0.5</v>
      </c>
      <c r="L87" s="63">
        <v>0.59</v>
      </c>
      <c r="M87" s="63">
        <v>0.33</v>
      </c>
      <c r="N87" s="63">
        <v>0.4</v>
      </c>
      <c r="O87" s="63">
        <v>0.52</v>
      </c>
      <c r="P87" s="12">
        <v>50</v>
      </c>
      <c r="Q87" s="12">
        <v>10</v>
      </c>
      <c r="R87" s="61">
        <v>0.17</v>
      </c>
      <c r="S87" s="61">
        <v>0.46</v>
      </c>
      <c r="T87" s="61">
        <v>0.38</v>
      </c>
      <c r="U87" s="61">
        <v>0</v>
      </c>
      <c r="V87" s="61">
        <v>0.43</v>
      </c>
      <c r="W87" s="61">
        <v>0.53</v>
      </c>
      <c r="X87" s="61">
        <v>0.6</v>
      </c>
      <c r="Y87" s="61">
        <v>0.49</v>
      </c>
      <c r="Z87" s="61">
        <v>0.41</v>
      </c>
      <c r="AA87" s="61">
        <v>0.54</v>
      </c>
      <c r="AB87" s="12">
        <v>51</v>
      </c>
      <c r="AC87" s="12">
        <v>12</v>
      </c>
      <c r="AD87" s="63">
        <v>0.17</v>
      </c>
      <c r="AE87" s="63">
        <v>0.44</v>
      </c>
      <c r="AF87" s="63">
        <v>0.39</v>
      </c>
      <c r="AG87" s="63">
        <v>0</v>
      </c>
      <c r="AH87" s="63">
        <v>0.43</v>
      </c>
      <c r="AI87" s="63">
        <v>0.43</v>
      </c>
      <c r="AJ87" s="63">
        <v>0.38</v>
      </c>
      <c r="AK87" s="63">
        <v>0.47</v>
      </c>
      <c r="AL87" s="63">
        <v>0.61</v>
      </c>
      <c r="AM87" s="63">
        <v>0.45</v>
      </c>
      <c r="AN87" s="12">
        <v>47</v>
      </c>
      <c r="AO87" s="12">
        <v>10</v>
      </c>
      <c r="AP87" s="63">
        <v>0.33</v>
      </c>
      <c r="AQ87" s="63">
        <v>0.39</v>
      </c>
      <c r="AR87" s="63">
        <v>0.28000000000000003</v>
      </c>
      <c r="AS87" s="63">
        <v>0</v>
      </c>
      <c r="AT87" s="63">
        <v>0.6</v>
      </c>
      <c r="AU87" s="63">
        <v>0.47</v>
      </c>
      <c r="AV87" s="63">
        <v>0.49</v>
      </c>
      <c r="AW87" s="63">
        <v>0.55000000000000004</v>
      </c>
      <c r="AX87" s="63">
        <v>0.39</v>
      </c>
      <c r="AY87" s="63">
        <v>0.5</v>
      </c>
      <c r="AZ87" s="35">
        <v>56</v>
      </c>
      <c r="BA87" s="35">
        <v>14</v>
      </c>
      <c r="BB87" s="40">
        <v>0.1</v>
      </c>
      <c r="BC87" s="40">
        <v>0.45</v>
      </c>
      <c r="BD87" s="40">
        <v>0.35</v>
      </c>
      <c r="BE87" s="40">
        <v>0.1</v>
      </c>
      <c r="BF87" s="40">
        <v>0.33</v>
      </c>
      <c r="BG87" s="40">
        <v>0.37</v>
      </c>
      <c r="BH87" s="40">
        <v>0.37</v>
      </c>
      <c r="BI87" s="40">
        <v>0.45</v>
      </c>
      <c r="BJ87" s="40">
        <v>0.31</v>
      </c>
      <c r="BK87" s="40">
        <v>0.38</v>
      </c>
      <c r="BL87" s="247">
        <v>47</v>
      </c>
      <c r="BM87" s="247" t="s">
        <v>874</v>
      </c>
      <c r="BN87" s="247">
        <v>7</v>
      </c>
      <c r="BO87" s="247" t="s">
        <v>876</v>
      </c>
      <c r="BP87" s="264">
        <v>0.22</v>
      </c>
      <c r="BQ87" s="264">
        <v>0.63</v>
      </c>
      <c r="BR87" s="264">
        <v>0.16</v>
      </c>
      <c r="BS87" s="264">
        <v>0</v>
      </c>
      <c r="BT87" s="264">
        <v>0.4</v>
      </c>
      <c r="BU87" s="264">
        <v>0.52</v>
      </c>
      <c r="BV87" s="264">
        <v>0.57999999999999996</v>
      </c>
      <c r="BW87" s="264">
        <v>0.44</v>
      </c>
      <c r="BX87" s="264">
        <v>0.5</v>
      </c>
      <c r="BY87" s="264">
        <v>0.6</v>
      </c>
      <c r="BZ87" s="311">
        <v>49</v>
      </c>
      <c r="CA87" s="311" t="s">
        <v>874</v>
      </c>
      <c r="CB87" s="311">
        <v>11</v>
      </c>
      <c r="CC87" s="311" t="s">
        <v>874</v>
      </c>
      <c r="CD87" s="329">
        <v>0.25</v>
      </c>
      <c r="CE87" s="329">
        <v>0.56000000000000005</v>
      </c>
      <c r="CF87" s="329">
        <v>0.19</v>
      </c>
      <c r="CG87" s="329">
        <v>0</v>
      </c>
      <c r="CH87" s="329">
        <v>0.5</v>
      </c>
      <c r="CI87" s="329">
        <v>0.27</v>
      </c>
      <c r="CJ87" s="329">
        <v>0.57999999999999996</v>
      </c>
      <c r="CK87" s="329">
        <v>0.62</v>
      </c>
      <c r="CL87" s="329">
        <v>0.45</v>
      </c>
      <c r="CM87" s="329">
        <v>0.65</v>
      </c>
      <c r="CN87" s="426">
        <v>51</v>
      </c>
      <c r="CO87" s="426" t="s">
        <v>874</v>
      </c>
      <c r="CP87" s="426">
        <v>11</v>
      </c>
      <c r="CQ87" s="426" t="s">
        <v>874</v>
      </c>
      <c r="CR87" s="430">
        <v>0.15</v>
      </c>
      <c r="CS87" s="430">
        <v>0.38</v>
      </c>
      <c r="CT87" s="430">
        <v>0.46</v>
      </c>
      <c r="CU87" s="430">
        <v>0</v>
      </c>
      <c r="CV87" s="430">
        <v>0.39</v>
      </c>
      <c r="CW87" s="430">
        <v>0.46</v>
      </c>
      <c r="CX87" s="430">
        <v>0.59</v>
      </c>
      <c r="CY87" s="430">
        <v>0.5</v>
      </c>
      <c r="CZ87" s="527">
        <v>0.63</v>
      </c>
      <c r="DA87" s="527">
        <v>0.63</v>
      </c>
      <c r="DB87" s="528">
        <v>46</v>
      </c>
      <c r="DC87" s="528" t="s">
        <v>874</v>
      </c>
      <c r="DD87" s="528">
        <v>11</v>
      </c>
      <c r="DE87" s="528" t="s">
        <v>874</v>
      </c>
      <c r="DF87" s="529">
        <v>0.38</v>
      </c>
      <c r="DG87" s="529">
        <v>0.38</v>
      </c>
      <c r="DH87" s="529">
        <v>0.24</v>
      </c>
      <c r="DI87" s="529">
        <v>0</v>
      </c>
      <c r="DJ87" s="529">
        <v>0.6</v>
      </c>
      <c r="DK87" s="529">
        <v>0.44</v>
      </c>
      <c r="DL87" s="529">
        <v>0.53</v>
      </c>
      <c r="DM87" s="529">
        <v>0.75</v>
      </c>
      <c r="DN87" s="529">
        <v>0.61</v>
      </c>
      <c r="DO87" s="529">
        <v>0.44</v>
      </c>
    </row>
    <row r="88" spans="1:119" ht="24.95" customHeight="1" x14ac:dyDescent="0.2">
      <c r="A88" s="814" t="s">
        <v>110</v>
      </c>
      <c r="B88" s="1" t="s">
        <v>221</v>
      </c>
      <c r="C88" s="2">
        <v>2</v>
      </c>
      <c r="D88" s="12">
        <v>58</v>
      </c>
      <c r="E88" s="12">
        <v>8</v>
      </c>
      <c r="F88" s="63">
        <v>0</v>
      </c>
      <c r="G88" s="63">
        <v>0.39</v>
      </c>
      <c r="H88" s="63">
        <v>0.55000000000000004</v>
      </c>
      <c r="I88" s="63">
        <v>0.06</v>
      </c>
      <c r="J88" s="63">
        <v>0.41</v>
      </c>
      <c r="K88" s="63">
        <v>0.33</v>
      </c>
      <c r="L88" s="63">
        <v>0.45</v>
      </c>
      <c r="M88" s="63">
        <v>0.27</v>
      </c>
      <c r="N88" s="63">
        <v>0.36</v>
      </c>
      <c r="O88" s="63">
        <v>0.41</v>
      </c>
      <c r="P88" s="12">
        <v>56</v>
      </c>
      <c r="Q88" s="12">
        <v>8</v>
      </c>
      <c r="R88" s="61">
        <v>0.04</v>
      </c>
      <c r="S88" s="61">
        <v>0.47</v>
      </c>
      <c r="T88" s="61">
        <v>0.47</v>
      </c>
      <c r="U88" s="61">
        <v>0.03</v>
      </c>
      <c r="V88" s="61">
        <v>0.33</v>
      </c>
      <c r="W88" s="61">
        <v>0.39</v>
      </c>
      <c r="X88" s="61">
        <v>0.49</v>
      </c>
      <c r="Y88" s="61">
        <v>0.35</v>
      </c>
      <c r="Z88" s="61">
        <v>0.36</v>
      </c>
      <c r="AA88" s="61">
        <v>0.39</v>
      </c>
      <c r="AB88" s="12">
        <v>58</v>
      </c>
      <c r="AC88" s="12">
        <v>8</v>
      </c>
      <c r="AD88" s="63">
        <v>0.04</v>
      </c>
      <c r="AE88" s="63">
        <v>0.31</v>
      </c>
      <c r="AF88" s="63">
        <v>0.59</v>
      </c>
      <c r="AG88" s="63">
        <v>0.06</v>
      </c>
      <c r="AH88" s="63">
        <v>0.27</v>
      </c>
      <c r="AI88" s="63">
        <v>0.26</v>
      </c>
      <c r="AJ88" s="63">
        <v>0.28999999999999998</v>
      </c>
      <c r="AK88" s="63">
        <v>0.38</v>
      </c>
      <c r="AL88" s="63">
        <v>0.36</v>
      </c>
      <c r="AM88" s="63">
        <v>0.39</v>
      </c>
      <c r="AN88" s="12">
        <v>58</v>
      </c>
      <c r="AO88" s="12">
        <v>7</v>
      </c>
      <c r="AP88" s="63">
        <v>0</v>
      </c>
      <c r="AQ88" s="63">
        <v>0.35</v>
      </c>
      <c r="AR88" s="63">
        <v>0.63</v>
      </c>
      <c r="AS88" s="63">
        <v>0.03</v>
      </c>
      <c r="AT88" s="63">
        <v>0.33</v>
      </c>
      <c r="AU88" s="63">
        <v>0.28000000000000003</v>
      </c>
      <c r="AV88" s="63">
        <v>0.28999999999999998</v>
      </c>
      <c r="AW88" s="63">
        <v>0.33</v>
      </c>
      <c r="AX88" s="63">
        <v>0.27</v>
      </c>
      <c r="AY88" s="63">
        <v>0.3</v>
      </c>
      <c r="AZ88" s="35">
        <v>60</v>
      </c>
      <c r="BA88" s="35">
        <v>9</v>
      </c>
      <c r="BB88" s="40">
        <v>0.02</v>
      </c>
      <c r="BC88" s="40">
        <v>0.31</v>
      </c>
      <c r="BD88" s="40">
        <v>0.52</v>
      </c>
      <c r="BE88" s="40">
        <v>0.14000000000000001</v>
      </c>
      <c r="BF88" s="40">
        <v>0.28999999999999998</v>
      </c>
      <c r="BG88" s="40">
        <v>0.31</v>
      </c>
      <c r="BH88" s="40">
        <v>0.28999999999999998</v>
      </c>
      <c r="BI88" s="40">
        <v>0.39</v>
      </c>
      <c r="BJ88" s="40">
        <v>0.27</v>
      </c>
      <c r="BK88" s="40">
        <v>0.22</v>
      </c>
      <c r="BL88" s="247">
        <v>57</v>
      </c>
      <c r="BM88" s="247" t="s">
        <v>875</v>
      </c>
      <c r="BN88" s="247">
        <v>9</v>
      </c>
      <c r="BO88" s="247" t="s">
        <v>874</v>
      </c>
      <c r="BP88" s="264">
        <v>0.05</v>
      </c>
      <c r="BQ88" s="264">
        <v>0.32</v>
      </c>
      <c r="BR88" s="264">
        <v>0.55000000000000004</v>
      </c>
      <c r="BS88" s="264">
        <v>0.08</v>
      </c>
      <c r="BT88" s="264">
        <v>0.28999999999999998</v>
      </c>
      <c r="BU88" s="264">
        <v>0.33</v>
      </c>
      <c r="BV88" s="264">
        <v>0.33</v>
      </c>
      <c r="BW88" s="264">
        <v>0.32</v>
      </c>
      <c r="BX88" s="264">
        <v>0.35</v>
      </c>
      <c r="BY88" s="264">
        <v>0.38</v>
      </c>
      <c r="BZ88" s="311">
        <v>61</v>
      </c>
      <c r="CA88" s="311" t="s">
        <v>875</v>
      </c>
      <c r="CB88" s="311">
        <v>9</v>
      </c>
      <c r="CC88" s="311" t="s">
        <v>874</v>
      </c>
      <c r="CD88" s="329">
        <v>0.04</v>
      </c>
      <c r="CE88" s="329">
        <v>0.26</v>
      </c>
      <c r="CF88" s="329">
        <v>0.56999999999999995</v>
      </c>
      <c r="CG88" s="329">
        <v>0.13</v>
      </c>
      <c r="CH88" s="329">
        <v>0.44</v>
      </c>
      <c r="CI88" s="329">
        <v>0.19</v>
      </c>
      <c r="CJ88" s="329">
        <v>0.38</v>
      </c>
      <c r="CK88" s="329">
        <v>0.39</v>
      </c>
      <c r="CL88" s="329">
        <v>0.47</v>
      </c>
      <c r="CM88" s="329">
        <v>0.49</v>
      </c>
      <c r="CN88" s="426">
        <v>63</v>
      </c>
      <c r="CO88" s="426" t="s">
        <v>875</v>
      </c>
      <c r="CP88" s="426">
        <v>9</v>
      </c>
      <c r="CQ88" s="426" t="s">
        <v>874</v>
      </c>
      <c r="CR88" s="430">
        <v>0</v>
      </c>
      <c r="CS88" s="430">
        <v>0.24</v>
      </c>
      <c r="CT88" s="430">
        <v>0.59</v>
      </c>
      <c r="CU88" s="430">
        <v>0.18</v>
      </c>
      <c r="CV88" s="430">
        <v>0.24</v>
      </c>
      <c r="CW88" s="430">
        <v>0.27</v>
      </c>
      <c r="CX88" s="430">
        <v>0.34</v>
      </c>
      <c r="CY88" s="430">
        <v>0.67</v>
      </c>
      <c r="CZ88" s="527">
        <v>0.39</v>
      </c>
      <c r="DA88" s="527">
        <v>0.18</v>
      </c>
      <c r="DB88" s="528">
        <v>61</v>
      </c>
      <c r="DC88" s="528" t="s">
        <v>875</v>
      </c>
      <c r="DD88" s="528">
        <v>10</v>
      </c>
      <c r="DE88" s="528" t="s">
        <v>874</v>
      </c>
      <c r="DF88" s="529">
        <v>0</v>
      </c>
      <c r="DG88" s="529">
        <v>0.32</v>
      </c>
      <c r="DH88" s="529">
        <v>0.46</v>
      </c>
      <c r="DI88" s="529">
        <v>0.21</v>
      </c>
      <c r="DJ88" s="529">
        <v>0.26</v>
      </c>
      <c r="DK88" s="529">
        <v>0.22</v>
      </c>
      <c r="DL88" s="529">
        <v>0.27</v>
      </c>
      <c r="DM88" s="529">
        <v>0.41</v>
      </c>
      <c r="DN88" s="529">
        <v>0.3</v>
      </c>
      <c r="DO88" s="529">
        <v>0.14000000000000001</v>
      </c>
    </row>
    <row r="89" spans="1:119" ht="24.95" customHeight="1" x14ac:dyDescent="0.2">
      <c r="A89" s="814" t="s">
        <v>926</v>
      </c>
      <c r="B89" s="14" t="s">
        <v>221</v>
      </c>
      <c r="C89" s="2">
        <v>6</v>
      </c>
      <c r="D89" s="12"/>
      <c r="E89" s="12"/>
      <c r="F89" s="63"/>
      <c r="G89" s="63"/>
      <c r="H89" s="63"/>
      <c r="I89" s="63"/>
      <c r="J89" s="63"/>
      <c r="K89" s="63"/>
      <c r="L89" s="63"/>
      <c r="M89" s="63"/>
      <c r="N89" s="63"/>
      <c r="O89" s="63"/>
      <c r="P89" s="12"/>
      <c r="Q89" s="12"/>
      <c r="R89" s="61"/>
      <c r="S89" s="61"/>
      <c r="T89" s="61"/>
      <c r="U89" s="61"/>
      <c r="V89" s="61"/>
      <c r="W89" s="61"/>
      <c r="X89" s="61"/>
      <c r="Y89" s="61"/>
      <c r="Z89" s="61"/>
      <c r="AA89" s="61"/>
      <c r="AB89" s="12"/>
      <c r="AC89" s="12"/>
      <c r="AD89" s="63"/>
      <c r="AE89" s="63"/>
      <c r="AF89" s="63"/>
      <c r="AG89" s="63"/>
      <c r="AH89" s="63"/>
      <c r="AI89" s="63"/>
      <c r="AJ89" s="63"/>
      <c r="AK89" s="63"/>
      <c r="AL89" s="63"/>
      <c r="AM89" s="63"/>
      <c r="AN89" s="12"/>
      <c r="AO89" s="12"/>
      <c r="AP89" s="63"/>
      <c r="AQ89" s="63"/>
      <c r="AR89" s="63"/>
      <c r="AS89" s="63"/>
      <c r="AT89" s="63"/>
      <c r="AU89" s="63"/>
      <c r="AV89" s="63"/>
      <c r="AW89" s="63"/>
      <c r="AX89" s="63"/>
      <c r="AY89" s="63"/>
      <c r="AZ89" s="35"/>
      <c r="BA89" s="35"/>
      <c r="BB89" s="40"/>
      <c r="BC89" s="40"/>
      <c r="BD89" s="40"/>
      <c r="BE89" s="40"/>
      <c r="BF89" s="40"/>
      <c r="BG89" s="40"/>
      <c r="BH89" s="40"/>
      <c r="BI89" s="40"/>
      <c r="BJ89" s="40"/>
      <c r="BK89" s="40"/>
      <c r="BL89" s="247"/>
      <c r="BM89" s="247"/>
      <c r="BN89" s="247"/>
      <c r="BO89" s="247"/>
      <c r="BP89" s="264"/>
      <c r="BQ89" s="264"/>
      <c r="BR89" s="264"/>
      <c r="BS89" s="264"/>
      <c r="BT89" s="264"/>
      <c r="BU89" s="264"/>
      <c r="BV89" s="264"/>
      <c r="BW89" s="264"/>
      <c r="BX89" s="264"/>
      <c r="BY89" s="264"/>
      <c r="BZ89" s="311">
        <v>44</v>
      </c>
      <c r="CA89" s="311" t="s">
        <v>874</v>
      </c>
      <c r="CB89" s="311">
        <v>9</v>
      </c>
      <c r="CC89" s="311" t="s">
        <v>874</v>
      </c>
      <c r="CD89" s="329">
        <v>0.53</v>
      </c>
      <c r="CE89" s="329">
        <v>0.35</v>
      </c>
      <c r="CF89" s="329">
        <v>0.12</v>
      </c>
      <c r="CG89" s="329">
        <v>0</v>
      </c>
      <c r="CH89" s="329">
        <v>0.56000000000000005</v>
      </c>
      <c r="CI89" s="329">
        <v>0.52</v>
      </c>
      <c r="CJ89" s="329">
        <v>0.67</v>
      </c>
      <c r="CK89" s="329">
        <v>0.65</v>
      </c>
      <c r="CL89" s="329">
        <v>0.56999999999999995</v>
      </c>
      <c r="CM89" s="329">
        <v>0.53</v>
      </c>
      <c r="CN89" s="426">
        <v>48</v>
      </c>
      <c r="CO89" s="426" t="s">
        <v>874</v>
      </c>
      <c r="CP89" s="426">
        <v>0</v>
      </c>
      <c r="CQ89" s="426" t="s">
        <v>876</v>
      </c>
      <c r="CR89" s="430">
        <v>0</v>
      </c>
      <c r="CS89" s="430">
        <v>1</v>
      </c>
      <c r="CT89" s="430">
        <v>0</v>
      </c>
      <c r="CU89" s="430">
        <v>0</v>
      </c>
      <c r="CV89" s="430">
        <v>0.33</v>
      </c>
      <c r="CW89" s="430">
        <v>0.8</v>
      </c>
      <c r="CX89" s="430">
        <v>0.17</v>
      </c>
      <c r="CY89" s="430">
        <v>1</v>
      </c>
      <c r="CZ89" s="527">
        <v>1</v>
      </c>
      <c r="DA89" s="527">
        <v>1</v>
      </c>
      <c r="DB89" s="619"/>
      <c r="DC89" s="619"/>
      <c r="DD89" s="619"/>
      <c r="DE89" s="619"/>
      <c r="DF89" s="664"/>
      <c r="DG89" s="664"/>
      <c r="DH89" s="664"/>
      <c r="DI89" s="664"/>
      <c r="DJ89" s="664"/>
      <c r="DK89" s="664"/>
      <c r="DL89" s="664"/>
      <c r="DM89" s="664"/>
      <c r="DN89" s="664"/>
      <c r="DO89" s="664"/>
    </row>
    <row r="90" spans="1:119" ht="24.95" customHeight="1" x14ac:dyDescent="0.2">
      <c r="A90" s="819" t="s">
        <v>266</v>
      </c>
      <c r="B90" s="1" t="s">
        <v>221</v>
      </c>
      <c r="C90" s="311">
        <v>3</v>
      </c>
      <c r="D90" s="330"/>
      <c r="E90" s="330"/>
      <c r="F90" s="330"/>
      <c r="G90" s="330"/>
      <c r="H90" s="330"/>
      <c r="I90" s="330"/>
      <c r="J90" s="330"/>
      <c r="K90" s="330"/>
      <c r="L90" s="330"/>
      <c r="M90" s="330"/>
      <c r="N90" s="330"/>
      <c r="O90" s="330"/>
      <c r="P90" s="330" t="s">
        <v>224</v>
      </c>
      <c r="Q90" s="330" t="s">
        <v>224</v>
      </c>
      <c r="R90" s="332"/>
      <c r="S90" s="332"/>
      <c r="T90" s="332"/>
      <c r="U90" s="332"/>
      <c r="V90" s="332"/>
      <c r="W90" s="332"/>
      <c r="X90" s="332"/>
      <c r="Y90" s="332"/>
      <c r="Z90" s="332"/>
      <c r="AA90" s="332"/>
      <c r="AB90" s="330" t="s">
        <v>224</v>
      </c>
      <c r="AC90" s="330" t="s">
        <v>224</v>
      </c>
      <c r="AD90" s="311"/>
      <c r="AE90" s="311"/>
      <c r="AF90" s="311"/>
      <c r="AG90" s="311"/>
      <c r="AH90" s="311"/>
      <c r="AI90" s="311"/>
      <c r="AJ90" s="311"/>
      <c r="AK90" s="311"/>
      <c r="AL90" s="311"/>
      <c r="AM90" s="311"/>
      <c r="AN90" s="330" t="s">
        <v>224</v>
      </c>
      <c r="AO90" s="330" t="s">
        <v>224</v>
      </c>
      <c r="AP90" s="311"/>
      <c r="AQ90" s="311"/>
      <c r="AR90" s="311"/>
      <c r="AS90" s="311"/>
      <c r="AT90" s="311"/>
      <c r="AU90" s="311"/>
      <c r="AV90" s="311"/>
      <c r="AW90" s="311"/>
      <c r="AX90" s="311"/>
      <c r="AY90" s="311"/>
      <c r="AZ90" s="313">
        <v>55</v>
      </c>
      <c r="BA90" s="313">
        <v>9</v>
      </c>
      <c r="BB90" s="333">
        <v>0</v>
      </c>
      <c r="BC90" s="333">
        <v>0.63</v>
      </c>
      <c r="BD90" s="333">
        <v>0.25</v>
      </c>
      <c r="BE90" s="333">
        <v>0.13</v>
      </c>
      <c r="BF90" s="333">
        <v>0.56999999999999995</v>
      </c>
      <c r="BG90" s="333">
        <v>0.31</v>
      </c>
      <c r="BH90" s="333">
        <v>0.38</v>
      </c>
      <c r="BI90" s="333">
        <v>0.46</v>
      </c>
      <c r="BJ90" s="333">
        <v>0.37</v>
      </c>
      <c r="BK90" s="333">
        <v>0.24</v>
      </c>
      <c r="BL90" s="314">
        <v>54</v>
      </c>
      <c r="BM90" s="314" t="s">
        <v>874</v>
      </c>
      <c r="BN90" s="314">
        <v>9</v>
      </c>
      <c r="BO90" s="314" t="s">
        <v>874</v>
      </c>
      <c r="BP90" s="334">
        <v>0</v>
      </c>
      <c r="BQ90" s="334">
        <v>0.56000000000000005</v>
      </c>
      <c r="BR90" s="334">
        <v>0.44</v>
      </c>
      <c r="BS90" s="334">
        <v>0</v>
      </c>
      <c r="BT90" s="334">
        <v>0.43</v>
      </c>
      <c r="BU90" s="334">
        <v>0.31</v>
      </c>
      <c r="BV90" s="334">
        <v>0.54</v>
      </c>
      <c r="BW90" s="334">
        <v>0.35</v>
      </c>
      <c r="BX90" s="334">
        <v>0.31</v>
      </c>
      <c r="BY90" s="334">
        <v>0.47</v>
      </c>
      <c r="BZ90" s="311">
        <v>59</v>
      </c>
      <c r="CA90" s="311" t="s">
        <v>875</v>
      </c>
      <c r="CB90" s="311">
        <v>8</v>
      </c>
      <c r="CC90" s="311" t="s">
        <v>874</v>
      </c>
      <c r="CD90" s="329">
        <v>0</v>
      </c>
      <c r="CE90" s="329">
        <v>0.28000000000000003</v>
      </c>
      <c r="CF90" s="329">
        <v>0.72</v>
      </c>
      <c r="CG90" s="329">
        <v>0</v>
      </c>
      <c r="CH90" s="329">
        <v>0.24</v>
      </c>
      <c r="CI90" s="329">
        <v>0.23</v>
      </c>
      <c r="CJ90" s="329">
        <v>0.46</v>
      </c>
      <c r="CK90" s="329">
        <v>0.42</v>
      </c>
      <c r="CL90" s="329">
        <v>0.23</v>
      </c>
      <c r="CM90" s="329">
        <v>0.37</v>
      </c>
      <c r="CN90" s="426">
        <v>57</v>
      </c>
      <c r="CO90" s="426" t="s">
        <v>874</v>
      </c>
      <c r="CP90" s="426">
        <v>11</v>
      </c>
      <c r="CQ90" s="426" t="s">
        <v>874</v>
      </c>
      <c r="CR90" s="430">
        <v>0.1</v>
      </c>
      <c r="CS90" s="430">
        <v>0.2</v>
      </c>
      <c r="CT90" s="430">
        <v>0.6</v>
      </c>
      <c r="CU90" s="430">
        <v>0.1</v>
      </c>
      <c r="CV90" s="430">
        <v>0.18</v>
      </c>
      <c r="CW90" s="430">
        <v>0.33</v>
      </c>
      <c r="CX90" s="430">
        <v>0.42</v>
      </c>
      <c r="CY90" s="430">
        <v>0</v>
      </c>
      <c r="CZ90" s="527">
        <v>0.6</v>
      </c>
      <c r="DA90" s="527">
        <v>0.46</v>
      </c>
      <c r="DB90" s="618">
        <v>56</v>
      </c>
      <c r="DC90" s="618" t="s">
        <v>874</v>
      </c>
      <c r="DD90" s="618">
        <v>7</v>
      </c>
      <c r="DE90" s="618" t="s">
        <v>876</v>
      </c>
      <c r="DF90" s="669">
        <v>0</v>
      </c>
      <c r="DG90" s="669">
        <v>0.44</v>
      </c>
      <c r="DH90" s="669">
        <v>0.56000000000000005</v>
      </c>
      <c r="DI90" s="669">
        <v>0</v>
      </c>
      <c r="DJ90" s="669">
        <v>0.43</v>
      </c>
      <c r="DK90" s="669">
        <v>0.19</v>
      </c>
      <c r="DL90" s="669">
        <v>0.4</v>
      </c>
      <c r="DM90" s="669">
        <v>0.52</v>
      </c>
      <c r="DN90" s="669">
        <v>0.45</v>
      </c>
      <c r="DO90" s="669">
        <v>0.5</v>
      </c>
    </row>
    <row r="91" spans="1:119" ht="24.95" customHeight="1" x14ac:dyDescent="0.2">
      <c r="A91" s="814" t="s">
        <v>232</v>
      </c>
      <c r="B91" s="1" t="s">
        <v>221</v>
      </c>
      <c r="C91" s="2">
        <v>5</v>
      </c>
      <c r="D91" s="12"/>
      <c r="E91" s="12"/>
      <c r="F91" s="12"/>
      <c r="G91" s="12"/>
      <c r="H91" s="12"/>
      <c r="I91" s="12"/>
      <c r="J91" s="12"/>
      <c r="K91" s="12"/>
      <c r="L91" s="12"/>
      <c r="M91" s="12"/>
      <c r="N91" s="12"/>
      <c r="O91" s="12"/>
      <c r="P91" s="12" t="s">
        <v>224</v>
      </c>
      <c r="Q91" s="12" t="s">
        <v>224</v>
      </c>
      <c r="R91" s="61"/>
      <c r="S91" s="61"/>
      <c r="T91" s="61"/>
      <c r="U91" s="61"/>
      <c r="V91" s="61"/>
      <c r="W91" s="61"/>
      <c r="X91" s="61"/>
      <c r="Y91" s="61"/>
      <c r="Z91" s="61"/>
      <c r="AA91" s="61"/>
      <c r="AB91" s="12" t="s">
        <v>224</v>
      </c>
      <c r="AC91" s="12" t="s">
        <v>224</v>
      </c>
      <c r="AD91" s="2"/>
      <c r="AE91" s="2"/>
      <c r="AF91" s="2"/>
      <c r="AG91" s="2"/>
      <c r="AH91" s="2"/>
      <c r="AI91" s="2"/>
      <c r="AJ91" s="2"/>
      <c r="AK91" s="2"/>
      <c r="AL91" s="2"/>
      <c r="AM91" s="2"/>
      <c r="AN91" s="12">
        <v>45</v>
      </c>
      <c r="AO91" s="12">
        <v>9</v>
      </c>
      <c r="AP91" s="63">
        <v>0.25</v>
      </c>
      <c r="AQ91" s="63">
        <v>0.67</v>
      </c>
      <c r="AR91" s="63">
        <v>0.08</v>
      </c>
      <c r="AS91" s="63">
        <v>0</v>
      </c>
      <c r="AT91" s="63">
        <v>0.51</v>
      </c>
      <c r="AU91" s="63">
        <v>0.46</v>
      </c>
      <c r="AV91" s="63">
        <v>0.54</v>
      </c>
      <c r="AW91" s="63">
        <v>0.56000000000000005</v>
      </c>
      <c r="AX91" s="63">
        <v>0.56000000000000005</v>
      </c>
      <c r="AY91" s="63">
        <v>0.53</v>
      </c>
      <c r="AZ91" s="35"/>
      <c r="BA91" s="35"/>
      <c r="BB91" s="40"/>
      <c r="BC91" s="40"/>
      <c r="BD91" s="40"/>
      <c r="BE91" s="40"/>
      <c r="BF91" s="40"/>
      <c r="BG91" s="40"/>
      <c r="BH91" s="40"/>
      <c r="BI91" s="40"/>
      <c r="BJ91" s="40"/>
      <c r="BK91" s="40"/>
      <c r="BL91" s="652"/>
      <c r="BM91" s="652"/>
      <c r="BN91" s="652"/>
      <c r="BO91" s="652"/>
      <c r="BP91" s="652"/>
      <c r="BQ91" s="652"/>
      <c r="BR91" s="652"/>
      <c r="BS91" s="652"/>
      <c r="BT91" s="652"/>
      <c r="BU91" s="652"/>
      <c r="BV91" s="652"/>
      <c r="BW91" s="652"/>
      <c r="BX91" s="652"/>
      <c r="BY91" s="652"/>
      <c r="BZ91" s="655"/>
      <c r="CA91" s="655"/>
      <c r="CB91" s="655"/>
      <c r="CC91" s="655"/>
      <c r="CD91" s="655"/>
      <c r="CE91" s="655"/>
      <c r="CF91" s="655"/>
      <c r="CG91" s="655"/>
      <c r="CH91" s="655"/>
      <c r="CI91" s="655"/>
      <c r="CJ91" s="655"/>
      <c r="CK91" s="655"/>
      <c r="CL91" s="655"/>
      <c r="CM91" s="655"/>
      <c r="CN91" s="657"/>
      <c r="CO91" s="657"/>
      <c r="CP91" s="657"/>
      <c r="CQ91" s="657"/>
      <c r="CR91" s="657"/>
      <c r="CS91" s="657"/>
      <c r="CT91" s="657"/>
      <c r="CU91" s="657"/>
      <c r="CV91" s="657"/>
      <c r="CW91" s="657"/>
      <c r="CX91" s="657"/>
      <c r="CY91" s="657"/>
      <c r="CZ91" s="666"/>
      <c r="DA91" s="666"/>
      <c r="DB91" s="668"/>
      <c r="DC91" s="668"/>
      <c r="DD91" s="668"/>
      <c r="DE91" s="668"/>
      <c r="DF91" s="668"/>
      <c r="DG91" s="668"/>
      <c r="DH91" s="668"/>
      <c r="DI91" s="668"/>
      <c r="DJ91" s="668"/>
      <c r="DK91" s="668"/>
      <c r="DL91" s="668"/>
      <c r="DM91" s="668"/>
      <c r="DN91" s="668"/>
      <c r="DO91" s="668"/>
    </row>
    <row r="92" spans="1:119" ht="24.95" customHeight="1" x14ac:dyDescent="0.2">
      <c r="A92" s="820" t="s">
        <v>153</v>
      </c>
      <c r="B92" s="1" t="s">
        <v>221</v>
      </c>
      <c r="C92" s="2">
        <v>2</v>
      </c>
      <c r="D92" s="12">
        <v>55</v>
      </c>
      <c r="E92" s="12">
        <v>8</v>
      </c>
      <c r="F92" s="63">
        <v>0.1</v>
      </c>
      <c r="G92" s="63">
        <v>0.28000000000000003</v>
      </c>
      <c r="H92" s="63">
        <v>0.59</v>
      </c>
      <c r="I92" s="63">
        <v>0.03</v>
      </c>
      <c r="J92" s="63">
        <v>0.46</v>
      </c>
      <c r="K92" s="63">
        <v>0.48</v>
      </c>
      <c r="L92" s="63">
        <v>0.56000000000000005</v>
      </c>
      <c r="M92" s="63">
        <v>0.36</v>
      </c>
      <c r="N92" s="63">
        <v>0.36</v>
      </c>
      <c r="O92" s="63">
        <v>0.39</v>
      </c>
      <c r="P92" s="12">
        <v>57</v>
      </c>
      <c r="Q92" s="12">
        <v>9</v>
      </c>
      <c r="R92" s="61">
        <v>0</v>
      </c>
      <c r="S92" s="61">
        <v>0.43</v>
      </c>
      <c r="T92" s="61">
        <v>0.5</v>
      </c>
      <c r="U92" s="61">
        <v>7.0000000000000007E-2</v>
      </c>
      <c r="V92" s="61">
        <v>0.34</v>
      </c>
      <c r="W92" s="61">
        <v>0.4</v>
      </c>
      <c r="X92" s="61">
        <v>0.49</v>
      </c>
      <c r="Y92" s="61">
        <v>0.37</v>
      </c>
      <c r="Z92" s="61">
        <v>0.33</v>
      </c>
      <c r="AA92" s="61">
        <v>0.31</v>
      </c>
      <c r="AB92" s="12">
        <v>52</v>
      </c>
      <c r="AC92" s="12">
        <v>10</v>
      </c>
      <c r="AD92" s="63">
        <v>0.15</v>
      </c>
      <c r="AE92" s="63">
        <v>0.47</v>
      </c>
      <c r="AF92" s="63">
        <v>0.35</v>
      </c>
      <c r="AG92" s="63">
        <v>0.03</v>
      </c>
      <c r="AH92" s="63">
        <v>0.37</v>
      </c>
      <c r="AI92" s="63">
        <v>0.38</v>
      </c>
      <c r="AJ92" s="63">
        <v>0.39</v>
      </c>
      <c r="AK92" s="63">
        <v>0.48</v>
      </c>
      <c r="AL92" s="63">
        <v>0.54</v>
      </c>
      <c r="AM92" s="63">
        <v>0.46</v>
      </c>
      <c r="AN92" s="12">
        <v>55</v>
      </c>
      <c r="AO92" s="12">
        <v>10</v>
      </c>
      <c r="AP92" s="63">
        <v>7.0000000000000007E-2</v>
      </c>
      <c r="AQ92" s="63">
        <v>0.48</v>
      </c>
      <c r="AR92" s="63">
        <v>0.44</v>
      </c>
      <c r="AS92" s="63">
        <v>0</v>
      </c>
      <c r="AT92" s="63">
        <v>0.45</v>
      </c>
      <c r="AU92" s="63">
        <v>0.33</v>
      </c>
      <c r="AV92" s="63">
        <v>0.37</v>
      </c>
      <c r="AW92" s="63">
        <v>0.38</v>
      </c>
      <c r="AX92" s="63">
        <v>0.34</v>
      </c>
      <c r="AY92" s="63">
        <v>0.34</v>
      </c>
      <c r="AZ92" s="35">
        <v>55</v>
      </c>
      <c r="BA92" s="35">
        <v>9</v>
      </c>
      <c r="BB92" s="40">
        <v>0.03</v>
      </c>
      <c r="BC92" s="40">
        <v>0.46</v>
      </c>
      <c r="BD92" s="40">
        <v>0.49</v>
      </c>
      <c r="BE92" s="40">
        <v>0.03</v>
      </c>
      <c r="BF92" s="40">
        <v>0.38</v>
      </c>
      <c r="BG92" s="40">
        <v>0.42</v>
      </c>
      <c r="BH92" s="40">
        <v>0.38</v>
      </c>
      <c r="BI92" s="40">
        <v>0.5</v>
      </c>
      <c r="BJ92" s="40">
        <v>0.34</v>
      </c>
      <c r="BK92" s="40">
        <v>0.28999999999999998</v>
      </c>
      <c r="BL92" s="653">
        <v>51</v>
      </c>
      <c r="BM92" s="653" t="s">
        <v>874</v>
      </c>
      <c r="BN92" s="653">
        <v>10</v>
      </c>
      <c r="BO92" s="653" t="s">
        <v>874</v>
      </c>
      <c r="BP92" s="654">
        <v>0.17</v>
      </c>
      <c r="BQ92" s="654">
        <v>0.45</v>
      </c>
      <c r="BR92" s="654">
        <v>0.35</v>
      </c>
      <c r="BS92" s="654">
        <v>0.03</v>
      </c>
      <c r="BT92" s="654">
        <v>0.42</v>
      </c>
      <c r="BU92" s="654">
        <v>0.44</v>
      </c>
      <c r="BV92" s="654">
        <v>0.64</v>
      </c>
      <c r="BW92" s="654">
        <v>0.42</v>
      </c>
      <c r="BX92" s="654">
        <v>0.42</v>
      </c>
      <c r="BY92" s="654">
        <v>0.48</v>
      </c>
      <c r="BZ92" s="74">
        <v>51</v>
      </c>
      <c r="CA92" s="74" t="s">
        <v>874</v>
      </c>
      <c r="CB92" s="74">
        <v>10</v>
      </c>
      <c r="CC92" s="74" t="s">
        <v>874</v>
      </c>
      <c r="CD92" s="96">
        <v>0.1</v>
      </c>
      <c r="CE92" s="96">
        <v>0.6</v>
      </c>
      <c r="CF92" s="96">
        <v>0.31</v>
      </c>
      <c r="CG92" s="96">
        <v>0</v>
      </c>
      <c r="CH92" s="96">
        <v>0.38</v>
      </c>
      <c r="CI92" s="96">
        <v>0.32</v>
      </c>
      <c r="CJ92" s="96">
        <v>0.53</v>
      </c>
      <c r="CK92" s="96">
        <v>0.47</v>
      </c>
      <c r="CL92" s="96">
        <v>0.4</v>
      </c>
      <c r="CM92" s="96">
        <v>0.56999999999999995</v>
      </c>
      <c r="CN92" s="658">
        <v>54</v>
      </c>
      <c r="CO92" s="658" t="s">
        <v>874</v>
      </c>
      <c r="CP92" s="658">
        <v>10</v>
      </c>
      <c r="CQ92" s="658" t="s">
        <v>874</v>
      </c>
      <c r="CR92" s="659">
        <v>0.12</v>
      </c>
      <c r="CS92" s="659">
        <v>0.36</v>
      </c>
      <c r="CT92" s="659">
        <v>0.48</v>
      </c>
      <c r="CU92" s="659">
        <v>0.03</v>
      </c>
      <c r="CV92" s="659">
        <v>0.27</v>
      </c>
      <c r="CW92" s="659">
        <v>0.53</v>
      </c>
      <c r="CX92" s="659">
        <v>0.42</v>
      </c>
      <c r="CY92" s="659">
        <v>0.65</v>
      </c>
      <c r="CZ92" s="667">
        <v>0.44</v>
      </c>
      <c r="DA92" s="667">
        <v>0.45</v>
      </c>
      <c r="DB92" s="47">
        <v>52</v>
      </c>
      <c r="DC92" s="47" t="s">
        <v>874</v>
      </c>
      <c r="DD92" s="47">
        <v>9</v>
      </c>
      <c r="DE92" s="47" t="s">
        <v>874</v>
      </c>
      <c r="DF92" s="670">
        <v>7.0000000000000007E-2</v>
      </c>
      <c r="DG92" s="670">
        <v>0.56999999999999995</v>
      </c>
      <c r="DH92" s="670">
        <v>0.33</v>
      </c>
      <c r="DI92" s="670">
        <v>0.03</v>
      </c>
      <c r="DJ92" s="670">
        <v>0.53</v>
      </c>
      <c r="DK92" s="670">
        <v>0.34</v>
      </c>
      <c r="DL92" s="670">
        <v>0.44</v>
      </c>
      <c r="DM92" s="670">
        <v>0.59</v>
      </c>
      <c r="DN92" s="670">
        <v>0.53</v>
      </c>
      <c r="DO92" s="670">
        <v>0.27</v>
      </c>
    </row>
    <row r="93" spans="1:119" ht="24.95" customHeight="1" x14ac:dyDescent="0.2">
      <c r="A93" s="814" t="s">
        <v>136</v>
      </c>
      <c r="B93" s="1" t="s">
        <v>221</v>
      </c>
      <c r="C93" s="2">
        <v>4</v>
      </c>
      <c r="D93" s="12">
        <v>47</v>
      </c>
      <c r="E93" s="12">
        <v>7</v>
      </c>
      <c r="F93" s="63">
        <v>0.15</v>
      </c>
      <c r="G93" s="63">
        <v>0.77</v>
      </c>
      <c r="H93" s="63">
        <v>0.08</v>
      </c>
      <c r="I93" s="63">
        <v>0</v>
      </c>
      <c r="J93" s="63">
        <v>0.62</v>
      </c>
      <c r="K93" s="63">
        <v>0.5</v>
      </c>
      <c r="L93" s="63">
        <v>0.76</v>
      </c>
      <c r="M93" s="63">
        <v>0.48</v>
      </c>
      <c r="N93" s="63">
        <v>0.45</v>
      </c>
      <c r="O93" s="63">
        <v>0.52</v>
      </c>
      <c r="P93" s="12">
        <v>53</v>
      </c>
      <c r="Q93" s="12">
        <v>10</v>
      </c>
      <c r="R93" s="61">
        <v>0.08</v>
      </c>
      <c r="S93" s="61">
        <v>0.5</v>
      </c>
      <c r="T93" s="61">
        <v>0.42</v>
      </c>
      <c r="U93" s="61">
        <v>0</v>
      </c>
      <c r="V93" s="61">
        <v>0.36</v>
      </c>
      <c r="W93" s="61">
        <v>0.45</v>
      </c>
      <c r="X93" s="61">
        <v>0.52</v>
      </c>
      <c r="Y93" s="61">
        <v>0.44</v>
      </c>
      <c r="Z93" s="61">
        <v>0.39</v>
      </c>
      <c r="AA93" s="61">
        <v>0.48</v>
      </c>
      <c r="AB93" s="12">
        <v>49</v>
      </c>
      <c r="AC93" s="12">
        <v>9</v>
      </c>
      <c r="AD93" s="63">
        <v>0.17</v>
      </c>
      <c r="AE93" s="63">
        <v>0.64</v>
      </c>
      <c r="AF93" s="63">
        <v>0.19</v>
      </c>
      <c r="AG93" s="63">
        <v>0</v>
      </c>
      <c r="AH93" s="63">
        <v>0.45</v>
      </c>
      <c r="AI93" s="63">
        <v>0.41</v>
      </c>
      <c r="AJ93" s="63">
        <v>0.39</v>
      </c>
      <c r="AK93" s="63">
        <v>0.49</v>
      </c>
      <c r="AL93" s="63">
        <v>0.56999999999999995</v>
      </c>
      <c r="AM93" s="63">
        <v>0.56999999999999995</v>
      </c>
      <c r="AN93" s="12">
        <v>47</v>
      </c>
      <c r="AO93" s="12">
        <v>13</v>
      </c>
      <c r="AP93" s="63">
        <v>0.32</v>
      </c>
      <c r="AQ93" s="63">
        <v>0.48</v>
      </c>
      <c r="AR93" s="63">
        <v>0.14000000000000001</v>
      </c>
      <c r="AS93" s="63">
        <v>0.06</v>
      </c>
      <c r="AT93" s="63">
        <v>0.56000000000000005</v>
      </c>
      <c r="AU93" s="63">
        <v>0.49</v>
      </c>
      <c r="AV93" s="63">
        <v>0.48</v>
      </c>
      <c r="AW93" s="63">
        <v>0.48</v>
      </c>
      <c r="AX93" s="63">
        <v>0.51</v>
      </c>
      <c r="AY93" s="63">
        <v>0.48</v>
      </c>
      <c r="AZ93" s="35">
        <v>53</v>
      </c>
      <c r="BA93" s="35">
        <v>10</v>
      </c>
      <c r="BB93" s="40">
        <v>0.1</v>
      </c>
      <c r="BC93" s="40">
        <v>0.44</v>
      </c>
      <c r="BD93" s="40">
        <v>0.46</v>
      </c>
      <c r="BE93" s="40">
        <v>0</v>
      </c>
      <c r="BF93" s="40">
        <v>0.49</v>
      </c>
      <c r="BG93" s="40">
        <v>0.42</v>
      </c>
      <c r="BH93" s="40">
        <v>0.42</v>
      </c>
      <c r="BI93" s="40">
        <v>0.49</v>
      </c>
      <c r="BJ93" s="40">
        <v>0.34</v>
      </c>
      <c r="BK93" s="40">
        <v>0.35</v>
      </c>
      <c r="BL93" s="247">
        <v>48</v>
      </c>
      <c r="BM93" s="247" t="s">
        <v>874</v>
      </c>
      <c r="BN93" s="247">
        <v>12</v>
      </c>
      <c r="BO93" s="247" t="s">
        <v>874</v>
      </c>
      <c r="BP93" s="264">
        <v>0.27</v>
      </c>
      <c r="BQ93" s="264">
        <v>0.49</v>
      </c>
      <c r="BR93" s="264">
        <v>0.2</v>
      </c>
      <c r="BS93" s="264">
        <v>0.04</v>
      </c>
      <c r="BT93" s="264">
        <v>0.46</v>
      </c>
      <c r="BU93" s="264">
        <v>0.5</v>
      </c>
      <c r="BV93" s="264">
        <v>0.52</v>
      </c>
      <c r="BW93" s="264">
        <v>0.46</v>
      </c>
      <c r="BX93" s="264">
        <v>0.48</v>
      </c>
      <c r="BY93" s="264">
        <v>0.51</v>
      </c>
      <c r="BZ93" s="311">
        <v>50</v>
      </c>
      <c r="CA93" s="311" t="s">
        <v>874</v>
      </c>
      <c r="CB93" s="311">
        <v>11</v>
      </c>
      <c r="CC93" s="311" t="s">
        <v>874</v>
      </c>
      <c r="CD93" s="329">
        <v>0.21</v>
      </c>
      <c r="CE93" s="329">
        <v>0.5</v>
      </c>
      <c r="CF93" s="329">
        <v>0.27</v>
      </c>
      <c r="CG93" s="329">
        <v>0.02</v>
      </c>
      <c r="CH93" s="329">
        <v>0.51</v>
      </c>
      <c r="CI93" s="329">
        <v>0.32</v>
      </c>
      <c r="CJ93" s="329">
        <v>0.6</v>
      </c>
      <c r="CK93" s="329">
        <v>0.51</v>
      </c>
      <c r="CL93" s="329">
        <v>0.47</v>
      </c>
      <c r="CM93" s="329">
        <v>0.57999999999999996</v>
      </c>
      <c r="CN93" s="426">
        <v>48</v>
      </c>
      <c r="CO93" s="426" t="s">
        <v>874</v>
      </c>
      <c r="CP93" s="426">
        <v>12</v>
      </c>
      <c r="CQ93" s="426" t="s">
        <v>874</v>
      </c>
      <c r="CR93" s="430">
        <v>0.28999999999999998</v>
      </c>
      <c r="CS93" s="430">
        <v>0.41</v>
      </c>
      <c r="CT93" s="430">
        <v>0.25</v>
      </c>
      <c r="CU93" s="430">
        <v>0.04</v>
      </c>
      <c r="CV93" s="430">
        <v>0.39</v>
      </c>
      <c r="CW93" s="430">
        <v>0.57999999999999996</v>
      </c>
      <c r="CX93" s="430">
        <v>0.56999999999999995</v>
      </c>
      <c r="CY93" s="430">
        <v>0.52</v>
      </c>
      <c r="CZ93" s="527">
        <v>0.52</v>
      </c>
      <c r="DA93" s="527">
        <v>0.5</v>
      </c>
      <c r="DB93" s="528">
        <v>50</v>
      </c>
      <c r="DC93" s="528" t="s">
        <v>874</v>
      </c>
      <c r="DD93" s="528">
        <v>10</v>
      </c>
      <c r="DE93" s="528" t="s">
        <v>874</v>
      </c>
      <c r="DF93" s="529">
        <v>0.18</v>
      </c>
      <c r="DG93" s="529">
        <v>0.51</v>
      </c>
      <c r="DH93" s="529">
        <v>0.31</v>
      </c>
      <c r="DI93" s="529">
        <v>0</v>
      </c>
      <c r="DJ93" s="529">
        <v>0.49</v>
      </c>
      <c r="DK93" s="529">
        <v>0.52</v>
      </c>
      <c r="DL93" s="529">
        <v>0.48</v>
      </c>
      <c r="DM93" s="529">
        <v>0.65</v>
      </c>
      <c r="DN93" s="529">
        <v>0.56000000000000005</v>
      </c>
      <c r="DO93" s="529">
        <v>0.44</v>
      </c>
    </row>
    <row r="94" spans="1:119" ht="24.95" customHeight="1" x14ac:dyDescent="0.2">
      <c r="A94" s="814" t="s">
        <v>97</v>
      </c>
      <c r="B94" s="1" t="s">
        <v>221</v>
      </c>
      <c r="C94" s="2">
        <v>2</v>
      </c>
      <c r="D94" s="12">
        <v>59</v>
      </c>
      <c r="E94" s="12">
        <v>7</v>
      </c>
      <c r="F94" s="63">
        <v>0</v>
      </c>
      <c r="G94" s="63">
        <v>0.14000000000000001</v>
      </c>
      <c r="H94" s="63">
        <v>0.86</v>
      </c>
      <c r="I94" s="63">
        <v>0</v>
      </c>
      <c r="J94" s="63">
        <v>0.38</v>
      </c>
      <c r="K94" s="63">
        <v>0.31</v>
      </c>
      <c r="L94" s="63">
        <v>0.59</v>
      </c>
      <c r="M94" s="63">
        <v>0.32</v>
      </c>
      <c r="N94" s="63">
        <v>0.39</v>
      </c>
      <c r="O94" s="63">
        <v>0.28999999999999998</v>
      </c>
      <c r="P94" s="12">
        <v>43</v>
      </c>
      <c r="Q94" s="12">
        <v>9</v>
      </c>
      <c r="R94" s="61">
        <v>0.44</v>
      </c>
      <c r="S94" s="61">
        <v>0.44</v>
      </c>
      <c r="T94" s="61">
        <v>0.11</v>
      </c>
      <c r="U94" s="61">
        <v>0</v>
      </c>
      <c r="V94" s="61">
        <v>0.6</v>
      </c>
      <c r="W94" s="61">
        <v>0.64</v>
      </c>
      <c r="X94" s="61">
        <v>0.62</v>
      </c>
      <c r="Y94" s="61">
        <v>0.54</v>
      </c>
      <c r="Z94" s="61">
        <v>0.54</v>
      </c>
      <c r="AA94" s="61">
        <v>0.56999999999999995</v>
      </c>
      <c r="AB94" s="12">
        <v>40</v>
      </c>
      <c r="AC94" s="12">
        <v>7</v>
      </c>
      <c r="AD94" s="63">
        <v>0.67</v>
      </c>
      <c r="AE94" s="63">
        <v>0.33</v>
      </c>
      <c r="AF94" s="63">
        <v>0</v>
      </c>
      <c r="AG94" s="63">
        <v>0</v>
      </c>
      <c r="AH94" s="63">
        <v>0.55000000000000004</v>
      </c>
      <c r="AI94" s="63">
        <v>0.61</v>
      </c>
      <c r="AJ94" s="63">
        <v>0.59</v>
      </c>
      <c r="AK94" s="63">
        <v>0.61</v>
      </c>
      <c r="AL94" s="63">
        <v>0.53</v>
      </c>
      <c r="AM94" s="63">
        <v>0.78</v>
      </c>
      <c r="AN94" s="12">
        <v>42</v>
      </c>
      <c r="AO94" s="12">
        <v>11</v>
      </c>
      <c r="AP94" s="63">
        <v>0.44</v>
      </c>
      <c r="AQ94" s="63">
        <v>0.44</v>
      </c>
      <c r="AR94" s="63">
        <v>0.11</v>
      </c>
      <c r="AS94" s="63">
        <v>0</v>
      </c>
      <c r="AT94" s="63">
        <v>0.68</v>
      </c>
      <c r="AU94" s="63">
        <v>0.5</v>
      </c>
      <c r="AV94" s="63">
        <v>0.51</v>
      </c>
      <c r="AW94" s="63">
        <v>0.59</v>
      </c>
      <c r="AX94" s="63">
        <v>0.57999999999999996</v>
      </c>
      <c r="AY94" s="63">
        <v>0.66</v>
      </c>
      <c r="AZ94" s="35">
        <v>42</v>
      </c>
      <c r="BA94" s="35">
        <v>8</v>
      </c>
      <c r="BB94" s="40">
        <v>0.45</v>
      </c>
      <c r="BC94" s="40">
        <v>0.45</v>
      </c>
      <c r="BD94" s="40">
        <v>0.09</v>
      </c>
      <c r="BE94" s="40">
        <v>0</v>
      </c>
      <c r="BF94" s="40">
        <v>0.61</v>
      </c>
      <c r="BG94" s="40">
        <v>0.64</v>
      </c>
      <c r="BH94" s="40">
        <v>0.61</v>
      </c>
      <c r="BI94" s="40">
        <v>0.7</v>
      </c>
      <c r="BJ94" s="40">
        <v>0.59</v>
      </c>
      <c r="BK94" s="40">
        <v>0.48</v>
      </c>
      <c r="BL94" s="247">
        <v>40</v>
      </c>
      <c r="BM94" s="247" t="s">
        <v>876</v>
      </c>
      <c r="BN94" s="247">
        <v>7</v>
      </c>
      <c r="BO94" s="247" t="s">
        <v>876</v>
      </c>
      <c r="BP94" s="264">
        <v>0.67</v>
      </c>
      <c r="BQ94" s="264">
        <v>0.33</v>
      </c>
      <c r="BR94" s="264">
        <v>0</v>
      </c>
      <c r="BS94" s="264">
        <v>0</v>
      </c>
      <c r="BT94" s="264">
        <v>0.5</v>
      </c>
      <c r="BU94" s="264">
        <v>0.61</v>
      </c>
      <c r="BV94" s="264">
        <v>0.75</v>
      </c>
      <c r="BW94" s="264">
        <v>0.59</v>
      </c>
      <c r="BX94" s="264">
        <v>0.51</v>
      </c>
      <c r="BY94" s="264">
        <v>0.79</v>
      </c>
      <c r="BZ94" s="311">
        <v>43</v>
      </c>
      <c r="CA94" s="311" t="s">
        <v>874</v>
      </c>
      <c r="CB94" s="311">
        <v>19</v>
      </c>
      <c r="CC94" s="311" t="s">
        <v>875</v>
      </c>
      <c r="CD94" s="329">
        <v>0.67</v>
      </c>
      <c r="CE94" s="329">
        <v>0</v>
      </c>
      <c r="CF94" s="329">
        <v>0.33</v>
      </c>
      <c r="CG94" s="329">
        <v>0</v>
      </c>
      <c r="CH94" s="329">
        <v>0.75</v>
      </c>
      <c r="CI94" s="329">
        <v>0.5</v>
      </c>
      <c r="CJ94" s="329">
        <v>0.73</v>
      </c>
      <c r="CK94" s="329">
        <v>0.36</v>
      </c>
      <c r="CL94" s="329">
        <v>0.33</v>
      </c>
      <c r="CM94" s="329">
        <v>0.55000000000000004</v>
      </c>
      <c r="CN94" s="426">
        <v>52</v>
      </c>
      <c r="CO94" s="426" t="s">
        <v>874</v>
      </c>
      <c r="CP94" s="426">
        <v>9</v>
      </c>
      <c r="CQ94" s="426" t="s">
        <v>874</v>
      </c>
      <c r="CR94" s="430">
        <v>0.13</v>
      </c>
      <c r="CS94" s="430">
        <v>0.5</v>
      </c>
      <c r="CT94" s="430">
        <v>0.38</v>
      </c>
      <c r="CU94" s="430">
        <v>0</v>
      </c>
      <c r="CV94" s="430">
        <v>0.13</v>
      </c>
      <c r="CW94" s="430">
        <v>0.51</v>
      </c>
      <c r="CX94" s="430">
        <v>0.61</v>
      </c>
      <c r="CY94" s="430">
        <v>0.8</v>
      </c>
      <c r="CZ94" s="527">
        <v>0.7</v>
      </c>
      <c r="DA94" s="527">
        <v>0.71</v>
      </c>
      <c r="DB94" s="528">
        <v>53</v>
      </c>
      <c r="DC94" s="528" t="s">
        <v>874</v>
      </c>
      <c r="DD94" s="528">
        <v>7</v>
      </c>
      <c r="DE94" s="528" t="s">
        <v>876</v>
      </c>
      <c r="DF94" s="529">
        <v>0</v>
      </c>
      <c r="DG94" s="529">
        <v>0.5</v>
      </c>
      <c r="DH94" s="529">
        <v>0.5</v>
      </c>
      <c r="DI94" s="529">
        <v>0</v>
      </c>
      <c r="DJ94" s="529">
        <v>0.46</v>
      </c>
      <c r="DK94" s="529">
        <v>0.33</v>
      </c>
      <c r="DL94" s="529">
        <v>0.39</v>
      </c>
      <c r="DM94" s="529">
        <v>0.7</v>
      </c>
      <c r="DN94" s="529">
        <v>0.62</v>
      </c>
      <c r="DO94" s="529">
        <v>0</v>
      </c>
    </row>
    <row r="95" spans="1:119" ht="24.95" customHeight="1" x14ac:dyDescent="0.2">
      <c r="A95" s="814" t="s">
        <v>180</v>
      </c>
      <c r="B95" s="1" t="s">
        <v>221</v>
      </c>
      <c r="C95" s="2">
        <v>3</v>
      </c>
      <c r="D95" s="12">
        <v>54</v>
      </c>
      <c r="E95" s="12">
        <v>7</v>
      </c>
      <c r="F95" s="63">
        <v>0</v>
      </c>
      <c r="G95" s="63">
        <v>0.63</v>
      </c>
      <c r="H95" s="63">
        <v>0.37</v>
      </c>
      <c r="I95" s="63">
        <v>0</v>
      </c>
      <c r="J95" s="63">
        <v>0.51</v>
      </c>
      <c r="K95" s="63">
        <v>0.46</v>
      </c>
      <c r="L95" s="63">
        <v>0.56999999999999995</v>
      </c>
      <c r="M95" s="63">
        <v>0.39</v>
      </c>
      <c r="N95" s="63">
        <v>0.41</v>
      </c>
      <c r="O95" s="63">
        <v>0.41</v>
      </c>
      <c r="P95" s="12">
        <v>57</v>
      </c>
      <c r="Q95" s="12">
        <v>10</v>
      </c>
      <c r="R95" s="61">
        <v>0</v>
      </c>
      <c r="S95" s="61">
        <v>0.47</v>
      </c>
      <c r="T95" s="61">
        <v>0.44</v>
      </c>
      <c r="U95" s="61">
        <v>0.09</v>
      </c>
      <c r="V95" s="61">
        <v>0.27</v>
      </c>
      <c r="W95" s="61">
        <v>0.36</v>
      </c>
      <c r="X95" s="61">
        <v>0.46</v>
      </c>
      <c r="Y95" s="61">
        <v>0.34</v>
      </c>
      <c r="Z95" s="61">
        <v>0.33</v>
      </c>
      <c r="AA95" s="61">
        <v>0.42</v>
      </c>
      <c r="AB95" s="12">
        <v>54</v>
      </c>
      <c r="AC95" s="12">
        <v>12</v>
      </c>
      <c r="AD95" s="63">
        <v>0.09</v>
      </c>
      <c r="AE95" s="63">
        <v>0.44</v>
      </c>
      <c r="AF95" s="63">
        <v>0.38</v>
      </c>
      <c r="AG95" s="63">
        <v>0.09</v>
      </c>
      <c r="AH95" s="63">
        <v>0.36</v>
      </c>
      <c r="AI95" s="63">
        <v>0.35</v>
      </c>
      <c r="AJ95" s="63">
        <v>0.34</v>
      </c>
      <c r="AK95" s="63">
        <v>0.38</v>
      </c>
      <c r="AL95" s="63">
        <v>0.52</v>
      </c>
      <c r="AM95" s="63">
        <v>0.46</v>
      </c>
      <c r="AN95" s="12">
        <v>49</v>
      </c>
      <c r="AO95" s="12">
        <v>10</v>
      </c>
      <c r="AP95" s="63">
        <v>0.23</v>
      </c>
      <c r="AQ95" s="63">
        <v>0.46</v>
      </c>
      <c r="AR95" s="63">
        <v>0.31</v>
      </c>
      <c r="AS95" s="63">
        <v>0</v>
      </c>
      <c r="AT95" s="63">
        <v>0.55000000000000004</v>
      </c>
      <c r="AU95" s="63">
        <v>0.49</v>
      </c>
      <c r="AV95" s="63">
        <v>0.45</v>
      </c>
      <c r="AW95" s="63">
        <v>0.48</v>
      </c>
      <c r="AX95" s="63">
        <v>0.43</v>
      </c>
      <c r="AY95" s="63">
        <v>0.45</v>
      </c>
      <c r="AZ95" s="35">
        <v>54</v>
      </c>
      <c r="BA95" s="35">
        <v>11</v>
      </c>
      <c r="BB95" s="40">
        <v>0.14000000000000001</v>
      </c>
      <c r="BC95" s="40">
        <v>0.35</v>
      </c>
      <c r="BD95" s="40">
        <v>0.46</v>
      </c>
      <c r="BE95" s="40">
        <v>0.05</v>
      </c>
      <c r="BF95" s="40">
        <v>0.39</v>
      </c>
      <c r="BG95" s="40">
        <v>0.43</v>
      </c>
      <c r="BH95" s="40">
        <v>0.39</v>
      </c>
      <c r="BI95" s="40">
        <v>0.5</v>
      </c>
      <c r="BJ95" s="40">
        <v>0.37</v>
      </c>
      <c r="BK95" s="40">
        <v>0.35</v>
      </c>
      <c r="BL95" s="247">
        <v>55</v>
      </c>
      <c r="BM95" s="247" t="s">
        <v>874</v>
      </c>
      <c r="BN95" s="247">
        <v>8</v>
      </c>
      <c r="BO95" s="247" t="s">
        <v>874</v>
      </c>
      <c r="BP95" s="264">
        <v>0.04</v>
      </c>
      <c r="BQ95" s="264">
        <v>0.42</v>
      </c>
      <c r="BR95" s="264">
        <v>0.52</v>
      </c>
      <c r="BS95" s="264">
        <v>0.01</v>
      </c>
      <c r="BT95" s="264">
        <v>0.32</v>
      </c>
      <c r="BU95" s="264">
        <v>0.4</v>
      </c>
      <c r="BV95" s="264">
        <v>0.38</v>
      </c>
      <c r="BW95" s="264">
        <v>0.33</v>
      </c>
      <c r="BX95" s="264">
        <v>0.38</v>
      </c>
      <c r="BY95" s="264">
        <v>0.44</v>
      </c>
      <c r="BZ95" s="311">
        <v>54</v>
      </c>
      <c r="CA95" s="311" t="s">
        <v>874</v>
      </c>
      <c r="CB95" s="311">
        <v>10</v>
      </c>
      <c r="CC95" s="311" t="s">
        <v>874</v>
      </c>
      <c r="CD95" s="329">
        <v>0.12</v>
      </c>
      <c r="CE95" s="329">
        <v>0.41</v>
      </c>
      <c r="CF95" s="329">
        <v>0.39</v>
      </c>
      <c r="CG95" s="329">
        <v>0.08</v>
      </c>
      <c r="CH95" s="329">
        <v>0.43</v>
      </c>
      <c r="CI95" s="329">
        <v>0.27</v>
      </c>
      <c r="CJ95" s="329">
        <v>0.47</v>
      </c>
      <c r="CK95" s="329">
        <v>0.48</v>
      </c>
      <c r="CL95" s="329">
        <v>0.38</v>
      </c>
      <c r="CM95" s="329">
        <v>0.54</v>
      </c>
      <c r="CN95" s="426">
        <v>55</v>
      </c>
      <c r="CO95" s="426" t="s">
        <v>874</v>
      </c>
      <c r="CP95" s="426">
        <v>9</v>
      </c>
      <c r="CQ95" s="426" t="s">
        <v>874</v>
      </c>
      <c r="CR95" s="430">
        <v>0.08</v>
      </c>
      <c r="CS95" s="430">
        <v>0.43</v>
      </c>
      <c r="CT95" s="430">
        <v>0.45</v>
      </c>
      <c r="CU95" s="430">
        <v>0.04</v>
      </c>
      <c r="CV95" s="430">
        <v>0.24</v>
      </c>
      <c r="CW95" s="430">
        <v>0.48</v>
      </c>
      <c r="CX95" s="430">
        <v>0.5</v>
      </c>
      <c r="CY95" s="430">
        <v>0.61</v>
      </c>
      <c r="CZ95" s="527">
        <v>0.53</v>
      </c>
      <c r="DA95" s="527">
        <v>0.54</v>
      </c>
      <c r="DB95" s="528">
        <v>51</v>
      </c>
      <c r="DC95" s="528" t="s">
        <v>874</v>
      </c>
      <c r="DD95" s="528">
        <v>10</v>
      </c>
      <c r="DE95" s="528" t="s">
        <v>874</v>
      </c>
      <c r="DF95" s="529">
        <v>0.18</v>
      </c>
      <c r="DG95" s="529">
        <v>0.43</v>
      </c>
      <c r="DH95" s="529">
        <v>0.39</v>
      </c>
      <c r="DI95" s="529">
        <v>0</v>
      </c>
      <c r="DJ95" s="529">
        <v>0.47</v>
      </c>
      <c r="DK95" s="529">
        <v>0.47</v>
      </c>
      <c r="DL95" s="529">
        <v>0.48</v>
      </c>
      <c r="DM95" s="529">
        <v>0.63</v>
      </c>
      <c r="DN95" s="529">
        <v>0.52</v>
      </c>
      <c r="DO95" s="529">
        <v>0.43</v>
      </c>
    </row>
    <row r="96" spans="1:119" ht="24.95" customHeight="1" x14ac:dyDescent="0.2">
      <c r="A96" s="814" t="s">
        <v>170</v>
      </c>
      <c r="B96" s="1" t="s">
        <v>221</v>
      </c>
      <c r="C96" s="2">
        <v>2</v>
      </c>
      <c r="D96" s="12">
        <v>55</v>
      </c>
      <c r="E96" s="12">
        <v>9</v>
      </c>
      <c r="F96" s="63">
        <v>0.1</v>
      </c>
      <c r="G96" s="63">
        <v>0.41</v>
      </c>
      <c r="H96" s="63">
        <v>0.44</v>
      </c>
      <c r="I96" s="63">
        <v>0.05</v>
      </c>
      <c r="J96" s="63">
        <v>0.57999999999999996</v>
      </c>
      <c r="K96" s="63">
        <v>0.4</v>
      </c>
      <c r="L96" s="63">
        <v>0.49</v>
      </c>
      <c r="M96" s="63">
        <v>0.37</v>
      </c>
      <c r="N96" s="63">
        <v>0.3</v>
      </c>
      <c r="O96" s="63">
        <v>0.44</v>
      </c>
      <c r="P96" s="12">
        <v>54</v>
      </c>
      <c r="Q96" s="12">
        <v>9</v>
      </c>
      <c r="R96" s="61">
        <v>0.06</v>
      </c>
      <c r="S96" s="61">
        <v>0.56000000000000005</v>
      </c>
      <c r="T96" s="61">
        <v>0.36</v>
      </c>
      <c r="U96" s="61">
        <v>0.03</v>
      </c>
      <c r="V96" s="61">
        <v>0.36</v>
      </c>
      <c r="W96" s="61">
        <v>0.43</v>
      </c>
      <c r="X96" s="61">
        <v>0.56999999999999995</v>
      </c>
      <c r="Y96" s="61">
        <v>0.39</v>
      </c>
      <c r="Z96" s="61">
        <v>0.41</v>
      </c>
      <c r="AA96" s="61">
        <v>0.42</v>
      </c>
      <c r="AB96" s="12">
        <v>50</v>
      </c>
      <c r="AC96" s="12">
        <v>10</v>
      </c>
      <c r="AD96" s="63">
        <v>0.21</v>
      </c>
      <c r="AE96" s="63">
        <v>0.48</v>
      </c>
      <c r="AF96" s="63">
        <v>0.3</v>
      </c>
      <c r="AG96" s="63">
        <v>0</v>
      </c>
      <c r="AH96" s="63">
        <v>0.43</v>
      </c>
      <c r="AI96" s="63">
        <v>0.42</v>
      </c>
      <c r="AJ96" s="63">
        <v>0.42</v>
      </c>
      <c r="AK96" s="63">
        <v>0.49</v>
      </c>
      <c r="AL96" s="63">
        <v>0.59</v>
      </c>
      <c r="AM96" s="63">
        <v>0.51</v>
      </c>
      <c r="AN96" s="12">
        <v>50</v>
      </c>
      <c r="AO96" s="12">
        <v>11</v>
      </c>
      <c r="AP96" s="63">
        <v>0.16</v>
      </c>
      <c r="AQ96" s="63">
        <v>0.51</v>
      </c>
      <c r="AR96" s="63">
        <v>0.3</v>
      </c>
      <c r="AS96" s="63">
        <v>0.03</v>
      </c>
      <c r="AT96" s="63">
        <v>0.45</v>
      </c>
      <c r="AU96" s="63">
        <v>0.4</v>
      </c>
      <c r="AV96" s="63">
        <v>0.41</v>
      </c>
      <c r="AW96" s="63">
        <v>0.45</v>
      </c>
      <c r="AX96" s="63">
        <v>0.45</v>
      </c>
      <c r="AY96" s="63">
        <v>0.49</v>
      </c>
      <c r="AZ96" s="35">
        <v>52</v>
      </c>
      <c r="BA96" s="35">
        <v>9</v>
      </c>
      <c r="BB96" s="40">
        <v>0.08</v>
      </c>
      <c r="BC96" s="40">
        <v>0.56000000000000005</v>
      </c>
      <c r="BD96" s="40">
        <v>0.36</v>
      </c>
      <c r="BE96" s="40">
        <v>0</v>
      </c>
      <c r="BF96" s="40">
        <v>0.47</v>
      </c>
      <c r="BG96" s="40">
        <v>0.42</v>
      </c>
      <c r="BH96" s="40">
        <v>0.39</v>
      </c>
      <c r="BI96" s="40">
        <v>0.47</v>
      </c>
      <c r="BJ96" s="40">
        <v>0.37</v>
      </c>
      <c r="BK96" s="40">
        <v>0.42</v>
      </c>
      <c r="BL96" s="247">
        <v>52</v>
      </c>
      <c r="BM96" s="247" t="s">
        <v>874</v>
      </c>
      <c r="BN96" s="247">
        <v>11</v>
      </c>
      <c r="BO96" s="247" t="s">
        <v>874</v>
      </c>
      <c r="BP96" s="264">
        <v>0.19</v>
      </c>
      <c r="BQ96" s="264">
        <v>0.4</v>
      </c>
      <c r="BR96" s="264">
        <v>0.38</v>
      </c>
      <c r="BS96" s="264">
        <v>0.04</v>
      </c>
      <c r="BT96" s="264">
        <v>0.39</v>
      </c>
      <c r="BU96" s="264">
        <v>0.39</v>
      </c>
      <c r="BV96" s="264">
        <v>0.53</v>
      </c>
      <c r="BW96" s="264">
        <v>0.44</v>
      </c>
      <c r="BX96" s="264">
        <v>0.43</v>
      </c>
      <c r="BY96" s="264">
        <v>0.46</v>
      </c>
      <c r="BZ96" s="311">
        <v>54</v>
      </c>
      <c r="CA96" s="311" t="s">
        <v>874</v>
      </c>
      <c r="CB96" s="311">
        <v>10</v>
      </c>
      <c r="CC96" s="311" t="s">
        <v>874</v>
      </c>
      <c r="CD96" s="329">
        <v>0.08</v>
      </c>
      <c r="CE96" s="329">
        <v>0.46</v>
      </c>
      <c r="CF96" s="329">
        <v>0.41</v>
      </c>
      <c r="CG96" s="329">
        <v>0.05</v>
      </c>
      <c r="CH96" s="329">
        <v>0.43</v>
      </c>
      <c r="CI96" s="329">
        <v>0.27</v>
      </c>
      <c r="CJ96" s="329">
        <v>0.5</v>
      </c>
      <c r="CK96" s="329">
        <v>0.5</v>
      </c>
      <c r="CL96" s="329">
        <v>0.35</v>
      </c>
      <c r="CM96" s="329">
        <v>0.51</v>
      </c>
      <c r="CN96" s="426">
        <v>53</v>
      </c>
      <c r="CO96" s="426" t="s">
        <v>874</v>
      </c>
      <c r="CP96" s="426">
        <v>10</v>
      </c>
      <c r="CQ96" s="426" t="s">
        <v>874</v>
      </c>
      <c r="CR96" s="430">
        <v>0.12</v>
      </c>
      <c r="CS96" s="430">
        <v>0.47</v>
      </c>
      <c r="CT96" s="430">
        <v>0.38</v>
      </c>
      <c r="CU96" s="430">
        <v>0.03</v>
      </c>
      <c r="CV96" s="430">
        <v>0.22</v>
      </c>
      <c r="CW96" s="430">
        <v>0.47</v>
      </c>
      <c r="CX96" s="430">
        <v>0.51</v>
      </c>
      <c r="CY96" s="430">
        <v>0.71</v>
      </c>
      <c r="CZ96" s="527">
        <v>0.48</v>
      </c>
      <c r="DA96" s="527">
        <v>0.44</v>
      </c>
      <c r="DB96" s="528">
        <v>52</v>
      </c>
      <c r="DC96" s="528" t="s">
        <v>874</v>
      </c>
      <c r="DD96" s="528">
        <v>11</v>
      </c>
      <c r="DE96" s="528" t="s">
        <v>874</v>
      </c>
      <c r="DF96" s="529">
        <v>0.19</v>
      </c>
      <c r="DG96" s="529">
        <v>0.42</v>
      </c>
      <c r="DH96" s="529">
        <v>0.33</v>
      </c>
      <c r="DI96" s="529">
        <v>0.06</v>
      </c>
      <c r="DJ96" s="529">
        <v>0.53</v>
      </c>
      <c r="DK96" s="529">
        <v>0.43</v>
      </c>
      <c r="DL96" s="529">
        <v>0.47</v>
      </c>
      <c r="DM96" s="529">
        <v>0.54</v>
      </c>
      <c r="DN96" s="529">
        <v>0.47</v>
      </c>
      <c r="DO96" s="529">
        <v>0.56999999999999995</v>
      </c>
    </row>
    <row r="97" spans="1:119" ht="24.95" customHeight="1" x14ac:dyDescent="0.2">
      <c r="A97" s="814" t="s">
        <v>77</v>
      </c>
      <c r="B97" s="1" t="s">
        <v>221</v>
      </c>
      <c r="C97" s="2">
        <v>2</v>
      </c>
      <c r="D97" s="12">
        <v>51</v>
      </c>
      <c r="E97" s="12">
        <v>11</v>
      </c>
      <c r="F97" s="63">
        <v>0.28999999999999998</v>
      </c>
      <c r="G97" s="63">
        <v>0.41</v>
      </c>
      <c r="H97" s="63">
        <v>0.24</v>
      </c>
      <c r="I97" s="63">
        <v>0.06</v>
      </c>
      <c r="J97" s="63">
        <v>0.56000000000000005</v>
      </c>
      <c r="K97" s="63">
        <v>0.57999999999999996</v>
      </c>
      <c r="L97" s="63">
        <v>0.55000000000000004</v>
      </c>
      <c r="M97" s="63">
        <v>0.44</v>
      </c>
      <c r="N97" s="63">
        <v>0.38</v>
      </c>
      <c r="O97" s="63">
        <v>0.51</v>
      </c>
      <c r="P97" s="12">
        <v>46</v>
      </c>
      <c r="Q97" s="12">
        <v>8</v>
      </c>
      <c r="R97" s="61">
        <v>0.24</v>
      </c>
      <c r="S97" s="61">
        <v>0.65</v>
      </c>
      <c r="T97" s="61">
        <v>0.12</v>
      </c>
      <c r="U97" s="61">
        <v>0</v>
      </c>
      <c r="V97" s="61">
        <v>0.52</v>
      </c>
      <c r="W97" s="61">
        <v>0.53</v>
      </c>
      <c r="X97" s="61">
        <v>0.61</v>
      </c>
      <c r="Y97" s="61">
        <v>0.59</v>
      </c>
      <c r="Z97" s="61">
        <v>0.47</v>
      </c>
      <c r="AA97" s="61">
        <v>0.69</v>
      </c>
      <c r="AB97" s="12">
        <v>49</v>
      </c>
      <c r="AC97" s="12">
        <v>10</v>
      </c>
      <c r="AD97" s="63">
        <v>0.33</v>
      </c>
      <c r="AE97" s="63">
        <v>0.4</v>
      </c>
      <c r="AF97" s="63">
        <v>0.27</v>
      </c>
      <c r="AG97" s="63">
        <v>0</v>
      </c>
      <c r="AH97" s="63">
        <v>0.46</v>
      </c>
      <c r="AI97" s="63">
        <v>0.38</v>
      </c>
      <c r="AJ97" s="63">
        <v>0.5</v>
      </c>
      <c r="AK97" s="63">
        <v>0.51</v>
      </c>
      <c r="AL97" s="63">
        <v>0.62</v>
      </c>
      <c r="AM97" s="63">
        <v>0.48</v>
      </c>
      <c r="AN97" s="12">
        <v>46</v>
      </c>
      <c r="AO97" s="12">
        <v>10</v>
      </c>
      <c r="AP97" s="63">
        <v>0.27</v>
      </c>
      <c r="AQ97" s="63">
        <v>0.55000000000000004</v>
      </c>
      <c r="AR97" s="63">
        <v>0.18</v>
      </c>
      <c r="AS97" s="63">
        <v>0</v>
      </c>
      <c r="AT97" s="63">
        <v>0.6</v>
      </c>
      <c r="AU97" s="63">
        <v>0.59</v>
      </c>
      <c r="AV97" s="63">
        <v>0.56000000000000005</v>
      </c>
      <c r="AW97" s="63">
        <v>0.48</v>
      </c>
      <c r="AX97" s="63">
        <v>0.51</v>
      </c>
      <c r="AY97" s="63">
        <v>0.44</v>
      </c>
      <c r="AZ97" s="35">
        <v>53</v>
      </c>
      <c r="BA97" s="35">
        <v>10</v>
      </c>
      <c r="BB97" s="40">
        <v>0.14000000000000001</v>
      </c>
      <c r="BC97" s="40">
        <v>0.64</v>
      </c>
      <c r="BD97" s="40">
        <v>0.14000000000000001</v>
      </c>
      <c r="BE97" s="40">
        <v>7.0000000000000007E-2</v>
      </c>
      <c r="BF97" s="40">
        <v>0.35</v>
      </c>
      <c r="BG97" s="40">
        <v>0.4</v>
      </c>
      <c r="BH97" s="40">
        <v>0.49</v>
      </c>
      <c r="BI97" s="40">
        <v>0.48</v>
      </c>
      <c r="BJ97" s="40">
        <v>0.36</v>
      </c>
      <c r="BK97" s="40">
        <v>0.39</v>
      </c>
      <c r="BL97" s="247">
        <v>44</v>
      </c>
      <c r="BM97" s="247" t="s">
        <v>874</v>
      </c>
      <c r="BN97" s="247">
        <v>7</v>
      </c>
      <c r="BO97" s="247" t="s">
        <v>876</v>
      </c>
      <c r="BP97" s="264">
        <v>0.14000000000000001</v>
      </c>
      <c r="BQ97" s="264">
        <v>0.86</v>
      </c>
      <c r="BR97" s="264">
        <v>0</v>
      </c>
      <c r="BS97" s="264">
        <v>0</v>
      </c>
      <c r="BT97" s="264">
        <v>0.4</v>
      </c>
      <c r="BU97" s="264">
        <v>0.51</v>
      </c>
      <c r="BV97" s="264">
        <v>0.8</v>
      </c>
      <c r="BW97" s="264">
        <v>0.57999999999999996</v>
      </c>
      <c r="BX97" s="264">
        <v>0.56000000000000005</v>
      </c>
      <c r="BY97" s="264">
        <v>0.59</v>
      </c>
      <c r="BZ97" s="311">
        <v>48</v>
      </c>
      <c r="CA97" s="311" t="s">
        <v>874</v>
      </c>
      <c r="CB97" s="311">
        <v>12</v>
      </c>
      <c r="CC97" s="311" t="s">
        <v>874</v>
      </c>
      <c r="CD97" s="329">
        <v>0.3</v>
      </c>
      <c r="CE97" s="329">
        <v>0.4</v>
      </c>
      <c r="CF97" s="329">
        <v>0.3</v>
      </c>
      <c r="CG97" s="329">
        <v>0</v>
      </c>
      <c r="CH97" s="329">
        <v>0.69</v>
      </c>
      <c r="CI97" s="329">
        <v>0.31</v>
      </c>
      <c r="CJ97" s="329">
        <v>0.57999999999999996</v>
      </c>
      <c r="CK97" s="329">
        <v>0.55000000000000004</v>
      </c>
      <c r="CL97" s="329">
        <v>0.42</v>
      </c>
      <c r="CM97" s="329">
        <v>0.65</v>
      </c>
      <c r="CN97" s="426">
        <v>49</v>
      </c>
      <c r="CO97" s="426" t="s">
        <v>874</v>
      </c>
      <c r="CP97" s="426">
        <v>11</v>
      </c>
      <c r="CQ97" s="426" t="s">
        <v>874</v>
      </c>
      <c r="CR97" s="430">
        <v>0.33</v>
      </c>
      <c r="CS97" s="430">
        <v>0.33</v>
      </c>
      <c r="CT97" s="430">
        <v>0.33</v>
      </c>
      <c r="CU97" s="430">
        <v>0</v>
      </c>
      <c r="CV97" s="430">
        <v>0.42</v>
      </c>
      <c r="CW97" s="430">
        <v>0.56000000000000005</v>
      </c>
      <c r="CX97" s="430">
        <v>0.63</v>
      </c>
      <c r="CY97" s="430">
        <v>0.67</v>
      </c>
      <c r="CZ97" s="527">
        <v>0.25</v>
      </c>
      <c r="DA97" s="527">
        <v>0.75</v>
      </c>
      <c r="DB97" s="528">
        <v>55</v>
      </c>
      <c r="DC97" s="528" t="s">
        <v>874</v>
      </c>
      <c r="DD97" s="528">
        <v>9</v>
      </c>
      <c r="DE97" s="528" t="s">
        <v>874</v>
      </c>
      <c r="DF97" s="529">
        <v>0</v>
      </c>
      <c r="DG97" s="529">
        <v>0.56999999999999995</v>
      </c>
      <c r="DH97" s="529">
        <v>0.43</v>
      </c>
      <c r="DI97" s="529">
        <v>0</v>
      </c>
      <c r="DJ97" s="529">
        <v>0.39</v>
      </c>
      <c r="DK97" s="529">
        <v>0.17</v>
      </c>
      <c r="DL97" s="529">
        <v>0.39</v>
      </c>
      <c r="DM97" s="529">
        <v>0.64</v>
      </c>
      <c r="DN97" s="529">
        <v>0.4</v>
      </c>
      <c r="DO97" s="529">
        <v>0.17</v>
      </c>
    </row>
    <row r="98" spans="1:119" ht="24.95" customHeight="1" x14ac:dyDescent="0.2">
      <c r="A98" s="814" t="s">
        <v>36</v>
      </c>
      <c r="B98" s="1" t="s">
        <v>219</v>
      </c>
      <c r="C98" s="2" t="s">
        <v>220</v>
      </c>
      <c r="D98" s="12">
        <v>50</v>
      </c>
      <c r="E98" s="12">
        <v>9</v>
      </c>
      <c r="F98" s="63">
        <v>0.15</v>
      </c>
      <c r="G98" s="63">
        <v>0.54</v>
      </c>
      <c r="H98" s="63">
        <v>0.32</v>
      </c>
      <c r="I98" s="63">
        <v>0</v>
      </c>
      <c r="J98" s="63">
        <v>0.63</v>
      </c>
      <c r="K98" s="63">
        <v>0.56999999999999995</v>
      </c>
      <c r="L98" s="63">
        <v>0.54</v>
      </c>
      <c r="M98" s="63">
        <v>0.4</v>
      </c>
      <c r="N98" s="63">
        <v>0.44</v>
      </c>
      <c r="O98" s="63">
        <v>0.63</v>
      </c>
      <c r="P98" s="12">
        <v>49</v>
      </c>
      <c r="Q98" s="12">
        <v>9</v>
      </c>
      <c r="R98" s="61">
        <v>0.19</v>
      </c>
      <c r="S98" s="61">
        <v>0.6</v>
      </c>
      <c r="T98" s="61">
        <v>0.21</v>
      </c>
      <c r="U98" s="61">
        <v>0</v>
      </c>
      <c r="V98" s="61">
        <v>0.47</v>
      </c>
      <c r="W98" s="61">
        <v>0.55000000000000004</v>
      </c>
      <c r="X98" s="61">
        <v>0.6</v>
      </c>
      <c r="Y98" s="61">
        <v>0.52</v>
      </c>
      <c r="Z98" s="61">
        <v>0.37</v>
      </c>
      <c r="AA98" s="61">
        <v>0.56000000000000005</v>
      </c>
      <c r="AB98" s="12">
        <v>46</v>
      </c>
      <c r="AC98" s="12">
        <v>11</v>
      </c>
      <c r="AD98" s="63">
        <v>0.32</v>
      </c>
      <c r="AE98" s="63">
        <v>0.41</v>
      </c>
      <c r="AF98" s="63">
        <v>0.26</v>
      </c>
      <c r="AG98" s="63">
        <v>0</v>
      </c>
      <c r="AH98" s="63">
        <v>0.46</v>
      </c>
      <c r="AI98" s="63">
        <v>0.48</v>
      </c>
      <c r="AJ98" s="63">
        <v>0.49</v>
      </c>
      <c r="AK98" s="63">
        <v>0.55000000000000004</v>
      </c>
      <c r="AL98" s="63">
        <v>0.57999999999999996</v>
      </c>
      <c r="AM98" s="63">
        <v>0.56000000000000005</v>
      </c>
      <c r="AN98" s="12">
        <v>46</v>
      </c>
      <c r="AO98" s="12">
        <v>12</v>
      </c>
      <c r="AP98" s="63">
        <v>0.35</v>
      </c>
      <c r="AQ98" s="63">
        <v>0.41</v>
      </c>
      <c r="AR98" s="63">
        <v>0.22</v>
      </c>
      <c r="AS98" s="63">
        <v>0.02</v>
      </c>
      <c r="AT98" s="63">
        <v>0.64</v>
      </c>
      <c r="AU98" s="63">
        <v>0.48</v>
      </c>
      <c r="AV98" s="63">
        <v>0.47</v>
      </c>
      <c r="AW98" s="63">
        <v>0.5</v>
      </c>
      <c r="AX98" s="63">
        <v>0.5</v>
      </c>
      <c r="AY98" s="63">
        <v>0.55000000000000004</v>
      </c>
      <c r="AZ98" s="35">
        <v>48</v>
      </c>
      <c r="BA98" s="35">
        <v>12</v>
      </c>
      <c r="BB98" s="40">
        <v>0.28999999999999998</v>
      </c>
      <c r="BC98" s="40">
        <v>0.47</v>
      </c>
      <c r="BD98" s="40">
        <v>0.24</v>
      </c>
      <c r="BE98" s="40">
        <v>0</v>
      </c>
      <c r="BF98" s="40">
        <v>0.61</v>
      </c>
      <c r="BG98" s="40">
        <v>0.47</v>
      </c>
      <c r="BH98" s="40">
        <v>0.51</v>
      </c>
      <c r="BI98" s="40">
        <v>0.56999999999999995</v>
      </c>
      <c r="BJ98" s="40">
        <v>0.43</v>
      </c>
      <c r="BK98" s="40">
        <v>0.43</v>
      </c>
      <c r="BL98" s="247">
        <v>46</v>
      </c>
      <c r="BM98" s="247" t="s">
        <v>874</v>
      </c>
      <c r="BN98" s="247">
        <v>10</v>
      </c>
      <c r="BO98" s="247" t="s">
        <v>874</v>
      </c>
      <c r="BP98" s="264">
        <v>0.3</v>
      </c>
      <c r="BQ98" s="264">
        <v>0.5</v>
      </c>
      <c r="BR98" s="264">
        <v>0.2</v>
      </c>
      <c r="BS98" s="264">
        <v>0</v>
      </c>
      <c r="BT98" s="264">
        <v>0.42</v>
      </c>
      <c r="BU98" s="264">
        <v>0.56000000000000005</v>
      </c>
      <c r="BV98" s="264">
        <v>0.49</v>
      </c>
      <c r="BW98" s="264">
        <v>0.5</v>
      </c>
      <c r="BX98" s="264">
        <v>0.51</v>
      </c>
      <c r="BY98" s="264">
        <v>0.61</v>
      </c>
      <c r="BZ98" s="311">
        <v>46</v>
      </c>
      <c r="CA98" s="311" t="s">
        <v>874</v>
      </c>
      <c r="CB98" s="311">
        <v>11</v>
      </c>
      <c r="CC98" s="311" t="s">
        <v>874</v>
      </c>
      <c r="CD98" s="329">
        <v>0.33</v>
      </c>
      <c r="CE98" s="329">
        <v>0.48</v>
      </c>
      <c r="CF98" s="329">
        <v>0.2</v>
      </c>
      <c r="CG98" s="329">
        <v>0</v>
      </c>
      <c r="CH98" s="329">
        <v>0.61</v>
      </c>
      <c r="CI98" s="329">
        <v>0.53</v>
      </c>
      <c r="CJ98" s="329">
        <v>0.62</v>
      </c>
      <c r="CK98" s="329">
        <v>0.57999999999999996</v>
      </c>
      <c r="CL98" s="329">
        <v>0.41</v>
      </c>
      <c r="CM98" s="329">
        <v>0.6</v>
      </c>
      <c r="CN98" s="426">
        <v>46</v>
      </c>
      <c r="CO98" s="426" t="s">
        <v>874</v>
      </c>
      <c r="CP98" s="426">
        <v>11</v>
      </c>
      <c r="CQ98" s="426" t="s">
        <v>874</v>
      </c>
      <c r="CR98" s="430">
        <v>0.38</v>
      </c>
      <c r="CS98" s="430">
        <v>0.42</v>
      </c>
      <c r="CT98" s="430">
        <v>0.18</v>
      </c>
      <c r="CU98" s="430">
        <v>0.02</v>
      </c>
      <c r="CV98" s="430">
        <v>0.42</v>
      </c>
      <c r="CW98" s="430">
        <v>0.6</v>
      </c>
      <c r="CX98" s="430">
        <v>0.56999999999999995</v>
      </c>
      <c r="CY98" s="430">
        <v>0.65</v>
      </c>
      <c r="CZ98" s="527">
        <v>0.61</v>
      </c>
      <c r="DA98" s="527">
        <v>0.6</v>
      </c>
      <c r="DB98" s="528">
        <v>44</v>
      </c>
      <c r="DC98" s="528" t="s">
        <v>874</v>
      </c>
      <c r="DD98" s="528">
        <v>10</v>
      </c>
      <c r="DE98" s="528" t="s">
        <v>874</v>
      </c>
      <c r="DF98" s="529">
        <v>0.4</v>
      </c>
      <c r="DG98" s="529">
        <v>0.49</v>
      </c>
      <c r="DH98" s="529">
        <v>0.11</v>
      </c>
      <c r="DI98" s="529">
        <v>0</v>
      </c>
      <c r="DJ98" s="529">
        <v>0.55000000000000004</v>
      </c>
      <c r="DK98" s="529">
        <v>0.6</v>
      </c>
      <c r="DL98" s="529">
        <v>0.57999999999999996</v>
      </c>
      <c r="DM98" s="529">
        <v>0.81</v>
      </c>
      <c r="DN98" s="529">
        <v>0.65</v>
      </c>
      <c r="DO98" s="529">
        <v>0.52</v>
      </c>
    </row>
    <row r="99" spans="1:119" ht="24.95" customHeight="1" x14ac:dyDescent="0.2">
      <c r="A99" s="814" t="s">
        <v>225</v>
      </c>
      <c r="B99" s="1" t="s">
        <v>221</v>
      </c>
      <c r="C99" s="2">
        <v>4</v>
      </c>
      <c r="D99" s="12"/>
      <c r="E99" s="12"/>
      <c r="F99" s="12"/>
      <c r="G99" s="12"/>
      <c r="H99" s="12"/>
      <c r="I99" s="12"/>
      <c r="J99" s="12"/>
      <c r="K99" s="12"/>
      <c r="L99" s="12"/>
      <c r="M99" s="12"/>
      <c r="N99" s="12"/>
      <c r="O99" s="12"/>
      <c r="P99" s="12">
        <v>64</v>
      </c>
      <c r="Q99" s="12">
        <v>0</v>
      </c>
      <c r="R99" s="61">
        <v>0</v>
      </c>
      <c r="S99" s="61">
        <v>0</v>
      </c>
      <c r="T99" s="61">
        <v>1</v>
      </c>
      <c r="U99" s="61">
        <v>0</v>
      </c>
      <c r="V99" s="61">
        <v>0.3</v>
      </c>
      <c r="W99" s="61">
        <v>0.25</v>
      </c>
      <c r="X99" s="61">
        <v>0.25</v>
      </c>
      <c r="Y99" s="61">
        <v>0.25</v>
      </c>
      <c r="Z99" s="61">
        <v>0.27</v>
      </c>
      <c r="AA99" s="61">
        <v>0</v>
      </c>
      <c r="AB99" s="12" t="s">
        <v>224</v>
      </c>
      <c r="AC99" s="12" t="s">
        <v>224</v>
      </c>
      <c r="AD99" s="2"/>
      <c r="AE99" s="2"/>
      <c r="AF99" s="2"/>
      <c r="AG99" s="2"/>
      <c r="AH99" s="2"/>
      <c r="AI99" s="2"/>
      <c r="AJ99" s="2"/>
      <c r="AK99" s="2"/>
      <c r="AL99" s="2"/>
      <c r="AM99" s="2"/>
      <c r="AN99" s="12" t="s">
        <v>224</v>
      </c>
      <c r="AO99" s="12" t="s">
        <v>224</v>
      </c>
      <c r="AP99" s="2"/>
      <c r="AQ99" s="2"/>
      <c r="AR99" s="2"/>
      <c r="AS99" s="2"/>
      <c r="AT99" s="2"/>
      <c r="AU99" s="2"/>
      <c r="AV99" s="2"/>
      <c r="AW99" s="2"/>
      <c r="AX99" s="2"/>
      <c r="AY99" s="2"/>
      <c r="AZ99" s="35"/>
      <c r="BA99" s="35"/>
      <c r="BB99" s="40"/>
      <c r="BC99" s="40"/>
      <c r="BD99" s="40"/>
      <c r="BE99" s="40"/>
      <c r="BF99" s="40"/>
      <c r="BG99" s="40"/>
      <c r="BH99" s="40"/>
      <c r="BI99" s="40"/>
      <c r="BJ99" s="40"/>
      <c r="BK99" s="40"/>
      <c r="BL99" s="652"/>
      <c r="BM99" s="652"/>
      <c r="BN99" s="652"/>
      <c r="BO99" s="652"/>
      <c r="BP99" s="652"/>
      <c r="BQ99" s="652"/>
      <c r="BR99" s="652"/>
      <c r="BS99" s="652"/>
      <c r="BT99" s="652"/>
      <c r="BU99" s="652"/>
      <c r="BV99" s="652"/>
      <c r="BW99" s="652"/>
      <c r="BX99" s="652"/>
      <c r="BY99" s="652"/>
      <c r="BZ99" s="655"/>
      <c r="CA99" s="655"/>
      <c r="CB99" s="655"/>
      <c r="CC99" s="655"/>
      <c r="CD99" s="655"/>
      <c r="CE99" s="655"/>
      <c r="CF99" s="655"/>
      <c r="CG99" s="655"/>
      <c r="CH99" s="655"/>
      <c r="CI99" s="655"/>
      <c r="CJ99" s="655"/>
      <c r="CK99" s="655"/>
      <c r="CL99" s="655"/>
      <c r="CM99" s="655"/>
      <c r="CN99" s="657"/>
      <c r="CO99" s="657"/>
      <c r="CP99" s="657"/>
      <c r="CQ99" s="657"/>
      <c r="CR99" s="657"/>
      <c r="CS99" s="657"/>
      <c r="CT99" s="657"/>
      <c r="CU99" s="657"/>
      <c r="CV99" s="657"/>
      <c r="CW99" s="657"/>
      <c r="CX99" s="657"/>
      <c r="CY99" s="657"/>
      <c r="CZ99" s="666"/>
      <c r="DA99" s="666"/>
      <c r="DB99" s="668"/>
      <c r="DC99" s="668"/>
      <c r="DD99" s="668"/>
      <c r="DE99" s="668"/>
      <c r="DF99" s="668"/>
      <c r="DG99" s="668"/>
      <c r="DH99" s="668"/>
      <c r="DI99" s="668"/>
      <c r="DJ99" s="668"/>
      <c r="DK99" s="668"/>
      <c r="DL99" s="668"/>
      <c r="DM99" s="668"/>
      <c r="DN99" s="668"/>
      <c r="DO99" s="668"/>
    </row>
    <row r="100" spans="1:119" ht="24.95" customHeight="1" x14ac:dyDescent="0.2">
      <c r="A100" s="814" t="s">
        <v>92</v>
      </c>
      <c r="B100" s="1" t="s">
        <v>219</v>
      </c>
      <c r="C100" s="2">
        <v>1</v>
      </c>
      <c r="D100" s="12">
        <v>49</v>
      </c>
      <c r="E100" s="12">
        <v>9</v>
      </c>
      <c r="F100" s="63">
        <v>0.23</v>
      </c>
      <c r="G100" s="63">
        <v>0.53</v>
      </c>
      <c r="H100" s="63">
        <v>0.24</v>
      </c>
      <c r="I100" s="63">
        <v>0.01</v>
      </c>
      <c r="J100" s="63">
        <v>0.57999999999999996</v>
      </c>
      <c r="K100" s="63">
        <v>0.52</v>
      </c>
      <c r="L100" s="63">
        <v>0.64</v>
      </c>
      <c r="M100" s="63">
        <v>0.46</v>
      </c>
      <c r="N100" s="63">
        <v>0.41</v>
      </c>
      <c r="O100" s="63">
        <v>0.54</v>
      </c>
      <c r="P100" s="12">
        <v>51</v>
      </c>
      <c r="Q100" s="12">
        <v>9</v>
      </c>
      <c r="R100" s="61">
        <v>0.12</v>
      </c>
      <c r="S100" s="61">
        <v>0.55000000000000004</v>
      </c>
      <c r="T100" s="61">
        <v>0.31</v>
      </c>
      <c r="U100" s="61">
        <v>0.02</v>
      </c>
      <c r="V100" s="61">
        <v>0.43</v>
      </c>
      <c r="W100" s="61">
        <v>0.47</v>
      </c>
      <c r="X100" s="61">
        <v>0.54</v>
      </c>
      <c r="Y100" s="61">
        <v>0.45</v>
      </c>
      <c r="Z100" s="61">
        <v>0.44</v>
      </c>
      <c r="AA100" s="61">
        <v>0.48</v>
      </c>
      <c r="AB100" s="12">
        <v>48</v>
      </c>
      <c r="AC100" s="12">
        <v>10</v>
      </c>
      <c r="AD100" s="63">
        <v>0.24</v>
      </c>
      <c r="AE100" s="63">
        <v>0.54</v>
      </c>
      <c r="AF100" s="63">
        <v>0.23</v>
      </c>
      <c r="AG100" s="63">
        <v>0</v>
      </c>
      <c r="AH100" s="63">
        <v>0.48</v>
      </c>
      <c r="AI100" s="63">
        <v>0.46</v>
      </c>
      <c r="AJ100" s="63">
        <v>0.4</v>
      </c>
      <c r="AK100" s="63">
        <v>0.54</v>
      </c>
      <c r="AL100" s="63">
        <v>0.56999999999999995</v>
      </c>
      <c r="AM100" s="63">
        <v>0.56999999999999995</v>
      </c>
      <c r="AN100" s="12">
        <v>48</v>
      </c>
      <c r="AO100" s="12">
        <v>11</v>
      </c>
      <c r="AP100" s="63">
        <v>0.26</v>
      </c>
      <c r="AQ100" s="63">
        <v>0.51</v>
      </c>
      <c r="AR100" s="63">
        <v>0.21</v>
      </c>
      <c r="AS100" s="63">
        <v>0.02</v>
      </c>
      <c r="AT100" s="63">
        <v>0.54</v>
      </c>
      <c r="AU100" s="63">
        <v>0.5</v>
      </c>
      <c r="AV100" s="63">
        <v>0.46</v>
      </c>
      <c r="AW100" s="63">
        <v>0.46</v>
      </c>
      <c r="AX100" s="63">
        <v>0.5</v>
      </c>
      <c r="AY100" s="63">
        <v>0.49</v>
      </c>
      <c r="AZ100" s="35">
        <v>49</v>
      </c>
      <c r="BA100" s="35">
        <v>11</v>
      </c>
      <c r="BB100" s="40">
        <v>0.23</v>
      </c>
      <c r="BC100" s="40">
        <v>0.49</v>
      </c>
      <c r="BD100" s="40">
        <v>0.26</v>
      </c>
      <c r="BE100" s="40">
        <v>0.02</v>
      </c>
      <c r="BF100" s="40">
        <v>0.49</v>
      </c>
      <c r="BG100" s="40">
        <v>0.48</v>
      </c>
      <c r="BH100" s="40">
        <v>0.5</v>
      </c>
      <c r="BI100" s="40">
        <v>0.56999999999999995</v>
      </c>
      <c r="BJ100" s="40">
        <v>0.44</v>
      </c>
      <c r="BK100" s="40">
        <v>0.43</v>
      </c>
      <c r="BL100" s="653">
        <v>48</v>
      </c>
      <c r="BM100" s="653" t="s">
        <v>874</v>
      </c>
      <c r="BN100" s="653">
        <v>10</v>
      </c>
      <c r="BO100" s="653" t="s">
        <v>874</v>
      </c>
      <c r="BP100" s="654">
        <v>0.23</v>
      </c>
      <c r="BQ100" s="654">
        <v>0.51</v>
      </c>
      <c r="BR100" s="654">
        <v>0.25</v>
      </c>
      <c r="BS100" s="654">
        <v>0.01</v>
      </c>
      <c r="BT100" s="654">
        <v>0.46</v>
      </c>
      <c r="BU100" s="654">
        <v>0.5</v>
      </c>
      <c r="BV100" s="654">
        <v>0.61</v>
      </c>
      <c r="BW100" s="654">
        <v>0.44</v>
      </c>
      <c r="BX100" s="654">
        <v>0.48</v>
      </c>
      <c r="BY100" s="654">
        <v>0.55000000000000004</v>
      </c>
      <c r="BZ100" s="74">
        <v>47</v>
      </c>
      <c r="CA100" s="74" t="s">
        <v>874</v>
      </c>
      <c r="CB100" s="74">
        <v>11</v>
      </c>
      <c r="CC100" s="74" t="s">
        <v>874</v>
      </c>
      <c r="CD100" s="96">
        <v>0.32</v>
      </c>
      <c r="CE100" s="96">
        <v>0.45</v>
      </c>
      <c r="CF100" s="96">
        <v>0.21</v>
      </c>
      <c r="CG100" s="96">
        <v>0.02</v>
      </c>
      <c r="CH100" s="96">
        <v>0.55000000000000004</v>
      </c>
      <c r="CI100" s="96">
        <v>0.47</v>
      </c>
      <c r="CJ100" s="96">
        <v>0.56999999999999995</v>
      </c>
      <c r="CK100" s="96">
        <v>0.57999999999999996</v>
      </c>
      <c r="CL100" s="96">
        <v>0.47</v>
      </c>
      <c r="CM100" s="96">
        <v>0.59</v>
      </c>
      <c r="CN100" s="658">
        <v>47</v>
      </c>
      <c r="CO100" s="658" t="s">
        <v>874</v>
      </c>
      <c r="CP100" s="658">
        <v>10</v>
      </c>
      <c r="CQ100" s="658" t="s">
        <v>874</v>
      </c>
      <c r="CR100" s="659">
        <v>0.31</v>
      </c>
      <c r="CS100" s="659">
        <v>0.48</v>
      </c>
      <c r="CT100" s="659">
        <v>0.2</v>
      </c>
      <c r="CU100" s="659">
        <v>0.01</v>
      </c>
      <c r="CV100" s="659">
        <v>0.38</v>
      </c>
      <c r="CW100" s="659">
        <v>0.6</v>
      </c>
      <c r="CX100" s="659">
        <v>0.6</v>
      </c>
      <c r="CY100" s="659">
        <v>0.59</v>
      </c>
      <c r="CZ100" s="667">
        <v>0.62</v>
      </c>
      <c r="DA100" s="667">
        <v>0.63</v>
      </c>
      <c r="DB100" s="47">
        <v>48</v>
      </c>
      <c r="DC100" s="47" t="s">
        <v>874</v>
      </c>
      <c r="DD100" s="47">
        <v>11</v>
      </c>
      <c r="DE100" s="47" t="s">
        <v>874</v>
      </c>
      <c r="DF100" s="670">
        <v>0.27</v>
      </c>
      <c r="DG100" s="670">
        <v>0.47</v>
      </c>
      <c r="DH100" s="670">
        <v>0.25</v>
      </c>
      <c r="DI100" s="670">
        <v>0.01</v>
      </c>
      <c r="DJ100" s="670">
        <v>0.53</v>
      </c>
      <c r="DK100" s="670">
        <v>0.53</v>
      </c>
      <c r="DL100" s="670">
        <v>0.54</v>
      </c>
      <c r="DM100" s="670">
        <v>0.64</v>
      </c>
      <c r="DN100" s="670">
        <v>0.56000000000000005</v>
      </c>
      <c r="DO100" s="670">
        <v>0.4</v>
      </c>
    </row>
    <row r="101" spans="1:119" ht="24.95" customHeight="1" x14ac:dyDescent="0.2">
      <c r="A101" s="814" t="s">
        <v>27</v>
      </c>
      <c r="B101" s="1" t="s">
        <v>219</v>
      </c>
      <c r="C101" s="2">
        <v>6</v>
      </c>
      <c r="D101" s="12">
        <v>50</v>
      </c>
      <c r="E101" s="12">
        <v>9</v>
      </c>
      <c r="F101" s="63">
        <v>0.17</v>
      </c>
      <c r="G101" s="63">
        <v>0.59</v>
      </c>
      <c r="H101" s="63">
        <v>0.24</v>
      </c>
      <c r="I101" s="63">
        <v>0</v>
      </c>
      <c r="J101" s="63">
        <v>0.56000000000000005</v>
      </c>
      <c r="K101" s="63">
        <v>0.51</v>
      </c>
      <c r="L101" s="63">
        <v>0.64</v>
      </c>
      <c r="M101" s="63">
        <v>0.43</v>
      </c>
      <c r="N101" s="63">
        <v>0.47</v>
      </c>
      <c r="O101" s="63">
        <v>0.51</v>
      </c>
      <c r="P101" s="12">
        <v>49</v>
      </c>
      <c r="Q101" s="12">
        <v>9</v>
      </c>
      <c r="R101" s="61">
        <v>0.17</v>
      </c>
      <c r="S101" s="61">
        <v>0.59</v>
      </c>
      <c r="T101" s="61">
        <v>0.24</v>
      </c>
      <c r="U101" s="61">
        <v>0</v>
      </c>
      <c r="V101" s="61">
        <v>0.45</v>
      </c>
      <c r="W101" s="61">
        <v>0.52</v>
      </c>
      <c r="X101" s="61">
        <v>0.54</v>
      </c>
      <c r="Y101" s="61">
        <v>0.48</v>
      </c>
      <c r="Z101" s="61">
        <v>0.49</v>
      </c>
      <c r="AA101" s="61">
        <v>0.56000000000000005</v>
      </c>
      <c r="AB101" s="12">
        <v>46</v>
      </c>
      <c r="AC101" s="12">
        <v>10</v>
      </c>
      <c r="AD101" s="63">
        <v>0.31</v>
      </c>
      <c r="AE101" s="63">
        <v>0.51</v>
      </c>
      <c r="AF101" s="63">
        <v>0.17</v>
      </c>
      <c r="AG101" s="63">
        <v>0.01</v>
      </c>
      <c r="AH101" s="63">
        <v>0.5</v>
      </c>
      <c r="AI101" s="63">
        <v>0.45</v>
      </c>
      <c r="AJ101" s="63">
        <v>0.48</v>
      </c>
      <c r="AK101" s="63">
        <v>0.56999999999999995</v>
      </c>
      <c r="AL101" s="63">
        <v>0.63</v>
      </c>
      <c r="AM101" s="63">
        <v>0.55000000000000004</v>
      </c>
      <c r="AN101" s="12">
        <v>47</v>
      </c>
      <c r="AO101" s="12">
        <v>11</v>
      </c>
      <c r="AP101" s="63">
        <v>0.33</v>
      </c>
      <c r="AQ101" s="63">
        <v>0.46</v>
      </c>
      <c r="AR101" s="63">
        <v>0.19</v>
      </c>
      <c r="AS101" s="63">
        <v>0.02</v>
      </c>
      <c r="AT101" s="63">
        <v>0.57999999999999996</v>
      </c>
      <c r="AU101" s="63">
        <v>0.49</v>
      </c>
      <c r="AV101" s="63">
        <v>0.48</v>
      </c>
      <c r="AW101" s="63">
        <v>0.52</v>
      </c>
      <c r="AX101" s="63">
        <v>0.5</v>
      </c>
      <c r="AY101" s="63">
        <v>0.5</v>
      </c>
      <c r="AZ101" s="35">
        <v>48</v>
      </c>
      <c r="BA101" s="35">
        <v>10</v>
      </c>
      <c r="BB101" s="40">
        <v>0.24</v>
      </c>
      <c r="BC101" s="40">
        <v>0.53</v>
      </c>
      <c r="BD101" s="40">
        <v>0.21</v>
      </c>
      <c r="BE101" s="40">
        <v>0.02</v>
      </c>
      <c r="BF101" s="40">
        <v>0.5</v>
      </c>
      <c r="BG101" s="40">
        <v>0.55000000000000004</v>
      </c>
      <c r="BH101" s="40">
        <v>0.51</v>
      </c>
      <c r="BI101" s="40">
        <v>0.56999999999999995</v>
      </c>
      <c r="BJ101" s="40">
        <v>0.46</v>
      </c>
      <c r="BK101" s="40">
        <v>0.45</v>
      </c>
      <c r="BL101" s="247">
        <v>46</v>
      </c>
      <c r="BM101" s="247" t="s">
        <v>874</v>
      </c>
      <c r="BN101" s="247">
        <v>10</v>
      </c>
      <c r="BO101" s="247" t="s">
        <v>874</v>
      </c>
      <c r="BP101" s="264">
        <v>0.31</v>
      </c>
      <c r="BQ101" s="264">
        <v>0.5</v>
      </c>
      <c r="BR101" s="264">
        <v>0.19</v>
      </c>
      <c r="BS101" s="264">
        <v>0</v>
      </c>
      <c r="BT101" s="264">
        <v>0.5</v>
      </c>
      <c r="BU101" s="264">
        <v>0.55000000000000004</v>
      </c>
      <c r="BV101" s="264">
        <v>0.59</v>
      </c>
      <c r="BW101" s="264">
        <v>0.45</v>
      </c>
      <c r="BX101" s="264">
        <v>0.52</v>
      </c>
      <c r="BY101" s="264">
        <v>0.59</v>
      </c>
      <c r="BZ101" s="311">
        <v>46</v>
      </c>
      <c r="CA101" s="311" t="s">
        <v>874</v>
      </c>
      <c r="CB101" s="311">
        <v>10</v>
      </c>
      <c r="CC101" s="311" t="s">
        <v>874</v>
      </c>
      <c r="CD101" s="329">
        <v>0.3</v>
      </c>
      <c r="CE101" s="329">
        <v>0.5</v>
      </c>
      <c r="CF101" s="329">
        <v>0.19</v>
      </c>
      <c r="CG101" s="329">
        <v>0.01</v>
      </c>
      <c r="CH101" s="329">
        <v>0.55000000000000004</v>
      </c>
      <c r="CI101" s="329">
        <v>0.45</v>
      </c>
      <c r="CJ101" s="329">
        <v>0.62</v>
      </c>
      <c r="CK101" s="329">
        <v>0.6</v>
      </c>
      <c r="CL101" s="329">
        <v>0.47</v>
      </c>
      <c r="CM101" s="329">
        <v>0.63</v>
      </c>
      <c r="CN101" s="426">
        <v>47</v>
      </c>
      <c r="CO101" s="426" t="s">
        <v>874</v>
      </c>
      <c r="CP101" s="426">
        <v>10</v>
      </c>
      <c r="CQ101" s="426" t="s">
        <v>874</v>
      </c>
      <c r="CR101" s="430">
        <v>0.28000000000000003</v>
      </c>
      <c r="CS101" s="430">
        <v>0.51</v>
      </c>
      <c r="CT101" s="430">
        <v>0.19</v>
      </c>
      <c r="CU101" s="430">
        <v>0.01</v>
      </c>
      <c r="CV101" s="430">
        <v>0.42</v>
      </c>
      <c r="CW101" s="430">
        <v>0.61</v>
      </c>
      <c r="CX101" s="430">
        <v>0.64</v>
      </c>
      <c r="CY101" s="430">
        <v>0.61</v>
      </c>
      <c r="CZ101" s="527">
        <v>0.62</v>
      </c>
      <c r="DA101" s="527">
        <v>0.56000000000000005</v>
      </c>
      <c r="DB101" s="528">
        <v>47</v>
      </c>
      <c r="DC101" s="528" t="s">
        <v>874</v>
      </c>
      <c r="DD101" s="528">
        <v>10</v>
      </c>
      <c r="DE101" s="528" t="s">
        <v>874</v>
      </c>
      <c r="DF101" s="529">
        <v>0.28999999999999998</v>
      </c>
      <c r="DG101" s="529">
        <v>0.49</v>
      </c>
      <c r="DH101" s="529">
        <v>0.2</v>
      </c>
      <c r="DI101" s="529">
        <v>0.02</v>
      </c>
      <c r="DJ101" s="529">
        <v>0.5</v>
      </c>
      <c r="DK101" s="529">
        <v>0.56000000000000005</v>
      </c>
      <c r="DL101" s="529">
        <v>0.53</v>
      </c>
      <c r="DM101" s="529">
        <v>0.66</v>
      </c>
      <c r="DN101" s="529">
        <v>0.56999999999999995</v>
      </c>
      <c r="DO101" s="529">
        <v>0.51</v>
      </c>
    </row>
    <row r="102" spans="1:119" ht="24.95" customHeight="1" x14ac:dyDescent="0.2">
      <c r="A102" s="814" t="s">
        <v>147</v>
      </c>
      <c r="B102" s="1" t="s">
        <v>219</v>
      </c>
      <c r="C102" s="2">
        <v>5</v>
      </c>
      <c r="D102" s="12">
        <v>53</v>
      </c>
      <c r="E102" s="12">
        <v>9</v>
      </c>
      <c r="F102" s="63">
        <v>0.11</v>
      </c>
      <c r="G102" s="63">
        <v>0.52</v>
      </c>
      <c r="H102" s="63">
        <v>0.36</v>
      </c>
      <c r="I102" s="63">
        <v>0.02</v>
      </c>
      <c r="J102" s="63">
        <v>0.5</v>
      </c>
      <c r="K102" s="63">
        <v>0.47</v>
      </c>
      <c r="L102" s="63">
        <v>0.61</v>
      </c>
      <c r="M102" s="63">
        <v>0.39</v>
      </c>
      <c r="N102" s="63">
        <v>0.43</v>
      </c>
      <c r="O102" s="63">
        <v>0.51</v>
      </c>
      <c r="P102" s="12">
        <v>52</v>
      </c>
      <c r="Q102" s="12">
        <v>10</v>
      </c>
      <c r="R102" s="61">
        <v>0.11</v>
      </c>
      <c r="S102" s="61">
        <v>0.54</v>
      </c>
      <c r="T102" s="61">
        <v>0.32</v>
      </c>
      <c r="U102" s="61">
        <v>0.03</v>
      </c>
      <c r="V102" s="61">
        <v>0.39</v>
      </c>
      <c r="W102" s="61">
        <v>0.45</v>
      </c>
      <c r="X102" s="61">
        <v>0.54</v>
      </c>
      <c r="Y102" s="61">
        <v>0.44</v>
      </c>
      <c r="Z102" s="61">
        <v>0.44</v>
      </c>
      <c r="AA102" s="61">
        <v>0.49</v>
      </c>
      <c r="AB102" s="12">
        <v>49</v>
      </c>
      <c r="AC102" s="12">
        <v>10</v>
      </c>
      <c r="AD102" s="63">
        <v>0.23</v>
      </c>
      <c r="AE102" s="63">
        <v>0.49</v>
      </c>
      <c r="AF102" s="63">
        <v>0.27</v>
      </c>
      <c r="AG102" s="63">
        <v>0.01</v>
      </c>
      <c r="AH102" s="63">
        <v>0.44</v>
      </c>
      <c r="AI102" s="63">
        <v>0.46</v>
      </c>
      <c r="AJ102" s="63">
        <v>0.42</v>
      </c>
      <c r="AK102" s="63">
        <v>0.51</v>
      </c>
      <c r="AL102" s="63">
        <v>0.59</v>
      </c>
      <c r="AM102" s="63">
        <v>0.56000000000000005</v>
      </c>
      <c r="AN102" s="12">
        <v>48</v>
      </c>
      <c r="AO102" s="12">
        <v>10</v>
      </c>
      <c r="AP102" s="63">
        <v>0.21</v>
      </c>
      <c r="AQ102" s="63">
        <v>0.56999999999999995</v>
      </c>
      <c r="AR102" s="63">
        <v>0.22</v>
      </c>
      <c r="AS102" s="63">
        <v>0.01</v>
      </c>
      <c r="AT102" s="63">
        <v>0.52</v>
      </c>
      <c r="AU102" s="63">
        <v>0.52</v>
      </c>
      <c r="AV102" s="63">
        <v>0.44</v>
      </c>
      <c r="AW102" s="63">
        <v>0.49</v>
      </c>
      <c r="AX102" s="63">
        <v>0.48</v>
      </c>
      <c r="AY102" s="63">
        <v>0.48</v>
      </c>
      <c r="AZ102" s="35">
        <v>50</v>
      </c>
      <c r="BA102" s="35">
        <v>10</v>
      </c>
      <c r="BB102" s="40">
        <v>0.22</v>
      </c>
      <c r="BC102" s="40">
        <v>0.5</v>
      </c>
      <c r="BD102" s="40">
        <v>0.27</v>
      </c>
      <c r="BE102" s="40">
        <v>0.01</v>
      </c>
      <c r="BF102" s="40">
        <v>0.52</v>
      </c>
      <c r="BG102" s="40">
        <v>0.49</v>
      </c>
      <c r="BH102" s="40">
        <v>0.48</v>
      </c>
      <c r="BI102" s="40">
        <v>0.54</v>
      </c>
      <c r="BJ102" s="40">
        <v>0.42</v>
      </c>
      <c r="BK102" s="40">
        <v>0.4</v>
      </c>
      <c r="BL102" s="247">
        <v>49</v>
      </c>
      <c r="BM102" s="247" t="s">
        <v>874</v>
      </c>
      <c r="BN102" s="247">
        <v>11</v>
      </c>
      <c r="BO102" s="247" t="s">
        <v>874</v>
      </c>
      <c r="BP102" s="264">
        <v>0.24</v>
      </c>
      <c r="BQ102" s="264">
        <v>0.47</v>
      </c>
      <c r="BR102" s="264">
        <v>0.28000000000000003</v>
      </c>
      <c r="BS102" s="264">
        <v>0.02</v>
      </c>
      <c r="BT102" s="264">
        <v>0.45</v>
      </c>
      <c r="BU102" s="264">
        <v>0.49</v>
      </c>
      <c r="BV102" s="264">
        <v>0.59</v>
      </c>
      <c r="BW102" s="264">
        <v>0.43</v>
      </c>
      <c r="BX102" s="264">
        <v>0.49</v>
      </c>
      <c r="BY102" s="264">
        <v>0.53</v>
      </c>
      <c r="BZ102" s="311">
        <v>50</v>
      </c>
      <c r="CA102" s="311" t="s">
        <v>874</v>
      </c>
      <c r="CB102" s="311">
        <v>10</v>
      </c>
      <c r="CC102" s="311" t="s">
        <v>874</v>
      </c>
      <c r="CD102" s="329">
        <v>0.18</v>
      </c>
      <c r="CE102" s="329">
        <v>0.52</v>
      </c>
      <c r="CF102" s="329">
        <v>0.27</v>
      </c>
      <c r="CG102" s="329">
        <v>0.03</v>
      </c>
      <c r="CH102" s="329">
        <v>0.5</v>
      </c>
      <c r="CI102" s="329">
        <v>0.39</v>
      </c>
      <c r="CJ102" s="329">
        <v>0.56000000000000005</v>
      </c>
      <c r="CK102" s="329">
        <v>0.52</v>
      </c>
      <c r="CL102" s="329">
        <v>0.41</v>
      </c>
      <c r="CM102" s="329">
        <v>0.54</v>
      </c>
      <c r="CN102" s="426">
        <v>51</v>
      </c>
      <c r="CO102" s="426" t="s">
        <v>874</v>
      </c>
      <c r="CP102" s="426">
        <v>10</v>
      </c>
      <c r="CQ102" s="426" t="s">
        <v>874</v>
      </c>
      <c r="CR102" s="430">
        <v>0.18</v>
      </c>
      <c r="CS102" s="430">
        <v>0.49</v>
      </c>
      <c r="CT102" s="430">
        <v>0.32</v>
      </c>
      <c r="CU102" s="430">
        <v>0.02</v>
      </c>
      <c r="CV102" s="430">
        <v>0.34</v>
      </c>
      <c r="CW102" s="430">
        <v>0.53</v>
      </c>
      <c r="CX102" s="430">
        <v>0.56999999999999995</v>
      </c>
      <c r="CY102" s="430">
        <v>0.69</v>
      </c>
      <c r="CZ102" s="527">
        <v>0.55000000000000004</v>
      </c>
      <c r="DA102" s="527">
        <v>0.5</v>
      </c>
      <c r="DB102" s="528">
        <v>50</v>
      </c>
      <c r="DC102" s="528" t="s">
        <v>874</v>
      </c>
      <c r="DD102" s="528">
        <v>10</v>
      </c>
      <c r="DE102" s="528" t="s">
        <v>874</v>
      </c>
      <c r="DF102" s="529">
        <v>0.18</v>
      </c>
      <c r="DG102" s="529">
        <v>0.52</v>
      </c>
      <c r="DH102" s="529">
        <v>0.28999999999999998</v>
      </c>
      <c r="DI102" s="529">
        <v>0</v>
      </c>
      <c r="DJ102" s="529">
        <v>0.49</v>
      </c>
      <c r="DK102" s="529">
        <v>0.47</v>
      </c>
      <c r="DL102" s="529">
        <v>0.48</v>
      </c>
      <c r="DM102" s="529">
        <v>0.67</v>
      </c>
      <c r="DN102" s="529">
        <v>0.49</v>
      </c>
      <c r="DO102" s="529">
        <v>0.43</v>
      </c>
    </row>
    <row r="103" spans="1:119" ht="24.95" customHeight="1" x14ac:dyDescent="0.2">
      <c r="A103" s="814" t="s">
        <v>112</v>
      </c>
      <c r="B103" s="1" t="s">
        <v>219</v>
      </c>
      <c r="C103" s="2">
        <v>4</v>
      </c>
      <c r="D103" s="12">
        <v>46</v>
      </c>
      <c r="E103" s="12">
        <v>9</v>
      </c>
      <c r="F103" s="63">
        <v>0.32</v>
      </c>
      <c r="G103" s="63">
        <v>0.53</v>
      </c>
      <c r="H103" s="63">
        <v>0.14000000000000001</v>
      </c>
      <c r="I103" s="63">
        <v>0</v>
      </c>
      <c r="J103" s="63">
        <v>0.68</v>
      </c>
      <c r="K103" s="63">
        <v>0.56999999999999995</v>
      </c>
      <c r="L103" s="63">
        <v>0.66</v>
      </c>
      <c r="M103" s="63">
        <v>0.53</v>
      </c>
      <c r="N103" s="63">
        <v>0.51</v>
      </c>
      <c r="O103" s="63">
        <v>0.66</v>
      </c>
      <c r="P103" s="12">
        <v>47</v>
      </c>
      <c r="Q103" s="12">
        <v>11</v>
      </c>
      <c r="R103" s="61">
        <v>0.28999999999999998</v>
      </c>
      <c r="S103" s="61">
        <v>0.51</v>
      </c>
      <c r="T103" s="61">
        <v>0.17</v>
      </c>
      <c r="U103" s="61">
        <v>0.03</v>
      </c>
      <c r="V103" s="61">
        <v>0.5</v>
      </c>
      <c r="W103" s="61">
        <v>0.55000000000000004</v>
      </c>
      <c r="X103" s="61">
        <v>0.6</v>
      </c>
      <c r="Y103" s="61">
        <v>0.54</v>
      </c>
      <c r="Z103" s="61">
        <v>0.46</v>
      </c>
      <c r="AA103" s="61">
        <v>0.56999999999999995</v>
      </c>
      <c r="AB103" s="12">
        <v>45</v>
      </c>
      <c r="AC103" s="12">
        <v>11</v>
      </c>
      <c r="AD103" s="63">
        <v>0.39</v>
      </c>
      <c r="AE103" s="63">
        <v>0.44</v>
      </c>
      <c r="AF103" s="63">
        <v>0.16</v>
      </c>
      <c r="AG103" s="63">
        <v>0.02</v>
      </c>
      <c r="AH103" s="63">
        <v>0.5</v>
      </c>
      <c r="AI103" s="63">
        <v>0.54</v>
      </c>
      <c r="AJ103" s="63">
        <v>0.51</v>
      </c>
      <c r="AK103" s="63">
        <v>0.57999999999999996</v>
      </c>
      <c r="AL103" s="63">
        <v>0.63</v>
      </c>
      <c r="AM103" s="63">
        <v>0.56999999999999995</v>
      </c>
      <c r="AN103" s="12">
        <v>40</v>
      </c>
      <c r="AO103" s="12">
        <v>11</v>
      </c>
      <c r="AP103" s="63">
        <v>0.64</v>
      </c>
      <c r="AQ103" s="63">
        <v>0.25</v>
      </c>
      <c r="AR103" s="63">
        <v>0.1</v>
      </c>
      <c r="AS103" s="63">
        <v>0.01</v>
      </c>
      <c r="AT103" s="63">
        <v>0.66</v>
      </c>
      <c r="AU103" s="63">
        <v>0.6</v>
      </c>
      <c r="AV103" s="63">
        <v>0.56000000000000005</v>
      </c>
      <c r="AW103" s="63">
        <v>0.62</v>
      </c>
      <c r="AX103" s="63">
        <v>0.62</v>
      </c>
      <c r="AY103" s="63">
        <v>0.63</v>
      </c>
      <c r="AZ103" s="35">
        <v>45</v>
      </c>
      <c r="BA103" s="35">
        <v>9</v>
      </c>
      <c r="BB103" s="40">
        <v>0.36</v>
      </c>
      <c r="BC103" s="40">
        <v>0.5</v>
      </c>
      <c r="BD103" s="40">
        <v>0.14000000000000001</v>
      </c>
      <c r="BE103" s="40">
        <v>0</v>
      </c>
      <c r="BF103" s="40">
        <v>0.55000000000000004</v>
      </c>
      <c r="BG103" s="40">
        <v>0.56000000000000005</v>
      </c>
      <c r="BH103" s="40">
        <v>0.55000000000000004</v>
      </c>
      <c r="BI103" s="40">
        <v>0.61</v>
      </c>
      <c r="BJ103" s="40">
        <v>0.51</v>
      </c>
      <c r="BK103" s="40">
        <v>0.55000000000000004</v>
      </c>
      <c r="BL103" s="247">
        <v>44</v>
      </c>
      <c r="BM103" s="247" t="s">
        <v>874</v>
      </c>
      <c r="BN103" s="247">
        <v>10</v>
      </c>
      <c r="BO103" s="247" t="s">
        <v>874</v>
      </c>
      <c r="BP103" s="264">
        <v>0.38</v>
      </c>
      <c r="BQ103" s="264">
        <v>0.49</v>
      </c>
      <c r="BR103" s="264">
        <v>0.13</v>
      </c>
      <c r="BS103" s="264">
        <v>0</v>
      </c>
      <c r="BT103" s="264">
        <v>0.54</v>
      </c>
      <c r="BU103" s="264">
        <v>0.55000000000000004</v>
      </c>
      <c r="BV103" s="264">
        <v>0.65</v>
      </c>
      <c r="BW103" s="264">
        <v>0.52</v>
      </c>
      <c r="BX103" s="264">
        <v>0.56999999999999995</v>
      </c>
      <c r="BY103" s="264">
        <v>0.6</v>
      </c>
      <c r="BZ103" s="311">
        <v>44</v>
      </c>
      <c r="CA103" s="311" t="s">
        <v>874</v>
      </c>
      <c r="CB103" s="311">
        <v>10</v>
      </c>
      <c r="CC103" s="311" t="s">
        <v>874</v>
      </c>
      <c r="CD103" s="329">
        <v>0.38</v>
      </c>
      <c r="CE103" s="329">
        <v>0.51</v>
      </c>
      <c r="CF103" s="329">
        <v>0.11</v>
      </c>
      <c r="CG103" s="329">
        <v>0</v>
      </c>
      <c r="CH103" s="329">
        <v>0.54</v>
      </c>
      <c r="CI103" s="329">
        <v>0.54</v>
      </c>
      <c r="CJ103" s="329">
        <v>0.62</v>
      </c>
      <c r="CK103" s="329">
        <v>0.63</v>
      </c>
      <c r="CL103" s="329">
        <v>0.54</v>
      </c>
      <c r="CM103" s="329">
        <v>0.66</v>
      </c>
      <c r="CN103" s="426">
        <v>43</v>
      </c>
      <c r="CO103" s="426" t="s">
        <v>874</v>
      </c>
      <c r="CP103" s="426">
        <v>9</v>
      </c>
      <c r="CQ103" s="426" t="s">
        <v>874</v>
      </c>
      <c r="CR103" s="430">
        <v>0.46</v>
      </c>
      <c r="CS103" s="430">
        <v>0.46</v>
      </c>
      <c r="CT103" s="430">
        <v>7.0000000000000007E-2</v>
      </c>
      <c r="CU103" s="430">
        <v>0.01</v>
      </c>
      <c r="CV103" s="430">
        <v>0.47</v>
      </c>
      <c r="CW103" s="430">
        <v>0.66</v>
      </c>
      <c r="CX103" s="430">
        <v>0.69</v>
      </c>
      <c r="CY103" s="430">
        <v>0.7</v>
      </c>
      <c r="CZ103" s="527">
        <v>0.67</v>
      </c>
      <c r="DA103" s="527">
        <v>0.7</v>
      </c>
      <c r="DB103" s="528">
        <v>44</v>
      </c>
      <c r="DC103" s="528" t="s">
        <v>874</v>
      </c>
      <c r="DD103" s="528">
        <v>10</v>
      </c>
      <c r="DE103" s="528" t="s">
        <v>874</v>
      </c>
      <c r="DF103" s="529">
        <v>0.36</v>
      </c>
      <c r="DG103" s="529">
        <v>0.48</v>
      </c>
      <c r="DH103" s="529">
        <v>0.16</v>
      </c>
      <c r="DI103" s="529">
        <v>0</v>
      </c>
      <c r="DJ103" s="529">
        <v>0.56999999999999995</v>
      </c>
      <c r="DK103" s="529">
        <v>0.56000000000000005</v>
      </c>
      <c r="DL103" s="529">
        <v>0.61</v>
      </c>
      <c r="DM103" s="529">
        <v>0.7</v>
      </c>
      <c r="DN103" s="529">
        <v>0.61</v>
      </c>
      <c r="DO103" s="529">
        <v>0.61</v>
      </c>
    </row>
    <row r="104" spans="1:119" ht="24.95" customHeight="1" x14ac:dyDescent="0.2">
      <c r="A104" s="814" t="s">
        <v>48</v>
      </c>
      <c r="B104" s="1" t="s">
        <v>219</v>
      </c>
      <c r="C104" s="2">
        <v>4</v>
      </c>
      <c r="D104" s="12">
        <v>47</v>
      </c>
      <c r="E104" s="12">
        <v>8</v>
      </c>
      <c r="F104" s="63">
        <v>0.31</v>
      </c>
      <c r="G104" s="63">
        <v>0.57999999999999996</v>
      </c>
      <c r="H104" s="63">
        <v>0.12</v>
      </c>
      <c r="I104" s="63">
        <v>0</v>
      </c>
      <c r="J104" s="63">
        <v>0.62</v>
      </c>
      <c r="K104" s="63">
        <v>0.56000000000000005</v>
      </c>
      <c r="L104" s="63">
        <v>0.62</v>
      </c>
      <c r="M104" s="63">
        <v>0.45</v>
      </c>
      <c r="N104" s="63">
        <v>0.48</v>
      </c>
      <c r="O104" s="63">
        <v>0.51</v>
      </c>
      <c r="P104" s="12">
        <v>47</v>
      </c>
      <c r="Q104" s="12">
        <v>9</v>
      </c>
      <c r="R104" s="61">
        <v>0.31</v>
      </c>
      <c r="S104" s="61">
        <v>0.52</v>
      </c>
      <c r="T104" s="61">
        <v>0.17</v>
      </c>
      <c r="U104" s="61">
        <v>0</v>
      </c>
      <c r="V104" s="61">
        <v>0.51</v>
      </c>
      <c r="W104" s="61">
        <v>0.56999999999999995</v>
      </c>
      <c r="X104" s="61">
        <v>0.65</v>
      </c>
      <c r="Y104" s="61">
        <v>0.49</v>
      </c>
      <c r="Z104" s="61">
        <v>0.42</v>
      </c>
      <c r="AA104" s="61">
        <v>0.59</v>
      </c>
      <c r="AB104" s="12">
        <v>48</v>
      </c>
      <c r="AC104" s="12">
        <v>11</v>
      </c>
      <c r="AD104" s="63">
        <v>0.31</v>
      </c>
      <c r="AE104" s="63">
        <v>0.41</v>
      </c>
      <c r="AF104" s="63">
        <v>0.28000000000000003</v>
      </c>
      <c r="AG104" s="63">
        <v>0</v>
      </c>
      <c r="AH104" s="63">
        <v>0.5</v>
      </c>
      <c r="AI104" s="63">
        <v>0.49</v>
      </c>
      <c r="AJ104" s="63">
        <v>0.42</v>
      </c>
      <c r="AK104" s="63">
        <v>0.51</v>
      </c>
      <c r="AL104" s="63">
        <v>0.55000000000000004</v>
      </c>
      <c r="AM104" s="63">
        <v>0.56000000000000005</v>
      </c>
      <c r="AN104" s="12">
        <v>46</v>
      </c>
      <c r="AO104" s="12">
        <v>11</v>
      </c>
      <c r="AP104" s="63">
        <v>0.35</v>
      </c>
      <c r="AQ104" s="63">
        <v>0.48</v>
      </c>
      <c r="AR104" s="63">
        <v>0.16</v>
      </c>
      <c r="AS104" s="63">
        <v>0</v>
      </c>
      <c r="AT104" s="63">
        <v>0.56999999999999995</v>
      </c>
      <c r="AU104" s="63">
        <v>0.54</v>
      </c>
      <c r="AV104" s="63">
        <v>0.53</v>
      </c>
      <c r="AW104" s="63">
        <v>0.48</v>
      </c>
      <c r="AX104" s="63">
        <v>0.56000000000000005</v>
      </c>
      <c r="AY104" s="63">
        <v>0.5</v>
      </c>
      <c r="AZ104" s="35">
        <v>45</v>
      </c>
      <c r="BA104" s="35">
        <v>9</v>
      </c>
      <c r="BB104" s="40">
        <v>0.36</v>
      </c>
      <c r="BC104" s="40">
        <v>0.55000000000000004</v>
      </c>
      <c r="BD104" s="40">
        <v>0.09</v>
      </c>
      <c r="BE104" s="40">
        <v>0</v>
      </c>
      <c r="BF104" s="40">
        <v>0.57999999999999996</v>
      </c>
      <c r="BG104" s="40">
        <v>0.56999999999999995</v>
      </c>
      <c r="BH104" s="40">
        <v>0.59</v>
      </c>
      <c r="BI104" s="40">
        <v>0.7</v>
      </c>
      <c r="BJ104" s="40">
        <v>0.47</v>
      </c>
      <c r="BK104" s="40">
        <v>0.55000000000000004</v>
      </c>
      <c r="BL104" s="247">
        <v>42</v>
      </c>
      <c r="BM104" s="247" t="s">
        <v>874</v>
      </c>
      <c r="BN104" s="247">
        <v>9</v>
      </c>
      <c r="BO104" s="247" t="s">
        <v>874</v>
      </c>
      <c r="BP104" s="264">
        <v>0.44</v>
      </c>
      <c r="BQ104" s="264">
        <v>0.5</v>
      </c>
      <c r="BR104" s="264">
        <v>0.06</v>
      </c>
      <c r="BS104" s="264">
        <v>0</v>
      </c>
      <c r="BT104" s="264">
        <v>0.61</v>
      </c>
      <c r="BU104" s="264">
        <v>0.59</v>
      </c>
      <c r="BV104" s="264">
        <v>0.7</v>
      </c>
      <c r="BW104" s="264">
        <v>0.51</v>
      </c>
      <c r="BX104" s="264">
        <v>0.59</v>
      </c>
      <c r="BY104" s="264">
        <v>0.62</v>
      </c>
      <c r="BZ104" s="311">
        <v>44</v>
      </c>
      <c r="CA104" s="311" t="s">
        <v>874</v>
      </c>
      <c r="CB104" s="311">
        <v>7</v>
      </c>
      <c r="CC104" s="311" t="s">
        <v>876</v>
      </c>
      <c r="CD104" s="329">
        <v>0.36</v>
      </c>
      <c r="CE104" s="329">
        <v>0.57999999999999996</v>
      </c>
      <c r="CF104" s="329">
        <v>0.06</v>
      </c>
      <c r="CG104" s="329">
        <v>0</v>
      </c>
      <c r="CH104" s="329">
        <v>0.47</v>
      </c>
      <c r="CI104" s="329">
        <v>0.44</v>
      </c>
      <c r="CJ104" s="329">
        <v>0.69</v>
      </c>
      <c r="CK104" s="329">
        <v>0.62</v>
      </c>
      <c r="CL104" s="329">
        <v>0.53</v>
      </c>
      <c r="CM104" s="329">
        <v>0.6</v>
      </c>
      <c r="CN104" s="426">
        <v>47</v>
      </c>
      <c r="CO104" s="426" t="s">
        <v>874</v>
      </c>
      <c r="CP104" s="426">
        <v>10</v>
      </c>
      <c r="CQ104" s="426" t="s">
        <v>874</v>
      </c>
      <c r="CR104" s="430">
        <v>0.25</v>
      </c>
      <c r="CS104" s="430">
        <v>0.56999999999999995</v>
      </c>
      <c r="CT104" s="430">
        <v>0.18</v>
      </c>
      <c r="CU104" s="430">
        <v>0</v>
      </c>
      <c r="CV104" s="430">
        <v>0.48</v>
      </c>
      <c r="CW104" s="430">
        <v>0.57999999999999996</v>
      </c>
      <c r="CX104" s="430">
        <v>0.57999999999999996</v>
      </c>
      <c r="CY104" s="430">
        <v>0.75</v>
      </c>
      <c r="CZ104" s="527">
        <v>0.59</v>
      </c>
      <c r="DA104" s="527">
        <v>0.7</v>
      </c>
      <c r="DB104" s="528">
        <v>47</v>
      </c>
      <c r="DC104" s="528" t="s">
        <v>874</v>
      </c>
      <c r="DD104" s="528">
        <v>10</v>
      </c>
      <c r="DE104" s="528" t="s">
        <v>874</v>
      </c>
      <c r="DF104" s="529">
        <v>0.15</v>
      </c>
      <c r="DG104" s="529">
        <v>0.65</v>
      </c>
      <c r="DH104" s="529">
        <v>0.21</v>
      </c>
      <c r="DI104" s="529">
        <v>0</v>
      </c>
      <c r="DJ104" s="529">
        <v>0.54</v>
      </c>
      <c r="DK104" s="529">
        <v>0.59</v>
      </c>
      <c r="DL104" s="529">
        <v>0.48</v>
      </c>
      <c r="DM104" s="529">
        <v>0.62</v>
      </c>
      <c r="DN104" s="529">
        <v>0.57999999999999996</v>
      </c>
      <c r="DO104" s="529">
        <v>0.53</v>
      </c>
    </row>
    <row r="105" spans="1:119" ht="24.95" customHeight="1" x14ac:dyDescent="0.2">
      <c r="A105" s="814" t="s">
        <v>890</v>
      </c>
      <c r="B105" s="1" t="s">
        <v>219</v>
      </c>
      <c r="C105" s="2">
        <v>3</v>
      </c>
      <c r="D105" s="12">
        <v>51</v>
      </c>
      <c r="E105" s="12">
        <v>8</v>
      </c>
      <c r="F105" s="63">
        <v>0.12</v>
      </c>
      <c r="G105" s="63">
        <v>0.56999999999999995</v>
      </c>
      <c r="H105" s="63">
        <v>0.3</v>
      </c>
      <c r="I105" s="63">
        <v>0.01</v>
      </c>
      <c r="J105" s="63">
        <v>0.52</v>
      </c>
      <c r="K105" s="63">
        <v>0.5</v>
      </c>
      <c r="L105" s="63">
        <v>0.55000000000000004</v>
      </c>
      <c r="M105" s="63">
        <v>0.47</v>
      </c>
      <c r="N105" s="63">
        <v>0.49</v>
      </c>
      <c r="O105" s="63">
        <v>0.54</v>
      </c>
      <c r="P105" s="12">
        <v>53</v>
      </c>
      <c r="Q105" s="12">
        <v>10</v>
      </c>
      <c r="R105" s="61">
        <v>0.12</v>
      </c>
      <c r="S105" s="61">
        <v>0.39</v>
      </c>
      <c r="T105" s="61">
        <v>0.49</v>
      </c>
      <c r="U105" s="61">
        <v>0</v>
      </c>
      <c r="V105" s="61">
        <v>0.43</v>
      </c>
      <c r="W105" s="61">
        <v>0.49</v>
      </c>
      <c r="X105" s="61">
        <v>0.55000000000000004</v>
      </c>
      <c r="Y105" s="61">
        <v>0.45</v>
      </c>
      <c r="Z105" s="61">
        <v>0.42</v>
      </c>
      <c r="AA105" s="61">
        <v>0.5</v>
      </c>
      <c r="AB105" s="12">
        <v>50</v>
      </c>
      <c r="AC105" s="12"/>
      <c r="AD105" s="63">
        <v>0.18</v>
      </c>
      <c r="AE105" s="63">
        <v>0.5</v>
      </c>
      <c r="AF105" s="63">
        <v>0.31</v>
      </c>
      <c r="AG105" s="63">
        <v>0.01</v>
      </c>
      <c r="AH105" s="63">
        <v>0.44</v>
      </c>
      <c r="AI105" s="63">
        <v>0.45</v>
      </c>
      <c r="AJ105" s="63">
        <v>0.41</v>
      </c>
      <c r="AK105" s="63">
        <v>0.52</v>
      </c>
      <c r="AL105" s="63">
        <v>0.55000000000000004</v>
      </c>
      <c r="AM105" s="63">
        <v>0.52</v>
      </c>
      <c r="AN105" s="12">
        <v>49</v>
      </c>
      <c r="AO105" s="12"/>
      <c r="AP105" s="63">
        <v>0.21</v>
      </c>
      <c r="AQ105" s="63">
        <v>0.5</v>
      </c>
      <c r="AR105" s="63">
        <v>0.28000000000000003</v>
      </c>
      <c r="AS105" s="63">
        <v>0.01</v>
      </c>
      <c r="AT105" s="63">
        <v>0.53</v>
      </c>
      <c r="AU105" s="63">
        <v>0.47</v>
      </c>
      <c r="AV105" s="63">
        <v>0.46</v>
      </c>
      <c r="AW105" s="63">
        <v>0.47</v>
      </c>
      <c r="AX105" s="63">
        <v>0.49</v>
      </c>
      <c r="AY105" s="63">
        <v>0.48</v>
      </c>
      <c r="AZ105" s="35">
        <v>52</v>
      </c>
      <c r="BA105" s="35">
        <v>10</v>
      </c>
      <c r="BB105" s="40">
        <v>0.12</v>
      </c>
      <c r="BC105" s="40">
        <v>0.48</v>
      </c>
      <c r="BD105" s="40">
        <v>0.38</v>
      </c>
      <c r="BE105" s="40">
        <v>0.03</v>
      </c>
      <c r="BF105" s="40">
        <v>0.45</v>
      </c>
      <c r="BG105" s="40">
        <v>0.46</v>
      </c>
      <c r="BH105" s="40">
        <v>0.47</v>
      </c>
      <c r="BI105" s="40">
        <v>0.54</v>
      </c>
      <c r="BJ105" s="40">
        <v>0.43</v>
      </c>
      <c r="BK105" s="40">
        <v>0.41</v>
      </c>
      <c r="BL105" s="247">
        <v>48</v>
      </c>
      <c r="BM105" s="247" t="s">
        <v>874</v>
      </c>
      <c r="BN105" s="247">
        <v>10</v>
      </c>
      <c r="BO105" s="247" t="s">
        <v>874</v>
      </c>
      <c r="BP105" s="264">
        <v>0.25</v>
      </c>
      <c r="BQ105" s="264">
        <v>0.55000000000000004</v>
      </c>
      <c r="BR105" s="264">
        <v>0.19</v>
      </c>
      <c r="BS105" s="264">
        <v>0.02</v>
      </c>
      <c r="BT105" s="264">
        <v>0.47</v>
      </c>
      <c r="BU105" s="264">
        <v>0.5</v>
      </c>
      <c r="BV105" s="264">
        <v>0.57999999999999996</v>
      </c>
      <c r="BW105" s="264">
        <v>0.45</v>
      </c>
      <c r="BX105" s="264">
        <v>0.48</v>
      </c>
      <c r="BY105" s="264">
        <v>0.55000000000000004</v>
      </c>
      <c r="BZ105" s="311">
        <v>51</v>
      </c>
      <c r="CA105" s="311" t="s">
        <v>874</v>
      </c>
      <c r="CB105" s="311">
        <v>10</v>
      </c>
      <c r="CC105" s="311" t="s">
        <v>874</v>
      </c>
      <c r="CD105" s="329">
        <v>0.19</v>
      </c>
      <c r="CE105" s="329">
        <v>0.45</v>
      </c>
      <c r="CF105" s="329">
        <v>0.34</v>
      </c>
      <c r="CG105" s="329">
        <v>0.02</v>
      </c>
      <c r="CH105" s="329">
        <v>0.52</v>
      </c>
      <c r="CI105" s="329">
        <v>0.36</v>
      </c>
      <c r="CJ105" s="329">
        <v>0.56999999999999995</v>
      </c>
      <c r="CK105" s="329">
        <v>0.55000000000000004</v>
      </c>
      <c r="CL105" s="329">
        <v>0.46</v>
      </c>
      <c r="CM105" s="329">
        <v>0.54</v>
      </c>
      <c r="CN105" s="426">
        <v>52</v>
      </c>
      <c r="CO105" s="426" t="s">
        <v>874</v>
      </c>
      <c r="CP105" s="426">
        <v>11</v>
      </c>
      <c r="CQ105" s="426" t="s">
        <v>874</v>
      </c>
      <c r="CR105" s="430">
        <v>0.16</v>
      </c>
      <c r="CS105" s="430">
        <v>0.46</v>
      </c>
      <c r="CT105" s="430">
        <v>0.34</v>
      </c>
      <c r="CU105" s="430">
        <v>0.04</v>
      </c>
      <c r="CV105" s="430">
        <v>0.34</v>
      </c>
      <c r="CW105" s="430">
        <v>0.51</v>
      </c>
      <c r="CX105" s="430">
        <v>0.55000000000000004</v>
      </c>
      <c r="CY105" s="430">
        <v>0.59</v>
      </c>
      <c r="CZ105" s="527">
        <v>0.56999999999999995</v>
      </c>
      <c r="DA105" s="527">
        <v>0.47</v>
      </c>
      <c r="DB105" s="528">
        <v>51</v>
      </c>
      <c r="DC105" s="528" t="s">
        <v>874</v>
      </c>
      <c r="DD105" s="528">
        <v>10</v>
      </c>
      <c r="DE105" s="528" t="s">
        <v>874</v>
      </c>
      <c r="DF105" s="529">
        <v>0.15</v>
      </c>
      <c r="DG105" s="529">
        <v>0.52</v>
      </c>
      <c r="DH105" s="529">
        <v>0.28999999999999998</v>
      </c>
      <c r="DI105" s="529">
        <v>0.04</v>
      </c>
      <c r="DJ105" s="529">
        <v>0.5</v>
      </c>
      <c r="DK105" s="529">
        <v>0.6</v>
      </c>
      <c r="DL105" s="529">
        <v>0.49</v>
      </c>
      <c r="DM105" s="529">
        <v>0.63</v>
      </c>
      <c r="DN105" s="529">
        <v>0.51</v>
      </c>
      <c r="DO105" s="529">
        <v>0.41</v>
      </c>
    </row>
    <row r="106" spans="1:119" ht="24.95" customHeight="1" x14ac:dyDescent="0.2">
      <c r="A106" s="814" t="s">
        <v>138</v>
      </c>
      <c r="B106" s="1" t="s">
        <v>219</v>
      </c>
      <c r="C106" s="2">
        <v>1</v>
      </c>
      <c r="D106" s="12">
        <v>51</v>
      </c>
      <c r="E106" s="12">
        <v>9</v>
      </c>
      <c r="F106" s="63">
        <v>0.17</v>
      </c>
      <c r="G106" s="63">
        <v>0.52</v>
      </c>
      <c r="H106" s="63">
        <v>0.28999999999999998</v>
      </c>
      <c r="I106" s="63">
        <v>0.01</v>
      </c>
      <c r="J106" s="63">
        <v>0.56000000000000005</v>
      </c>
      <c r="K106" s="63">
        <v>0.56999999999999995</v>
      </c>
      <c r="L106" s="63">
        <v>0.56999999999999995</v>
      </c>
      <c r="M106" s="63">
        <v>0.49</v>
      </c>
      <c r="N106" s="63">
        <v>0.46</v>
      </c>
      <c r="O106" s="63">
        <v>0.47</v>
      </c>
      <c r="P106" s="12">
        <v>51</v>
      </c>
      <c r="Q106" s="12">
        <v>9</v>
      </c>
      <c r="R106" s="61">
        <v>0.15</v>
      </c>
      <c r="S106" s="61">
        <v>0.55000000000000004</v>
      </c>
      <c r="T106" s="61">
        <v>0.28999999999999998</v>
      </c>
      <c r="U106" s="61">
        <v>0.01</v>
      </c>
      <c r="V106" s="61">
        <v>0.44</v>
      </c>
      <c r="W106" s="61">
        <v>0.51</v>
      </c>
      <c r="X106" s="61">
        <v>0.55000000000000004</v>
      </c>
      <c r="Y106" s="61">
        <v>0.45</v>
      </c>
      <c r="Z106" s="61">
        <v>0.43</v>
      </c>
      <c r="AA106" s="61">
        <v>0.55000000000000004</v>
      </c>
      <c r="AB106" s="12">
        <v>47</v>
      </c>
      <c r="AC106" s="12">
        <v>10</v>
      </c>
      <c r="AD106" s="63">
        <v>0.26</v>
      </c>
      <c r="AE106" s="63">
        <v>0.57999999999999996</v>
      </c>
      <c r="AF106" s="63">
        <v>0.15</v>
      </c>
      <c r="AG106" s="63">
        <v>0.01</v>
      </c>
      <c r="AH106" s="63">
        <v>0.47</v>
      </c>
      <c r="AI106" s="63">
        <v>0.48</v>
      </c>
      <c r="AJ106" s="63">
        <v>0.47</v>
      </c>
      <c r="AK106" s="63">
        <v>0.54</v>
      </c>
      <c r="AL106" s="63">
        <v>0.62</v>
      </c>
      <c r="AM106" s="63">
        <v>0.59</v>
      </c>
      <c r="AN106" s="12">
        <v>46</v>
      </c>
      <c r="AO106" s="12">
        <v>10</v>
      </c>
      <c r="AP106" s="63">
        <v>0.33</v>
      </c>
      <c r="AQ106" s="63">
        <v>0.48</v>
      </c>
      <c r="AR106" s="63">
        <v>0.18</v>
      </c>
      <c r="AS106" s="63">
        <v>0.02</v>
      </c>
      <c r="AT106" s="63">
        <v>0.6</v>
      </c>
      <c r="AU106" s="63">
        <v>0.51</v>
      </c>
      <c r="AV106" s="63">
        <v>0.51</v>
      </c>
      <c r="AW106" s="63">
        <v>0.49</v>
      </c>
      <c r="AX106" s="63">
        <v>0.54</v>
      </c>
      <c r="AY106" s="63">
        <v>0.52</v>
      </c>
      <c r="AZ106" s="35">
        <v>50</v>
      </c>
      <c r="BA106" s="35">
        <v>10</v>
      </c>
      <c r="BB106" s="40">
        <v>0.17</v>
      </c>
      <c r="BC106" s="40">
        <v>0.55000000000000004</v>
      </c>
      <c r="BD106" s="40">
        <v>0.25</v>
      </c>
      <c r="BE106" s="40">
        <v>0.02</v>
      </c>
      <c r="BF106" s="40">
        <v>0.47</v>
      </c>
      <c r="BG106" s="40">
        <v>0.48</v>
      </c>
      <c r="BH106" s="40">
        <v>0.49</v>
      </c>
      <c r="BI106" s="40">
        <v>0.6</v>
      </c>
      <c r="BJ106" s="40">
        <v>0.43</v>
      </c>
      <c r="BK106" s="40">
        <v>0.43</v>
      </c>
      <c r="BL106" s="247">
        <v>48</v>
      </c>
      <c r="BM106" s="247" t="s">
        <v>874</v>
      </c>
      <c r="BN106" s="247">
        <v>10</v>
      </c>
      <c r="BO106" s="247" t="s">
        <v>874</v>
      </c>
      <c r="BP106" s="264">
        <v>0.24</v>
      </c>
      <c r="BQ106" s="264">
        <v>0.54</v>
      </c>
      <c r="BR106" s="264">
        <v>0.21</v>
      </c>
      <c r="BS106" s="264">
        <v>0.01</v>
      </c>
      <c r="BT106" s="264">
        <v>0.48</v>
      </c>
      <c r="BU106" s="264">
        <v>0.52</v>
      </c>
      <c r="BV106" s="264">
        <v>0.63</v>
      </c>
      <c r="BW106" s="264">
        <v>0.47</v>
      </c>
      <c r="BX106" s="264">
        <v>0.46</v>
      </c>
      <c r="BY106" s="264">
        <v>0.54</v>
      </c>
      <c r="BZ106" s="311">
        <v>49</v>
      </c>
      <c r="CA106" s="311" t="s">
        <v>874</v>
      </c>
      <c r="CB106" s="311">
        <v>11</v>
      </c>
      <c r="CC106" s="311" t="s">
        <v>874</v>
      </c>
      <c r="CD106" s="329">
        <v>0.26</v>
      </c>
      <c r="CE106" s="329">
        <v>0.47</v>
      </c>
      <c r="CF106" s="329">
        <v>0.25</v>
      </c>
      <c r="CG106" s="329">
        <v>0.02</v>
      </c>
      <c r="CH106" s="329">
        <v>0.54</v>
      </c>
      <c r="CI106" s="329">
        <v>0.47</v>
      </c>
      <c r="CJ106" s="329">
        <v>0.57999999999999996</v>
      </c>
      <c r="CK106" s="329">
        <v>0.56999999999999995</v>
      </c>
      <c r="CL106" s="329">
        <v>0.4</v>
      </c>
      <c r="CM106" s="329">
        <v>0.59</v>
      </c>
      <c r="CN106" s="426">
        <v>47</v>
      </c>
      <c r="CO106" s="426" t="s">
        <v>874</v>
      </c>
      <c r="CP106" s="426">
        <v>10</v>
      </c>
      <c r="CQ106" s="426" t="s">
        <v>874</v>
      </c>
      <c r="CR106" s="430">
        <v>0.28999999999999998</v>
      </c>
      <c r="CS106" s="430">
        <v>0.47</v>
      </c>
      <c r="CT106" s="430">
        <v>0.23</v>
      </c>
      <c r="CU106" s="430">
        <v>0.01</v>
      </c>
      <c r="CV106" s="430">
        <v>0.38</v>
      </c>
      <c r="CW106" s="430">
        <v>0.56000000000000005</v>
      </c>
      <c r="CX106" s="430">
        <v>0.63</v>
      </c>
      <c r="CY106" s="430">
        <v>0.65</v>
      </c>
      <c r="CZ106" s="527">
        <v>0.6</v>
      </c>
      <c r="DA106" s="527">
        <v>0.61</v>
      </c>
      <c r="DB106" s="528">
        <v>47</v>
      </c>
      <c r="DC106" s="528" t="s">
        <v>874</v>
      </c>
      <c r="DD106" s="528">
        <v>11</v>
      </c>
      <c r="DE106" s="528" t="s">
        <v>874</v>
      </c>
      <c r="DF106" s="529">
        <v>0.31</v>
      </c>
      <c r="DG106" s="529">
        <v>0.47</v>
      </c>
      <c r="DH106" s="529">
        <v>0.21</v>
      </c>
      <c r="DI106" s="529">
        <v>0.01</v>
      </c>
      <c r="DJ106" s="529">
        <v>0.52</v>
      </c>
      <c r="DK106" s="529">
        <v>0.43</v>
      </c>
      <c r="DL106" s="529">
        <v>0.55000000000000004</v>
      </c>
      <c r="DM106" s="529">
        <v>0.72</v>
      </c>
      <c r="DN106" s="529">
        <v>0.56999999999999995</v>
      </c>
      <c r="DO106" s="529">
        <v>0.43</v>
      </c>
    </row>
    <row r="107" spans="1:119" ht="24.95" customHeight="1" x14ac:dyDescent="0.2">
      <c r="A107" s="820" t="s">
        <v>287</v>
      </c>
      <c r="B107" s="14" t="s">
        <v>219</v>
      </c>
      <c r="C107" s="2">
        <v>3</v>
      </c>
      <c r="D107" s="12">
        <v>49</v>
      </c>
      <c r="E107" s="12">
        <v>9</v>
      </c>
      <c r="F107" s="63">
        <v>0.21</v>
      </c>
      <c r="G107" s="63">
        <v>0.59</v>
      </c>
      <c r="H107" s="63">
        <v>0.18</v>
      </c>
      <c r="I107" s="63">
        <v>0.03</v>
      </c>
      <c r="J107" s="63">
        <v>0.56000000000000005</v>
      </c>
      <c r="K107" s="63">
        <v>0.51</v>
      </c>
      <c r="L107" s="63">
        <v>0.65</v>
      </c>
      <c r="M107" s="63">
        <v>0.47</v>
      </c>
      <c r="N107" s="63">
        <v>0.45</v>
      </c>
      <c r="O107" s="63">
        <v>0.54</v>
      </c>
      <c r="P107" s="12">
        <v>50</v>
      </c>
      <c r="Q107" s="12">
        <v>9</v>
      </c>
      <c r="R107" s="61">
        <v>0.17</v>
      </c>
      <c r="S107" s="61">
        <v>0.52</v>
      </c>
      <c r="T107" s="61">
        <v>0.31</v>
      </c>
      <c r="U107" s="61">
        <v>0</v>
      </c>
      <c r="V107" s="61">
        <v>0.46</v>
      </c>
      <c r="W107" s="61">
        <v>0.5</v>
      </c>
      <c r="X107" s="61">
        <v>0.59</v>
      </c>
      <c r="Y107" s="61">
        <v>0.48</v>
      </c>
      <c r="Z107" s="61">
        <v>0.45</v>
      </c>
      <c r="AA107" s="61">
        <v>0.52</v>
      </c>
      <c r="AB107" s="12">
        <v>51</v>
      </c>
      <c r="AC107" s="12">
        <v>10</v>
      </c>
      <c r="AD107" s="63">
        <v>0.15</v>
      </c>
      <c r="AE107" s="63">
        <v>0.52</v>
      </c>
      <c r="AF107" s="63">
        <v>0.31</v>
      </c>
      <c r="AG107" s="63">
        <v>0.02</v>
      </c>
      <c r="AH107" s="63">
        <v>0.44</v>
      </c>
      <c r="AI107" s="63">
        <v>0.42</v>
      </c>
      <c r="AJ107" s="63">
        <v>0.42</v>
      </c>
      <c r="AK107" s="63">
        <v>0.51</v>
      </c>
      <c r="AL107" s="63">
        <v>0.55000000000000004</v>
      </c>
      <c r="AM107" s="63">
        <v>0.52</v>
      </c>
      <c r="AN107" s="12">
        <v>48</v>
      </c>
      <c r="AO107" s="12">
        <v>10</v>
      </c>
      <c r="AP107" s="63">
        <v>0.28000000000000003</v>
      </c>
      <c r="AQ107" s="63">
        <v>0.47</v>
      </c>
      <c r="AR107" s="63">
        <v>0.23</v>
      </c>
      <c r="AS107" s="63">
        <v>0.02</v>
      </c>
      <c r="AT107" s="63">
        <v>0.56000000000000005</v>
      </c>
      <c r="AU107" s="63">
        <v>0.51</v>
      </c>
      <c r="AV107" s="63">
        <v>0.48</v>
      </c>
      <c r="AW107" s="63">
        <v>0.49</v>
      </c>
      <c r="AX107" s="63">
        <v>0.51</v>
      </c>
      <c r="AY107" s="63">
        <v>0.5</v>
      </c>
      <c r="AZ107" s="35">
        <v>51</v>
      </c>
      <c r="BA107" s="35">
        <v>10</v>
      </c>
      <c r="BB107" s="40">
        <v>0.19</v>
      </c>
      <c r="BC107" s="40">
        <v>0.44</v>
      </c>
      <c r="BD107" s="40">
        <v>0.36</v>
      </c>
      <c r="BE107" s="40">
        <v>0.01</v>
      </c>
      <c r="BF107" s="40">
        <v>0.47</v>
      </c>
      <c r="BG107" s="40">
        <v>0.46</v>
      </c>
      <c r="BH107" s="40">
        <v>0.44</v>
      </c>
      <c r="BI107" s="40">
        <v>0.51</v>
      </c>
      <c r="BJ107" s="40">
        <v>0.42</v>
      </c>
      <c r="BK107" s="40">
        <v>0.39</v>
      </c>
      <c r="BL107" s="247">
        <v>49</v>
      </c>
      <c r="BM107" s="247" t="s">
        <v>874</v>
      </c>
      <c r="BN107" s="247">
        <v>10</v>
      </c>
      <c r="BO107" s="247" t="s">
        <v>874</v>
      </c>
      <c r="BP107" s="264">
        <v>0.19</v>
      </c>
      <c r="BQ107" s="264">
        <v>0.54</v>
      </c>
      <c r="BR107" s="264">
        <v>0.25</v>
      </c>
      <c r="BS107" s="264">
        <v>0.02</v>
      </c>
      <c r="BT107" s="264">
        <v>0.47</v>
      </c>
      <c r="BU107" s="264">
        <v>0.49</v>
      </c>
      <c r="BV107" s="264">
        <v>0.54</v>
      </c>
      <c r="BW107" s="264">
        <v>0.43</v>
      </c>
      <c r="BX107" s="264">
        <v>0.46</v>
      </c>
      <c r="BY107" s="264">
        <v>0.54</v>
      </c>
      <c r="BZ107" s="311">
        <v>51</v>
      </c>
      <c r="CA107" s="311" t="s">
        <v>874</v>
      </c>
      <c r="CB107" s="311">
        <v>10</v>
      </c>
      <c r="CC107" s="311" t="s">
        <v>874</v>
      </c>
      <c r="CD107" s="329">
        <v>0.16</v>
      </c>
      <c r="CE107" s="329">
        <v>0.51</v>
      </c>
      <c r="CF107" s="329">
        <v>0.3</v>
      </c>
      <c r="CG107" s="329">
        <v>0.02</v>
      </c>
      <c r="CH107" s="329">
        <v>0.52</v>
      </c>
      <c r="CI107" s="329">
        <v>0.39</v>
      </c>
      <c r="CJ107" s="329">
        <v>0.56999999999999995</v>
      </c>
      <c r="CK107" s="329">
        <v>0.52</v>
      </c>
      <c r="CL107" s="329">
        <v>0.43</v>
      </c>
      <c r="CM107" s="329">
        <v>0.55000000000000004</v>
      </c>
      <c r="CN107" s="426">
        <v>51</v>
      </c>
      <c r="CO107" s="426" t="s">
        <v>874</v>
      </c>
      <c r="CP107" s="426">
        <v>10</v>
      </c>
      <c r="CQ107" s="426" t="s">
        <v>874</v>
      </c>
      <c r="CR107" s="430">
        <v>0.18</v>
      </c>
      <c r="CS107" s="430">
        <v>0.49</v>
      </c>
      <c r="CT107" s="430">
        <v>0.3</v>
      </c>
      <c r="CU107" s="430">
        <v>0.03</v>
      </c>
      <c r="CV107" s="430">
        <v>0.33</v>
      </c>
      <c r="CW107" s="430">
        <v>0.53</v>
      </c>
      <c r="CX107" s="430">
        <v>0.59</v>
      </c>
      <c r="CY107" s="430">
        <v>0.65</v>
      </c>
      <c r="CZ107" s="527">
        <v>0.57999999999999996</v>
      </c>
      <c r="DA107" s="527">
        <v>0.51</v>
      </c>
      <c r="DB107" s="528">
        <v>51</v>
      </c>
      <c r="DC107" s="528" t="s">
        <v>874</v>
      </c>
      <c r="DD107" s="528">
        <v>11</v>
      </c>
      <c r="DE107" s="528" t="s">
        <v>874</v>
      </c>
      <c r="DF107" s="529">
        <v>0.17</v>
      </c>
      <c r="DG107" s="529">
        <v>0.47</v>
      </c>
      <c r="DH107" s="529">
        <v>0.32</v>
      </c>
      <c r="DI107" s="529">
        <v>0.03</v>
      </c>
      <c r="DJ107" s="529">
        <v>0.52</v>
      </c>
      <c r="DK107" s="529">
        <v>0.5</v>
      </c>
      <c r="DL107" s="529">
        <v>0.48</v>
      </c>
      <c r="DM107" s="529">
        <v>0.61</v>
      </c>
      <c r="DN107" s="529">
        <v>0.53</v>
      </c>
      <c r="DO107" s="529">
        <v>0.38</v>
      </c>
    </row>
    <row r="108" spans="1:119" ht="24.95" customHeight="1" x14ac:dyDescent="0.2">
      <c r="A108" s="814" t="s">
        <v>103</v>
      </c>
      <c r="B108" s="1" t="s">
        <v>219</v>
      </c>
      <c r="C108" s="2">
        <v>4</v>
      </c>
      <c r="D108" s="12">
        <v>48</v>
      </c>
      <c r="E108" s="12">
        <v>9</v>
      </c>
      <c r="F108" s="63">
        <v>0.26</v>
      </c>
      <c r="G108" s="63">
        <v>0.52</v>
      </c>
      <c r="H108" s="63">
        <v>0.22</v>
      </c>
      <c r="I108" s="63">
        <v>0</v>
      </c>
      <c r="J108" s="63">
        <v>0.61</v>
      </c>
      <c r="K108" s="63">
        <v>0.53</v>
      </c>
      <c r="L108" s="63">
        <v>0.66</v>
      </c>
      <c r="M108" s="63">
        <v>0.48</v>
      </c>
      <c r="N108" s="63">
        <v>0.49</v>
      </c>
      <c r="O108" s="63">
        <v>0.5</v>
      </c>
      <c r="P108" s="12">
        <v>46</v>
      </c>
      <c r="Q108" s="12">
        <v>9</v>
      </c>
      <c r="R108" s="61">
        <v>0.3</v>
      </c>
      <c r="S108" s="61">
        <v>0.55000000000000004</v>
      </c>
      <c r="T108" s="61">
        <v>0.15</v>
      </c>
      <c r="U108" s="61">
        <v>0</v>
      </c>
      <c r="V108" s="61">
        <v>0.53</v>
      </c>
      <c r="W108" s="61">
        <v>0.56000000000000005</v>
      </c>
      <c r="X108" s="61">
        <v>0.66</v>
      </c>
      <c r="Y108" s="61">
        <v>0.56000000000000005</v>
      </c>
      <c r="Z108" s="61">
        <v>0.47</v>
      </c>
      <c r="AA108" s="61">
        <v>0.61</v>
      </c>
      <c r="AB108" s="12">
        <v>44</v>
      </c>
      <c r="AC108" s="12">
        <v>9</v>
      </c>
      <c r="AD108" s="63">
        <v>0.37</v>
      </c>
      <c r="AE108" s="63">
        <v>0.52</v>
      </c>
      <c r="AF108" s="63">
        <v>0.1</v>
      </c>
      <c r="AG108" s="63">
        <v>0.01</v>
      </c>
      <c r="AH108" s="63">
        <v>0.53</v>
      </c>
      <c r="AI108" s="63">
        <v>0.54</v>
      </c>
      <c r="AJ108" s="63">
        <v>0.52</v>
      </c>
      <c r="AK108" s="63">
        <v>0.59</v>
      </c>
      <c r="AL108" s="63">
        <v>0.62</v>
      </c>
      <c r="AM108" s="63">
        <v>0.57999999999999996</v>
      </c>
      <c r="AN108" s="12">
        <v>41</v>
      </c>
      <c r="AO108" s="12">
        <v>9</v>
      </c>
      <c r="AP108" s="63">
        <v>0.49</v>
      </c>
      <c r="AQ108" s="63">
        <v>0.41</v>
      </c>
      <c r="AR108" s="63">
        <v>0.1</v>
      </c>
      <c r="AS108" s="63">
        <v>0</v>
      </c>
      <c r="AT108" s="63">
        <v>0.7</v>
      </c>
      <c r="AU108" s="63">
        <v>0.57999999999999996</v>
      </c>
      <c r="AV108" s="63">
        <v>0.57999999999999996</v>
      </c>
      <c r="AW108" s="63">
        <v>0.6</v>
      </c>
      <c r="AX108" s="63">
        <v>0.57999999999999996</v>
      </c>
      <c r="AY108" s="63">
        <v>0.54</v>
      </c>
      <c r="AZ108" s="35">
        <v>45</v>
      </c>
      <c r="BA108" s="35">
        <v>9</v>
      </c>
      <c r="BB108" s="40">
        <v>0.31</v>
      </c>
      <c r="BC108" s="40">
        <v>0.56000000000000005</v>
      </c>
      <c r="BD108" s="40">
        <v>0.12</v>
      </c>
      <c r="BE108" s="40">
        <v>0.01</v>
      </c>
      <c r="BF108" s="40">
        <v>0.61</v>
      </c>
      <c r="BG108" s="40">
        <v>0.55000000000000004</v>
      </c>
      <c r="BH108" s="40">
        <v>0.53</v>
      </c>
      <c r="BI108" s="40">
        <v>0.65</v>
      </c>
      <c r="BJ108" s="40">
        <v>0.51</v>
      </c>
      <c r="BK108" s="40">
        <v>0.52</v>
      </c>
      <c r="BL108" s="247">
        <v>43</v>
      </c>
      <c r="BM108" s="247" t="s">
        <v>874</v>
      </c>
      <c r="BN108" s="247">
        <v>10</v>
      </c>
      <c r="BO108" s="247" t="s">
        <v>874</v>
      </c>
      <c r="BP108" s="264">
        <v>0.43</v>
      </c>
      <c r="BQ108" s="264">
        <v>0.46</v>
      </c>
      <c r="BR108" s="264">
        <v>0.11</v>
      </c>
      <c r="BS108" s="264">
        <v>0</v>
      </c>
      <c r="BT108" s="264">
        <v>0.51</v>
      </c>
      <c r="BU108" s="264">
        <v>0.57999999999999996</v>
      </c>
      <c r="BV108" s="264">
        <v>0.66</v>
      </c>
      <c r="BW108" s="264">
        <v>0.53</v>
      </c>
      <c r="BX108" s="264">
        <v>0.57999999999999996</v>
      </c>
      <c r="BY108" s="264">
        <v>0.64</v>
      </c>
      <c r="BZ108" s="311">
        <v>45</v>
      </c>
      <c r="CA108" s="311" t="s">
        <v>874</v>
      </c>
      <c r="CB108" s="311">
        <v>11</v>
      </c>
      <c r="CC108" s="311" t="s">
        <v>874</v>
      </c>
      <c r="CD108" s="329">
        <v>0.35</v>
      </c>
      <c r="CE108" s="329">
        <v>0.46</v>
      </c>
      <c r="CF108" s="329">
        <v>0.18</v>
      </c>
      <c r="CG108" s="329">
        <v>0.02</v>
      </c>
      <c r="CH108" s="329">
        <v>0.59</v>
      </c>
      <c r="CI108" s="329">
        <v>0.49</v>
      </c>
      <c r="CJ108" s="329">
        <v>0.62</v>
      </c>
      <c r="CK108" s="329">
        <v>0.62</v>
      </c>
      <c r="CL108" s="329">
        <v>0.51</v>
      </c>
      <c r="CM108" s="329">
        <v>0.63</v>
      </c>
      <c r="CN108" s="426">
        <v>44</v>
      </c>
      <c r="CO108" s="426" t="s">
        <v>874</v>
      </c>
      <c r="CP108" s="426">
        <v>10</v>
      </c>
      <c r="CQ108" s="426" t="s">
        <v>874</v>
      </c>
      <c r="CR108" s="430">
        <v>0.38</v>
      </c>
      <c r="CS108" s="430">
        <v>0.53</v>
      </c>
      <c r="CT108" s="430">
        <v>0.08</v>
      </c>
      <c r="CU108" s="430">
        <v>0.01</v>
      </c>
      <c r="CV108" s="430">
        <v>0.51</v>
      </c>
      <c r="CW108" s="430">
        <v>0.61</v>
      </c>
      <c r="CX108" s="430">
        <v>0.64</v>
      </c>
      <c r="CY108" s="430">
        <v>0.73</v>
      </c>
      <c r="CZ108" s="527">
        <v>0.65</v>
      </c>
      <c r="DA108" s="527">
        <v>0.59</v>
      </c>
      <c r="DB108" s="528">
        <v>44</v>
      </c>
      <c r="DC108" s="528" t="s">
        <v>874</v>
      </c>
      <c r="DD108" s="528">
        <v>10</v>
      </c>
      <c r="DE108" s="528" t="s">
        <v>874</v>
      </c>
      <c r="DF108" s="529">
        <v>0.4</v>
      </c>
      <c r="DG108" s="529">
        <v>0.43</v>
      </c>
      <c r="DH108" s="529">
        <v>0.16</v>
      </c>
      <c r="DI108" s="529">
        <v>0.01</v>
      </c>
      <c r="DJ108" s="529">
        <v>0.55000000000000004</v>
      </c>
      <c r="DK108" s="529">
        <v>0.54</v>
      </c>
      <c r="DL108" s="529">
        <v>0.59</v>
      </c>
      <c r="DM108" s="529">
        <v>0.69</v>
      </c>
      <c r="DN108" s="529">
        <v>0.63</v>
      </c>
      <c r="DO108" s="529">
        <v>0.57999999999999996</v>
      </c>
    </row>
    <row r="109" spans="1:119" ht="24.95" customHeight="1" x14ac:dyDescent="0.2">
      <c r="A109" s="814" t="s">
        <v>86</v>
      </c>
      <c r="B109" s="1" t="s">
        <v>219</v>
      </c>
      <c r="C109" s="2">
        <v>1</v>
      </c>
      <c r="D109" s="12">
        <v>50</v>
      </c>
      <c r="E109" s="12">
        <v>9</v>
      </c>
      <c r="F109" s="63">
        <v>0.17</v>
      </c>
      <c r="G109" s="63">
        <v>0.56000000000000005</v>
      </c>
      <c r="H109" s="63">
        <v>0.27</v>
      </c>
      <c r="I109" s="63">
        <v>0</v>
      </c>
      <c r="J109" s="63">
        <v>0.54</v>
      </c>
      <c r="K109" s="63">
        <v>0.5</v>
      </c>
      <c r="L109" s="63">
        <v>0.62</v>
      </c>
      <c r="M109" s="63">
        <v>0.42</v>
      </c>
      <c r="N109" s="63">
        <v>0.44</v>
      </c>
      <c r="O109" s="63">
        <v>0.5</v>
      </c>
      <c r="P109" s="12">
        <v>49</v>
      </c>
      <c r="Q109" s="12">
        <v>9</v>
      </c>
      <c r="R109" s="61">
        <v>0.2</v>
      </c>
      <c r="S109" s="61">
        <v>0.53</v>
      </c>
      <c r="T109" s="61">
        <v>0.27</v>
      </c>
      <c r="U109" s="61">
        <v>0</v>
      </c>
      <c r="V109" s="61">
        <v>0.46</v>
      </c>
      <c r="W109" s="61">
        <v>0.51</v>
      </c>
      <c r="X109" s="61">
        <v>0.56000000000000005</v>
      </c>
      <c r="Y109" s="61">
        <v>0.49</v>
      </c>
      <c r="Z109" s="61">
        <v>0.45</v>
      </c>
      <c r="AA109" s="61">
        <v>0.53</v>
      </c>
      <c r="AB109" s="12">
        <v>48</v>
      </c>
      <c r="AC109" s="12">
        <v>10</v>
      </c>
      <c r="AD109" s="63">
        <v>0.23</v>
      </c>
      <c r="AE109" s="63">
        <v>0.55000000000000004</v>
      </c>
      <c r="AF109" s="63">
        <v>0.21</v>
      </c>
      <c r="AG109" s="63">
        <v>0.01</v>
      </c>
      <c r="AH109" s="63">
        <v>0.45</v>
      </c>
      <c r="AI109" s="63">
        <v>0.46</v>
      </c>
      <c r="AJ109" s="63">
        <v>0.43</v>
      </c>
      <c r="AK109" s="63">
        <v>0.52</v>
      </c>
      <c r="AL109" s="63">
        <v>0.57999999999999996</v>
      </c>
      <c r="AM109" s="63">
        <v>0.56999999999999995</v>
      </c>
      <c r="AN109" s="12">
        <v>47</v>
      </c>
      <c r="AO109" s="12">
        <v>11</v>
      </c>
      <c r="AP109" s="63">
        <v>0.28999999999999998</v>
      </c>
      <c r="AQ109" s="63">
        <v>0.46</v>
      </c>
      <c r="AR109" s="63">
        <v>0.24</v>
      </c>
      <c r="AS109" s="63">
        <v>0.01</v>
      </c>
      <c r="AT109" s="63">
        <v>0.59</v>
      </c>
      <c r="AU109" s="63">
        <v>0.5</v>
      </c>
      <c r="AV109" s="63">
        <v>0.47</v>
      </c>
      <c r="AW109" s="63">
        <v>0.49</v>
      </c>
      <c r="AX109" s="63">
        <v>0.49</v>
      </c>
      <c r="AY109" s="63">
        <v>0.5</v>
      </c>
      <c r="AZ109" s="35">
        <v>47</v>
      </c>
      <c r="BA109" s="35">
        <v>9</v>
      </c>
      <c r="BB109" s="40">
        <v>0.24</v>
      </c>
      <c r="BC109" s="40">
        <v>0.56999999999999995</v>
      </c>
      <c r="BD109" s="40">
        <v>0.18</v>
      </c>
      <c r="BE109" s="40">
        <v>0.01</v>
      </c>
      <c r="BF109" s="40">
        <v>0.54</v>
      </c>
      <c r="BG109" s="40">
        <v>0.55000000000000004</v>
      </c>
      <c r="BH109" s="40">
        <v>0.51</v>
      </c>
      <c r="BI109" s="40">
        <v>0.61</v>
      </c>
      <c r="BJ109" s="40">
        <v>0.46</v>
      </c>
      <c r="BK109" s="40">
        <v>0.45</v>
      </c>
      <c r="BL109" s="247">
        <v>46</v>
      </c>
      <c r="BM109" s="247" t="s">
        <v>874</v>
      </c>
      <c r="BN109" s="247">
        <v>10</v>
      </c>
      <c r="BO109" s="247" t="s">
        <v>874</v>
      </c>
      <c r="BP109" s="264">
        <v>0.3</v>
      </c>
      <c r="BQ109" s="264">
        <v>0.5</v>
      </c>
      <c r="BR109" s="264">
        <v>0.19</v>
      </c>
      <c r="BS109" s="264">
        <v>0.01</v>
      </c>
      <c r="BT109" s="264">
        <v>0.48</v>
      </c>
      <c r="BU109" s="264">
        <v>0.53</v>
      </c>
      <c r="BV109" s="264">
        <v>0.65</v>
      </c>
      <c r="BW109" s="264">
        <v>0.47</v>
      </c>
      <c r="BX109" s="264">
        <v>0.52</v>
      </c>
      <c r="BY109" s="264">
        <v>0.57999999999999996</v>
      </c>
      <c r="BZ109" s="311">
        <v>49</v>
      </c>
      <c r="CA109" s="311" t="s">
        <v>874</v>
      </c>
      <c r="CB109" s="311">
        <v>10</v>
      </c>
      <c r="CC109" s="311" t="s">
        <v>874</v>
      </c>
      <c r="CD109" s="329">
        <v>0.22</v>
      </c>
      <c r="CE109" s="329">
        <v>0.51</v>
      </c>
      <c r="CF109" s="329">
        <v>0.26</v>
      </c>
      <c r="CG109" s="329">
        <v>0.01</v>
      </c>
      <c r="CH109" s="329">
        <v>0.52</v>
      </c>
      <c r="CI109" s="329">
        <v>0.43</v>
      </c>
      <c r="CJ109" s="329">
        <v>0.57999999999999996</v>
      </c>
      <c r="CK109" s="329">
        <v>0.53</v>
      </c>
      <c r="CL109" s="329">
        <v>0.44</v>
      </c>
      <c r="CM109" s="329">
        <v>0.57999999999999996</v>
      </c>
      <c r="CN109" s="426">
        <v>48</v>
      </c>
      <c r="CO109" s="426" t="s">
        <v>874</v>
      </c>
      <c r="CP109" s="426">
        <v>10</v>
      </c>
      <c r="CQ109" s="426" t="s">
        <v>874</v>
      </c>
      <c r="CR109" s="430">
        <v>0.25</v>
      </c>
      <c r="CS109" s="430">
        <v>0.56000000000000005</v>
      </c>
      <c r="CT109" s="430">
        <v>0.18</v>
      </c>
      <c r="CU109" s="430">
        <v>0.01</v>
      </c>
      <c r="CV109" s="430">
        <v>0.38</v>
      </c>
      <c r="CW109" s="430">
        <v>0.57999999999999996</v>
      </c>
      <c r="CX109" s="430">
        <v>0.61</v>
      </c>
      <c r="CY109" s="430">
        <v>0.56999999999999995</v>
      </c>
      <c r="CZ109" s="527">
        <v>0.6</v>
      </c>
      <c r="DA109" s="527">
        <v>0.57999999999999996</v>
      </c>
      <c r="DB109" s="528">
        <v>49</v>
      </c>
      <c r="DC109" s="528" t="s">
        <v>874</v>
      </c>
      <c r="DD109" s="528">
        <v>10</v>
      </c>
      <c r="DE109" s="528" t="s">
        <v>874</v>
      </c>
      <c r="DF109" s="529">
        <v>0.24</v>
      </c>
      <c r="DG109" s="529">
        <v>0.46</v>
      </c>
      <c r="DH109" s="529">
        <v>0.28999999999999998</v>
      </c>
      <c r="DI109" s="529">
        <v>0</v>
      </c>
      <c r="DJ109" s="529">
        <v>0.51</v>
      </c>
      <c r="DK109" s="529">
        <v>0.5</v>
      </c>
      <c r="DL109" s="529">
        <v>0.52</v>
      </c>
      <c r="DM109" s="529">
        <v>0.64</v>
      </c>
      <c r="DN109" s="529">
        <v>0.54</v>
      </c>
      <c r="DO109" s="529">
        <v>0.45</v>
      </c>
    </row>
    <row r="110" spans="1:119" ht="24.95" customHeight="1" x14ac:dyDescent="0.2">
      <c r="A110" s="814" t="s">
        <v>46</v>
      </c>
      <c r="B110" s="1" t="s">
        <v>221</v>
      </c>
      <c r="C110" s="2">
        <v>5</v>
      </c>
      <c r="D110" s="12">
        <v>55</v>
      </c>
      <c r="E110" s="12">
        <v>9</v>
      </c>
      <c r="F110" s="63">
        <v>0.08</v>
      </c>
      <c r="G110" s="63">
        <v>0.33</v>
      </c>
      <c r="H110" s="63">
        <v>0.57999999999999996</v>
      </c>
      <c r="I110" s="63">
        <v>0</v>
      </c>
      <c r="J110" s="63">
        <v>0.5</v>
      </c>
      <c r="K110" s="63">
        <v>0.44</v>
      </c>
      <c r="L110" s="63">
        <v>0.52</v>
      </c>
      <c r="M110" s="63">
        <v>0.35</v>
      </c>
      <c r="N110" s="63">
        <v>0.42</v>
      </c>
      <c r="O110" s="63">
        <v>0.45</v>
      </c>
      <c r="P110" s="12">
        <v>50</v>
      </c>
      <c r="Q110" s="12">
        <v>9</v>
      </c>
      <c r="R110" s="61">
        <v>0.12</v>
      </c>
      <c r="S110" s="61">
        <v>0.56000000000000005</v>
      </c>
      <c r="T110" s="61">
        <v>0.28999999999999998</v>
      </c>
      <c r="U110" s="61">
        <v>0.02</v>
      </c>
      <c r="V110" s="61">
        <v>0.43</v>
      </c>
      <c r="W110" s="61">
        <v>0.51</v>
      </c>
      <c r="X110" s="61">
        <v>0.63</v>
      </c>
      <c r="Y110" s="61">
        <v>0.43</v>
      </c>
      <c r="Z110" s="61">
        <v>0.42</v>
      </c>
      <c r="AA110" s="61">
        <v>0.55000000000000004</v>
      </c>
      <c r="AB110" s="12">
        <v>47</v>
      </c>
      <c r="AC110" s="12">
        <v>11</v>
      </c>
      <c r="AD110" s="63">
        <v>0.19</v>
      </c>
      <c r="AE110" s="63">
        <v>0.62</v>
      </c>
      <c r="AF110" s="63">
        <v>0.14000000000000001</v>
      </c>
      <c r="AG110" s="63">
        <v>0.05</v>
      </c>
      <c r="AH110" s="63">
        <v>0.45</v>
      </c>
      <c r="AI110" s="63">
        <v>0.55000000000000004</v>
      </c>
      <c r="AJ110" s="63">
        <v>0.46</v>
      </c>
      <c r="AK110" s="63">
        <v>0.53</v>
      </c>
      <c r="AL110" s="63">
        <v>0.55000000000000004</v>
      </c>
      <c r="AM110" s="63">
        <v>0.69</v>
      </c>
      <c r="AN110" s="12">
        <v>50</v>
      </c>
      <c r="AO110" s="12">
        <v>11</v>
      </c>
      <c r="AP110" s="63">
        <v>0.23</v>
      </c>
      <c r="AQ110" s="63">
        <v>0.46</v>
      </c>
      <c r="AR110" s="63">
        <v>0.31</v>
      </c>
      <c r="AS110" s="63">
        <v>0</v>
      </c>
      <c r="AT110" s="63">
        <v>0.5</v>
      </c>
      <c r="AU110" s="63">
        <v>0.47</v>
      </c>
      <c r="AV110" s="63">
        <v>0.42</v>
      </c>
      <c r="AW110" s="63">
        <v>0.44</v>
      </c>
      <c r="AX110" s="63">
        <v>0.45</v>
      </c>
      <c r="AY110" s="63">
        <v>0.41</v>
      </c>
      <c r="AZ110" s="35">
        <v>50</v>
      </c>
      <c r="BA110" s="35">
        <v>10</v>
      </c>
      <c r="BB110" s="40">
        <v>0.19</v>
      </c>
      <c r="BC110" s="40">
        <v>0.52</v>
      </c>
      <c r="BD110" s="40">
        <v>0.26</v>
      </c>
      <c r="BE110" s="40">
        <v>0.04</v>
      </c>
      <c r="BF110" s="40">
        <v>0.48</v>
      </c>
      <c r="BG110" s="40">
        <v>0.49</v>
      </c>
      <c r="BH110" s="40">
        <v>0.45</v>
      </c>
      <c r="BI110" s="40">
        <v>0.56999999999999995</v>
      </c>
      <c r="BJ110" s="40">
        <v>0.43</v>
      </c>
      <c r="BK110" s="40">
        <v>0.42</v>
      </c>
      <c r="BL110" s="247">
        <v>53</v>
      </c>
      <c r="BM110" s="247" t="s">
        <v>874</v>
      </c>
      <c r="BN110" s="247">
        <v>11</v>
      </c>
      <c r="BO110" s="247" t="s">
        <v>874</v>
      </c>
      <c r="BP110" s="264">
        <v>0.11</v>
      </c>
      <c r="BQ110" s="264">
        <v>0.44</v>
      </c>
      <c r="BR110" s="264">
        <v>0.39</v>
      </c>
      <c r="BS110" s="264">
        <v>0.06</v>
      </c>
      <c r="BT110" s="264">
        <v>0.37</v>
      </c>
      <c r="BU110" s="264">
        <v>0.46</v>
      </c>
      <c r="BV110" s="264">
        <v>0.39</v>
      </c>
      <c r="BW110" s="264">
        <v>0.36</v>
      </c>
      <c r="BX110" s="264">
        <v>0.44</v>
      </c>
      <c r="BY110" s="264">
        <v>0.49</v>
      </c>
      <c r="BZ110" s="655"/>
      <c r="CA110" s="655"/>
      <c r="CB110" s="655"/>
      <c r="CC110" s="655"/>
      <c r="CD110" s="655"/>
      <c r="CE110" s="655"/>
      <c r="CF110" s="655"/>
      <c r="CG110" s="655"/>
      <c r="CH110" s="655"/>
      <c r="CI110" s="655"/>
      <c r="CJ110" s="655"/>
      <c r="CK110" s="655"/>
      <c r="CL110" s="655"/>
      <c r="CM110" s="655"/>
      <c r="CN110" s="657"/>
      <c r="CO110" s="657"/>
      <c r="CP110" s="657"/>
      <c r="CQ110" s="657"/>
      <c r="CR110" s="657"/>
      <c r="CS110" s="657"/>
      <c r="CT110" s="657"/>
      <c r="CU110" s="657"/>
      <c r="CV110" s="657"/>
      <c r="CW110" s="657"/>
      <c r="CX110" s="657"/>
      <c r="CY110" s="657"/>
      <c r="CZ110" s="666"/>
      <c r="DA110" s="666"/>
      <c r="DB110" s="668"/>
      <c r="DC110" s="668"/>
      <c r="DD110" s="668"/>
      <c r="DE110" s="668"/>
      <c r="DF110" s="668"/>
      <c r="DG110" s="668"/>
      <c r="DH110" s="668"/>
      <c r="DI110" s="668"/>
      <c r="DJ110" s="668"/>
      <c r="DK110" s="668"/>
      <c r="DL110" s="668"/>
      <c r="DM110" s="668"/>
      <c r="DN110" s="668"/>
      <c r="DO110" s="668"/>
    </row>
    <row r="111" spans="1:119" ht="24.95" customHeight="1" x14ac:dyDescent="0.2">
      <c r="A111" s="814" t="s">
        <v>61</v>
      </c>
      <c r="B111" s="1" t="s">
        <v>219</v>
      </c>
      <c r="C111" s="2">
        <v>6</v>
      </c>
      <c r="D111" s="12">
        <v>51</v>
      </c>
      <c r="E111" s="12">
        <v>8</v>
      </c>
      <c r="F111" s="63">
        <v>0.12</v>
      </c>
      <c r="G111" s="63">
        <v>0.56000000000000005</v>
      </c>
      <c r="H111" s="63">
        <v>0.32</v>
      </c>
      <c r="I111" s="63">
        <v>0</v>
      </c>
      <c r="J111" s="63">
        <v>0.54</v>
      </c>
      <c r="K111" s="63">
        <v>0.48</v>
      </c>
      <c r="L111" s="63">
        <v>0.6</v>
      </c>
      <c r="M111" s="63">
        <v>0.33</v>
      </c>
      <c r="N111" s="63">
        <v>0.43</v>
      </c>
      <c r="O111" s="63">
        <v>0.43</v>
      </c>
      <c r="P111" s="12">
        <v>50</v>
      </c>
      <c r="Q111" s="12">
        <v>9</v>
      </c>
      <c r="R111" s="61">
        <v>0.15</v>
      </c>
      <c r="S111" s="61">
        <v>0.56999999999999995</v>
      </c>
      <c r="T111" s="61">
        <v>0.28000000000000003</v>
      </c>
      <c r="U111" s="61">
        <v>0.01</v>
      </c>
      <c r="V111" s="61">
        <v>0.42</v>
      </c>
      <c r="W111" s="61">
        <v>0.51</v>
      </c>
      <c r="X111" s="61">
        <v>0.54</v>
      </c>
      <c r="Y111" s="61">
        <v>0.48</v>
      </c>
      <c r="Z111" s="61">
        <v>0.44</v>
      </c>
      <c r="AA111" s="61">
        <v>0.51</v>
      </c>
      <c r="AB111" s="12">
        <v>47</v>
      </c>
      <c r="AC111" s="12">
        <v>11</v>
      </c>
      <c r="AD111" s="63">
        <v>0.31</v>
      </c>
      <c r="AE111" s="63">
        <v>0.45</v>
      </c>
      <c r="AF111" s="63">
        <v>0.23</v>
      </c>
      <c r="AG111" s="63">
        <v>0.01</v>
      </c>
      <c r="AH111" s="63">
        <v>0.48</v>
      </c>
      <c r="AI111" s="63">
        <v>0.51</v>
      </c>
      <c r="AJ111" s="63">
        <v>0.45</v>
      </c>
      <c r="AK111" s="63">
        <v>0.54</v>
      </c>
      <c r="AL111" s="63">
        <v>0.62</v>
      </c>
      <c r="AM111" s="63">
        <v>0.55000000000000004</v>
      </c>
      <c r="AN111" s="12">
        <v>47</v>
      </c>
      <c r="AO111" s="12">
        <v>10</v>
      </c>
      <c r="AP111" s="63">
        <v>0.3</v>
      </c>
      <c r="AQ111" s="63">
        <v>0.54</v>
      </c>
      <c r="AR111" s="63">
        <v>0.15</v>
      </c>
      <c r="AS111" s="63">
        <v>0.01</v>
      </c>
      <c r="AT111" s="63">
        <v>0.59</v>
      </c>
      <c r="AU111" s="63">
        <v>0.5</v>
      </c>
      <c r="AV111" s="63">
        <v>0.49</v>
      </c>
      <c r="AW111" s="63">
        <v>0.5</v>
      </c>
      <c r="AX111" s="63">
        <v>0.48</v>
      </c>
      <c r="AY111" s="63">
        <v>0.52</v>
      </c>
      <c r="AZ111" s="35">
        <v>48</v>
      </c>
      <c r="BA111" s="35">
        <v>10</v>
      </c>
      <c r="BB111" s="40">
        <v>0.26</v>
      </c>
      <c r="BC111" s="40">
        <v>0.5</v>
      </c>
      <c r="BD111" s="40">
        <v>0.22</v>
      </c>
      <c r="BE111" s="40">
        <v>0.02</v>
      </c>
      <c r="BF111" s="40">
        <v>0.5</v>
      </c>
      <c r="BG111" s="40">
        <v>0.48</v>
      </c>
      <c r="BH111" s="40">
        <v>0.51</v>
      </c>
      <c r="BI111" s="40">
        <v>0.61</v>
      </c>
      <c r="BJ111" s="40">
        <v>0.45</v>
      </c>
      <c r="BK111" s="40">
        <v>0.45</v>
      </c>
      <c r="BL111" s="247">
        <v>48</v>
      </c>
      <c r="BM111" s="247" t="s">
        <v>874</v>
      </c>
      <c r="BN111" s="247">
        <v>11</v>
      </c>
      <c r="BO111" s="247" t="s">
        <v>874</v>
      </c>
      <c r="BP111" s="264">
        <v>0.27</v>
      </c>
      <c r="BQ111" s="264">
        <v>0.47</v>
      </c>
      <c r="BR111" s="264">
        <v>0.26</v>
      </c>
      <c r="BS111" s="264">
        <v>0.01</v>
      </c>
      <c r="BT111" s="264">
        <v>0.5</v>
      </c>
      <c r="BU111" s="264">
        <v>0.48</v>
      </c>
      <c r="BV111" s="264">
        <v>0.61</v>
      </c>
      <c r="BW111" s="264">
        <v>0.44</v>
      </c>
      <c r="BX111" s="264">
        <v>0.48</v>
      </c>
      <c r="BY111" s="264">
        <v>0.55000000000000004</v>
      </c>
      <c r="BZ111" s="74">
        <v>48</v>
      </c>
      <c r="CA111" s="74" t="s">
        <v>874</v>
      </c>
      <c r="CB111" s="74">
        <v>10</v>
      </c>
      <c r="CC111" s="74" t="s">
        <v>874</v>
      </c>
      <c r="CD111" s="96">
        <v>0.28999999999999998</v>
      </c>
      <c r="CE111" s="96">
        <v>0.45</v>
      </c>
      <c r="CF111" s="96">
        <v>0.26</v>
      </c>
      <c r="CG111" s="96">
        <v>0</v>
      </c>
      <c r="CH111" s="96">
        <v>0.44</v>
      </c>
      <c r="CI111" s="96">
        <v>0.4</v>
      </c>
      <c r="CJ111" s="96">
        <v>0.56999999999999995</v>
      </c>
      <c r="CK111" s="96">
        <v>0.56000000000000005</v>
      </c>
      <c r="CL111" s="96">
        <v>0.49</v>
      </c>
      <c r="CM111" s="96">
        <v>0.64</v>
      </c>
      <c r="CN111" s="658">
        <v>48</v>
      </c>
      <c r="CO111" s="658" t="s">
        <v>874</v>
      </c>
      <c r="CP111" s="658">
        <v>9</v>
      </c>
      <c r="CQ111" s="658" t="s">
        <v>874</v>
      </c>
      <c r="CR111" s="659">
        <v>0.25</v>
      </c>
      <c r="CS111" s="659">
        <v>0.55000000000000004</v>
      </c>
      <c r="CT111" s="659">
        <v>0.2</v>
      </c>
      <c r="CU111" s="659">
        <v>0</v>
      </c>
      <c r="CV111" s="659">
        <v>0.36</v>
      </c>
      <c r="CW111" s="659">
        <v>0.57999999999999996</v>
      </c>
      <c r="CX111" s="659">
        <v>0.59</v>
      </c>
      <c r="CY111" s="659">
        <v>0.65</v>
      </c>
      <c r="CZ111" s="667">
        <v>0.65</v>
      </c>
      <c r="DA111" s="667">
        <v>0.56999999999999995</v>
      </c>
      <c r="DB111" s="47">
        <v>49</v>
      </c>
      <c r="DC111" s="47" t="s">
        <v>874</v>
      </c>
      <c r="DD111" s="47">
        <v>10</v>
      </c>
      <c r="DE111" s="47" t="s">
        <v>874</v>
      </c>
      <c r="DF111" s="670">
        <v>0.21</v>
      </c>
      <c r="DG111" s="670">
        <v>0.49</v>
      </c>
      <c r="DH111" s="670">
        <v>0.28999999999999998</v>
      </c>
      <c r="DI111" s="670">
        <v>0.01</v>
      </c>
      <c r="DJ111" s="670">
        <v>0.5</v>
      </c>
      <c r="DK111" s="670">
        <v>0.5</v>
      </c>
      <c r="DL111" s="670">
        <v>0.53</v>
      </c>
      <c r="DM111" s="670">
        <v>0.65</v>
      </c>
      <c r="DN111" s="670">
        <v>0.53</v>
      </c>
      <c r="DO111" s="670">
        <v>0.43</v>
      </c>
    </row>
    <row r="112" spans="1:119" ht="24.95" customHeight="1" x14ac:dyDescent="0.2">
      <c r="A112" s="814" t="s">
        <v>21</v>
      </c>
      <c r="B112" s="1" t="s">
        <v>219</v>
      </c>
      <c r="C112" s="2">
        <v>5</v>
      </c>
      <c r="D112" s="12">
        <v>51</v>
      </c>
      <c r="E112" s="12">
        <v>8</v>
      </c>
      <c r="F112" s="63">
        <v>0.14000000000000001</v>
      </c>
      <c r="G112" s="63">
        <v>0.62</v>
      </c>
      <c r="H112" s="63">
        <v>0.23</v>
      </c>
      <c r="I112" s="63">
        <v>0.01</v>
      </c>
      <c r="J112" s="63">
        <v>0.55000000000000004</v>
      </c>
      <c r="K112" s="63">
        <v>0.48</v>
      </c>
      <c r="L112" s="63">
        <v>0.53</v>
      </c>
      <c r="M112" s="63">
        <v>0.39</v>
      </c>
      <c r="N112" s="63">
        <v>0.42</v>
      </c>
      <c r="O112" s="63">
        <v>0.54</v>
      </c>
      <c r="P112" s="12">
        <v>48</v>
      </c>
      <c r="Q112" s="12">
        <v>9</v>
      </c>
      <c r="R112" s="61">
        <v>0.18</v>
      </c>
      <c r="S112" s="61">
        <v>0.61</v>
      </c>
      <c r="T112" s="61">
        <v>0.2</v>
      </c>
      <c r="U112" s="61">
        <v>0.01</v>
      </c>
      <c r="V112" s="61">
        <v>0.46</v>
      </c>
      <c r="W112" s="61">
        <v>0.54</v>
      </c>
      <c r="X112" s="61">
        <v>0.55000000000000004</v>
      </c>
      <c r="Y112" s="61">
        <v>0.51</v>
      </c>
      <c r="Z112" s="61">
        <v>0.47</v>
      </c>
      <c r="AA112" s="61">
        <v>0.59</v>
      </c>
      <c r="AB112" s="12">
        <v>47</v>
      </c>
      <c r="AC112" s="12">
        <v>9</v>
      </c>
      <c r="AD112" s="63">
        <v>0.26</v>
      </c>
      <c r="AE112" s="63">
        <v>0.53</v>
      </c>
      <c r="AF112" s="63">
        <v>0.2</v>
      </c>
      <c r="AG112" s="63">
        <v>0</v>
      </c>
      <c r="AH112" s="63">
        <v>0.49</v>
      </c>
      <c r="AI112" s="63">
        <v>0.49</v>
      </c>
      <c r="AJ112" s="63">
        <v>0.45</v>
      </c>
      <c r="AK112" s="63">
        <v>0.54</v>
      </c>
      <c r="AL112" s="63">
        <v>0.57999999999999996</v>
      </c>
      <c r="AM112" s="63">
        <v>0.56000000000000005</v>
      </c>
      <c r="AN112" s="12">
        <v>47</v>
      </c>
      <c r="AO112" s="12">
        <v>10</v>
      </c>
      <c r="AP112" s="63">
        <v>0.28000000000000003</v>
      </c>
      <c r="AQ112" s="63">
        <v>0.54</v>
      </c>
      <c r="AR112" s="63">
        <v>0.17</v>
      </c>
      <c r="AS112" s="63">
        <v>0.01</v>
      </c>
      <c r="AT112" s="63">
        <v>0.54</v>
      </c>
      <c r="AU112" s="63">
        <v>0.49</v>
      </c>
      <c r="AV112" s="63">
        <v>0.48</v>
      </c>
      <c r="AW112" s="63">
        <v>0.5</v>
      </c>
      <c r="AX112" s="63">
        <v>0.49</v>
      </c>
      <c r="AY112" s="63">
        <v>0.5</v>
      </c>
      <c r="AZ112" s="35">
        <v>49</v>
      </c>
      <c r="BA112" s="35">
        <v>9</v>
      </c>
      <c r="BB112" s="40">
        <v>0.23</v>
      </c>
      <c r="BC112" s="40">
        <v>0.54</v>
      </c>
      <c r="BD112" s="40">
        <v>0.23</v>
      </c>
      <c r="BE112" s="40">
        <v>0.01</v>
      </c>
      <c r="BF112" s="40">
        <v>0.53</v>
      </c>
      <c r="BG112" s="40">
        <v>0.52</v>
      </c>
      <c r="BH112" s="40">
        <v>0.48</v>
      </c>
      <c r="BI112" s="40">
        <v>0.57999999999999996</v>
      </c>
      <c r="BJ112" s="40">
        <v>0.44</v>
      </c>
      <c r="BK112" s="40">
        <v>0.44</v>
      </c>
      <c r="BL112" s="247">
        <v>47</v>
      </c>
      <c r="BM112" s="247" t="s">
        <v>874</v>
      </c>
      <c r="BN112" s="247">
        <v>10</v>
      </c>
      <c r="BO112" s="247" t="s">
        <v>874</v>
      </c>
      <c r="BP112" s="264">
        <v>0.27</v>
      </c>
      <c r="BQ112" s="264">
        <v>0.51</v>
      </c>
      <c r="BR112" s="264">
        <v>0.21</v>
      </c>
      <c r="BS112" s="264">
        <v>0.01</v>
      </c>
      <c r="BT112" s="264">
        <v>0.49</v>
      </c>
      <c r="BU112" s="264">
        <v>0.51</v>
      </c>
      <c r="BV112" s="264">
        <v>0.67</v>
      </c>
      <c r="BW112" s="264">
        <v>0.46</v>
      </c>
      <c r="BX112" s="264">
        <v>0.51</v>
      </c>
      <c r="BY112" s="264">
        <v>0.56999999999999995</v>
      </c>
      <c r="BZ112" s="311">
        <v>50</v>
      </c>
      <c r="CA112" s="311" t="s">
        <v>874</v>
      </c>
      <c r="CB112" s="311">
        <v>10</v>
      </c>
      <c r="CC112" s="311" t="s">
        <v>874</v>
      </c>
      <c r="CD112" s="329">
        <v>0.2</v>
      </c>
      <c r="CE112" s="329">
        <v>0.48</v>
      </c>
      <c r="CF112" s="329">
        <v>0.3</v>
      </c>
      <c r="CG112" s="329">
        <v>0.02</v>
      </c>
      <c r="CH112" s="329">
        <v>0.45</v>
      </c>
      <c r="CI112" s="329">
        <v>0.38</v>
      </c>
      <c r="CJ112" s="329">
        <v>0.57999999999999996</v>
      </c>
      <c r="CK112" s="329">
        <v>0.55000000000000004</v>
      </c>
      <c r="CL112" s="329">
        <v>0.42</v>
      </c>
      <c r="CM112" s="329">
        <v>0.59</v>
      </c>
      <c r="CN112" s="426">
        <v>48</v>
      </c>
      <c r="CO112" s="426" t="s">
        <v>874</v>
      </c>
      <c r="CP112" s="426">
        <v>9</v>
      </c>
      <c r="CQ112" s="426" t="s">
        <v>874</v>
      </c>
      <c r="CR112" s="430">
        <v>0.2</v>
      </c>
      <c r="CS112" s="430">
        <v>0.56999999999999995</v>
      </c>
      <c r="CT112" s="430">
        <v>0.22</v>
      </c>
      <c r="CU112" s="430">
        <v>0.01</v>
      </c>
      <c r="CV112" s="430">
        <v>0.37</v>
      </c>
      <c r="CW112" s="430">
        <v>0.57999999999999996</v>
      </c>
      <c r="CX112" s="430">
        <v>0.56999999999999995</v>
      </c>
      <c r="CY112" s="430">
        <v>0.66</v>
      </c>
      <c r="CZ112" s="527">
        <v>0.62</v>
      </c>
      <c r="DA112" s="527">
        <v>0.61</v>
      </c>
      <c r="DB112" s="528">
        <v>49</v>
      </c>
      <c r="DC112" s="528" t="s">
        <v>874</v>
      </c>
      <c r="DD112" s="528">
        <v>11</v>
      </c>
      <c r="DE112" s="528" t="s">
        <v>874</v>
      </c>
      <c r="DF112" s="529">
        <v>0.23</v>
      </c>
      <c r="DG112" s="529">
        <v>0.49</v>
      </c>
      <c r="DH112" s="529">
        <v>0.25</v>
      </c>
      <c r="DI112" s="529">
        <v>0.03</v>
      </c>
      <c r="DJ112" s="529">
        <v>0.49</v>
      </c>
      <c r="DK112" s="529">
        <v>0.48</v>
      </c>
      <c r="DL112" s="529">
        <v>0.47</v>
      </c>
      <c r="DM112" s="529">
        <v>0.68</v>
      </c>
      <c r="DN112" s="529">
        <v>0.55000000000000004</v>
      </c>
      <c r="DO112" s="529">
        <v>0.43</v>
      </c>
    </row>
    <row r="113" spans="1:119" ht="24.95" customHeight="1" x14ac:dyDescent="0.2">
      <c r="A113" s="814" t="s">
        <v>124</v>
      </c>
      <c r="B113" s="1" t="s">
        <v>219</v>
      </c>
      <c r="C113" s="2">
        <v>4</v>
      </c>
      <c r="D113" s="12">
        <v>42</v>
      </c>
      <c r="E113" s="12">
        <v>8</v>
      </c>
      <c r="F113" s="63">
        <v>0.51</v>
      </c>
      <c r="G113" s="63">
        <v>0.43</v>
      </c>
      <c r="H113" s="63">
        <v>0.06</v>
      </c>
      <c r="I113" s="63">
        <v>0</v>
      </c>
      <c r="J113" s="63">
        <v>0.66</v>
      </c>
      <c r="K113" s="63">
        <v>0.61</v>
      </c>
      <c r="L113" s="63">
        <v>0.53</v>
      </c>
      <c r="M113" s="63">
        <v>0.56000000000000005</v>
      </c>
      <c r="N113" s="63">
        <v>0.54</v>
      </c>
      <c r="O113" s="63">
        <v>0.61</v>
      </c>
      <c r="P113" s="12">
        <v>44</v>
      </c>
      <c r="Q113" s="12">
        <v>8</v>
      </c>
      <c r="R113" s="61">
        <v>0.28999999999999998</v>
      </c>
      <c r="S113" s="61">
        <v>0.69</v>
      </c>
      <c r="T113" s="61">
        <v>0.02</v>
      </c>
      <c r="U113" s="61">
        <v>0</v>
      </c>
      <c r="V113" s="61">
        <v>0.57999999999999996</v>
      </c>
      <c r="W113" s="61">
        <v>0.55000000000000004</v>
      </c>
      <c r="X113" s="61">
        <v>0.59</v>
      </c>
      <c r="Y113" s="61">
        <v>0.55000000000000004</v>
      </c>
      <c r="Z113" s="61">
        <v>0.56000000000000005</v>
      </c>
      <c r="AA113" s="61">
        <v>0.64</v>
      </c>
      <c r="AB113" s="12">
        <v>42</v>
      </c>
      <c r="AC113" s="12">
        <v>10</v>
      </c>
      <c r="AD113" s="63">
        <v>0.43</v>
      </c>
      <c r="AE113" s="63">
        <v>0.47</v>
      </c>
      <c r="AF113" s="63">
        <v>0.11</v>
      </c>
      <c r="AG113" s="63">
        <v>0</v>
      </c>
      <c r="AH113" s="63">
        <v>0.55000000000000004</v>
      </c>
      <c r="AI113" s="63">
        <v>0.54</v>
      </c>
      <c r="AJ113" s="63">
        <v>0.54</v>
      </c>
      <c r="AK113" s="63">
        <v>0.65</v>
      </c>
      <c r="AL113" s="63">
        <v>0.7</v>
      </c>
      <c r="AM113" s="63">
        <v>0.65</v>
      </c>
      <c r="AN113" s="12">
        <v>41</v>
      </c>
      <c r="AO113" s="12">
        <v>11</v>
      </c>
      <c r="AP113" s="63">
        <v>0.56000000000000005</v>
      </c>
      <c r="AQ113" s="63">
        <v>0.32</v>
      </c>
      <c r="AR113" s="63">
        <v>0.12</v>
      </c>
      <c r="AS113" s="63">
        <v>0</v>
      </c>
      <c r="AT113" s="63">
        <v>0.6</v>
      </c>
      <c r="AU113" s="63">
        <v>0.62</v>
      </c>
      <c r="AV113" s="63">
        <v>0.61</v>
      </c>
      <c r="AW113" s="63">
        <v>0.6</v>
      </c>
      <c r="AX113" s="63">
        <v>0.62</v>
      </c>
      <c r="AY113" s="63">
        <v>0.56000000000000005</v>
      </c>
      <c r="AZ113" s="35">
        <v>43</v>
      </c>
      <c r="BA113" s="35">
        <v>9</v>
      </c>
      <c r="BB113" s="40">
        <v>0.39</v>
      </c>
      <c r="BC113" s="40">
        <v>0.5</v>
      </c>
      <c r="BD113" s="40">
        <v>0.11</v>
      </c>
      <c r="BE113" s="40">
        <v>0</v>
      </c>
      <c r="BF113" s="40">
        <v>0.6</v>
      </c>
      <c r="BG113" s="40">
        <v>0.57999999999999996</v>
      </c>
      <c r="BH113" s="40">
        <v>0.57999999999999996</v>
      </c>
      <c r="BI113" s="40">
        <v>0.65</v>
      </c>
      <c r="BJ113" s="40">
        <v>0.53</v>
      </c>
      <c r="BK113" s="40">
        <v>0.56000000000000005</v>
      </c>
      <c r="BL113" s="247">
        <v>43</v>
      </c>
      <c r="BM113" s="247" t="s">
        <v>874</v>
      </c>
      <c r="BN113" s="247">
        <v>9</v>
      </c>
      <c r="BO113" s="247" t="s">
        <v>874</v>
      </c>
      <c r="BP113" s="264">
        <v>0.44</v>
      </c>
      <c r="BQ113" s="264">
        <v>0.49</v>
      </c>
      <c r="BR113" s="264">
        <v>7.0000000000000007E-2</v>
      </c>
      <c r="BS113" s="264">
        <v>0</v>
      </c>
      <c r="BT113" s="264">
        <v>0.62</v>
      </c>
      <c r="BU113" s="264">
        <v>0.6</v>
      </c>
      <c r="BV113" s="264">
        <v>0.61</v>
      </c>
      <c r="BW113" s="264">
        <v>0.52</v>
      </c>
      <c r="BX113" s="264">
        <v>0.53</v>
      </c>
      <c r="BY113" s="264">
        <v>0.66</v>
      </c>
      <c r="BZ113" s="311">
        <v>44</v>
      </c>
      <c r="CA113" s="311" t="s">
        <v>874</v>
      </c>
      <c r="CB113" s="311">
        <v>12</v>
      </c>
      <c r="CC113" s="311" t="s">
        <v>874</v>
      </c>
      <c r="CD113" s="329">
        <v>0.45</v>
      </c>
      <c r="CE113" s="329">
        <v>0.4</v>
      </c>
      <c r="CF113" s="329">
        <v>0.13</v>
      </c>
      <c r="CG113" s="329">
        <v>0.02</v>
      </c>
      <c r="CH113" s="329">
        <v>0.54</v>
      </c>
      <c r="CI113" s="329">
        <v>0.53</v>
      </c>
      <c r="CJ113" s="329">
        <v>0.65</v>
      </c>
      <c r="CK113" s="329">
        <v>0.64</v>
      </c>
      <c r="CL113" s="329">
        <v>0.51</v>
      </c>
      <c r="CM113" s="329">
        <v>0.66</v>
      </c>
      <c r="CN113" s="426">
        <v>44</v>
      </c>
      <c r="CO113" s="426" t="s">
        <v>874</v>
      </c>
      <c r="CP113" s="426">
        <v>11</v>
      </c>
      <c r="CQ113" s="426" t="s">
        <v>874</v>
      </c>
      <c r="CR113" s="430">
        <v>0.44</v>
      </c>
      <c r="CS113" s="430">
        <v>0.39</v>
      </c>
      <c r="CT113" s="430">
        <v>0.18</v>
      </c>
      <c r="CU113" s="430">
        <v>0</v>
      </c>
      <c r="CV113" s="430">
        <v>0.47</v>
      </c>
      <c r="CW113" s="430">
        <v>0.66</v>
      </c>
      <c r="CX113" s="430">
        <v>0.68</v>
      </c>
      <c r="CY113" s="430">
        <v>0.6</v>
      </c>
      <c r="CZ113" s="527">
        <v>0.6</v>
      </c>
      <c r="DA113" s="527">
        <v>0.64</v>
      </c>
      <c r="DB113" s="528">
        <v>42</v>
      </c>
      <c r="DC113" s="528" t="s">
        <v>876</v>
      </c>
      <c r="DD113" s="528">
        <v>10</v>
      </c>
      <c r="DE113" s="528" t="s">
        <v>874</v>
      </c>
      <c r="DF113" s="529">
        <v>0.46</v>
      </c>
      <c r="DG113" s="529">
        <v>0.44</v>
      </c>
      <c r="DH113" s="529">
        <v>0.11</v>
      </c>
      <c r="DI113" s="529">
        <v>0</v>
      </c>
      <c r="DJ113" s="529">
        <v>0.59</v>
      </c>
      <c r="DK113" s="529">
        <v>0.53</v>
      </c>
      <c r="DL113" s="529">
        <v>0.62</v>
      </c>
      <c r="DM113" s="529">
        <v>0.72</v>
      </c>
      <c r="DN113" s="529">
        <v>0.68</v>
      </c>
      <c r="DO113" s="529">
        <v>0.63</v>
      </c>
    </row>
    <row r="114" spans="1:119" ht="24.95" customHeight="1" x14ac:dyDescent="0.2">
      <c r="A114" s="814" t="s">
        <v>23</v>
      </c>
      <c r="B114" s="1" t="s">
        <v>219</v>
      </c>
      <c r="C114" s="2">
        <v>2</v>
      </c>
      <c r="D114" s="12">
        <v>53</v>
      </c>
      <c r="E114" s="12">
        <v>9</v>
      </c>
      <c r="F114" s="63">
        <v>0.11</v>
      </c>
      <c r="G114" s="63">
        <v>0.48</v>
      </c>
      <c r="H114" s="63">
        <v>0.39</v>
      </c>
      <c r="I114" s="63">
        <v>0.02</v>
      </c>
      <c r="J114" s="63">
        <v>0.5</v>
      </c>
      <c r="K114" s="63">
        <v>0.45</v>
      </c>
      <c r="L114" s="63">
        <v>0.56999999999999995</v>
      </c>
      <c r="M114" s="63">
        <v>0.45</v>
      </c>
      <c r="N114" s="63">
        <v>0.38</v>
      </c>
      <c r="O114" s="63">
        <v>0.52</v>
      </c>
      <c r="P114" s="12">
        <v>51</v>
      </c>
      <c r="Q114" s="12">
        <v>9</v>
      </c>
      <c r="R114" s="61">
        <v>0.13</v>
      </c>
      <c r="S114" s="61">
        <v>0.53</v>
      </c>
      <c r="T114" s="61">
        <v>0.33</v>
      </c>
      <c r="U114" s="61">
        <v>0.02</v>
      </c>
      <c r="V114" s="61">
        <v>0.42</v>
      </c>
      <c r="W114" s="61">
        <v>0.47</v>
      </c>
      <c r="X114" s="61">
        <v>0.55000000000000004</v>
      </c>
      <c r="Y114" s="61">
        <v>0.45</v>
      </c>
      <c r="Z114" s="61">
        <v>0.44</v>
      </c>
      <c r="AA114" s="61">
        <v>0.49</v>
      </c>
      <c r="AB114" s="12">
        <v>49</v>
      </c>
      <c r="AC114" s="12">
        <v>10</v>
      </c>
      <c r="AD114" s="63">
        <v>0.2</v>
      </c>
      <c r="AE114" s="63">
        <v>0.5</v>
      </c>
      <c r="AF114" s="63">
        <v>0.3</v>
      </c>
      <c r="AG114" s="63">
        <v>0</v>
      </c>
      <c r="AH114" s="63">
        <v>0.44</v>
      </c>
      <c r="AI114" s="63">
        <v>0.43</v>
      </c>
      <c r="AJ114" s="63">
        <v>0.42</v>
      </c>
      <c r="AK114" s="63">
        <v>0.51</v>
      </c>
      <c r="AL114" s="63">
        <v>0.54</v>
      </c>
      <c r="AM114" s="63">
        <v>0.53</v>
      </c>
      <c r="AN114" s="12">
        <v>48</v>
      </c>
      <c r="AO114" s="12">
        <v>10</v>
      </c>
      <c r="AP114" s="63">
        <v>0.27</v>
      </c>
      <c r="AQ114" s="63">
        <v>0.47</v>
      </c>
      <c r="AR114" s="63">
        <v>0.25</v>
      </c>
      <c r="AS114" s="63">
        <v>0.01</v>
      </c>
      <c r="AT114" s="63">
        <v>0.56999999999999995</v>
      </c>
      <c r="AU114" s="63">
        <v>0.45</v>
      </c>
      <c r="AV114" s="63">
        <v>0.48</v>
      </c>
      <c r="AW114" s="63">
        <v>0.48</v>
      </c>
      <c r="AX114" s="63">
        <v>0.49</v>
      </c>
      <c r="AY114" s="63">
        <v>0.47</v>
      </c>
      <c r="AZ114" s="35">
        <v>51</v>
      </c>
      <c r="BA114" s="35">
        <v>10</v>
      </c>
      <c r="BB114" s="40">
        <v>0.18</v>
      </c>
      <c r="BC114" s="40">
        <v>0.45</v>
      </c>
      <c r="BD114" s="40">
        <v>0.34</v>
      </c>
      <c r="BE114" s="40">
        <v>0.03</v>
      </c>
      <c r="BF114" s="40">
        <v>0.45</v>
      </c>
      <c r="BG114" s="40">
        <v>0.46</v>
      </c>
      <c r="BH114" s="40">
        <v>0.45</v>
      </c>
      <c r="BI114" s="40">
        <v>0.53</v>
      </c>
      <c r="BJ114" s="40">
        <v>0.4</v>
      </c>
      <c r="BK114" s="40">
        <v>0.39</v>
      </c>
      <c r="BL114" s="247">
        <v>49</v>
      </c>
      <c r="BM114" s="247" t="s">
        <v>874</v>
      </c>
      <c r="BN114" s="247">
        <v>10</v>
      </c>
      <c r="BO114" s="247" t="s">
        <v>874</v>
      </c>
      <c r="BP114" s="264">
        <v>0.24</v>
      </c>
      <c r="BQ114" s="264">
        <v>0.5</v>
      </c>
      <c r="BR114" s="264">
        <v>0.25</v>
      </c>
      <c r="BS114" s="264">
        <v>0.01</v>
      </c>
      <c r="BT114" s="264">
        <v>0.46</v>
      </c>
      <c r="BU114" s="264">
        <v>0.49</v>
      </c>
      <c r="BV114" s="264">
        <v>0.54</v>
      </c>
      <c r="BW114" s="264">
        <v>0.45</v>
      </c>
      <c r="BX114" s="264">
        <v>0.48</v>
      </c>
      <c r="BY114" s="264">
        <v>0.56000000000000005</v>
      </c>
      <c r="BZ114" s="311">
        <v>50</v>
      </c>
      <c r="CA114" s="311" t="s">
        <v>874</v>
      </c>
      <c r="CB114" s="311">
        <v>10</v>
      </c>
      <c r="CC114" s="311" t="s">
        <v>874</v>
      </c>
      <c r="CD114" s="329">
        <v>0.17</v>
      </c>
      <c r="CE114" s="329">
        <v>0.5</v>
      </c>
      <c r="CF114" s="329">
        <v>0.32</v>
      </c>
      <c r="CG114" s="329">
        <v>0.02</v>
      </c>
      <c r="CH114" s="329">
        <v>0.51</v>
      </c>
      <c r="CI114" s="329">
        <v>0.35</v>
      </c>
      <c r="CJ114" s="329">
        <v>0.56999999999999995</v>
      </c>
      <c r="CK114" s="329">
        <v>0.54</v>
      </c>
      <c r="CL114" s="329">
        <v>0.43</v>
      </c>
      <c r="CM114" s="329">
        <v>0.57999999999999996</v>
      </c>
      <c r="CN114" s="426">
        <v>50</v>
      </c>
      <c r="CO114" s="426" t="s">
        <v>874</v>
      </c>
      <c r="CP114" s="426">
        <v>10</v>
      </c>
      <c r="CQ114" s="426" t="s">
        <v>874</v>
      </c>
      <c r="CR114" s="430">
        <v>0.2</v>
      </c>
      <c r="CS114" s="430">
        <v>0.49</v>
      </c>
      <c r="CT114" s="430">
        <v>0.28999999999999998</v>
      </c>
      <c r="CU114" s="430">
        <v>0.02</v>
      </c>
      <c r="CV114" s="430">
        <v>0.36</v>
      </c>
      <c r="CW114" s="430">
        <v>0.55000000000000004</v>
      </c>
      <c r="CX114" s="430">
        <v>0.56999999999999995</v>
      </c>
      <c r="CY114" s="430">
        <v>0.63</v>
      </c>
      <c r="CZ114" s="527">
        <v>0.55000000000000004</v>
      </c>
      <c r="DA114" s="527">
        <v>0.63</v>
      </c>
      <c r="DB114" s="528">
        <v>49</v>
      </c>
      <c r="DC114" s="528" t="s">
        <v>874</v>
      </c>
      <c r="DD114" s="528">
        <v>10</v>
      </c>
      <c r="DE114" s="528" t="s">
        <v>874</v>
      </c>
      <c r="DF114" s="529">
        <v>0.22</v>
      </c>
      <c r="DG114" s="529">
        <v>0.5</v>
      </c>
      <c r="DH114" s="529">
        <v>0.28000000000000003</v>
      </c>
      <c r="DI114" s="529">
        <v>0</v>
      </c>
      <c r="DJ114" s="529">
        <v>0.51</v>
      </c>
      <c r="DK114" s="529">
        <v>0.49</v>
      </c>
      <c r="DL114" s="529">
        <v>0.49</v>
      </c>
      <c r="DM114" s="529">
        <v>0.64</v>
      </c>
      <c r="DN114" s="529">
        <v>0.56000000000000005</v>
      </c>
      <c r="DO114" s="529">
        <v>0.48</v>
      </c>
    </row>
    <row r="115" spans="1:119" ht="24.95" customHeight="1" x14ac:dyDescent="0.2">
      <c r="A115" s="814" t="s">
        <v>222</v>
      </c>
      <c r="B115" s="1" t="s">
        <v>221</v>
      </c>
      <c r="C115" s="2">
        <v>1</v>
      </c>
      <c r="D115" s="12">
        <v>50</v>
      </c>
      <c r="E115" s="12">
        <v>8</v>
      </c>
      <c r="F115" s="63">
        <v>0.2</v>
      </c>
      <c r="G115" s="63">
        <v>0.56999999999999995</v>
      </c>
      <c r="H115" s="63">
        <v>0.24</v>
      </c>
      <c r="I115" s="63">
        <v>0</v>
      </c>
      <c r="J115" s="63">
        <v>0.61</v>
      </c>
      <c r="K115" s="63">
        <v>0.52</v>
      </c>
      <c r="L115" s="63">
        <v>0.65</v>
      </c>
      <c r="M115" s="63">
        <v>0.45</v>
      </c>
      <c r="N115" s="63">
        <v>0.46</v>
      </c>
      <c r="O115" s="63">
        <v>0.57999999999999996</v>
      </c>
      <c r="P115" s="12">
        <v>54</v>
      </c>
      <c r="Q115" s="12">
        <v>9</v>
      </c>
      <c r="R115" s="61">
        <v>0.05</v>
      </c>
      <c r="S115" s="61">
        <v>0.54</v>
      </c>
      <c r="T115" s="61">
        <v>0.38</v>
      </c>
      <c r="U115" s="61">
        <v>0.03</v>
      </c>
      <c r="V115" s="61">
        <v>0.35</v>
      </c>
      <c r="W115" s="61">
        <v>0.41</v>
      </c>
      <c r="X115" s="61">
        <v>0.53</v>
      </c>
      <c r="Y115" s="61">
        <v>0.43</v>
      </c>
      <c r="Z115" s="61">
        <v>0.42</v>
      </c>
      <c r="AA115" s="61">
        <v>0.54</v>
      </c>
      <c r="AB115" s="12">
        <v>51</v>
      </c>
      <c r="AC115" s="12">
        <v>10</v>
      </c>
      <c r="AD115" s="63">
        <v>0.18</v>
      </c>
      <c r="AE115" s="63">
        <v>0.5</v>
      </c>
      <c r="AF115" s="63">
        <v>0.32</v>
      </c>
      <c r="AG115" s="63">
        <v>0</v>
      </c>
      <c r="AH115" s="63">
        <v>0.44</v>
      </c>
      <c r="AI115" s="63">
        <v>0.45</v>
      </c>
      <c r="AJ115" s="63">
        <v>0.39</v>
      </c>
      <c r="AK115" s="63">
        <v>0.47</v>
      </c>
      <c r="AL115" s="63">
        <v>0.53</v>
      </c>
      <c r="AM115" s="63">
        <v>0.47</v>
      </c>
      <c r="AN115" s="12">
        <v>49</v>
      </c>
      <c r="AO115" s="12">
        <v>9</v>
      </c>
      <c r="AP115" s="63">
        <v>0.16</v>
      </c>
      <c r="AQ115" s="63">
        <v>0.56999999999999995</v>
      </c>
      <c r="AR115" s="63">
        <v>0.24</v>
      </c>
      <c r="AS115" s="63">
        <v>0.03</v>
      </c>
      <c r="AT115" s="63">
        <v>0.51</v>
      </c>
      <c r="AU115" s="63">
        <v>0.48</v>
      </c>
      <c r="AV115" s="63">
        <v>0.43</v>
      </c>
      <c r="AW115" s="63">
        <v>0.46</v>
      </c>
      <c r="AX115" s="63">
        <v>0.48</v>
      </c>
      <c r="AY115" s="63">
        <v>0.46</v>
      </c>
      <c r="AZ115" s="35">
        <v>53</v>
      </c>
      <c r="BA115" s="35">
        <v>10</v>
      </c>
      <c r="BB115" s="40">
        <v>0.13</v>
      </c>
      <c r="BC115" s="40">
        <v>0.42</v>
      </c>
      <c r="BD115" s="40">
        <v>0.44</v>
      </c>
      <c r="BE115" s="40">
        <v>0</v>
      </c>
      <c r="BF115" s="40">
        <v>0.4</v>
      </c>
      <c r="BG115" s="40">
        <v>0.44</v>
      </c>
      <c r="BH115" s="40">
        <v>0.43</v>
      </c>
      <c r="BI115" s="40">
        <v>0.56000000000000005</v>
      </c>
      <c r="BJ115" s="40">
        <v>0.34</v>
      </c>
      <c r="BK115" s="40">
        <v>0.39</v>
      </c>
      <c r="BL115" s="247">
        <v>52</v>
      </c>
      <c r="BM115" s="247" t="s">
        <v>874</v>
      </c>
      <c r="BN115" s="247">
        <v>9</v>
      </c>
      <c r="BO115" s="247" t="s">
        <v>874</v>
      </c>
      <c r="BP115" s="264">
        <v>0.14000000000000001</v>
      </c>
      <c r="BQ115" s="264">
        <v>0.47</v>
      </c>
      <c r="BR115" s="264">
        <v>0.4</v>
      </c>
      <c r="BS115" s="264">
        <v>0</v>
      </c>
      <c r="BT115" s="264">
        <v>0.41</v>
      </c>
      <c r="BU115" s="264">
        <v>0.42</v>
      </c>
      <c r="BV115" s="264">
        <v>0.56999999999999995</v>
      </c>
      <c r="BW115" s="264">
        <v>0.41</v>
      </c>
      <c r="BX115" s="264">
        <v>0.41</v>
      </c>
      <c r="BY115" s="264">
        <v>0.49</v>
      </c>
      <c r="BZ115" s="311">
        <v>50</v>
      </c>
      <c r="CA115" s="311" t="s">
        <v>874</v>
      </c>
      <c r="CB115" s="311">
        <v>11</v>
      </c>
      <c r="CC115" s="311" t="s">
        <v>874</v>
      </c>
      <c r="CD115" s="329">
        <v>0.19</v>
      </c>
      <c r="CE115" s="329">
        <v>0.51</v>
      </c>
      <c r="CF115" s="329">
        <v>0.26</v>
      </c>
      <c r="CG115" s="329">
        <v>0.03</v>
      </c>
      <c r="CH115" s="329">
        <v>0.47</v>
      </c>
      <c r="CI115" s="329">
        <v>0.37</v>
      </c>
      <c r="CJ115" s="329">
        <v>0.61</v>
      </c>
      <c r="CK115" s="329">
        <v>0.53</v>
      </c>
      <c r="CL115" s="329">
        <v>0.48</v>
      </c>
      <c r="CM115" s="329">
        <v>0.56999999999999995</v>
      </c>
      <c r="CN115" s="426">
        <v>53</v>
      </c>
      <c r="CO115" s="426" t="s">
        <v>874</v>
      </c>
      <c r="CP115" s="426">
        <v>11</v>
      </c>
      <c r="CQ115" s="426" t="s">
        <v>874</v>
      </c>
      <c r="CR115" s="430">
        <v>0.11</v>
      </c>
      <c r="CS115" s="430">
        <v>0.46</v>
      </c>
      <c r="CT115" s="430">
        <v>0.39</v>
      </c>
      <c r="CU115" s="430">
        <v>0.04</v>
      </c>
      <c r="CV115" s="430">
        <v>0.3</v>
      </c>
      <c r="CW115" s="430">
        <v>0.53</v>
      </c>
      <c r="CX115" s="430">
        <v>0.56000000000000005</v>
      </c>
      <c r="CY115" s="430">
        <v>0.68</v>
      </c>
      <c r="CZ115" s="527">
        <v>0.45</v>
      </c>
      <c r="DA115" s="527">
        <v>0.42</v>
      </c>
      <c r="DB115" s="528">
        <v>52</v>
      </c>
      <c r="DC115" s="528" t="s">
        <v>874</v>
      </c>
      <c r="DD115" s="528">
        <v>12</v>
      </c>
      <c r="DE115" s="528" t="s">
        <v>874</v>
      </c>
      <c r="DF115" s="529">
        <v>0.19</v>
      </c>
      <c r="DG115" s="529">
        <v>0.47</v>
      </c>
      <c r="DH115" s="529">
        <v>0.28000000000000003</v>
      </c>
      <c r="DI115" s="529">
        <v>0.06</v>
      </c>
      <c r="DJ115" s="529">
        <v>0.48</v>
      </c>
      <c r="DK115" s="529">
        <v>0.53</v>
      </c>
      <c r="DL115" s="529">
        <v>0.52</v>
      </c>
      <c r="DM115" s="529">
        <v>0.56000000000000005</v>
      </c>
      <c r="DN115" s="529">
        <v>0.56999999999999995</v>
      </c>
      <c r="DO115" s="529">
        <v>0.4</v>
      </c>
    </row>
    <row r="116" spans="1:119" ht="24.95" customHeight="1" x14ac:dyDescent="0.2">
      <c r="A116" s="814" t="s">
        <v>88</v>
      </c>
      <c r="B116" s="1" t="s">
        <v>219</v>
      </c>
      <c r="C116" s="2">
        <v>2</v>
      </c>
      <c r="D116" s="12">
        <v>51</v>
      </c>
      <c r="E116" s="12">
        <v>8</v>
      </c>
      <c r="F116" s="63">
        <v>0.11</v>
      </c>
      <c r="G116" s="63">
        <v>0.63</v>
      </c>
      <c r="H116" s="63">
        <v>0.27</v>
      </c>
      <c r="I116" s="63">
        <v>0</v>
      </c>
      <c r="J116" s="63">
        <v>0.55000000000000004</v>
      </c>
      <c r="K116" s="63">
        <v>0.51</v>
      </c>
      <c r="L116" s="63">
        <v>0.59</v>
      </c>
      <c r="M116" s="63">
        <v>0.43</v>
      </c>
      <c r="N116" s="63">
        <v>0.46</v>
      </c>
      <c r="O116" s="63">
        <v>0.52</v>
      </c>
      <c r="P116" s="12">
        <v>51</v>
      </c>
      <c r="Q116" s="12">
        <v>10</v>
      </c>
      <c r="R116" s="61">
        <v>0.14000000000000001</v>
      </c>
      <c r="S116" s="61">
        <v>0.52</v>
      </c>
      <c r="T116" s="61">
        <v>0.31</v>
      </c>
      <c r="U116" s="61">
        <v>0.03</v>
      </c>
      <c r="V116" s="61">
        <v>0.41</v>
      </c>
      <c r="W116" s="61">
        <v>0.49</v>
      </c>
      <c r="X116" s="61">
        <v>0.54</v>
      </c>
      <c r="Y116" s="61">
        <v>0.44</v>
      </c>
      <c r="Z116" s="61">
        <v>0.44</v>
      </c>
      <c r="AA116" s="61">
        <v>0.5</v>
      </c>
      <c r="AB116" s="12">
        <v>49</v>
      </c>
      <c r="AC116" s="12">
        <v>10</v>
      </c>
      <c r="AD116" s="63">
        <v>0.22</v>
      </c>
      <c r="AE116" s="63">
        <v>0.5</v>
      </c>
      <c r="AF116" s="63">
        <v>0.28000000000000003</v>
      </c>
      <c r="AG116" s="63">
        <v>0.01</v>
      </c>
      <c r="AH116" s="63">
        <v>0.45</v>
      </c>
      <c r="AI116" s="63">
        <v>0.44</v>
      </c>
      <c r="AJ116" s="63">
        <v>0.42</v>
      </c>
      <c r="AK116" s="63">
        <v>0.52</v>
      </c>
      <c r="AL116" s="63">
        <v>0.54</v>
      </c>
      <c r="AM116" s="63">
        <v>0.52</v>
      </c>
      <c r="AN116" s="12">
        <v>48</v>
      </c>
      <c r="AO116" s="12">
        <v>11</v>
      </c>
      <c r="AP116" s="63">
        <v>0.28999999999999998</v>
      </c>
      <c r="AQ116" s="63">
        <v>0.44</v>
      </c>
      <c r="AR116" s="63">
        <v>0.26</v>
      </c>
      <c r="AS116" s="63">
        <v>0.01</v>
      </c>
      <c r="AT116" s="63">
        <v>0.55000000000000004</v>
      </c>
      <c r="AU116" s="63">
        <v>0.47</v>
      </c>
      <c r="AV116" s="63">
        <v>0.48</v>
      </c>
      <c r="AW116" s="63">
        <v>0.47</v>
      </c>
      <c r="AX116" s="63">
        <v>0.5</v>
      </c>
      <c r="AY116" s="63">
        <v>0.49</v>
      </c>
      <c r="AZ116" s="35">
        <v>49</v>
      </c>
      <c r="BA116" s="35">
        <v>10</v>
      </c>
      <c r="BB116" s="40">
        <v>0.19</v>
      </c>
      <c r="BC116" s="40">
        <v>0.53</v>
      </c>
      <c r="BD116" s="40">
        <v>0.28000000000000003</v>
      </c>
      <c r="BE116" s="40">
        <v>0.01</v>
      </c>
      <c r="BF116" s="40">
        <v>0.51</v>
      </c>
      <c r="BG116" s="40">
        <v>0.47</v>
      </c>
      <c r="BH116" s="40">
        <v>0.48</v>
      </c>
      <c r="BI116" s="40">
        <v>0.54</v>
      </c>
      <c r="BJ116" s="40">
        <v>0.45</v>
      </c>
      <c r="BK116" s="40">
        <v>0.42</v>
      </c>
      <c r="BL116" s="247">
        <v>48</v>
      </c>
      <c r="BM116" s="247" t="s">
        <v>874</v>
      </c>
      <c r="BN116" s="247">
        <v>10</v>
      </c>
      <c r="BO116" s="247" t="s">
        <v>874</v>
      </c>
      <c r="BP116" s="264">
        <v>0.25</v>
      </c>
      <c r="BQ116" s="264">
        <v>0.51</v>
      </c>
      <c r="BR116" s="264">
        <v>0.24</v>
      </c>
      <c r="BS116" s="264">
        <v>0</v>
      </c>
      <c r="BT116" s="264">
        <v>0.5</v>
      </c>
      <c r="BU116" s="264">
        <v>0.51</v>
      </c>
      <c r="BV116" s="264">
        <v>0.56000000000000005</v>
      </c>
      <c r="BW116" s="264">
        <v>0.46</v>
      </c>
      <c r="BX116" s="264">
        <v>0.5</v>
      </c>
      <c r="BY116" s="264">
        <v>0.55000000000000004</v>
      </c>
      <c r="BZ116" s="311">
        <v>47</v>
      </c>
      <c r="CA116" s="311" t="s">
        <v>874</v>
      </c>
      <c r="CB116" s="311">
        <v>11</v>
      </c>
      <c r="CC116" s="311" t="s">
        <v>874</v>
      </c>
      <c r="CD116" s="329">
        <v>0.31</v>
      </c>
      <c r="CE116" s="329">
        <v>0.49</v>
      </c>
      <c r="CF116" s="329">
        <v>0.18</v>
      </c>
      <c r="CG116" s="329">
        <v>0.02</v>
      </c>
      <c r="CH116" s="329">
        <v>0.56999999999999995</v>
      </c>
      <c r="CI116" s="329">
        <v>0.5</v>
      </c>
      <c r="CJ116" s="329">
        <v>0.6</v>
      </c>
      <c r="CK116" s="329">
        <v>0.56999999999999995</v>
      </c>
      <c r="CL116" s="329">
        <v>0.45</v>
      </c>
      <c r="CM116" s="329">
        <v>0.6</v>
      </c>
      <c r="CN116" s="426">
        <v>49</v>
      </c>
      <c r="CO116" s="426" t="s">
        <v>874</v>
      </c>
      <c r="CP116" s="426">
        <v>9</v>
      </c>
      <c r="CQ116" s="426" t="s">
        <v>874</v>
      </c>
      <c r="CR116" s="430">
        <v>0.18</v>
      </c>
      <c r="CS116" s="430">
        <v>0.54</v>
      </c>
      <c r="CT116" s="430">
        <v>0.27</v>
      </c>
      <c r="CU116" s="430">
        <v>0.01</v>
      </c>
      <c r="CV116" s="430">
        <v>0.37</v>
      </c>
      <c r="CW116" s="430">
        <v>0.59</v>
      </c>
      <c r="CX116" s="430">
        <v>0.57999999999999996</v>
      </c>
      <c r="CY116" s="430">
        <v>0.6</v>
      </c>
      <c r="CZ116" s="527">
        <v>0.56999999999999995</v>
      </c>
      <c r="DA116" s="527">
        <v>0.57999999999999996</v>
      </c>
      <c r="DB116" s="528">
        <v>50</v>
      </c>
      <c r="DC116" s="528" t="s">
        <v>874</v>
      </c>
      <c r="DD116" s="528">
        <v>10</v>
      </c>
      <c r="DE116" s="528" t="s">
        <v>874</v>
      </c>
      <c r="DF116" s="529">
        <v>0.17</v>
      </c>
      <c r="DG116" s="529">
        <v>0.51</v>
      </c>
      <c r="DH116" s="529">
        <v>0.3</v>
      </c>
      <c r="DI116" s="529">
        <v>0.01</v>
      </c>
      <c r="DJ116" s="529">
        <v>0.5</v>
      </c>
      <c r="DK116" s="529">
        <v>0.46</v>
      </c>
      <c r="DL116" s="529">
        <v>0.49</v>
      </c>
      <c r="DM116" s="529">
        <v>0.65</v>
      </c>
      <c r="DN116" s="529">
        <v>0.54</v>
      </c>
      <c r="DO116" s="529">
        <v>0.41</v>
      </c>
    </row>
    <row r="117" spans="1:119" ht="24.95" customHeight="1" x14ac:dyDescent="0.2">
      <c r="A117" s="814" t="s">
        <v>1096</v>
      </c>
      <c r="B117" s="1" t="s">
        <v>219</v>
      </c>
      <c r="C117" s="2">
        <v>4</v>
      </c>
      <c r="D117" s="12">
        <v>52</v>
      </c>
      <c r="E117" s="12">
        <v>9</v>
      </c>
      <c r="F117" s="63">
        <v>0.14000000000000001</v>
      </c>
      <c r="G117" s="63">
        <v>0.5</v>
      </c>
      <c r="H117" s="63">
        <v>0.34</v>
      </c>
      <c r="I117" s="63">
        <v>0.02</v>
      </c>
      <c r="J117" s="63">
        <v>0.52</v>
      </c>
      <c r="K117" s="63">
        <v>0.47</v>
      </c>
      <c r="L117" s="63">
        <v>0.56999999999999995</v>
      </c>
      <c r="M117" s="63">
        <v>0.41</v>
      </c>
      <c r="N117" s="63">
        <v>0.4</v>
      </c>
      <c r="O117" s="63">
        <v>0.53</v>
      </c>
      <c r="P117" s="12">
        <v>53</v>
      </c>
      <c r="Q117" s="12">
        <v>11</v>
      </c>
      <c r="R117" s="61">
        <v>0.11</v>
      </c>
      <c r="S117" s="61">
        <v>0.47</v>
      </c>
      <c r="T117" s="61">
        <v>0.36</v>
      </c>
      <c r="U117" s="61">
        <v>0.05</v>
      </c>
      <c r="V117" s="61">
        <v>0.4</v>
      </c>
      <c r="W117" s="61">
        <v>0.45</v>
      </c>
      <c r="X117" s="61">
        <v>0.52</v>
      </c>
      <c r="Y117" s="61">
        <v>0.43</v>
      </c>
      <c r="Z117" s="61">
        <v>0.39</v>
      </c>
      <c r="AA117" s="61">
        <v>0.46</v>
      </c>
      <c r="AB117" s="12">
        <v>48</v>
      </c>
      <c r="AC117" s="12">
        <v>10</v>
      </c>
      <c r="AD117" s="63">
        <v>0.19</v>
      </c>
      <c r="AE117" s="63">
        <v>0.57999999999999996</v>
      </c>
      <c r="AF117" s="63">
        <v>0.22</v>
      </c>
      <c r="AG117" s="63">
        <v>0.01</v>
      </c>
      <c r="AH117" s="63">
        <v>0.46</v>
      </c>
      <c r="AI117" s="63">
        <v>0.44</v>
      </c>
      <c r="AJ117" s="63">
        <v>0.44</v>
      </c>
      <c r="AK117" s="63">
        <v>0.54</v>
      </c>
      <c r="AL117" s="63">
        <v>0.56999999999999995</v>
      </c>
      <c r="AM117" s="63">
        <v>0.55000000000000004</v>
      </c>
      <c r="AN117" s="12">
        <v>47</v>
      </c>
      <c r="AO117" s="12">
        <v>11</v>
      </c>
      <c r="AP117" s="63">
        <v>0.32</v>
      </c>
      <c r="AQ117" s="63">
        <v>0.43</v>
      </c>
      <c r="AR117" s="63">
        <v>0.25</v>
      </c>
      <c r="AS117" s="63">
        <v>0</v>
      </c>
      <c r="AT117" s="63">
        <v>0.59</v>
      </c>
      <c r="AU117" s="63">
        <v>0.5</v>
      </c>
      <c r="AV117" s="63">
        <v>0.47</v>
      </c>
      <c r="AW117" s="63">
        <v>0.47</v>
      </c>
      <c r="AX117" s="63">
        <v>0.51</v>
      </c>
      <c r="AY117" s="63">
        <v>0.5</v>
      </c>
      <c r="AZ117" s="35">
        <v>49</v>
      </c>
      <c r="BA117" s="35">
        <v>10</v>
      </c>
      <c r="BB117" s="40">
        <v>0.17</v>
      </c>
      <c r="BC117" s="40">
        <v>0.57999999999999996</v>
      </c>
      <c r="BD117" s="40">
        <v>0.25</v>
      </c>
      <c r="BE117" s="40">
        <v>0.01</v>
      </c>
      <c r="BF117" s="40">
        <v>0.54</v>
      </c>
      <c r="BG117" s="40">
        <v>0.5</v>
      </c>
      <c r="BH117" s="40">
        <v>0.5</v>
      </c>
      <c r="BI117" s="40">
        <v>0.61</v>
      </c>
      <c r="BJ117" s="40">
        <v>0.43</v>
      </c>
      <c r="BK117" s="40">
        <v>0.42</v>
      </c>
      <c r="BL117" s="247">
        <v>46</v>
      </c>
      <c r="BM117" s="247" t="s">
        <v>874</v>
      </c>
      <c r="BN117" s="247">
        <v>10</v>
      </c>
      <c r="BO117" s="247" t="s">
        <v>874</v>
      </c>
      <c r="BP117" s="264">
        <v>0.28999999999999998</v>
      </c>
      <c r="BQ117" s="264">
        <v>0.54</v>
      </c>
      <c r="BR117" s="264">
        <v>0.16</v>
      </c>
      <c r="BS117" s="264">
        <v>0.01</v>
      </c>
      <c r="BT117" s="264">
        <v>0.47</v>
      </c>
      <c r="BU117" s="264">
        <v>0.56000000000000005</v>
      </c>
      <c r="BV117" s="264">
        <v>0.63</v>
      </c>
      <c r="BW117" s="264">
        <v>0.48</v>
      </c>
      <c r="BX117" s="264">
        <v>0.52</v>
      </c>
      <c r="BY117" s="264">
        <v>0.6</v>
      </c>
      <c r="BZ117" s="311">
        <v>46</v>
      </c>
      <c r="CA117" s="311" t="s">
        <v>874</v>
      </c>
      <c r="CB117" s="311">
        <v>9</v>
      </c>
      <c r="CC117" s="311" t="s">
        <v>874</v>
      </c>
      <c r="CD117" s="329">
        <v>0.3</v>
      </c>
      <c r="CE117" s="329">
        <v>0.54</v>
      </c>
      <c r="CF117" s="329">
        <v>0.16</v>
      </c>
      <c r="CG117" s="329">
        <v>0</v>
      </c>
      <c r="CH117" s="329">
        <v>0.52</v>
      </c>
      <c r="CI117" s="329">
        <v>0.42</v>
      </c>
      <c r="CJ117" s="329">
        <v>0.64</v>
      </c>
      <c r="CK117" s="329">
        <v>0.59</v>
      </c>
      <c r="CL117" s="329">
        <v>0.47</v>
      </c>
      <c r="CM117" s="329">
        <v>0.64</v>
      </c>
      <c r="CN117" s="426">
        <v>48</v>
      </c>
      <c r="CO117" s="426" t="s">
        <v>874</v>
      </c>
      <c r="CP117" s="426">
        <v>10</v>
      </c>
      <c r="CQ117" s="426" t="s">
        <v>874</v>
      </c>
      <c r="CR117" s="430">
        <v>0.27</v>
      </c>
      <c r="CS117" s="430">
        <v>0.48</v>
      </c>
      <c r="CT117" s="430">
        <v>0.25</v>
      </c>
      <c r="CU117" s="430">
        <v>0.01</v>
      </c>
      <c r="CV117" s="430">
        <v>0.39</v>
      </c>
      <c r="CW117" s="430">
        <v>0.61</v>
      </c>
      <c r="CX117" s="430">
        <v>0.6</v>
      </c>
      <c r="CY117" s="430">
        <v>0.68</v>
      </c>
      <c r="CZ117" s="527">
        <v>0.6</v>
      </c>
      <c r="DA117" s="527">
        <v>0.62</v>
      </c>
      <c r="DB117" s="528">
        <v>48</v>
      </c>
      <c r="DC117" s="528" t="s">
        <v>874</v>
      </c>
      <c r="DD117" s="528">
        <v>10</v>
      </c>
      <c r="DE117" s="528" t="s">
        <v>874</v>
      </c>
      <c r="DF117" s="529">
        <v>0.27</v>
      </c>
      <c r="DG117" s="529">
        <v>0.48</v>
      </c>
      <c r="DH117" s="529">
        <v>0.25</v>
      </c>
      <c r="DI117" s="529">
        <v>0</v>
      </c>
      <c r="DJ117" s="529">
        <v>0.52</v>
      </c>
      <c r="DK117" s="529">
        <v>0.62</v>
      </c>
      <c r="DL117" s="529">
        <v>0.51</v>
      </c>
      <c r="DM117" s="529">
        <v>0.63</v>
      </c>
      <c r="DN117" s="529">
        <v>0.59</v>
      </c>
      <c r="DO117" s="529">
        <v>0.43</v>
      </c>
    </row>
    <row r="118" spans="1:119" ht="24.95" customHeight="1" x14ac:dyDescent="0.2">
      <c r="A118" s="814" t="s">
        <v>1097</v>
      </c>
      <c r="B118" s="1" t="s">
        <v>221</v>
      </c>
      <c r="C118" s="2">
        <v>1</v>
      </c>
      <c r="D118" s="12">
        <v>47</v>
      </c>
      <c r="E118" s="12">
        <v>9</v>
      </c>
      <c r="F118" s="63">
        <v>0.33</v>
      </c>
      <c r="G118" s="63">
        <v>0.52</v>
      </c>
      <c r="H118" s="63">
        <v>0.14000000000000001</v>
      </c>
      <c r="I118" s="63">
        <v>0</v>
      </c>
      <c r="J118" s="63">
        <v>0.56999999999999995</v>
      </c>
      <c r="K118" s="63">
        <v>0.62</v>
      </c>
      <c r="L118" s="63">
        <v>0.6</v>
      </c>
      <c r="M118" s="63">
        <v>0.44</v>
      </c>
      <c r="N118" s="63">
        <v>0.55000000000000004</v>
      </c>
      <c r="O118" s="63">
        <v>0.56999999999999995</v>
      </c>
      <c r="P118" s="12">
        <v>46</v>
      </c>
      <c r="Q118" s="12">
        <v>12</v>
      </c>
      <c r="R118" s="61">
        <v>0.53</v>
      </c>
      <c r="S118" s="61">
        <v>0.18</v>
      </c>
      <c r="T118" s="61">
        <v>0.24</v>
      </c>
      <c r="U118" s="61">
        <v>0.06</v>
      </c>
      <c r="V118" s="61">
        <v>0.54</v>
      </c>
      <c r="W118" s="61">
        <v>0.49</v>
      </c>
      <c r="X118" s="61">
        <v>0.67</v>
      </c>
      <c r="Y118" s="61">
        <v>0.5</v>
      </c>
      <c r="Z118" s="61">
        <v>0.52</v>
      </c>
      <c r="AA118" s="61">
        <v>0.57999999999999996</v>
      </c>
      <c r="AB118" s="12">
        <v>44</v>
      </c>
      <c r="AC118" s="12">
        <v>9</v>
      </c>
      <c r="AD118" s="63">
        <v>0.5</v>
      </c>
      <c r="AE118" s="63">
        <v>0.28999999999999998</v>
      </c>
      <c r="AF118" s="63">
        <v>0.21</v>
      </c>
      <c r="AG118" s="63">
        <v>0</v>
      </c>
      <c r="AH118" s="63">
        <v>0.51</v>
      </c>
      <c r="AI118" s="63">
        <v>0.52</v>
      </c>
      <c r="AJ118" s="63">
        <v>0.54</v>
      </c>
      <c r="AK118" s="63">
        <v>0.61</v>
      </c>
      <c r="AL118" s="63">
        <v>0.67</v>
      </c>
      <c r="AM118" s="63">
        <v>0.56999999999999995</v>
      </c>
      <c r="AN118" s="12">
        <v>44</v>
      </c>
      <c r="AO118" s="12">
        <v>10</v>
      </c>
      <c r="AP118" s="63">
        <v>0.43</v>
      </c>
      <c r="AQ118" s="63">
        <v>0.43</v>
      </c>
      <c r="AR118" s="63">
        <v>0.13</v>
      </c>
      <c r="AS118" s="63">
        <v>0</v>
      </c>
      <c r="AT118" s="63">
        <v>0.53</v>
      </c>
      <c r="AU118" s="63">
        <v>0.49</v>
      </c>
      <c r="AV118" s="63">
        <v>0.57999999999999996</v>
      </c>
      <c r="AW118" s="63">
        <v>0.51</v>
      </c>
      <c r="AX118" s="63">
        <v>0.54</v>
      </c>
      <c r="AY118" s="63">
        <v>0.52</v>
      </c>
      <c r="AZ118" s="35">
        <v>51</v>
      </c>
      <c r="BA118" s="35">
        <v>9</v>
      </c>
      <c r="BB118" s="40">
        <v>0.15</v>
      </c>
      <c r="BC118" s="40">
        <v>0.5</v>
      </c>
      <c r="BD118" s="40">
        <v>0.35</v>
      </c>
      <c r="BE118" s="40">
        <v>0</v>
      </c>
      <c r="BF118" s="40">
        <v>0.56000000000000005</v>
      </c>
      <c r="BG118" s="40">
        <v>0.4</v>
      </c>
      <c r="BH118" s="40">
        <v>0.43</v>
      </c>
      <c r="BI118" s="40">
        <v>0.57999999999999996</v>
      </c>
      <c r="BJ118" s="40">
        <v>0.45</v>
      </c>
      <c r="BK118" s="40">
        <v>0.39</v>
      </c>
      <c r="BL118" s="247">
        <v>49</v>
      </c>
      <c r="BM118" s="247" t="s">
        <v>874</v>
      </c>
      <c r="BN118" s="247">
        <v>11</v>
      </c>
      <c r="BO118" s="247" t="s">
        <v>874</v>
      </c>
      <c r="BP118" s="264">
        <v>0.28999999999999998</v>
      </c>
      <c r="BQ118" s="264">
        <v>0.38</v>
      </c>
      <c r="BR118" s="264">
        <v>0.33</v>
      </c>
      <c r="BS118" s="264">
        <v>0</v>
      </c>
      <c r="BT118" s="264">
        <v>0.45</v>
      </c>
      <c r="BU118" s="264">
        <v>0.46</v>
      </c>
      <c r="BV118" s="264">
        <v>0.53</v>
      </c>
      <c r="BW118" s="264">
        <v>0.44</v>
      </c>
      <c r="BX118" s="264">
        <v>0.48</v>
      </c>
      <c r="BY118" s="264">
        <v>0.53</v>
      </c>
      <c r="BZ118" s="311">
        <v>49</v>
      </c>
      <c r="CA118" s="311" t="s">
        <v>874</v>
      </c>
      <c r="CB118" s="311">
        <v>11</v>
      </c>
      <c r="CC118" s="311" t="s">
        <v>874</v>
      </c>
      <c r="CD118" s="329">
        <v>0.24</v>
      </c>
      <c r="CE118" s="329">
        <v>0.38</v>
      </c>
      <c r="CF118" s="329">
        <v>0.38</v>
      </c>
      <c r="CG118" s="329">
        <v>0</v>
      </c>
      <c r="CH118" s="329">
        <v>0.68</v>
      </c>
      <c r="CI118" s="329">
        <v>0.62</v>
      </c>
      <c r="CJ118" s="329">
        <v>0.62</v>
      </c>
      <c r="CK118" s="329">
        <v>0.5</v>
      </c>
      <c r="CL118" s="329">
        <v>0.4</v>
      </c>
      <c r="CM118" s="329">
        <v>0.6</v>
      </c>
      <c r="CN118" s="426">
        <v>51</v>
      </c>
      <c r="CO118" s="426" t="s">
        <v>874</v>
      </c>
      <c r="CP118" s="426">
        <v>9</v>
      </c>
      <c r="CQ118" s="426" t="s">
        <v>874</v>
      </c>
      <c r="CR118" s="430">
        <v>0.2</v>
      </c>
      <c r="CS118" s="430">
        <v>0.44</v>
      </c>
      <c r="CT118" s="430">
        <v>0.36</v>
      </c>
      <c r="CU118" s="430">
        <v>0</v>
      </c>
      <c r="CV118" s="430">
        <v>0.28999999999999998</v>
      </c>
      <c r="CW118" s="430">
        <v>0.56000000000000005</v>
      </c>
      <c r="CX118" s="430">
        <v>0.54</v>
      </c>
      <c r="CY118" s="430">
        <v>0.33</v>
      </c>
      <c r="CZ118" s="527">
        <v>0.6</v>
      </c>
      <c r="DA118" s="527">
        <v>0.65</v>
      </c>
      <c r="DB118" s="528">
        <v>52</v>
      </c>
      <c r="DC118" s="528" t="s">
        <v>874</v>
      </c>
      <c r="DD118" s="528">
        <v>7</v>
      </c>
      <c r="DE118" s="528" t="s">
        <v>876</v>
      </c>
      <c r="DF118" s="529">
        <v>0.05</v>
      </c>
      <c r="DG118" s="529">
        <v>0.68</v>
      </c>
      <c r="DH118" s="529">
        <v>0.26</v>
      </c>
      <c r="DI118" s="529">
        <v>0</v>
      </c>
      <c r="DJ118" s="529">
        <v>0.46</v>
      </c>
      <c r="DK118" s="529">
        <v>0.39</v>
      </c>
      <c r="DL118" s="529">
        <v>0.38</v>
      </c>
      <c r="DM118" s="529">
        <v>0.62</v>
      </c>
      <c r="DN118" s="529">
        <v>0.53</v>
      </c>
      <c r="DO118" s="529">
        <v>0.45</v>
      </c>
    </row>
    <row r="119" spans="1:119" ht="24.95" customHeight="1" x14ac:dyDescent="0.2">
      <c r="A119" s="814" t="s">
        <v>172</v>
      </c>
      <c r="B119" s="1" t="s">
        <v>219</v>
      </c>
      <c r="C119" s="2">
        <v>3</v>
      </c>
      <c r="D119" s="12">
        <v>50</v>
      </c>
      <c r="E119" s="12">
        <v>9</v>
      </c>
      <c r="F119" s="63">
        <v>0.18</v>
      </c>
      <c r="G119" s="63">
        <v>0.55000000000000004</v>
      </c>
      <c r="H119" s="63">
        <v>0.25</v>
      </c>
      <c r="I119" s="63">
        <v>0.02</v>
      </c>
      <c r="J119" s="63">
        <v>0.56000000000000005</v>
      </c>
      <c r="K119" s="63">
        <v>0.51</v>
      </c>
      <c r="L119" s="63">
        <v>0.65</v>
      </c>
      <c r="M119" s="63">
        <v>0.47</v>
      </c>
      <c r="N119" s="63">
        <v>0.45</v>
      </c>
      <c r="O119" s="63">
        <v>0.54</v>
      </c>
      <c r="P119" s="12">
        <v>50</v>
      </c>
      <c r="Q119" s="12">
        <v>9</v>
      </c>
      <c r="R119" s="61">
        <v>0.18</v>
      </c>
      <c r="S119" s="61">
        <v>0.55000000000000004</v>
      </c>
      <c r="T119" s="61">
        <v>0.27</v>
      </c>
      <c r="U119" s="61">
        <v>0</v>
      </c>
      <c r="V119" s="61">
        <v>0.46</v>
      </c>
      <c r="W119" s="61">
        <v>0.5</v>
      </c>
      <c r="X119" s="61">
        <v>0.59</v>
      </c>
      <c r="Y119" s="61">
        <v>0.48</v>
      </c>
      <c r="Z119" s="61">
        <v>0.45</v>
      </c>
      <c r="AA119" s="61">
        <v>0.52</v>
      </c>
      <c r="AB119" s="12">
        <v>50</v>
      </c>
      <c r="AC119" s="12">
        <v>10</v>
      </c>
      <c r="AD119" s="63">
        <v>0.2</v>
      </c>
      <c r="AE119" s="63">
        <v>0.51</v>
      </c>
      <c r="AF119" s="63">
        <v>0.28000000000000003</v>
      </c>
      <c r="AG119" s="63">
        <v>0.01</v>
      </c>
      <c r="AH119" s="63">
        <v>0.44</v>
      </c>
      <c r="AI119" s="63">
        <v>0.42</v>
      </c>
      <c r="AJ119" s="63">
        <v>0.42</v>
      </c>
      <c r="AK119" s="63">
        <v>0.51</v>
      </c>
      <c r="AL119" s="63">
        <v>0.55000000000000004</v>
      </c>
      <c r="AM119" s="63">
        <v>0.52</v>
      </c>
      <c r="AN119" s="12">
        <v>47</v>
      </c>
      <c r="AO119" s="12">
        <v>10</v>
      </c>
      <c r="AP119" s="63">
        <v>0.3</v>
      </c>
      <c r="AQ119" s="63">
        <v>0.49</v>
      </c>
      <c r="AR119" s="63">
        <v>0.2</v>
      </c>
      <c r="AS119" s="63">
        <v>0.01</v>
      </c>
      <c r="AT119" s="63">
        <v>0.56000000000000005</v>
      </c>
      <c r="AU119" s="63">
        <v>0.51</v>
      </c>
      <c r="AV119" s="63">
        <v>0.48</v>
      </c>
      <c r="AW119" s="63">
        <v>0.49</v>
      </c>
      <c r="AX119" s="63">
        <v>0.51</v>
      </c>
      <c r="AY119" s="63">
        <v>0.5</v>
      </c>
      <c r="AZ119" s="35">
        <v>47</v>
      </c>
      <c r="BA119" s="35">
        <v>10</v>
      </c>
      <c r="BB119" s="40">
        <v>0.26</v>
      </c>
      <c r="BC119" s="40">
        <v>0.5</v>
      </c>
      <c r="BD119" s="40">
        <v>0.24</v>
      </c>
      <c r="BE119" s="40">
        <v>0</v>
      </c>
      <c r="BF119" s="40">
        <v>0.56999999999999995</v>
      </c>
      <c r="BG119" s="40">
        <v>0.51</v>
      </c>
      <c r="BH119" s="40">
        <v>0.52</v>
      </c>
      <c r="BI119" s="40">
        <v>0.61</v>
      </c>
      <c r="BJ119" s="40">
        <v>0.5</v>
      </c>
      <c r="BK119" s="40">
        <v>0.45</v>
      </c>
      <c r="BL119" s="247">
        <v>47</v>
      </c>
      <c r="BM119" s="247" t="s">
        <v>874</v>
      </c>
      <c r="BN119" s="247">
        <v>10</v>
      </c>
      <c r="BO119" s="247" t="s">
        <v>874</v>
      </c>
      <c r="BP119" s="264">
        <v>0.28000000000000003</v>
      </c>
      <c r="BQ119" s="264">
        <v>0.5</v>
      </c>
      <c r="BR119" s="264">
        <v>0.22</v>
      </c>
      <c r="BS119" s="264">
        <v>0</v>
      </c>
      <c r="BT119" s="264">
        <v>0.48</v>
      </c>
      <c r="BU119" s="264">
        <v>0.53</v>
      </c>
      <c r="BV119" s="264">
        <v>0.56999999999999995</v>
      </c>
      <c r="BW119" s="264">
        <v>0.45</v>
      </c>
      <c r="BX119" s="264">
        <v>0.48</v>
      </c>
      <c r="BY119" s="264">
        <v>0.6</v>
      </c>
      <c r="BZ119" s="311">
        <v>48</v>
      </c>
      <c r="CA119" s="311" t="s">
        <v>874</v>
      </c>
      <c r="CB119" s="311">
        <v>10</v>
      </c>
      <c r="CC119" s="311" t="s">
        <v>874</v>
      </c>
      <c r="CD119" s="329">
        <v>0.23</v>
      </c>
      <c r="CE119" s="329">
        <v>0.53</v>
      </c>
      <c r="CF119" s="329">
        <v>0.23</v>
      </c>
      <c r="CG119" s="329">
        <v>0.01</v>
      </c>
      <c r="CH119" s="329">
        <v>0.49</v>
      </c>
      <c r="CI119" s="329">
        <v>0.47</v>
      </c>
      <c r="CJ119" s="329">
        <v>0.63</v>
      </c>
      <c r="CK119" s="329">
        <v>0.55000000000000004</v>
      </c>
      <c r="CL119" s="329">
        <v>0.44</v>
      </c>
      <c r="CM119" s="329">
        <v>0.61</v>
      </c>
      <c r="CN119" s="426">
        <v>48</v>
      </c>
      <c r="CO119" s="426" t="s">
        <v>874</v>
      </c>
      <c r="CP119" s="426">
        <v>9</v>
      </c>
      <c r="CQ119" s="426" t="s">
        <v>874</v>
      </c>
      <c r="CR119" s="430">
        <v>0.24</v>
      </c>
      <c r="CS119" s="430">
        <v>0.54</v>
      </c>
      <c r="CT119" s="430">
        <v>0.21</v>
      </c>
      <c r="CU119" s="430">
        <v>0</v>
      </c>
      <c r="CV119" s="430">
        <v>0.37</v>
      </c>
      <c r="CW119" s="430">
        <v>0.6</v>
      </c>
      <c r="CX119" s="430">
        <v>0.59</v>
      </c>
      <c r="CY119" s="430">
        <v>0.65</v>
      </c>
      <c r="CZ119" s="527">
        <v>0.55000000000000004</v>
      </c>
      <c r="DA119" s="527">
        <v>0.59</v>
      </c>
      <c r="DB119" s="528">
        <v>48</v>
      </c>
      <c r="DC119" s="528" t="s">
        <v>874</v>
      </c>
      <c r="DD119" s="528">
        <v>11</v>
      </c>
      <c r="DE119" s="528" t="s">
        <v>874</v>
      </c>
      <c r="DF119" s="529">
        <v>0.26</v>
      </c>
      <c r="DG119" s="529">
        <v>0.49</v>
      </c>
      <c r="DH119" s="529">
        <v>0.24</v>
      </c>
      <c r="DI119" s="529">
        <v>0.01</v>
      </c>
      <c r="DJ119" s="529">
        <v>0.52</v>
      </c>
      <c r="DK119" s="529">
        <v>0.51</v>
      </c>
      <c r="DL119" s="529">
        <v>0.52</v>
      </c>
      <c r="DM119" s="529">
        <v>0.64</v>
      </c>
      <c r="DN119" s="529">
        <v>0.48</v>
      </c>
      <c r="DO119" s="529">
        <v>0.44</v>
      </c>
    </row>
    <row r="120" spans="1:119" ht="24.95" customHeight="1" x14ac:dyDescent="0.2">
      <c r="A120" s="814" t="s">
        <v>33</v>
      </c>
      <c r="B120" s="1" t="s">
        <v>219</v>
      </c>
      <c r="C120" s="2">
        <v>6</v>
      </c>
      <c r="D120" s="12">
        <v>51</v>
      </c>
      <c r="E120" s="12">
        <v>9</v>
      </c>
      <c r="F120" s="63">
        <v>0.13</v>
      </c>
      <c r="G120" s="63">
        <v>0.56999999999999995</v>
      </c>
      <c r="H120" s="63">
        <v>0.28999999999999998</v>
      </c>
      <c r="I120" s="63">
        <v>0.01</v>
      </c>
      <c r="J120" s="63">
        <v>0.56999999999999995</v>
      </c>
      <c r="K120" s="63">
        <v>0.48</v>
      </c>
      <c r="L120" s="63">
        <v>0.68</v>
      </c>
      <c r="M120" s="63">
        <v>0.45</v>
      </c>
      <c r="N120" s="63">
        <v>0.42</v>
      </c>
      <c r="O120" s="63">
        <v>0.47</v>
      </c>
      <c r="P120" s="12">
        <v>51</v>
      </c>
      <c r="Q120" s="12">
        <v>10</v>
      </c>
      <c r="R120" s="61">
        <v>0.14000000000000001</v>
      </c>
      <c r="S120" s="61">
        <v>0.47</v>
      </c>
      <c r="T120" s="61">
        <v>0.36</v>
      </c>
      <c r="U120" s="61">
        <v>0.03</v>
      </c>
      <c r="V120" s="61">
        <v>0.42</v>
      </c>
      <c r="W120" s="61">
        <v>0.47</v>
      </c>
      <c r="X120" s="61">
        <v>0.55000000000000004</v>
      </c>
      <c r="Y120" s="61">
        <v>0.45</v>
      </c>
      <c r="Z120" s="61">
        <v>0.41</v>
      </c>
      <c r="AA120" s="61">
        <v>0.51</v>
      </c>
      <c r="AB120" s="12">
        <v>50</v>
      </c>
      <c r="AC120" s="12">
        <v>11</v>
      </c>
      <c r="AD120" s="63">
        <v>0.21</v>
      </c>
      <c r="AE120" s="63">
        <v>0.49</v>
      </c>
      <c r="AF120" s="63">
        <v>0.28000000000000003</v>
      </c>
      <c r="AG120" s="63">
        <v>0.03</v>
      </c>
      <c r="AH120" s="63">
        <v>0.42</v>
      </c>
      <c r="AI120" s="63">
        <v>0.41</v>
      </c>
      <c r="AJ120" s="63">
        <v>0.4</v>
      </c>
      <c r="AK120" s="63">
        <v>0.49</v>
      </c>
      <c r="AL120" s="63">
        <v>0.51</v>
      </c>
      <c r="AM120" s="63">
        <v>0.5</v>
      </c>
      <c r="AN120" s="12">
        <v>46</v>
      </c>
      <c r="AO120" s="12">
        <v>11</v>
      </c>
      <c r="AP120" s="63">
        <v>0.3</v>
      </c>
      <c r="AQ120" s="63">
        <v>0.5</v>
      </c>
      <c r="AR120" s="63">
        <v>0.18</v>
      </c>
      <c r="AS120" s="63">
        <v>0.02</v>
      </c>
      <c r="AT120" s="63">
        <v>0.56000000000000005</v>
      </c>
      <c r="AU120" s="63">
        <v>0.53</v>
      </c>
      <c r="AV120" s="63">
        <v>0.48</v>
      </c>
      <c r="AW120" s="63">
        <v>0.5</v>
      </c>
      <c r="AX120" s="63">
        <v>0.51</v>
      </c>
      <c r="AY120" s="63">
        <v>0.52</v>
      </c>
      <c r="AZ120" s="35">
        <v>50</v>
      </c>
      <c r="BA120" s="35">
        <v>10</v>
      </c>
      <c r="BB120" s="40">
        <v>0.2</v>
      </c>
      <c r="BC120" s="40">
        <v>0.46</v>
      </c>
      <c r="BD120" s="40">
        <v>0.32</v>
      </c>
      <c r="BE120" s="40">
        <v>0.02</v>
      </c>
      <c r="BF120" s="40">
        <v>0.51</v>
      </c>
      <c r="BG120" s="40">
        <v>0.49</v>
      </c>
      <c r="BH120" s="40">
        <v>0.48</v>
      </c>
      <c r="BI120" s="40">
        <v>0.53</v>
      </c>
      <c r="BJ120" s="40">
        <v>0.42</v>
      </c>
      <c r="BK120" s="40">
        <v>0.42</v>
      </c>
      <c r="BL120" s="247">
        <v>46</v>
      </c>
      <c r="BM120" s="247" t="s">
        <v>874</v>
      </c>
      <c r="BN120" s="247">
        <v>10</v>
      </c>
      <c r="BO120" s="247" t="s">
        <v>874</v>
      </c>
      <c r="BP120" s="264">
        <v>0.28999999999999998</v>
      </c>
      <c r="BQ120" s="264">
        <v>0.55000000000000004</v>
      </c>
      <c r="BR120" s="264">
        <v>0.16</v>
      </c>
      <c r="BS120" s="264">
        <v>0.01</v>
      </c>
      <c r="BT120" s="264">
        <v>0.5</v>
      </c>
      <c r="BU120" s="264">
        <v>0.54</v>
      </c>
      <c r="BV120" s="264">
        <v>0.64</v>
      </c>
      <c r="BW120" s="264">
        <v>0.47</v>
      </c>
      <c r="BX120" s="264">
        <v>0.52</v>
      </c>
      <c r="BY120" s="264">
        <v>0.56999999999999995</v>
      </c>
      <c r="BZ120" s="311">
        <v>47</v>
      </c>
      <c r="CA120" s="311" t="s">
        <v>874</v>
      </c>
      <c r="CB120" s="311">
        <v>10</v>
      </c>
      <c r="CC120" s="311" t="s">
        <v>874</v>
      </c>
      <c r="CD120" s="329">
        <v>0.28999999999999998</v>
      </c>
      <c r="CE120" s="329">
        <v>0.49</v>
      </c>
      <c r="CF120" s="329">
        <v>0.21</v>
      </c>
      <c r="CG120" s="329">
        <v>0</v>
      </c>
      <c r="CH120" s="329">
        <v>0.52</v>
      </c>
      <c r="CI120" s="329">
        <v>0.47</v>
      </c>
      <c r="CJ120" s="329">
        <v>0.6</v>
      </c>
      <c r="CK120" s="329">
        <v>0.59</v>
      </c>
      <c r="CL120" s="329">
        <v>0.48</v>
      </c>
      <c r="CM120" s="329">
        <v>0.62</v>
      </c>
      <c r="CN120" s="426">
        <v>47</v>
      </c>
      <c r="CO120" s="426" t="s">
        <v>874</v>
      </c>
      <c r="CP120" s="426">
        <v>10</v>
      </c>
      <c r="CQ120" s="426" t="s">
        <v>874</v>
      </c>
      <c r="CR120" s="430">
        <v>0.28000000000000003</v>
      </c>
      <c r="CS120" s="430">
        <v>0.49</v>
      </c>
      <c r="CT120" s="430">
        <v>0.23</v>
      </c>
      <c r="CU120" s="430">
        <v>0</v>
      </c>
      <c r="CV120" s="430">
        <v>0.4</v>
      </c>
      <c r="CW120" s="430">
        <v>0.57999999999999996</v>
      </c>
      <c r="CX120" s="430">
        <v>0.62</v>
      </c>
      <c r="CY120" s="430">
        <v>0.68</v>
      </c>
      <c r="CZ120" s="527">
        <v>0.63</v>
      </c>
      <c r="DA120" s="527">
        <v>0.53</v>
      </c>
      <c r="DB120" s="528">
        <v>46</v>
      </c>
      <c r="DC120" s="528" t="s">
        <v>874</v>
      </c>
      <c r="DD120" s="528">
        <v>10</v>
      </c>
      <c r="DE120" s="528" t="s">
        <v>874</v>
      </c>
      <c r="DF120" s="529">
        <v>0.33</v>
      </c>
      <c r="DG120" s="529">
        <v>0.5</v>
      </c>
      <c r="DH120" s="529">
        <v>0.17</v>
      </c>
      <c r="DI120" s="529">
        <v>0.01</v>
      </c>
      <c r="DJ120" s="529">
        <v>0.55000000000000004</v>
      </c>
      <c r="DK120" s="529">
        <v>0.53</v>
      </c>
      <c r="DL120" s="529">
        <v>0.55000000000000004</v>
      </c>
      <c r="DM120" s="529">
        <v>0.68</v>
      </c>
      <c r="DN120" s="529">
        <v>0.57999999999999996</v>
      </c>
      <c r="DO120" s="529">
        <v>0.51</v>
      </c>
    </row>
    <row r="121" spans="1:119" ht="24.95" customHeight="1" x14ac:dyDescent="0.2">
      <c r="A121" s="814" t="s">
        <v>65</v>
      </c>
      <c r="B121" s="1" t="s">
        <v>219</v>
      </c>
      <c r="C121" s="2">
        <v>3</v>
      </c>
      <c r="D121" s="12">
        <v>51</v>
      </c>
      <c r="E121" s="12">
        <v>8</v>
      </c>
      <c r="F121" s="63">
        <v>0.12</v>
      </c>
      <c r="G121" s="63">
        <v>0.56999999999999995</v>
      </c>
      <c r="H121" s="63">
        <v>0.31</v>
      </c>
      <c r="I121" s="63">
        <v>0.01</v>
      </c>
      <c r="J121" s="63">
        <v>0.52</v>
      </c>
      <c r="K121" s="63">
        <v>0.5</v>
      </c>
      <c r="L121" s="63">
        <v>0.55000000000000004</v>
      </c>
      <c r="M121" s="63">
        <v>0.47</v>
      </c>
      <c r="N121" s="63">
        <v>0.49</v>
      </c>
      <c r="O121" s="63">
        <v>0.54</v>
      </c>
      <c r="P121" s="12">
        <v>51</v>
      </c>
      <c r="Q121" s="12">
        <v>10</v>
      </c>
      <c r="R121" s="61">
        <v>0.14000000000000001</v>
      </c>
      <c r="S121" s="61">
        <v>0.52</v>
      </c>
      <c r="T121" s="61">
        <v>0.33</v>
      </c>
      <c r="U121" s="61">
        <v>0.01</v>
      </c>
      <c r="V121" s="61">
        <v>0.43</v>
      </c>
      <c r="W121" s="61">
        <v>0.49</v>
      </c>
      <c r="X121" s="61">
        <v>0.55000000000000004</v>
      </c>
      <c r="Y121" s="61">
        <v>0.45</v>
      </c>
      <c r="Z121" s="61">
        <v>0.42</v>
      </c>
      <c r="AA121" s="61">
        <v>0.5</v>
      </c>
      <c r="AB121" s="12">
        <v>49</v>
      </c>
      <c r="AC121" s="12">
        <v>10</v>
      </c>
      <c r="AD121" s="63">
        <v>0.23</v>
      </c>
      <c r="AE121" s="63">
        <v>0.49</v>
      </c>
      <c r="AF121" s="63">
        <v>0.27</v>
      </c>
      <c r="AG121" s="63">
        <v>0.01</v>
      </c>
      <c r="AH121" s="63">
        <v>0.44</v>
      </c>
      <c r="AI121" s="63">
        <v>0.45</v>
      </c>
      <c r="AJ121" s="63">
        <v>0.41</v>
      </c>
      <c r="AK121" s="63">
        <v>0.52</v>
      </c>
      <c r="AL121" s="63">
        <v>0.55000000000000004</v>
      </c>
      <c r="AM121" s="63">
        <v>0.52</v>
      </c>
      <c r="AN121" s="12">
        <v>48</v>
      </c>
      <c r="AO121" s="12">
        <v>10</v>
      </c>
      <c r="AP121" s="63">
        <v>0.25</v>
      </c>
      <c r="AQ121" s="63">
        <v>0.5</v>
      </c>
      <c r="AR121" s="63">
        <v>0.24</v>
      </c>
      <c r="AS121" s="63">
        <v>0.01</v>
      </c>
      <c r="AT121" s="63">
        <v>0.53</v>
      </c>
      <c r="AU121" s="63">
        <v>0.47</v>
      </c>
      <c r="AV121" s="63">
        <v>0.46</v>
      </c>
      <c r="AW121" s="63">
        <v>0.47</v>
      </c>
      <c r="AX121" s="63">
        <v>0.49</v>
      </c>
      <c r="AY121" s="63">
        <v>0.48</v>
      </c>
      <c r="AZ121" s="35">
        <v>50</v>
      </c>
      <c r="BA121" s="35">
        <v>10</v>
      </c>
      <c r="BB121" s="40">
        <v>0.18</v>
      </c>
      <c r="BC121" s="40">
        <v>0.46</v>
      </c>
      <c r="BD121" s="40">
        <v>0.35</v>
      </c>
      <c r="BE121" s="40">
        <v>0.02</v>
      </c>
      <c r="BF121" s="40">
        <v>0.45</v>
      </c>
      <c r="BG121" s="40">
        <v>0.46</v>
      </c>
      <c r="BH121" s="40">
        <v>0.47</v>
      </c>
      <c r="BI121" s="40">
        <v>0.54</v>
      </c>
      <c r="BJ121" s="40">
        <v>0.43</v>
      </c>
      <c r="BK121" s="40">
        <v>0.41</v>
      </c>
      <c r="BL121" s="247">
        <v>46</v>
      </c>
      <c r="BM121" s="247" t="s">
        <v>874</v>
      </c>
      <c r="BN121" s="247">
        <v>10</v>
      </c>
      <c r="BO121" s="247" t="s">
        <v>874</v>
      </c>
      <c r="BP121" s="264">
        <v>0.33</v>
      </c>
      <c r="BQ121" s="264">
        <v>0.45</v>
      </c>
      <c r="BR121" s="264">
        <v>0.21</v>
      </c>
      <c r="BS121" s="264">
        <v>0.01</v>
      </c>
      <c r="BT121" s="264">
        <v>0.52</v>
      </c>
      <c r="BU121" s="264">
        <v>0.52</v>
      </c>
      <c r="BV121" s="264">
        <v>0.6</v>
      </c>
      <c r="BW121" s="264">
        <v>0.46</v>
      </c>
      <c r="BX121" s="264">
        <v>0.52</v>
      </c>
      <c r="BY121" s="264">
        <v>0.59</v>
      </c>
      <c r="BZ121" s="311">
        <v>47</v>
      </c>
      <c r="CA121" s="311" t="s">
        <v>874</v>
      </c>
      <c r="CB121" s="311">
        <v>9</v>
      </c>
      <c r="CC121" s="311" t="s">
        <v>874</v>
      </c>
      <c r="CD121" s="329">
        <v>0.24</v>
      </c>
      <c r="CE121" s="329">
        <v>0.59</v>
      </c>
      <c r="CF121" s="329">
        <v>0.17</v>
      </c>
      <c r="CG121" s="329">
        <v>0</v>
      </c>
      <c r="CH121" s="329">
        <v>0.52</v>
      </c>
      <c r="CI121" s="329">
        <v>0.43</v>
      </c>
      <c r="CJ121" s="329">
        <v>0.61</v>
      </c>
      <c r="CK121" s="329">
        <v>0.59</v>
      </c>
      <c r="CL121" s="329">
        <v>0.46</v>
      </c>
      <c r="CM121" s="329">
        <v>0.57999999999999996</v>
      </c>
      <c r="CN121" s="426">
        <v>47</v>
      </c>
      <c r="CO121" s="426" t="s">
        <v>874</v>
      </c>
      <c r="CP121" s="426">
        <v>10</v>
      </c>
      <c r="CQ121" s="426" t="s">
        <v>874</v>
      </c>
      <c r="CR121" s="430">
        <v>0.3</v>
      </c>
      <c r="CS121" s="430">
        <v>0.51</v>
      </c>
      <c r="CT121" s="430">
        <v>0.19</v>
      </c>
      <c r="CU121" s="430">
        <v>0.01</v>
      </c>
      <c r="CV121" s="430">
        <v>0.41</v>
      </c>
      <c r="CW121" s="430">
        <v>0.61</v>
      </c>
      <c r="CX121" s="430">
        <v>0.62</v>
      </c>
      <c r="CY121" s="430">
        <v>0.65</v>
      </c>
      <c r="CZ121" s="527">
        <v>0.62</v>
      </c>
      <c r="DA121" s="527">
        <v>0.57999999999999996</v>
      </c>
      <c r="DB121" s="528">
        <v>49</v>
      </c>
      <c r="DC121" s="528" t="s">
        <v>874</v>
      </c>
      <c r="DD121" s="528">
        <v>11</v>
      </c>
      <c r="DE121" s="528" t="s">
        <v>874</v>
      </c>
      <c r="DF121" s="529">
        <v>0.21</v>
      </c>
      <c r="DG121" s="529">
        <v>0.55000000000000004</v>
      </c>
      <c r="DH121" s="529">
        <v>0.2</v>
      </c>
      <c r="DI121" s="529">
        <v>0.04</v>
      </c>
      <c r="DJ121" s="529">
        <v>0.54</v>
      </c>
      <c r="DK121" s="529">
        <v>0.47</v>
      </c>
      <c r="DL121" s="529">
        <v>0.51</v>
      </c>
      <c r="DM121" s="529">
        <v>0.62</v>
      </c>
      <c r="DN121" s="529">
        <v>0.56000000000000005</v>
      </c>
      <c r="DO121" s="529">
        <v>0.47</v>
      </c>
    </row>
    <row r="122" spans="1:119" ht="24.95" customHeight="1" x14ac:dyDescent="0.2">
      <c r="A122" s="814" t="s">
        <v>106</v>
      </c>
      <c r="B122" s="1" t="s">
        <v>221</v>
      </c>
      <c r="C122" s="2">
        <v>1</v>
      </c>
      <c r="D122" s="12">
        <v>56</v>
      </c>
      <c r="E122" s="12">
        <v>8</v>
      </c>
      <c r="F122" s="63">
        <v>0.1</v>
      </c>
      <c r="G122" s="63">
        <v>0.28999999999999998</v>
      </c>
      <c r="H122" s="63">
        <v>0.61</v>
      </c>
      <c r="I122" s="63">
        <v>0</v>
      </c>
      <c r="J122" s="63">
        <v>0.44</v>
      </c>
      <c r="K122" s="63">
        <v>0.41</v>
      </c>
      <c r="L122" s="63">
        <v>0.56000000000000005</v>
      </c>
      <c r="M122" s="63">
        <v>0.3</v>
      </c>
      <c r="N122" s="63">
        <v>0.38</v>
      </c>
      <c r="O122" s="63">
        <v>0.46</v>
      </c>
      <c r="P122" s="12">
        <v>55</v>
      </c>
      <c r="Q122" s="12">
        <v>9</v>
      </c>
      <c r="R122" s="61">
        <v>0.05</v>
      </c>
      <c r="S122" s="61">
        <v>0.34</v>
      </c>
      <c r="T122" s="61">
        <v>0.55000000000000004</v>
      </c>
      <c r="U122" s="61">
        <v>0.05</v>
      </c>
      <c r="V122" s="61">
        <v>0.37</v>
      </c>
      <c r="W122" s="61">
        <v>0.42</v>
      </c>
      <c r="X122" s="61">
        <v>0.53</v>
      </c>
      <c r="Y122" s="61">
        <v>0.34</v>
      </c>
      <c r="Z122" s="61">
        <v>0.38</v>
      </c>
      <c r="AA122" s="61">
        <v>0.38</v>
      </c>
      <c r="AB122" s="12">
        <v>50</v>
      </c>
      <c r="AC122" s="12">
        <v>10</v>
      </c>
      <c r="AD122" s="63">
        <v>0.24</v>
      </c>
      <c r="AE122" s="63">
        <v>0.43</v>
      </c>
      <c r="AF122" s="63">
        <v>0.33</v>
      </c>
      <c r="AG122" s="63">
        <v>0</v>
      </c>
      <c r="AH122" s="63">
        <v>0.41</v>
      </c>
      <c r="AI122" s="63">
        <v>0.42</v>
      </c>
      <c r="AJ122" s="63">
        <v>0.4</v>
      </c>
      <c r="AK122" s="63">
        <v>0.51</v>
      </c>
      <c r="AL122" s="63">
        <v>0.56000000000000005</v>
      </c>
      <c r="AM122" s="63">
        <v>0.53</v>
      </c>
      <c r="AN122" s="12">
        <v>44</v>
      </c>
      <c r="AO122" s="12">
        <v>11</v>
      </c>
      <c r="AP122" s="63">
        <v>0.41</v>
      </c>
      <c r="AQ122" s="63">
        <v>0.41</v>
      </c>
      <c r="AR122" s="63">
        <v>0.19</v>
      </c>
      <c r="AS122" s="63">
        <v>0</v>
      </c>
      <c r="AT122" s="63">
        <v>0.71</v>
      </c>
      <c r="AU122" s="63">
        <v>0.56000000000000005</v>
      </c>
      <c r="AV122" s="63">
        <v>0.54</v>
      </c>
      <c r="AW122" s="63">
        <v>0.57999999999999996</v>
      </c>
      <c r="AX122" s="63">
        <v>0.52</v>
      </c>
      <c r="AY122" s="63">
        <v>0.53</v>
      </c>
      <c r="AZ122" s="35">
        <v>50</v>
      </c>
      <c r="BA122" s="35">
        <v>10</v>
      </c>
      <c r="BB122" s="40">
        <v>0.14000000000000001</v>
      </c>
      <c r="BC122" s="40">
        <v>0.55000000000000004</v>
      </c>
      <c r="BD122" s="40">
        <v>0.32</v>
      </c>
      <c r="BE122" s="40">
        <v>0</v>
      </c>
      <c r="BF122" s="40">
        <v>0.48</v>
      </c>
      <c r="BG122" s="40">
        <v>0.49</v>
      </c>
      <c r="BH122" s="40">
        <v>0.48</v>
      </c>
      <c r="BI122" s="40">
        <v>0.57999999999999996</v>
      </c>
      <c r="BJ122" s="40">
        <v>0.42</v>
      </c>
      <c r="BK122" s="40">
        <v>0.41</v>
      </c>
      <c r="BL122" s="247">
        <v>48</v>
      </c>
      <c r="BM122" s="247" t="s">
        <v>874</v>
      </c>
      <c r="BN122" s="247">
        <v>10</v>
      </c>
      <c r="BO122" s="247" t="s">
        <v>874</v>
      </c>
      <c r="BP122" s="264">
        <v>0.3</v>
      </c>
      <c r="BQ122" s="264">
        <v>0.46</v>
      </c>
      <c r="BR122" s="264">
        <v>0.24</v>
      </c>
      <c r="BS122" s="264">
        <v>0</v>
      </c>
      <c r="BT122" s="264">
        <v>0.41</v>
      </c>
      <c r="BU122" s="264">
        <v>0.51</v>
      </c>
      <c r="BV122" s="264">
        <v>0.59</v>
      </c>
      <c r="BW122" s="264">
        <v>0.47</v>
      </c>
      <c r="BX122" s="264">
        <v>0.47</v>
      </c>
      <c r="BY122" s="264">
        <v>0.52</v>
      </c>
      <c r="BZ122" s="311">
        <v>52</v>
      </c>
      <c r="CA122" s="311" t="s">
        <v>874</v>
      </c>
      <c r="CB122" s="311">
        <v>9</v>
      </c>
      <c r="CC122" s="311" t="s">
        <v>874</v>
      </c>
      <c r="CD122" s="329">
        <v>0.09</v>
      </c>
      <c r="CE122" s="329">
        <v>0.56000000000000005</v>
      </c>
      <c r="CF122" s="329">
        <v>0.35</v>
      </c>
      <c r="CG122" s="329">
        <v>0</v>
      </c>
      <c r="CH122" s="329">
        <v>0.49</v>
      </c>
      <c r="CI122" s="329">
        <v>0.45</v>
      </c>
      <c r="CJ122" s="329">
        <v>0.56000000000000005</v>
      </c>
      <c r="CK122" s="329">
        <v>0.53</v>
      </c>
      <c r="CL122" s="329">
        <v>0.33</v>
      </c>
      <c r="CM122" s="329">
        <v>0.53</v>
      </c>
      <c r="CN122" s="426">
        <v>53</v>
      </c>
      <c r="CO122" s="426" t="s">
        <v>874</v>
      </c>
      <c r="CP122" s="426">
        <v>11</v>
      </c>
      <c r="CQ122" s="426" t="s">
        <v>874</v>
      </c>
      <c r="CR122" s="430">
        <v>0.17</v>
      </c>
      <c r="CS122" s="430">
        <v>0.31</v>
      </c>
      <c r="CT122" s="430">
        <v>0.5</v>
      </c>
      <c r="CU122" s="430">
        <v>0.02</v>
      </c>
      <c r="CV122" s="430">
        <v>0.33</v>
      </c>
      <c r="CW122" s="430">
        <v>0.44</v>
      </c>
      <c r="CX122" s="430">
        <v>0.54</v>
      </c>
      <c r="CY122" s="430">
        <v>0.65</v>
      </c>
      <c r="CZ122" s="527">
        <v>0.5</v>
      </c>
      <c r="DA122" s="527">
        <v>0.54</v>
      </c>
      <c r="DB122" s="528">
        <v>48</v>
      </c>
      <c r="DC122" s="528" t="s">
        <v>874</v>
      </c>
      <c r="DD122" s="528">
        <v>12</v>
      </c>
      <c r="DE122" s="528" t="s">
        <v>874</v>
      </c>
      <c r="DF122" s="529">
        <v>0.27</v>
      </c>
      <c r="DG122" s="529">
        <v>0.46</v>
      </c>
      <c r="DH122" s="529">
        <v>0.25</v>
      </c>
      <c r="DI122" s="529">
        <v>0.02</v>
      </c>
      <c r="DJ122" s="529">
        <v>0.5</v>
      </c>
      <c r="DK122" s="529">
        <v>0.41</v>
      </c>
      <c r="DL122" s="529">
        <v>0.51</v>
      </c>
      <c r="DM122" s="529">
        <v>0.7</v>
      </c>
      <c r="DN122" s="529">
        <v>0.56000000000000005</v>
      </c>
      <c r="DO122" s="529">
        <v>0.54</v>
      </c>
    </row>
    <row r="123" spans="1:119" ht="24.95" customHeight="1" x14ac:dyDescent="0.2">
      <c r="A123" s="814" t="s">
        <v>187</v>
      </c>
      <c r="B123" s="1" t="s">
        <v>219</v>
      </c>
      <c r="C123" s="2">
        <v>4</v>
      </c>
      <c r="D123" s="12">
        <v>48</v>
      </c>
      <c r="E123" s="12">
        <v>8</v>
      </c>
      <c r="F123" s="63">
        <v>0.2</v>
      </c>
      <c r="G123" s="63">
        <v>0.56999999999999995</v>
      </c>
      <c r="H123" s="63">
        <v>0.23</v>
      </c>
      <c r="I123" s="63">
        <v>0</v>
      </c>
      <c r="J123" s="63">
        <v>0.56999999999999995</v>
      </c>
      <c r="K123" s="63">
        <v>0.52</v>
      </c>
      <c r="L123" s="63">
        <v>0.64</v>
      </c>
      <c r="M123" s="63">
        <v>0.53</v>
      </c>
      <c r="N123" s="63">
        <v>0.41</v>
      </c>
      <c r="O123" s="63">
        <v>0.6</v>
      </c>
      <c r="P123" s="12">
        <v>48</v>
      </c>
      <c r="Q123" s="12">
        <v>10</v>
      </c>
      <c r="R123" s="61">
        <v>0.28000000000000003</v>
      </c>
      <c r="S123" s="61">
        <v>0.44</v>
      </c>
      <c r="T123" s="61">
        <v>0.26</v>
      </c>
      <c r="U123" s="61">
        <v>0.03</v>
      </c>
      <c r="V123" s="61">
        <v>0.5</v>
      </c>
      <c r="W123" s="61">
        <v>0.55000000000000004</v>
      </c>
      <c r="X123" s="61">
        <v>0.62</v>
      </c>
      <c r="Y123" s="61">
        <v>0.5</v>
      </c>
      <c r="Z123" s="61">
        <v>0.47</v>
      </c>
      <c r="AA123" s="61">
        <v>0.56000000000000005</v>
      </c>
      <c r="AB123" s="12">
        <v>44</v>
      </c>
      <c r="AC123" s="12">
        <v>9</v>
      </c>
      <c r="AD123" s="63">
        <v>0.42</v>
      </c>
      <c r="AE123" s="63">
        <v>0.45</v>
      </c>
      <c r="AF123" s="63">
        <v>0.12</v>
      </c>
      <c r="AG123" s="63">
        <v>0</v>
      </c>
      <c r="AH123" s="63">
        <v>0.51</v>
      </c>
      <c r="AI123" s="63">
        <v>0.54</v>
      </c>
      <c r="AJ123" s="63">
        <v>0.51</v>
      </c>
      <c r="AK123" s="63">
        <v>0.59</v>
      </c>
      <c r="AL123" s="63">
        <v>0.7</v>
      </c>
      <c r="AM123" s="63">
        <v>0.62</v>
      </c>
      <c r="AN123" s="12">
        <v>43</v>
      </c>
      <c r="AO123" s="12">
        <v>11</v>
      </c>
      <c r="AP123" s="63">
        <v>0.44</v>
      </c>
      <c r="AQ123" s="63">
        <v>0.39</v>
      </c>
      <c r="AR123" s="63">
        <v>0.17</v>
      </c>
      <c r="AS123" s="63">
        <v>0</v>
      </c>
      <c r="AT123" s="63">
        <v>0.67</v>
      </c>
      <c r="AU123" s="63">
        <v>0.49</v>
      </c>
      <c r="AV123" s="63">
        <v>0.5</v>
      </c>
      <c r="AW123" s="63">
        <v>0.55000000000000004</v>
      </c>
      <c r="AX123" s="63">
        <v>0.55000000000000004</v>
      </c>
      <c r="AY123" s="63">
        <v>0.56999999999999995</v>
      </c>
      <c r="AZ123" s="35">
        <v>45</v>
      </c>
      <c r="BA123" s="35">
        <v>8</v>
      </c>
      <c r="BB123" s="40">
        <v>0.22</v>
      </c>
      <c r="BC123" s="40">
        <v>0.66</v>
      </c>
      <c r="BD123" s="40">
        <v>0.13</v>
      </c>
      <c r="BE123" s="40">
        <v>0</v>
      </c>
      <c r="BF123" s="40">
        <v>0.59</v>
      </c>
      <c r="BG123" s="40">
        <v>0.55000000000000004</v>
      </c>
      <c r="BH123" s="40">
        <v>0.53</v>
      </c>
      <c r="BI123" s="40">
        <v>0.65</v>
      </c>
      <c r="BJ123" s="40">
        <v>0.53</v>
      </c>
      <c r="BK123" s="40">
        <v>0.51</v>
      </c>
      <c r="BL123" s="247">
        <v>46</v>
      </c>
      <c r="BM123" s="247" t="s">
        <v>874</v>
      </c>
      <c r="BN123" s="247">
        <v>11</v>
      </c>
      <c r="BO123" s="247" t="s">
        <v>874</v>
      </c>
      <c r="BP123" s="264">
        <v>0.33</v>
      </c>
      <c r="BQ123" s="264">
        <v>0.4</v>
      </c>
      <c r="BR123" s="264">
        <v>0.27</v>
      </c>
      <c r="BS123" s="264">
        <v>0</v>
      </c>
      <c r="BT123" s="264">
        <v>0.56999999999999995</v>
      </c>
      <c r="BU123" s="264">
        <v>0.45</v>
      </c>
      <c r="BV123" s="264">
        <v>0.77</v>
      </c>
      <c r="BW123" s="264">
        <v>0.47</v>
      </c>
      <c r="BX123" s="264">
        <v>0.55000000000000004</v>
      </c>
      <c r="BY123" s="264">
        <v>0.56000000000000005</v>
      </c>
      <c r="BZ123" s="311">
        <v>47</v>
      </c>
      <c r="CA123" s="311" t="s">
        <v>874</v>
      </c>
      <c r="CB123" s="311">
        <v>10</v>
      </c>
      <c r="CC123" s="311" t="s">
        <v>874</v>
      </c>
      <c r="CD123" s="329">
        <v>0.28000000000000003</v>
      </c>
      <c r="CE123" s="329">
        <v>0.56000000000000005</v>
      </c>
      <c r="CF123" s="329">
        <v>0.17</v>
      </c>
      <c r="CG123" s="329">
        <v>0</v>
      </c>
      <c r="CH123" s="329">
        <v>0.49</v>
      </c>
      <c r="CI123" s="329">
        <v>0.44</v>
      </c>
      <c r="CJ123" s="329">
        <v>0.62</v>
      </c>
      <c r="CK123" s="329">
        <v>0.63</v>
      </c>
      <c r="CL123" s="329">
        <v>0.36</v>
      </c>
      <c r="CM123" s="329">
        <v>0.68</v>
      </c>
      <c r="CN123" s="426">
        <v>47</v>
      </c>
      <c r="CO123" s="426" t="s">
        <v>874</v>
      </c>
      <c r="CP123" s="426">
        <v>10</v>
      </c>
      <c r="CQ123" s="426" t="s">
        <v>874</v>
      </c>
      <c r="CR123" s="430">
        <v>0.25</v>
      </c>
      <c r="CS123" s="430">
        <v>0.59</v>
      </c>
      <c r="CT123" s="430">
        <v>0.16</v>
      </c>
      <c r="CU123" s="430">
        <v>0</v>
      </c>
      <c r="CV123" s="430">
        <v>0.47</v>
      </c>
      <c r="CW123" s="430">
        <v>0.59</v>
      </c>
      <c r="CX123" s="430">
        <v>0.56000000000000005</v>
      </c>
      <c r="CY123" s="430">
        <v>0.74</v>
      </c>
      <c r="CZ123" s="527">
        <v>0.56000000000000005</v>
      </c>
      <c r="DA123" s="527">
        <v>0.57999999999999996</v>
      </c>
      <c r="DB123" s="528">
        <v>45</v>
      </c>
      <c r="DC123" s="528" t="s">
        <v>874</v>
      </c>
      <c r="DD123" s="528">
        <v>10</v>
      </c>
      <c r="DE123" s="528" t="s">
        <v>874</v>
      </c>
      <c r="DF123" s="529">
        <v>0.3</v>
      </c>
      <c r="DG123" s="529">
        <v>0.5</v>
      </c>
      <c r="DH123" s="529">
        <v>0.2</v>
      </c>
      <c r="DI123" s="529">
        <v>0</v>
      </c>
      <c r="DJ123" s="529">
        <v>0.55000000000000004</v>
      </c>
      <c r="DK123" s="529">
        <v>0.45</v>
      </c>
      <c r="DL123" s="529">
        <v>0.56999999999999995</v>
      </c>
      <c r="DM123" s="529">
        <v>0.62</v>
      </c>
      <c r="DN123" s="529">
        <v>0.62</v>
      </c>
      <c r="DO123" s="529">
        <v>0.47</v>
      </c>
    </row>
    <row r="124" spans="1:119" ht="24.95" customHeight="1" x14ac:dyDescent="0.2">
      <c r="A124" s="814" t="s">
        <v>928</v>
      </c>
      <c r="B124" s="1" t="s">
        <v>219</v>
      </c>
      <c r="C124" s="2">
        <v>2</v>
      </c>
      <c r="D124" s="12"/>
      <c r="E124" s="12"/>
      <c r="F124" s="63"/>
      <c r="G124" s="63"/>
      <c r="H124" s="63"/>
      <c r="I124" s="63"/>
      <c r="J124" s="63"/>
      <c r="K124" s="63"/>
      <c r="L124" s="63"/>
      <c r="M124" s="63"/>
      <c r="N124" s="63"/>
      <c r="O124" s="63"/>
      <c r="P124" s="12"/>
      <c r="Q124" s="12"/>
      <c r="R124" s="61"/>
      <c r="S124" s="61"/>
      <c r="T124" s="61"/>
      <c r="U124" s="61"/>
      <c r="V124" s="61"/>
      <c r="W124" s="61"/>
      <c r="X124" s="61"/>
      <c r="Y124" s="61"/>
      <c r="Z124" s="61"/>
      <c r="AA124" s="61"/>
      <c r="AB124" s="12"/>
      <c r="AC124" s="12"/>
      <c r="AD124" s="63"/>
      <c r="AE124" s="63"/>
      <c r="AF124" s="63"/>
      <c r="AG124" s="63"/>
      <c r="AH124" s="63"/>
      <c r="AI124" s="63"/>
      <c r="AJ124" s="63"/>
      <c r="AK124" s="63"/>
      <c r="AL124" s="63"/>
      <c r="AM124" s="63"/>
      <c r="AN124" s="12"/>
      <c r="AO124" s="12"/>
      <c r="AP124" s="63"/>
      <c r="AQ124" s="63"/>
      <c r="AR124" s="63"/>
      <c r="AS124" s="63"/>
      <c r="AT124" s="63"/>
      <c r="AU124" s="63"/>
      <c r="AV124" s="63"/>
      <c r="AW124" s="63"/>
      <c r="AX124" s="63"/>
      <c r="AY124" s="63"/>
      <c r="AZ124" s="35"/>
      <c r="BA124" s="35"/>
      <c r="BB124" s="40"/>
      <c r="BC124" s="40"/>
      <c r="BD124" s="40"/>
      <c r="BE124" s="40"/>
      <c r="BF124" s="40"/>
      <c r="BG124" s="40"/>
      <c r="BH124" s="40"/>
      <c r="BI124" s="40"/>
      <c r="BJ124" s="40"/>
      <c r="BK124" s="40"/>
      <c r="BL124" s="247"/>
      <c r="BM124" s="247"/>
      <c r="BN124" s="247"/>
      <c r="BO124" s="247"/>
      <c r="BP124" s="264"/>
      <c r="BQ124" s="264"/>
      <c r="BR124" s="264"/>
      <c r="BS124" s="264"/>
      <c r="BT124" s="264"/>
      <c r="BU124" s="264"/>
      <c r="BV124" s="264"/>
      <c r="BW124" s="264"/>
      <c r="BX124" s="264"/>
      <c r="BY124" s="264"/>
      <c r="BZ124" s="311">
        <v>50</v>
      </c>
      <c r="CA124" s="311" t="s">
        <v>874</v>
      </c>
      <c r="CB124" s="311">
        <v>10</v>
      </c>
      <c r="CC124" s="311" t="s">
        <v>874</v>
      </c>
      <c r="CD124" s="329">
        <v>0.18</v>
      </c>
      <c r="CE124" s="329">
        <v>0.45</v>
      </c>
      <c r="CF124" s="329">
        <v>0.37</v>
      </c>
      <c r="CG124" s="329">
        <v>0</v>
      </c>
      <c r="CH124" s="329">
        <v>0.55000000000000004</v>
      </c>
      <c r="CI124" s="329">
        <v>0.33</v>
      </c>
      <c r="CJ124" s="329">
        <v>0.51</v>
      </c>
      <c r="CK124" s="329">
        <v>0.55000000000000004</v>
      </c>
      <c r="CL124" s="329">
        <v>0.51</v>
      </c>
      <c r="CM124" s="329">
        <v>0.55000000000000004</v>
      </c>
      <c r="CN124" s="426">
        <v>49</v>
      </c>
      <c r="CO124" s="426" t="s">
        <v>874</v>
      </c>
      <c r="CP124" s="426">
        <v>11</v>
      </c>
      <c r="CQ124" s="426" t="s">
        <v>874</v>
      </c>
      <c r="CR124" s="430">
        <v>0.25</v>
      </c>
      <c r="CS124" s="430">
        <v>0.47</v>
      </c>
      <c r="CT124" s="430">
        <v>0.26</v>
      </c>
      <c r="CU124" s="430">
        <v>0.03</v>
      </c>
      <c r="CV124" s="430">
        <v>0.36</v>
      </c>
      <c r="CW124" s="430">
        <v>0.54</v>
      </c>
      <c r="CX124" s="430">
        <v>0.59</v>
      </c>
      <c r="CY124" s="430">
        <v>0.61</v>
      </c>
      <c r="CZ124" s="527">
        <v>0.61</v>
      </c>
      <c r="DA124" s="527">
        <v>0.63</v>
      </c>
      <c r="DB124" s="528">
        <v>48</v>
      </c>
      <c r="DC124" s="528" t="s">
        <v>874</v>
      </c>
      <c r="DD124" s="528">
        <v>10</v>
      </c>
      <c r="DE124" s="528" t="s">
        <v>874</v>
      </c>
      <c r="DF124" s="529">
        <v>0.28999999999999998</v>
      </c>
      <c r="DG124" s="529">
        <v>0.46</v>
      </c>
      <c r="DH124" s="529">
        <v>0.23</v>
      </c>
      <c r="DI124" s="529">
        <v>0.03</v>
      </c>
      <c r="DJ124" s="529">
        <v>0.52</v>
      </c>
      <c r="DK124" s="529">
        <v>0.49</v>
      </c>
      <c r="DL124" s="529">
        <v>0.51</v>
      </c>
      <c r="DM124" s="529">
        <v>0.66</v>
      </c>
      <c r="DN124" s="529">
        <v>0.56000000000000005</v>
      </c>
      <c r="DO124" s="529">
        <v>0.44</v>
      </c>
    </row>
    <row r="125" spans="1:119" ht="24.95" customHeight="1" x14ac:dyDescent="0.2">
      <c r="A125" s="815" t="s">
        <v>130</v>
      </c>
      <c r="B125" s="1" t="s">
        <v>219</v>
      </c>
      <c r="C125" s="311">
        <v>3</v>
      </c>
      <c r="D125" s="330">
        <v>51</v>
      </c>
      <c r="E125" s="330">
        <v>10</v>
      </c>
      <c r="F125" s="329">
        <v>0.16</v>
      </c>
      <c r="G125" s="329">
        <v>0.55000000000000004</v>
      </c>
      <c r="H125" s="329">
        <v>0.28999999999999998</v>
      </c>
      <c r="I125" s="329">
        <v>0.01</v>
      </c>
      <c r="J125" s="329">
        <v>0.56000000000000005</v>
      </c>
      <c r="K125" s="329">
        <v>0.5</v>
      </c>
      <c r="L125" s="329">
        <v>0.6</v>
      </c>
      <c r="M125" s="329">
        <v>0.4</v>
      </c>
      <c r="N125" s="329">
        <v>0.41</v>
      </c>
      <c r="O125" s="329">
        <v>0.47</v>
      </c>
      <c r="P125" s="330">
        <v>51</v>
      </c>
      <c r="Q125" s="330">
        <v>9</v>
      </c>
      <c r="R125" s="332">
        <v>0.14000000000000001</v>
      </c>
      <c r="S125" s="332">
        <v>0.55000000000000004</v>
      </c>
      <c r="T125" s="332">
        <v>0.3</v>
      </c>
      <c r="U125" s="332">
        <v>0.01</v>
      </c>
      <c r="V125" s="332">
        <v>0.42</v>
      </c>
      <c r="W125" s="332">
        <v>0.48</v>
      </c>
      <c r="X125" s="332">
        <v>0.59</v>
      </c>
      <c r="Y125" s="332">
        <v>0.46</v>
      </c>
      <c r="Z125" s="332">
        <v>0.43</v>
      </c>
      <c r="AA125" s="332">
        <v>0.48</v>
      </c>
      <c r="AB125" s="330">
        <v>50</v>
      </c>
      <c r="AC125" s="330">
        <v>10</v>
      </c>
      <c r="AD125" s="329">
        <v>0.17</v>
      </c>
      <c r="AE125" s="329">
        <v>0.5</v>
      </c>
      <c r="AF125" s="329">
        <v>0.31</v>
      </c>
      <c r="AG125" s="329">
        <v>0.01</v>
      </c>
      <c r="AH125" s="329">
        <v>0.42</v>
      </c>
      <c r="AI125" s="329">
        <v>0.4</v>
      </c>
      <c r="AJ125" s="329">
        <v>0.41</v>
      </c>
      <c r="AK125" s="329">
        <v>0.49</v>
      </c>
      <c r="AL125" s="329">
        <v>0.57999999999999996</v>
      </c>
      <c r="AM125" s="329">
        <v>0.52</v>
      </c>
      <c r="AN125" s="330">
        <v>44</v>
      </c>
      <c r="AO125" s="330">
        <v>10</v>
      </c>
      <c r="AP125" s="329">
        <v>0.39</v>
      </c>
      <c r="AQ125" s="329">
        <v>0.45</v>
      </c>
      <c r="AR125" s="329">
        <v>0.16</v>
      </c>
      <c r="AS125" s="329">
        <v>0</v>
      </c>
      <c r="AT125" s="329">
        <v>0.59</v>
      </c>
      <c r="AU125" s="329">
        <v>0.53</v>
      </c>
      <c r="AV125" s="329">
        <v>0.52</v>
      </c>
      <c r="AW125" s="329">
        <v>0.54</v>
      </c>
      <c r="AX125" s="329">
        <v>0.56999999999999995</v>
      </c>
      <c r="AY125" s="329">
        <v>0.54</v>
      </c>
      <c r="AZ125" s="313">
        <v>49</v>
      </c>
      <c r="BA125" s="313">
        <v>10</v>
      </c>
      <c r="BB125" s="333">
        <v>0.17</v>
      </c>
      <c r="BC125" s="333">
        <v>0.54</v>
      </c>
      <c r="BD125" s="333">
        <v>0.28000000000000003</v>
      </c>
      <c r="BE125" s="333">
        <v>0.01</v>
      </c>
      <c r="BF125" s="333">
        <v>0.52</v>
      </c>
      <c r="BG125" s="333">
        <v>0.46</v>
      </c>
      <c r="BH125" s="333">
        <v>0.5</v>
      </c>
      <c r="BI125" s="333">
        <v>0.56999999999999995</v>
      </c>
      <c r="BJ125" s="333">
        <v>0.46</v>
      </c>
      <c r="BK125" s="333">
        <v>0.42</v>
      </c>
      <c r="BL125" s="314">
        <v>48</v>
      </c>
      <c r="BM125" s="314" t="s">
        <v>874</v>
      </c>
      <c r="BN125" s="314">
        <v>10</v>
      </c>
      <c r="BO125" s="314" t="s">
        <v>874</v>
      </c>
      <c r="BP125" s="334">
        <v>0.23</v>
      </c>
      <c r="BQ125" s="334">
        <v>0.56999999999999995</v>
      </c>
      <c r="BR125" s="334">
        <v>0.21</v>
      </c>
      <c r="BS125" s="334">
        <v>0</v>
      </c>
      <c r="BT125" s="334">
        <v>0.5</v>
      </c>
      <c r="BU125" s="334">
        <v>0.54</v>
      </c>
      <c r="BV125" s="334">
        <v>0.55000000000000004</v>
      </c>
      <c r="BW125" s="334">
        <v>0.43</v>
      </c>
      <c r="BX125" s="334">
        <v>0.48</v>
      </c>
      <c r="BY125" s="334">
        <v>0.56000000000000005</v>
      </c>
      <c r="BZ125" s="311">
        <v>49</v>
      </c>
      <c r="CA125" s="311" t="s">
        <v>874</v>
      </c>
      <c r="CB125" s="311">
        <v>10</v>
      </c>
      <c r="CC125" s="311" t="s">
        <v>874</v>
      </c>
      <c r="CD125" s="329">
        <v>0.19</v>
      </c>
      <c r="CE125" s="329">
        <v>0.55000000000000004</v>
      </c>
      <c r="CF125" s="329">
        <v>0.22</v>
      </c>
      <c r="CG125" s="329">
        <v>0.03</v>
      </c>
      <c r="CH125" s="329">
        <v>0.43</v>
      </c>
      <c r="CI125" s="329">
        <v>0.41</v>
      </c>
      <c r="CJ125" s="329">
        <v>0.56999999999999995</v>
      </c>
      <c r="CK125" s="329">
        <v>0.56999999999999995</v>
      </c>
      <c r="CL125" s="329">
        <v>0.45</v>
      </c>
      <c r="CM125" s="329">
        <v>0.61</v>
      </c>
      <c r="CN125" s="426">
        <v>49</v>
      </c>
      <c r="CO125" s="426" t="s">
        <v>874</v>
      </c>
      <c r="CP125" s="426">
        <v>10</v>
      </c>
      <c r="CQ125" s="426" t="s">
        <v>874</v>
      </c>
      <c r="CR125" s="430">
        <v>0.23</v>
      </c>
      <c r="CS125" s="430">
        <v>0.5</v>
      </c>
      <c r="CT125" s="430">
        <v>0.27</v>
      </c>
      <c r="CU125" s="430">
        <v>0</v>
      </c>
      <c r="CV125" s="430">
        <v>0.35</v>
      </c>
      <c r="CW125" s="430">
        <v>0.53</v>
      </c>
      <c r="CX125" s="430">
        <v>0.56000000000000005</v>
      </c>
      <c r="CY125" s="430">
        <v>0.64</v>
      </c>
      <c r="CZ125" s="527">
        <v>0.57999999999999996</v>
      </c>
      <c r="DA125" s="527">
        <v>0.55000000000000004</v>
      </c>
      <c r="DB125" s="528">
        <v>47</v>
      </c>
      <c r="DC125" s="528" t="s">
        <v>874</v>
      </c>
      <c r="DD125" s="528">
        <v>10</v>
      </c>
      <c r="DE125" s="528" t="s">
        <v>874</v>
      </c>
      <c r="DF125" s="529">
        <v>0.32</v>
      </c>
      <c r="DG125" s="529">
        <v>0.5</v>
      </c>
      <c r="DH125" s="529">
        <v>0.16</v>
      </c>
      <c r="DI125" s="529">
        <v>0.02</v>
      </c>
      <c r="DJ125" s="529">
        <v>0.56999999999999995</v>
      </c>
      <c r="DK125" s="529">
        <v>0.61</v>
      </c>
      <c r="DL125" s="529">
        <v>0.51</v>
      </c>
      <c r="DM125" s="529">
        <v>0.64</v>
      </c>
      <c r="DN125" s="529">
        <v>0.61</v>
      </c>
      <c r="DO125" s="529">
        <v>0.48</v>
      </c>
    </row>
    <row r="126" spans="1:119" ht="24.95" customHeight="1" x14ac:dyDescent="0.2">
      <c r="A126" s="814" t="s">
        <v>930</v>
      </c>
      <c r="B126" s="1" t="s">
        <v>219</v>
      </c>
      <c r="C126" s="2">
        <v>1</v>
      </c>
      <c r="D126" s="12"/>
      <c r="E126" s="12"/>
      <c r="F126" s="63"/>
      <c r="G126" s="63"/>
      <c r="H126" s="63"/>
      <c r="I126" s="63"/>
      <c r="J126" s="63"/>
      <c r="K126" s="63"/>
      <c r="L126" s="63"/>
      <c r="M126" s="63"/>
      <c r="N126" s="63"/>
      <c r="O126" s="63"/>
      <c r="P126" s="12"/>
      <c r="Q126" s="12"/>
      <c r="R126" s="61"/>
      <c r="S126" s="61"/>
      <c r="T126" s="61"/>
      <c r="U126" s="61"/>
      <c r="V126" s="61"/>
      <c r="W126" s="61"/>
      <c r="X126" s="61"/>
      <c r="Y126" s="61"/>
      <c r="Z126" s="61"/>
      <c r="AA126" s="61"/>
      <c r="AB126" s="12"/>
      <c r="AC126" s="12"/>
      <c r="AD126" s="63"/>
      <c r="AE126" s="63"/>
      <c r="AF126" s="63"/>
      <c r="AG126" s="63"/>
      <c r="AH126" s="63"/>
      <c r="AI126" s="63"/>
      <c r="AJ126" s="63"/>
      <c r="AK126" s="63"/>
      <c r="AL126" s="63"/>
      <c r="AM126" s="63"/>
      <c r="AN126" s="12"/>
      <c r="AO126" s="12"/>
      <c r="AP126" s="63"/>
      <c r="AQ126" s="63"/>
      <c r="AR126" s="63"/>
      <c r="AS126" s="63"/>
      <c r="AT126" s="63"/>
      <c r="AU126" s="63"/>
      <c r="AV126" s="63"/>
      <c r="AW126" s="63"/>
      <c r="AX126" s="63"/>
      <c r="AY126" s="63"/>
      <c r="AZ126" s="35"/>
      <c r="BA126" s="35"/>
      <c r="BB126" s="40"/>
      <c r="BC126" s="40"/>
      <c r="BD126" s="40"/>
      <c r="BE126" s="40"/>
      <c r="BF126" s="40"/>
      <c r="BG126" s="40"/>
      <c r="BH126" s="40"/>
      <c r="BI126" s="40"/>
      <c r="BJ126" s="40"/>
      <c r="BK126" s="40"/>
      <c r="BL126" s="247"/>
      <c r="BM126" s="247"/>
      <c r="BN126" s="247"/>
      <c r="BO126" s="247"/>
      <c r="BP126" s="264"/>
      <c r="BQ126" s="264"/>
      <c r="BR126" s="264"/>
      <c r="BS126" s="264"/>
      <c r="BT126" s="264"/>
      <c r="BU126" s="264"/>
      <c r="BV126" s="264"/>
      <c r="BW126" s="264"/>
      <c r="BX126" s="264"/>
      <c r="BY126" s="264"/>
      <c r="BZ126" s="311">
        <v>47</v>
      </c>
      <c r="CA126" s="311" t="s">
        <v>874</v>
      </c>
      <c r="CB126" s="311">
        <v>12</v>
      </c>
      <c r="CC126" s="311" t="s">
        <v>874</v>
      </c>
      <c r="CD126" s="329">
        <v>0.27</v>
      </c>
      <c r="CE126" s="329">
        <v>0.49</v>
      </c>
      <c r="CF126" s="329">
        <v>0.22</v>
      </c>
      <c r="CG126" s="329">
        <v>0.03</v>
      </c>
      <c r="CH126" s="329">
        <v>0.51</v>
      </c>
      <c r="CI126" s="329">
        <v>0.39</v>
      </c>
      <c r="CJ126" s="329">
        <v>0.64</v>
      </c>
      <c r="CK126" s="329">
        <v>0.55000000000000004</v>
      </c>
      <c r="CL126" s="329">
        <v>0.46</v>
      </c>
      <c r="CM126" s="329">
        <v>0.59</v>
      </c>
      <c r="CN126" s="426">
        <v>49</v>
      </c>
      <c r="CO126" s="426" t="s">
        <v>874</v>
      </c>
      <c r="CP126" s="426">
        <v>9</v>
      </c>
      <c r="CQ126" s="426" t="s">
        <v>874</v>
      </c>
      <c r="CR126" s="430">
        <v>0.19</v>
      </c>
      <c r="CS126" s="430">
        <v>0.57999999999999996</v>
      </c>
      <c r="CT126" s="430">
        <v>0.22</v>
      </c>
      <c r="CU126" s="430">
        <v>0</v>
      </c>
      <c r="CV126" s="430">
        <v>0.42</v>
      </c>
      <c r="CW126" s="430">
        <v>0.61</v>
      </c>
      <c r="CX126" s="430">
        <v>0.59</v>
      </c>
      <c r="CY126" s="430">
        <v>0.62</v>
      </c>
      <c r="CZ126" s="527">
        <v>0.62</v>
      </c>
      <c r="DA126" s="527">
        <v>0.62</v>
      </c>
      <c r="DB126" s="528">
        <v>46</v>
      </c>
      <c r="DC126" s="528" t="s">
        <v>874</v>
      </c>
      <c r="DD126" s="528">
        <v>10</v>
      </c>
      <c r="DE126" s="528" t="s">
        <v>874</v>
      </c>
      <c r="DF126" s="529">
        <v>0.33</v>
      </c>
      <c r="DG126" s="529">
        <v>0.45</v>
      </c>
      <c r="DH126" s="529">
        <v>0.22</v>
      </c>
      <c r="DI126" s="529">
        <v>0</v>
      </c>
      <c r="DJ126" s="529">
        <v>0.51</v>
      </c>
      <c r="DK126" s="529">
        <v>0.61</v>
      </c>
      <c r="DL126" s="529">
        <v>0.53</v>
      </c>
      <c r="DM126" s="529">
        <v>0.7</v>
      </c>
      <c r="DN126" s="529">
        <v>0.59</v>
      </c>
      <c r="DO126" s="529">
        <v>0.43</v>
      </c>
    </row>
    <row r="127" spans="1:119" ht="24.95" customHeight="1" x14ac:dyDescent="0.2">
      <c r="A127" s="815" t="s">
        <v>90</v>
      </c>
      <c r="B127" s="1" t="s">
        <v>219</v>
      </c>
      <c r="C127" s="311">
        <v>1</v>
      </c>
      <c r="D127" s="330">
        <v>53</v>
      </c>
      <c r="E127" s="330">
        <v>9</v>
      </c>
      <c r="F127" s="329">
        <v>0.08</v>
      </c>
      <c r="G127" s="329">
        <v>0.54</v>
      </c>
      <c r="H127" s="329">
        <v>0.37</v>
      </c>
      <c r="I127" s="329">
        <v>0</v>
      </c>
      <c r="J127" s="329">
        <v>0.51</v>
      </c>
      <c r="K127" s="329">
        <v>0.49</v>
      </c>
      <c r="L127" s="329">
        <v>0.55000000000000004</v>
      </c>
      <c r="M127" s="329">
        <v>0.35</v>
      </c>
      <c r="N127" s="329">
        <v>0.4</v>
      </c>
      <c r="O127" s="329">
        <v>0.53</v>
      </c>
      <c r="P127" s="330">
        <v>55</v>
      </c>
      <c r="Q127" s="330">
        <v>8</v>
      </c>
      <c r="R127" s="332">
        <v>0.03</v>
      </c>
      <c r="S127" s="332">
        <v>0.52</v>
      </c>
      <c r="T127" s="332">
        <v>0.44</v>
      </c>
      <c r="U127" s="332">
        <v>0.01</v>
      </c>
      <c r="V127" s="332">
        <v>0.35</v>
      </c>
      <c r="W127" s="332">
        <v>0.42</v>
      </c>
      <c r="X127" s="332">
        <v>0.54</v>
      </c>
      <c r="Y127" s="332">
        <v>0.38</v>
      </c>
      <c r="Z127" s="332">
        <v>0.36</v>
      </c>
      <c r="AA127" s="332">
        <v>0.39</v>
      </c>
      <c r="AB127" s="330">
        <v>50</v>
      </c>
      <c r="AC127" s="330">
        <v>10</v>
      </c>
      <c r="AD127" s="329">
        <v>0.24</v>
      </c>
      <c r="AE127" s="329">
        <v>0.45</v>
      </c>
      <c r="AF127" s="329">
        <v>0.28999999999999998</v>
      </c>
      <c r="AG127" s="329">
        <v>0.02</v>
      </c>
      <c r="AH127" s="329">
        <v>0.42</v>
      </c>
      <c r="AI127" s="329">
        <v>0.44</v>
      </c>
      <c r="AJ127" s="329">
        <v>0.4</v>
      </c>
      <c r="AK127" s="329">
        <v>0.49</v>
      </c>
      <c r="AL127" s="329">
        <v>0.56000000000000005</v>
      </c>
      <c r="AM127" s="329">
        <v>0.53</v>
      </c>
      <c r="AN127" s="330">
        <v>48</v>
      </c>
      <c r="AO127" s="330">
        <v>11</v>
      </c>
      <c r="AP127" s="329">
        <v>0.28000000000000003</v>
      </c>
      <c r="AQ127" s="329">
        <v>0.47</v>
      </c>
      <c r="AR127" s="329">
        <v>0.24</v>
      </c>
      <c r="AS127" s="329">
        <v>0.02</v>
      </c>
      <c r="AT127" s="329">
        <v>0.56000000000000005</v>
      </c>
      <c r="AU127" s="329">
        <v>0.48</v>
      </c>
      <c r="AV127" s="329">
        <v>0.46</v>
      </c>
      <c r="AW127" s="329">
        <v>0.47</v>
      </c>
      <c r="AX127" s="329">
        <v>0.49</v>
      </c>
      <c r="AY127" s="329">
        <v>0.45</v>
      </c>
      <c r="AZ127" s="313">
        <v>53</v>
      </c>
      <c r="BA127" s="313">
        <v>9</v>
      </c>
      <c r="BB127" s="333">
        <v>0.15</v>
      </c>
      <c r="BC127" s="333">
        <v>0.48</v>
      </c>
      <c r="BD127" s="333">
        <v>0.33</v>
      </c>
      <c r="BE127" s="333">
        <v>0.04</v>
      </c>
      <c r="BF127" s="333">
        <v>0.4</v>
      </c>
      <c r="BG127" s="333">
        <v>0.43</v>
      </c>
      <c r="BH127" s="333">
        <v>0.45</v>
      </c>
      <c r="BI127" s="333">
        <v>0.53</v>
      </c>
      <c r="BJ127" s="333">
        <v>0.32</v>
      </c>
      <c r="BK127" s="333">
        <v>0.36</v>
      </c>
      <c r="BL127" s="314">
        <v>48</v>
      </c>
      <c r="BM127" s="314" t="s">
        <v>874</v>
      </c>
      <c r="BN127" s="314">
        <v>11</v>
      </c>
      <c r="BO127" s="314" t="s">
        <v>874</v>
      </c>
      <c r="BP127" s="334">
        <v>0.28999999999999998</v>
      </c>
      <c r="BQ127" s="334">
        <v>0.44</v>
      </c>
      <c r="BR127" s="334">
        <v>0.24</v>
      </c>
      <c r="BS127" s="334">
        <v>0.03</v>
      </c>
      <c r="BT127" s="334">
        <v>0.47</v>
      </c>
      <c r="BU127" s="334">
        <v>0.52</v>
      </c>
      <c r="BV127" s="334">
        <v>0.56000000000000005</v>
      </c>
      <c r="BW127" s="334">
        <v>0.44</v>
      </c>
      <c r="BX127" s="334">
        <v>0.49</v>
      </c>
      <c r="BY127" s="334">
        <v>0.54</v>
      </c>
      <c r="BZ127" s="311">
        <v>49</v>
      </c>
      <c r="CA127" s="311" t="s">
        <v>874</v>
      </c>
      <c r="CB127" s="311">
        <v>10</v>
      </c>
      <c r="CC127" s="311" t="s">
        <v>874</v>
      </c>
      <c r="CD127" s="329">
        <v>0.21</v>
      </c>
      <c r="CE127" s="329">
        <v>0.54</v>
      </c>
      <c r="CF127" s="329">
        <v>0.24</v>
      </c>
      <c r="CG127" s="329">
        <v>0.01</v>
      </c>
      <c r="CH127" s="329">
        <v>0.53</v>
      </c>
      <c r="CI127" s="329">
        <v>0.45</v>
      </c>
      <c r="CJ127" s="329">
        <v>0.59</v>
      </c>
      <c r="CK127" s="329">
        <v>0.57999999999999996</v>
      </c>
      <c r="CL127" s="329">
        <v>0.49</v>
      </c>
      <c r="CM127" s="329">
        <v>0.61</v>
      </c>
      <c r="CN127" s="426">
        <v>50</v>
      </c>
      <c r="CO127" s="426" t="s">
        <v>874</v>
      </c>
      <c r="CP127" s="426">
        <v>10</v>
      </c>
      <c r="CQ127" s="426" t="s">
        <v>874</v>
      </c>
      <c r="CR127" s="430">
        <v>0.19</v>
      </c>
      <c r="CS127" s="430">
        <v>0.49</v>
      </c>
      <c r="CT127" s="430">
        <v>0.31</v>
      </c>
      <c r="CU127" s="430">
        <v>0.01</v>
      </c>
      <c r="CV127" s="430">
        <v>0.38</v>
      </c>
      <c r="CW127" s="430">
        <v>0.5</v>
      </c>
      <c r="CX127" s="430">
        <v>0.6</v>
      </c>
      <c r="CY127" s="430">
        <v>0.55000000000000004</v>
      </c>
      <c r="CZ127" s="527">
        <v>0.56000000000000005</v>
      </c>
      <c r="DA127" s="527">
        <v>0.61</v>
      </c>
      <c r="DB127" s="528">
        <v>49</v>
      </c>
      <c r="DC127" s="528" t="s">
        <v>874</v>
      </c>
      <c r="DD127" s="528">
        <v>10</v>
      </c>
      <c r="DE127" s="528" t="s">
        <v>874</v>
      </c>
      <c r="DF127" s="529">
        <v>0.24</v>
      </c>
      <c r="DG127" s="529">
        <v>0.44</v>
      </c>
      <c r="DH127" s="529">
        <v>0.32</v>
      </c>
      <c r="DI127" s="529">
        <v>0</v>
      </c>
      <c r="DJ127" s="529">
        <v>0.54</v>
      </c>
      <c r="DK127" s="529">
        <v>0.5</v>
      </c>
      <c r="DL127" s="529">
        <v>0.51</v>
      </c>
      <c r="DM127" s="529">
        <v>0.64</v>
      </c>
      <c r="DN127" s="529">
        <v>0.57999999999999996</v>
      </c>
      <c r="DO127" s="529">
        <v>0.44</v>
      </c>
    </row>
    <row r="128" spans="1:119" ht="24.95" customHeight="1" x14ac:dyDescent="0.2">
      <c r="A128" s="814" t="s">
        <v>50</v>
      </c>
      <c r="B128" s="1" t="s">
        <v>221</v>
      </c>
      <c r="C128" s="2">
        <v>1</v>
      </c>
      <c r="D128" s="12">
        <v>52</v>
      </c>
      <c r="E128" s="12">
        <v>10</v>
      </c>
      <c r="F128" s="63">
        <v>0.15</v>
      </c>
      <c r="G128" s="63">
        <v>0.49</v>
      </c>
      <c r="H128" s="63">
        <v>0.35</v>
      </c>
      <c r="I128" s="63">
        <v>0.01</v>
      </c>
      <c r="J128" s="63">
        <v>0.53</v>
      </c>
      <c r="K128" s="63">
        <v>0.47</v>
      </c>
      <c r="L128" s="63">
        <v>0.59</v>
      </c>
      <c r="M128" s="63">
        <v>0.39</v>
      </c>
      <c r="N128" s="63">
        <v>0.44</v>
      </c>
      <c r="O128" s="63">
        <v>0.5</v>
      </c>
      <c r="P128" s="12">
        <v>51</v>
      </c>
      <c r="Q128" s="12">
        <v>10</v>
      </c>
      <c r="R128" s="61">
        <v>0.13</v>
      </c>
      <c r="S128" s="61">
        <v>0.5</v>
      </c>
      <c r="T128" s="61">
        <v>0.36</v>
      </c>
      <c r="U128" s="61">
        <v>0.01</v>
      </c>
      <c r="V128" s="61">
        <v>0.41</v>
      </c>
      <c r="W128" s="61">
        <v>0.49</v>
      </c>
      <c r="X128" s="61">
        <v>0.59</v>
      </c>
      <c r="Y128" s="61">
        <v>0.43</v>
      </c>
      <c r="Z128" s="61">
        <v>0.41</v>
      </c>
      <c r="AA128" s="61">
        <v>0.54</v>
      </c>
      <c r="AB128" s="12">
        <v>50</v>
      </c>
      <c r="AC128" s="12">
        <v>11</v>
      </c>
      <c r="AD128" s="63">
        <v>0.22</v>
      </c>
      <c r="AE128" s="63">
        <v>0.47</v>
      </c>
      <c r="AF128" s="63">
        <v>0.3</v>
      </c>
      <c r="AG128" s="63">
        <v>0.01</v>
      </c>
      <c r="AH128" s="63">
        <v>0.41</v>
      </c>
      <c r="AI128" s="63">
        <v>0.41</v>
      </c>
      <c r="AJ128" s="63">
        <v>0.41</v>
      </c>
      <c r="AK128" s="63">
        <v>0.47</v>
      </c>
      <c r="AL128" s="63">
        <v>0.51</v>
      </c>
      <c r="AM128" s="63">
        <v>0.53</v>
      </c>
      <c r="AN128" s="12">
        <v>48</v>
      </c>
      <c r="AO128" s="12">
        <v>9</v>
      </c>
      <c r="AP128" s="63">
        <v>0.23</v>
      </c>
      <c r="AQ128" s="63">
        <v>0.57999999999999996</v>
      </c>
      <c r="AR128" s="63">
        <v>0.18</v>
      </c>
      <c r="AS128" s="63">
        <v>0.02</v>
      </c>
      <c r="AT128" s="63">
        <v>0.63</v>
      </c>
      <c r="AU128" s="63">
        <v>0.43</v>
      </c>
      <c r="AV128" s="63">
        <v>0.48</v>
      </c>
      <c r="AW128" s="63">
        <v>0.47</v>
      </c>
      <c r="AX128" s="63">
        <v>0.47</v>
      </c>
      <c r="AY128" s="63">
        <v>0.49</v>
      </c>
      <c r="AZ128" s="35">
        <v>51</v>
      </c>
      <c r="BA128" s="35">
        <v>10</v>
      </c>
      <c r="BB128" s="40">
        <v>0.13</v>
      </c>
      <c r="BC128" s="40">
        <v>0.57999999999999996</v>
      </c>
      <c r="BD128" s="40">
        <v>0.28000000000000003</v>
      </c>
      <c r="BE128" s="40">
        <v>0</v>
      </c>
      <c r="BF128" s="40">
        <v>0.48</v>
      </c>
      <c r="BG128" s="40">
        <v>0.48</v>
      </c>
      <c r="BH128" s="40">
        <v>0.47</v>
      </c>
      <c r="BI128" s="40">
        <v>0.52</v>
      </c>
      <c r="BJ128" s="40">
        <v>0.41</v>
      </c>
      <c r="BK128" s="40">
        <v>0.4</v>
      </c>
      <c r="BL128" s="247">
        <v>47</v>
      </c>
      <c r="BM128" s="247" t="s">
        <v>874</v>
      </c>
      <c r="BN128" s="247">
        <v>12</v>
      </c>
      <c r="BO128" s="247" t="s">
        <v>874</v>
      </c>
      <c r="BP128" s="264">
        <v>0.31</v>
      </c>
      <c r="BQ128" s="264">
        <v>0.46</v>
      </c>
      <c r="BR128" s="264">
        <v>0.21</v>
      </c>
      <c r="BS128" s="264">
        <v>0.02</v>
      </c>
      <c r="BT128" s="264">
        <v>0.5</v>
      </c>
      <c r="BU128" s="264">
        <v>0.51</v>
      </c>
      <c r="BV128" s="264">
        <v>0.56000000000000005</v>
      </c>
      <c r="BW128" s="264">
        <v>0.43</v>
      </c>
      <c r="BX128" s="264">
        <v>0.51</v>
      </c>
      <c r="BY128" s="264">
        <v>0.56000000000000005</v>
      </c>
      <c r="BZ128" s="311">
        <v>51</v>
      </c>
      <c r="CA128" s="311" t="s">
        <v>874</v>
      </c>
      <c r="CB128" s="311">
        <v>10</v>
      </c>
      <c r="CC128" s="311" t="s">
        <v>874</v>
      </c>
      <c r="CD128" s="329">
        <v>0.22</v>
      </c>
      <c r="CE128" s="329">
        <v>0.41</v>
      </c>
      <c r="CF128" s="329">
        <v>0.36</v>
      </c>
      <c r="CG128" s="329">
        <v>0</v>
      </c>
      <c r="CH128" s="329">
        <v>0.5</v>
      </c>
      <c r="CI128" s="329">
        <v>0.36</v>
      </c>
      <c r="CJ128" s="329">
        <v>0.55000000000000004</v>
      </c>
      <c r="CK128" s="329">
        <v>0.52</v>
      </c>
      <c r="CL128" s="329">
        <v>0.45</v>
      </c>
      <c r="CM128" s="329">
        <v>0.52</v>
      </c>
      <c r="CN128" s="657"/>
      <c r="CO128" s="657"/>
      <c r="CP128" s="657"/>
      <c r="CQ128" s="657"/>
      <c r="CR128" s="657"/>
      <c r="CS128" s="657"/>
      <c r="CT128" s="657"/>
      <c r="CU128" s="657"/>
      <c r="CV128" s="657"/>
      <c r="CW128" s="657"/>
      <c r="CX128" s="657"/>
      <c r="CY128" s="657"/>
      <c r="CZ128" s="666"/>
      <c r="DA128" s="666"/>
      <c r="DB128" s="668"/>
      <c r="DC128" s="668"/>
      <c r="DD128" s="668"/>
      <c r="DE128" s="668"/>
      <c r="DF128" s="668"/>
      <c r="DG128" s="668"/>
      <c r="DH128" s="668"/>
      <c r="DI128" s="668"/>
      <c r="DJ128" s="668"/>
      <c r="DK128" s="668"/>
      <c r="DL128" s="668"/>
      <c r="DM128" s="668"/>
      <c r="DN128" s="668"/>
      <c r="DO128" s="668"/>
    </row>
    <row r="129" spans="1:119" ht="24.95" customHeight="1" x14ac:dyDescent="0.2">
      <c r="A129" s="814" t="s">
        <v>932</v>
      </c>
      <c r="B129" s="1" t="s">
        <v>219</v>
      </c>
      <c r="C129" s="2">
        <v>3</v>
      </c>
      <c r="D129" s="12"/>
      <c r="E129" s="12"/>
      <c r="F129" s="63"/>
      <c r="G129" s="63"/>
      <c r="H129" s="63"/>
      <c r="I129" s="63"/>
      <c r="J129" s="63"/>
      <c r="K129" s="63"/>
      <c r="L129" s="63"/>
      <c r="M129" s="63"/>
      <c r="N129" s="63"/>
      <c r="O129" s="63"/>
      <c r="P129" s="12"/>
      <c r="Q129" s="12"/>
      <c r="R129" s="61"/>
      <c r="S129" s="61"/>
      <c r="T129" s="61"/>
      <c r="U129" s="61"/>
      <c r="V129" s="61"/>
      <c r="W129" s="61"/>
      <c r="X129" s="61"/>
      <c r="Y129" s="61"/>
      <c r="Z129" s="61"/>
      <c r="AA129" s="61"/>
      <c r="AB129" s="12"/>
      <c r="AC129" s="12"/>
      <c r="AD129" s="63"/>
      <c r="AE129" s="63"/>
      <c r="AF129" s="63"/>
      <c r="AG129" s="63"/>
      <c r="AH129" s="63"/>
      <c r="AI129" s="63"/>
      <c r="AJ129" s="63"/>
      <c r="AK129" s="63"/>
      <c r="AL129" s="63"/>
      <c r="AM129" s="63"/>
      <c r="AN129" s="12"/>
      <c r="AO129" s="12"/>
      <c r="AP129" s="63"/>
      <c r="AQ129" s="63"/>
      <c r="AR129" s="63"/>
      <c r="AS129" s="63"/>
      <c r="AT129" s="63"/>
      <c r="AU129" s="63"/>
      <c r="AV129" s="63"/>
      <c r="AW129" s="63"/>
      <c r="AX129" s="63"/>
      <c r="AY129" s="63"/>
      <c r="AZ129" s="35"/>
      <c r="BA129" s="35"/>
      <c r="BB129" s="40"/>
      <c r="BC129" s="40"/>
      <c r="BD129" s="40"/>
      <c r="BE129" s="40"/>
      <c r="BF129" s="40"/>
      <c r="BG129" s="40"/>
      <c r="BH129" s="40"/>
      <c r="BI129" s="40"/>
      <c r="BJ129" s="40"/>
      <c r="BK129" s="40"/>
      <c r="BL129" s="247"/>
      <c r="BM129" s="247"/>
      <c r="BN129" s="247"/>
      <c r="BO129" s="247"/>
      <c r="BP129" s="264"/>
      <c r="BQ129" s="264"/>
      <c r="BR129" s="264"/>
      <c r="BS129" s="264"/>
      <c r="BT129" s="264"/>
      <c r="BU129" s="264"/>
      <c r="BV129" s="264"/>
      <c r="BW129" s="264"/>
      <c r="BX129" s="264"/>
      <c r="BY129" s="264"/>
      <c r="BZ129" s="311">
        <v>50</v>
      </c>
      <c r="CA129" s="311" t="s">
        <v>874</v>
      </c>
      <c r="CB129" s="311">
        <v>11</v>
      </c>
      <c r="CC129" s="311" t="s">
        <v>874</v>
      </c>
      <c r="CD129" s="329">
        <v>0.2</v>
      </c>
      <c r="CE129" s="329">
        <v>0.46</v>
      </c>
      <c r="CF129" s="329">
        <v>0.32</v>
      </c>
      <c r="CG129" s="329">
        <v>0.02</v>
      </c>
      <c r="CH129" s="329">
        <v>0.47</v>
      </c>
      <c r="CI129" s="329">
        <v>0.45</v>
      </c>
      <c r="CJ129" s="329">
        <v>0.56000000000000005</v>
      </c>
      <c r="CK129" s="329">
        <v>0.52</v>
      </c>
      <c r="CL129" s="329">
        <v>0.48</v>
      </c>
      <c r="CM129" s="329">
        <v>0.54</v>
      </c>
      <c r="CN129" s="658">
        <v>51</v>
      </c>
      <c r="CO129" s="658" t="s">
        <v>874</v>
      </c>
      <c r="CP129" s="658">
        <v>10</v>
      </c>
      <c r="CQ129" s="658" t="s">
        <v>874</v>
      </c>
      <c r="CR129" s="659">
        <v>0.17</v>
      </c>
      <c r="CS129" s="659">
        <v>0.48</v>
      </c>
      <c r="CT129" s="659">
        <v>0.35</v>
      </c>
      <c r="CU129" s="659">
        <v>0.01</v>
      </c>
      <c r="CV129" s="659">
        <v>0.34</v>
      </c>
      <c r="CW129" s="659">
        <v>0.56000000000000005</v>
      </c>
      <c r="CX129" s="659">
        <v>0.56000000000000005</v>
      </c>
      <c r="CY129" s="659">
        <v>0.69</v>
      </c>
      <c r="CZ129" s="667">
        <v>0.56999999999999995</v>
      </c>
      <c r="DA129" s="667">
        <v>0.53</v>
      </c>
      <c r="DB129" s="47">
        <v>51</v>
      </c>
      <c r="DC129" s="47" t="s">
        <v>874</v>
      </c>
      <c r="DD129" s="47">
        <v>10</v>
      </c>
      <c r="DE129" s="47" t="s">
        <v>874</v>
      </c>
      <c r="DF129" s="670">
        <v>0.17</v>
      </c>
      <c r="DG129" s="670">
        <v>0.47</v>
      </c>
      <c r="DH129" s="670">
        <v>0.33</v>
      </c>
      <c r="DI129" s="670">
        <v>0.03</v>
      </c>
      <c r="DJ129" s="670">
        <v>0.49</v>
      </c>
      <c r="DK129" s="670">
        <v>0.44</v>
      </c>
      <c r="DL129" s="670">
        <v>0.5</v>
      </c>
      <c r="DM129" s="670">
        <v>0.63</v>
      </c>
      <c r="DN129" s="670">
        <v>0.48</v>
      </c>
      <c r="DO129" s="670">
        <v>0.38</v>
      </c>
    </row>
    <row r="130" spans="1:119" ht="24.95" customHeight="1" x14ac:dyDescent="0.2">
      <c r="A130" s="816" t="s">
        <v>286</v>
      </c>
      <c r="B130" s="1" t="s">
        <v>219</v>
      </c>
      <c r="C130" s="311">
        <v>6</v>
      </c>
      <c r="D130" s="330">
        <v>50</v>
      </c>
      <c r="E130" s="330">
        <v>8</v>
      </c>
      <c r="F130" s="329">
        <v>0.14000000000000001</v>
      </c>
      <c r="G130" s="329">
        <v>0.61</v>
      </c>
      <c r="H130" s="329">
        <v>0.24</v>
      </c>
      <c r="I130" s="329">
        <v>0.01</v>
      </c>
      <c r="J130" s="329">
        <v>0.54</v>
      </c>
      <c r="K130" s="329">
        <v>0.49</v>
      </c>
      <c r="L130" s="329">
        <v>0.59</v>
      </c>
      <c r="M130" s="329">
        <v>0.44</v>
      </c>
      <c r="N130" s="329">
        <v>0.43</v>
      </c>
      <c r="O130" s="329">
        <v>0.55000000000000004</v>
      </c>
      <c r="P130" s="330">
        <v>50</v>
      </c>
      <c r="Q130" s="330">
        <v>10</v>
      </c>
      <c r="R130" s="332">
        <v>0.17</v>
      </c>
      <c r="S130" s="332">
        <v>0.5</v>
      </c>
      <c r="T130" s="332">
        <v>0.31</v>
      </c>
      <c r="U130" s="332">
        <v>0.02</v>
      </c>
      <c r="V130" s="332">
        <v>0.41</v>
      </c>
      <c r="W130" s="332">
        <v>0.49</v>
      </c>
      <c r="X130" s="332">
        <v>0.57999999999999996</v>
      </c>
      <c r="Y130" s="332">
        <v>0.45</v>
      </c>
      <c r="Z130" s="332">
        <v>0.48</v>
      </c>
      <c r="AA130" s="332">
        <v>0.49</v>
      </c>
      <c r="AB130" s="330">
        <v>48</v>
      </c>
      <c r="AC130" s="330">
        <v>10</v>
      </c>
      <c r="AD130" s="329">
        <v>0.23</v>
      </c>
      <c r="AE130" s="329">
        <v>0.52</v>
      </c>
      <c r="AF130" s="329">
        <v>0.24</v>
      </c>
      <c r="AG130" s="329">
        <v>0.01</v>
      </c>
      <c r="AH130" s="329">
        <v>0.45</v>
      </c>
      <c r="AI130" s="329">
        <v>0.46</v>
      </c>
      <c r="AJ130" s="329">
        <v>0.44</v>
      </c>
      <c r="AK130" s="329">
        <v>0.52</v>
      </c>
      <c r="AL130" s="329">
        <v>0.56999999999999995</v>
      </c>
      <c r="AM130" s="329">
        <v>0.56000000000000005</v>
      </c>
      <c r="AN130" s="330">
        <v>46</v>
      </c>
      <c r="AO130" s="330">
        <v>9</v>
      </c>
      <c r="AP130" s="329">
        <v>0.32</v>
      </c>
      <c r="AQ130" s="329">
        <v>0.53</v>
      </c>
      <c r="AR130" s="329">
        <v>0.15</v>
      </c>
      <c r="AS130" s="329">
        <v>0</v>
      </c>
      <c r="AT130" s="329">
        <v>0.57999999999999996</v>
      </c>
      <c r="AU130" s="329">
        <v>0.49</v>
      </c>
      <c r="AV130" s="329">
        <v>0.49</v>
      </c>
      <c r="AW130" s="329">
        <v>0.51</v>
      </c>
      <c r="AX130" s="329">
        <v>0.53</v>
      </c>
      <c r="AY130" s="329">
        <v>0.52</v>
      </c>
      <c r="AZ130" s="313">
        <v>48</v>
      </c>
      <c r="BA130" s="313">
        <v>10</v>
      </c>
      <c r="BB130" s="333">
        <v>0.23</v>
      </c>
      <c r="BC130" s="333">
        <v>0.54</v>
      </c>
      <c r="BD130" s="333">
        <v>0.22</v>
      </c>
      <c r="BE130" s="333">
        <v>0.01</v>
      </c>
      <c r="BF130" s="333">
        <v>0.51</v>
      </c>
      <c r="BG130" s="333">
        <v>0.5</v>
      </c>
      <c r="BH130" s="333">
        <v>0.53</v>
      </c>
      <c r="BI130" s="333">
        <v>0.64</v>
      </c>
      <c r="BJ130" s="333">
        <v>0.45</v>
      </c>
      <c r="BK130" s="333">
        <v>0.48</v>
      </c>
      <c r="BL130" s="314">
        <v>46</v>
      </c>
      <c r="BM130" s="314" t="s">
        <v>874</v>
      </c>
      <c r="BN130" s="314">
        <v>10</v>
      </c>
      <c r="BO130" s="314" t="s">
        <v>874</v>
      </c>
      <c r="BP130" s="334">
        <v>0.31</v>
      </c>
      <c r="BQ130" s="334">
        <v>0.53</v>
      </c>
      <c r="BR130" s="334">
        <v>0.17</v>
      </c>
      <c r="BS130" s="334">
        <v>0</v>
      </c>
      <c r="BT130" s="334">
        <v>0.5</v>
      </c>
      <c r="BU130" s="334">
        <v>0.52</v>
      </c>
      <c r="BV130" s="334">
        <v>0.62</v>
      </c>
      <c r="BW130" s="334">
        <v>0.49</v>
      </c>
      <c r="BX130" s="334">
        <v>0.52</v>
      </c>
      <c r="BY130" s="334">
        <v>0.56999999999999995</v>
      </c>
      <c r="BZ130" s="311">
        <v>46</v>
      </c>
      <c r="CA130" s="311" t="s">
        <v>874</v>
      </c>
      <c r="CB130" s="311">
        <v>11</v>
      </c>
      <c r="CC130" s="311" t="s">
        <v>874</v>
      </c>
      <c r="CD130" s="329">
        <v>0.36</v>
      </c>
      <c r="CE130" s="329">
        <v>0.42</v>
      </c>
      <c r="CF130" s="329">
        <v>0.21</v>
      </c>
      <c r="CG130" s="329">
        <v>0.01</v>
      </c>
      <c r="CH130" s="329">
        <v>0.52</v>
      </c>
      <c r="CI130" s="329">
        <v>0.45</v>
      </c>
      <c r="CJ130" s="329">
        <v>0.63</v>
      </c>
      <c r="CK130" s="329">
        <v>0.63</v>
      </c>
      <c r="CL130" s="329">
        <v>0.44</v>
      </c>
      <c r="CM130" s="329">
        <v>0.6</v>
      </c>
      <c r="CN130" s="426">
        <v>48</v>
      </c>
      <c r="CO130" s="426" t="s">
        <v>874</v>
      </c>
      <c r="CP130" s="426">
        <v>10</v>
      </c>
      <c r="CQ130" s="426" t="s">
        <v>874</v>
      </c>
      <c r="CR130" s="430">
        <v>0.27</v>
      </c>
      <c r="CS130" s="430">
        <v>0.45</v>
      </c>
      <c r="CT130" s="430">
        <v>0.28000000000000003</v>
      </c>
      <c r="CU130" s="430">
        <v>0</v>
      </c>
      <c r="CV130" s="430">
        <v>0.47</v>
      </c>
      <c r="CW130" s="430">
        <v>0.56000000000000005</v>
      </c>
      <c r="CX130" s="430">
        <v>0.57999999999999996</v>
      </c>
      <c r="CY130" s="430">
        <v>0.68</v>
      </c>
      <c r="CZ130" s="527">
        <v>0.6</v>
      </c>
      <c r="DA130" s="527">
        <v>0.64</v>
      </c>
      <c r="DB130" s="528">
        <v>50</v>
      </c>
      <c r="DC130" s="528" t="s">
        <v>874</v>
      </c>
      <c r="DD130" s="528">
        <v>11</v>
      </c>
      <c r="DE130" s="528" t="s">
        <v>874</v>
      </c>
      <c r="DF130" s="529">
        <v>0.21</v>
      </c>
      <c r="DG130" s="529">
        <v>0.46</v>
      </c>
      <c r="DH130" s="529">
        <v>0.31</v>
      </c>
      <c r="DI130" s="529">
        <v>0.02</v>
      </c>
      <c r="DJ130" s="529">
        <v>0.46</v>
      </c>
      <c r="DK130" s="529">
        <v>0.53</v>
      </c>
      <c r="DL130" s="529">
        <v>0.47</v>
      </c>
      <c r="DM130" s="529">
        <v>0.63</v>
      </c>
      <c r="DN130" s="529">
        <v>0.51</v>
      </c>
      <c r="DO130" s="529">
        <v>0.43</v>
      </c>
    </row>
    <row r="131" spans="1:119" ht="24.95" customHeight="1" x14ac:dyDescent="0.2">
      <c r="A131" s="814" t="s">
        <v>934</v>
      </c>
      <c r="B131" s="1" t="s">
        <v>219</v>
      </c>
      <c r="C131" s="2">
        <v>2</v>
      </c>
      <c r="D131" s="12"/>
      <c r="E131" s="12"/>
      <c r="F131" s="63"/>
      <c r="G131" s="63"/>
      <c r="H131" s="63"/>
      <c r="I131" s="63"/>
      <c r="J131" s="63"/>
      <c r="K131" s="63"/>
      <c r="L131" s="63"/>
      <c r="M131" s="63"/>
      <c r="N131" s="63"/>
      <c r="O131" s="63"/>
      <c r="P131" s="12"/>
      <c r="Q131" s="12"/>
      <c r="R131" s="61"/>
      <c r="S131" s="61"/>
      <c r="T131" s="61"/>
      <c r="U131" s="61"/>
      <c r="V131" s="61"/>
      <c r="W131" s="61"/>
      <c r="X131" s="61"/>
      <c r="Y131" s="61"/>
      <c r="Z131" s="61"/>
      <c r="AA131" s="61"/>
      <c r="AB131" s="12"/>
      <c r="AC131" s="12"/>
      <c r="AD131" s="63"/>
      <c r="AE131" s="63"/>
      <c r="AF131" s="63"/>
      <c r="AG131" s="63"/>
      <c r="AH131" s="63"/>
      <c r="AI131" s="63"/>
      <c r="AJ131" s="63"/>
      <c r="AK131" s="63"/>
      <c r="AL131" s="63"/>
      <c r="AM131" s="63"/>
      <c r="AN131" s="12"/>
      <c r="AO131" s="12"/>
      <c r="AP131" s="63"/>
      <c r="AQ131" s="63"/>
      <c r="AR131" s="63"/>
      <c r="AS131" s="63"/>
      <c r="AT131" s="63"/>
      <c r="AU131" s="63"/>
      <c r="AV131" s="63"/>
      <c r="AW131" s="63"/>
      <c r="AX131" s="63"/>
      <c r="AY131" s="63"/>
      <c r="AZ131" s="35"/>
      <c r="BA131" s="35"/>
      <c r="BB131" s="40"/>
      <c r="BC131" s="40"/>
      <c r="BD131" s="40"/>
      <c r="BE131" s="40"/>
      <c r="BF131" s="40"/>
      <c r="BG131" s="40"/>
      <c r="BH131" s="40"/>
      <c r="BI131" s="40"/>
      <c r="BJ131" s="40"/>
      <c r="BK131" s="40"/>
      <c r="BL131" s="247"/>
      <c r="BM131" s="247"/>
      <c r="BN131" s="247"/>
      <c r="BO131" s="247"/>
      <c r="BP131" s="264"/>
      <c r="BQ131" s="264"/>
      <c r="BR131" s="264"/>
      <c r="BS131" s="264"/>
      <c r="BT131" s="264"/>
      <c r="BU131" s="264"/>
      <c r="BV131" s="264"/>
      <c r="BW131" s="264"/>
      <c r="BX131" s="264"/>
      <c r="BY131" s="264"/>
      <c r="BZ131" s="311">
        <v>47</v>
      </c>
      <c r="CA131" s="311" t="s">
        <v>874</v>
      </c>
      <c r="CB131" s="311">
        <v>10</v>
      </c>
      <c r="CC131" s="311" t="s">
        <v>874</v>
      </c>
      <c r="CD131" s="329">
        <v>0.28999999999999998</v>
      </c>
      <c r="CE131" s="329">
        <v>0.51</v>
      </c>
      <c r="CF131" s="329">
        <v>0.2</v>
      </c>
      <c r="CG131" s="329">
        <v>0</v>
      </c>
      <c r="CH131" s="329">
        <v>0.46</v>
      </c>
      <c r="CI131" s="329">
        <v>0.57999999999999996</v>
      </c>
      <c r="CJ131" s="329">
        <v>0.63</v>
      </c>
      <c r="CK131" s="329">
        <v>0.59</v>
      </c>
      <c r="CL131" s="329">
        <v>0.44</v>
      </c>
      <c r="CM131" s="329">
        <v>0.63</v>
      </c>
      <c r="CN131" s="426">
        <v>48</v>
      </c>
      <c r="CO131" s="426" t="s">
        <v>874</v>
      </c>
      <c r="CP131" s="426">
        <v>10</v>
      </c>
      <c r="CQ131" s="426" t="s">
        <v>874</v>
      </c>
      <c r="CR131" s="430">
        <v>0.24</v>
      </c>
      <c r="CS131" s="430">
        <v>0.52</v>
      </c>
      <c r="CT131" s="430">
        <v>0.24</v>
      </c>
      <c r="CU131" s="430">
        <v>0</v>
      </c>
      <c r="CV131" s="430">
        <v>0.4</v>
      </c>
      <c r="CW131" s="430">
        <v>0.61</v>
      </c>
      <c r="CX131" s="430">
        <v>0.61</v>
      </c>
      <c r="CY131" s="430">
        <v>0.68</v>
      </c>
      <c r="CZ131" s="527">
        <v>0.57999999999999996</v>
      </c>
      <c r="DA131" s="527">
        <v>0.6</v>
      </c>
      <c r="DB131" s="528">
        <v>52</v>
      </c>
      <c r="DC131" s="528" t="s">
        <v>874</v>
      </c>
      <c r="DD131" s="528">
        <v>11</v>
      </c>
      <c r="DE131" s="528" t="s">
        <v>874</v>
      </c>
      <c r="DF131" s="529">
        <v>0.19</v>
      </c>
      <c r="DG131" s="529">
        <v>0.39</v>
      </c>
      <c r="DH131" s="529">
        <v>0.36</v>
      </c>
      <c r="DI131" s="529">
        <v>0.06</v>
      </c>
      <c r="DJ131" s="529">
        <v>0.47</v>
      </c>
      <c r="DK131" s="529">
        <v>0.48</v>
      </c>
      <c r="DL131" s="529">
        <v>0.47</v>
      </c>
      <c r="DM131" s="529">
        <v>0.64</v>
      </c>
      <c r="DN131" s="529">
        <v>0.48</v>
      </c>
      <c r="DO131" s="529">
        <v>0.38</v>
      </c>
    </row>
    <row r="132" spans="1:119" ht="24.95" customHeight="1" x14ac:dyDescent="0.2">
      <c r="A132" s="815" t="s">
        <v>192</v>
      </c>
      <c r="B132" s="1" t="s">
        <v>221</v>
      </c>
      <c r="C132" s="311">
        <v>2</v>
      </c>
      <c r="D132" s="330">
        <v>48</v>
      </c>
      <c r="E132" s="330">
        <v>7</v>
      </c>
      <c r="F132" s="329">
        <v>0</v>
      </c>
      <c r="G132" s="329">
        <v>1</v>
      </c>
      <c r="H132" s="329">
        <v>0</v>
      </c>
      <c r="I132" s="329">
        <v>0</v>
      </c>
      <c r="J132" s="329">
        <v>0.67</v>
      </c>
      <c r="K132" s="329">
        <v>0.61</v>
      </c>
      <c r="L132" s="329">
        <v>0.63</v>
      </c>
      <c r="M132" s="329">
        <v>0.36</v>
      </c>
      <c r="N132" s="329">
        <v>0.56000000000000005</v>
      </c>
      <c r="O132" s="329">
        <v>0.67</v>
      </c>
      <c r="P132" s="330" t="s">
        <v>224</v>
      </c>
      <c r="Q132" s="330" t="s">
        <v>224</v>
      </c>
      <c r="R132" s="332"/>
      <c r="S132" s="332"/>
      <c r="T132" s="332"/>
      <c r="U132" s="332"/>
      <c r="V132" s="332"/>
      <c r="W132" s="332"/>
      <c r="X132" s="332"/>
      <c r="Y132" s="332"/>
      <c r="Z132" s="332"/>
      <c r="AA132" s="332"/>
      <c r="AB132" s="330" t="s">
        <v>224</v>
      </c>
      <c r="AC132" s="330" t="s">
        <v>224</v>
      </c>
      <c r="AD132" s="311"/>
      <c r="AE132" s="311"/>
      <c r="AF132" s="311"/>
      <c r="AG132" s="311"/>
      <c r="AH132" s="311"/>
      <c r="AI132" s="311"/>
      <c r="AJ132" s="311"/>
      <c r="AK132" s="311"/>
      <c r="AL132" s="311"/>
      <c r="AM132" s="311"/>
      <c r="AN132" s="330" t="s">
        <v>224</v>
      </c>
      <c r="AO132" s="330" t="s">
        <v>224</v>
      </c>
      <c r="AP132" s="311"/>
      <c r="AQ132" s="311"/>
      <c r="AR132" s="311"/>
      <c r="AS132" s="311"/>
      <c r="AT132" s="311"/>
      <c r="AU132" s="311"/>
      <c r="AV132" s="311"/>
      <c r="AW132" s="311"/>
      <c r="AX132" s="311"/>
      <c r="AY132" s="311"/>
      <c r="AZ132" s="313">
        <v>45</v>
      </c>
      <c r="BA132" s="313">
        <v>9</v>
      </c>
      <c r="BB132" s="333">
        <v>0.38</v>
      </c>
      <c r="BC132" s="333">
        <v>0.48</v>
      </c>
      <c r="BD132" s="333">
        <v>0.15</v>
      </c>
      <c r="BE132" s="333">
        <v>0</v>
      </c>
      <c r="BF132" s="333">
        <v>0.55000000000000004</v>
      </c>
      <c r="BG132" s="333">
        <v>0.55000000000000004</v>
      </c>
      <c r="BH132" s="333">
        <v>0.56999999999999995</v>
      </c>
      <c r="BI132" s="333">
        <v>0.63</v>
      </c>
      <c r="BJ132" s="333">
        <v>0.54</v>
      </c>
      <c r="BK132" s="333">
        <v>0.5</v>
      </c>
      <c r="BL132" s="314">
        <v>36</v>
      </c>
      <c r="BM132" s="314" t="s">
        <v>876</v>
      </c>
      <c r="BN132" s="314">
        <v>8</v>
      </c>
      <c r="BO132" s="314" t="s">
        <v>874</v>
      </c>
      <c r="BP132" s="334">
        <v>0.78</v>
      </c>
      <c r="BQ132" s="334">
        <v>0.22</v>
      </c>
      <c r="BR132" s="334">
        <v>0</v>
      </c>
      <c r="BS132" s="334">
        <v>0</v>
      </c>
      <c r="BT132" s="334">
        <v>0.56000000000000005</v>
      </c>
      <c r="BU132" s="334">
        <v>0.81</v>
      </c>
      <c r="BV132" s="334">
        <v>0.75</v>
      </c>
      <c r="BW132" s="334">
        <v>0.59</v>
      </c>
      <c r="BX132" s="334">
        <v>0.63</v>
      </c>
      <c r="BY132" s="334">
        <v>0.68</v>
      </c>
      <c r="BZ132" s="655"/>
      <c r="CA132" s="655"/>
      <c r="CB132" s="655"/>
      <c r="CC132" s="655"/>
      <c r="CD132" s="655"/>
      <c r="CE132" s="655"/>
      <c r="CF132" s="655"/>
      <c r="CG132" s="655"/>
      <c r="CH132" s="655"/>
      <c r="CI132" s="655"/>
      <c r="CJ132" s="655"/>
      <c r="CK132" s="655"/>
      <c r="CL132" s="655"/>
      <c r="CM132" s="655"/>
      <c r="CN132" s="657"/>
      <c r="CO132" s="657"/>
      <c r="CP132" s="657"/>
      <c r="CQ132" s="657"/>
      <c r="CR132" s="657"/>
      <c r="CS132" s="657"/>
      <c r="CT132" s="657"/>
      <c r="CU132" s="657"/>
      <c r="CV132" s="657"/>
      <c r="CW132" s="657"/>
      <c r="CX132" s="657"/>
      <c r="CY132" s="657"/>
      <c r="CZ132" s="666"/>
      <c r="DA132" s="666"/>
      <c r="DB132" s="528">
        <v>48</v>
      </c>
      <c r="DC132" s="528" t="s">
        <v>874</v>
      </c>
      <c r="DD132" s="528">
        <v>23</v>
      </c>
      <c r="DE132" s="528" t="s">
        <v>875</v>
      </c>
      <c r="DF132" s="529">
        <v>0.5</v>
      </c>
      <c r="DG132" s="529">
        <v>0</v>
      </c>
      <c r="DH132" s="529">
        <v>0.5</v>
      </c>
      <c r="DI132" s="529">
        <v>0</v>
      </c>
      <c r="DJ132" s="529">
        <v>0.56999999999999995</v>
      </c>
      <c r="DK132" s="529">
        <v>0.67</v>
      </c>
      <c r="DL132" s="529">
        <v>0.5</v>
      </c>
      <c r="DM132" s="529">
        <v>0.5</v>
      </c>
      <c r="DN132" s="529">
        <v>0.67</v>
      </c>
      <c r="DO132" s="528" t="s">
        <v>283</v>
      </c>
    </row>
    <row r="133" spans="1:119" ht="24.95" customHeight="1" x14ac:dyDescent="0.2">
      <c r="A133" s="814" t="s">
        <v>231</v>
      </c>
      <c r="B133" s="1" t="s">
        <v>221</v>
      </c>
      <c r="C133" s="2">
        <v>4</v>
      </c>
      <c r="D133" s="12"/>
      <c r="E133" s="12"/>
      <c r="F133" s="12"/>
      <c r="G133" s="12"/>
      <c r="H133" s="12"/>
      <c r="I133" s="12"/>
      <c r="J133" s="12"/>
      <c r="K133" s="12"/>
      <c r="L133" s="12"/>
      <c r="M133" s="12"/>
      <c r="N133" s="12"/>
      <c r="O133" s="12"/>
      <c r="P133" s="12" t="s">
        <v>224</v>
      </c>
      <c r="Q133" s="12" t="s">
        <v>224</v>
      </c>
      <c r="R133" s="61"/>
      <c r="S133" s="61"/>
      <c r="T133" s="61"/>
      <c r="U133" s="61"/>
      <c r="V133" s="61"/>
      <c r="W133" s="61"/>
      <c r="X133" s="61"/>
      <c r="Y133" s="61"/>
      <c r="Z133" s="61"/>
      <c r="AA133" s="61"/>
      <c r="AB133" s="12">
        <v>54</v>
      </c>
      <c r="AC133" s="12">
        <v>2</v>
      </c>
      <c r="AD133" s="63">
        <v>0</v>
      </c>
      <c r="AE133" s="63">
        <v>1</v>
      </c>
      <c r="AF133" s="63">
        <v>0</v>
      </c>
      <c r="AG133" s="63">
        <v>0</v>
      </c>
      <c r="AH133" s="63">
        <v>0.33</v>
      </c>
      <c r="AI133" s="63">
        <v>0.2</v>
      </c>
      <c r="AJ133" s="63">
        <v>0.47</v>
      </c>
      <c r="AK133" s="63">
        <v>0.3</v>
      </c>
      <c r="AL133" s="63">
        <v>0.6</v>
      </c>
      <c r="AM133" s="63">
        <v>0.28999999999999998</v>
      </c>
      <c r="AN133" s="12" t="s">
        <v>224</v>
      </c>
      <c r="AO133" s="12" t="s">
        <v>224</v>
      </c>
      <c r="AP133" s="2"/>
      <c r="AQ133" s="2"/>
      <c r="AR133" s="2"/>
      <c r="AS133" s="2"/>
      <c r="AT133" s="2"/>
      <c r="AU133" s="2"/>
      <c r="AV133" s="2"/>
      <c r="AW133" s="2"/>
      <c r="AX133" s="2"/>
      <c r="AY133" s="2"/>
      <c r="AZ133" s="35"/>
      <c r="BA133" s="35"/>
      <c r="BB133" s="40"/>
      <c r="BC133" s="40"/>
      <c r="BD133" s="40"/>
      <c r="BE133" s="40"/>
      <c r="BF133" s="40"/>
      <c r="BG133" s="40"/>
      <c r="BH133" s="40"/>
      <c r="BI133" s="40"/>
      <c r="BJ133" s="40"/>
      <c r="BK133" s="40"/>
      <c r="BL133" s="652"/>
      <c r="BM133" s="652"/>
      <c r="BN133" s="652"/>
      <c r="BO133" s="652"/>
      <c r="BP133" s="652"/>
      <c r="BQ133" s="652"/>
      <c r="BR133" s="652"/>
      <c r="BS133" s="652"/>
      <c r="BT133" s="652"/>
      <c r="BU133" s="652"/>
      <c r="BV133" s="652"/>
      <c r="BW133" s="652"/>
      <c r="BX133" s="652"/>
      <c r="BY133" s="652"/>
      <c r="CZ133" s="67"/>
      <c r="DA133" s="67"/>
      <c r="DB133" s="668"/>
      <c r="DC133" s="668"/>
      <c r="DD133" s="668"/>
      <c r="DE133" s="668"/>
      <c r="DF133" s="668"/>
      <c r="DG133" s="668"/>
      <c r="DH133" s="668"/>
      <c r="DI133" s="668"/>
      <c r="DJ133" s="668"/>
      <c r="DK133" s="668"/>
      <c r="DL133" s="668"/>
      <c r="DM133" s="668"/>
      <c r="DN133" s="668"/>
      <c r="DO133" s="668"/>
    </row>
    <row r="134" spans="1:119" ht="24.95" customHeight="1" x14ac:dyDescent="0.2">
      <c r="A134" s="814" t="s">
        <v>1098</v>
      </c>
      <c r="B134" s="1" t="s">
        <v>221</v>
      </c>
      <c r="C134" s="2">
        <v>5</v>
      </c>
      <c r="D134" s="12">
        <v>53</v>
      </c>
      <c r="E134" s="12">
        <v>10</v>
      </c>
      <c r="F134" s="63">
        <v>0.14000000000000001</v>
      </c>
      <c r="G134" s="63">
        <v>0.49</v>
      </c>
      <c r="H134" s="63">
        <v>0.35</v>
      </c>
      <c r="I134" s="63">
        <v>0.02</v>
      </c>
      <c r="J134" s="63">
        <v>0.52</v>
      </c>
      <c r="K134" s="63">
        <v>0.44</v>
      </c>
      <c r="L134" s="63">
        <v>0.6</v>
      </c>
      <c r="M134" s="63">
        <v>0.38</v>
      </c>
      <c r="N134" s="63">
        <v>0.37</v>
      </c>
      <c r="O134" s="63">
        <v>0.49</v>
      </c>
      <c r="P134" s="12">
        <v>55</v>
      </c>
      <c r="Q134" s="12">
        <v>9</v>
      </c>
      <c r="R134" s="61">
        <v>7.0000000000000007E-2</v>
      </c>
      <c r="S134" s="61">
        <v>0.44</v>
      </c>
      <c r="T134" s="61">
        <v>0.47</v>
      </c>
      <c r="U134" s="61">
        <v>0.02</v>
      </c>
      <c r="V134" s="61">
        <v>0.33</v>
      </c>
      <c r="W134" s="61">
        <v>0.41</v>
      </c>
      <c r="X134" s="61">
        <v>0.51</v>
      </c>
      <c r="Y134" s="61">
        <v>0.39</v>
      </c>
      <c r="Z134" s="61">
        <v>0.41</v>
      </c>
      <c r="AA134" s="61">
        <v>0.5</v>
      </c>
      <c r="AB134" s="12">
        <v>50</v>
      </c>
      <c r="AC134" s="12">
        <v>11</v>
      </c>
      <c r="AD134" s="63">
        <v>0.19</v>
      </c>
      <c r="AE134" s="63">
        <v>0.4</v>
      </c>
      <c r="AF134" s="63">
        <v>0.38</v>
      </c>
      <c r="AG134" s="63">
        <v>0.02</v>
      </c>
      <c r="AH134" s="63">
        <v>0.45</v>
      </c>
      <c r="AI134" s="63">
        <v>0.39</v>
      </c>
      <c r="AJ134" s="63">
        <v>0.37</v>
      </c>
      <c r="AK134" s="63">
        <v>0.49</v>
      </c>
      <c r="AL134" s="63">
        <v>0.57999999999999996</v>
      </c>
      <c r="AM134" s="63">
        <v>0.51</v>
      </c>
      <c r="AN134" s="12">
        <v>47</v>
      </c>
      <c r="AO134" s="12">
        <v>9</v>
      </c>
      <c r="AP134" s="63">
        <v>0.21</v>
      </c>
      <c r="AQ134" s="63">
        <v>0.6</v>
      </c>
      <c r="AR134" s="63">
        <v>0.19</v>
      </c>
      <c r="AS134" s="63">
        <v>0</v>
      </c>
      <c r="AT134" s="63">
        <v>0.59</v>
      </c>
      <c r="AU134" s="63">
        <v>0.46</v>
      </c>
      <c r="AV134" s="63">
        <v>0.48</v>
      </c>
      <c r="AW134" s="63">
        <v>0.47</v>
      </c>
      <c r="AX134" s="63">
        <v>0.5</v>
      </c>
      <c r="AY134" s="63">
        <v>0.51</v>
      </c>
      <c r="AZ134" s="35">
        <v>53</v>
      </c>
      <c r="BA134" s="35">
        <v>10</v>
      </c>
      <c r="BB134" s="40">
        <v>0.13</v>
      </c>
      <c r="BC134" s="40">
        <v>0.38</v>
      </c>
      <c r="BD134" s="40">
        <v>0.49</v>
      </c>
      <c r="BE134" s="40">
        <v>0</v>
      </c>
      <c r="BF134" s="40">
        <v>0.47</v>
      </c>
      <c r="BG134" s="40">
        <v>0.42</v>
      </c>
      <c r="BH134" s="40">
        <v>0.41</v>
      </c>
      <c r="BI134" s="40">
        <v>0.48</v>
      </c>
      <c r="BJ134" s="40">
        <v>0.34</v>
      </c>
      <c r="BK134" s="40">
        <v>0.35</v>
      </c>
      <c r="BL134" s="653">
        <v>50</v>
      </c>
      <c r="BM134" s="653" t="s">
        <v>874</v>
      </c>
      <c r="BN134" s="653">
        <v>11</v>
      </c>
      <c r="BO134" s="653" t="s">
        <v>874</v>
      </c>
      <c r="BP134" s="654">
        <v>0.26</v>
      </c>
      <c r="BQ134" s="654">
        <v>0.38</v>
      </c>
      <c r="BR134" s="654">
        <v>0.34</v>
      </c>
      <c r="BS134" s="654">
        <v>0.02</v>
      </c>
      <c r="BT134" s="654">
        <v>0.49</v>
      </c>
      <c r="BU134" s="654">
        <v>0.48</v>
      </c>
      <c r="BV134" s="654">
        <v>0.5</v>
      </c>
      <c r="BW134" s="654">
        <v>0.43</v>
      </c>
      <c r="BX134" s="654">
        <v>0.46</v>
      </c>
      <c r="BY134" s="654">
        <v>0.51</v>
      </c>
      <c r="BZ134" s="74">
        <v>50</v>
      </c>
      <c r="CA134" s="74" t="s">
        <v>874</v>
      </c>
      <c r="CB134" s="74">
        <v>11</v>
      </c>
      <c r="CC134" s="74" t="s">
        <v>874</v>
      </c>
      <c r="CD134" s="96">
        <v>0.16</v>
      </c>
      <c r="CE134" s="96">
        <v>0.52</v>
      </c>
      <c r="CF134" s="96">
        <v>0.28999999999999998</v>
      </c>
      <c r="CG134" s="96">
        <v>0.02</v>
      </c>
      <c r="CH134" s="96">
        <v>0.56000000000000005</v>
      </c>
      <c r="CI134" s="96">
        <v>0.46</v>
      </c>
      <c r="CJ134" s="96">
        <v>0.56000000000000005</v>
      </c>
      <c r="CK134" s="96">
        <v>0.54</v>
      </c>
      <c r="CL134" s="96">
        <v>0.43</v>
      </c>
      <c r="CM134" s="96">
        <v>0.56000000000000005</v>
      </c>
      <c r="CN134" s="658">
        <v>53</v>
      </c>
      <c r="CO134" s="658" t="s">
        <v>874</v>
      </c>
      <c r="CP134" s="658">
        <v>10</v>
      </c>
      <c r="CQ134" s="658" t="s">
        <v>874</v>
      </c>
      <c r="CR134" s="659">
        <v>0.13</v>
      </c>
      <c r="CS134" s="659">
        <v>0.43</v>
      </c>
      <c r="CT134" s="659">
        <v>0.39</v>
      </c>
      <c r="CU134" s="659">
        <v>0.06</v>
      </c>
      <c r="CV134" s="659">
        <v>0.31</v>
      </c>
      <c r="CW134" s="659">
        <v>0.48</v>
      </c>
      <c r="CX134" s="659">
        <v>0.54</v>
      </c>
      <c r="CY134" s="659">
        <v>0.55000000000000004</v>
      </c>
      <c r="CZ134" s="667">
        <v>0.44</v>
      </c>
      <c r="DA134" s="667">
        <v>0.55000000000000004</v>
      </c>
      <c r="DB134" s="47">
        <v>49</v>
      </c>
      <c r="DC134" s="47" t="s">
        <v>874</v>
      </c>
      <c r="DD134" s="47">
        <v>11</v>
      </c>
      <c r="DE134" s="47" t="s">
        <v>874</v>
      </c>
      <c r="DF134" s="670">
        <v>0.26</v>
      </c>
      <c r="DG134" s="670">
        <v>0.45</v>
      </c>
      <c r="DH134" s="670">
        <v>0.28000000000000003</v>
      </c>
      <c r="DI134" s="670">
        <v>0</v>
      </c>
      <c r="DJ134" s="670">
        <v>0.5</v>
      </c>
      <c r="DK134" s="670">
        <v>0.47</v>
      </c>
      <c r="DL134" s="670">
        <v>0.45</v>
      </c>
      <c r="DM134" s="670">
        <v>0.66</v>
      </c>
      <c r="DN134" s="670">
        <v>0.63</v>
      </c>
      <c r="DO134" s="670">
        <v>0.46</v>
      </c>
    </row>
    <row r="135" spans="1:119" ht="24.95" customHeight="1" x14ac:dyDescent="0.2">
      <c r="A135" s="814" t="s">
        <v>215</v>
      </c>
      <c r="B135" s="1" t="s">
        <v>221</v>
      </c>
      <c r="C135" s="2">
        <v>6</v>
      </c>
      <c r="D135" s="12">
        <v>30</v>
      </c>
      <c r="E135" s="12">
        <v>0</v>
      </c>
      <c r="F135" s="63">
        <v>1</v>
      </c>
      <c r="G135" s="63">
        <v>0</v>
      </c>
      <c r="H135" s="63">
        <v>0</v>
      </c>
      <c r="I135" s="63">
        <v>0</v>
      </c>
      <c r="J135" s="63">
        <v>0.67</v>
      </c>
      <c r="K135" s="63">
        <v>0.78</v>
      </c>
      <c r="L135" s="63">
        <v>0.5</v>
      </c>
      <c r="M135" s="63">
        <v>1</v>
      </c>
      <c r="N135" s="63">
        <v>0.78</v>
      </c>
      <c r="O135" s="63">
        <v>0.67</v>
      </c>
      <c r="P135" s="12" t="s">
        <v>226</v>
      </c>
      <c r="Q135" s="12" t="s">
        <v>226</v>
      </c>
      <c r="R135" s="61"/>
      <c r="S135" s="61"/>
      <c r="T135" s="61"/>
      <c r="U135" s="61"/>
      <c r="V135" s="61"/>
      <c r="W135" s="61"/>
      <c r="X135" s="61"/>
      <c r="Y135" s="61"/>
      <c r="Z135" s="61"/>
      <c r="AA135" s="61"/>
      <c r="AB135" s="12" t="s">
        <v>224</v>
      </c>
      <c r="AC135" s="12" t="s">
        <v>224</v>
      </c>
      <c r="AD135" s="2"/>
      <c r="AE135" s="2"/>
      <c r="AF135" s="2"/>
      <c r="AG135" s="2"/>
      <c r="AH135" s="2"/>
      <c r="AI135" s="2"/>
      <c r="AJ135" s="2"/>
      <c r="AK135" s="2"/>
      <c r="AL135" s="2"/>
      <c r="AM135" s="2"/>
      <c r="AN135" s="12" t="s">
        <v>224</v>
      </c>
      <c r="AO135" s="12" t="s">
        <v>224</v>
      </c>
      <c r="AP135" s="2"/>
      <c r="AQ135" s="2"/>
      <c r="AR135" s="2"/>
      <c r="AS135" s="2"/>
      <c r="AT135" s="2"/>
      <c r="AU135" s="2"/>
      <c r="AV135" s="2"/>
      <c r="AW135" s="2"/>
      <c r="AX135" s="2"/>
      <c r="AY135" s="2"/>
      <c r="AZ135" s="35"/>
      <c r="BA135" s="35"/>
      <c r="BB135" s="40"/>
      <c r="BC135" s="40"/>
      <c r="BD135" s="40"/>
      <c r="BE135" s="40"/>
      <c r="BF135" s="40"/>
      <c r="BG135" s="40"/>
      <c r="BH135" s="40"/>
      <c r="BI135" s="40"/>
      <c r="BJ135" s="40"/>
      <c r="BK135" s="40"/>
      <c r="BL135" s="247">
        <v>55</v>
      </c>
      <c r="BM135" s="247" t="s">
        <v>874</v>
      </c>
      <c r="BN135" s="247">
        <v>0</v>
      </c>
      <c r="BO135" s="247" t="s">
        <v>876</v>
      </c>
      <c r="BP135" s="264">
        <v>0</v>
      </c>
      <c r="BQ135" s="264">
        <v>1</v>
      </c>
      <c r="BR135" s="264">
        <v>0</v>
      </c>
      <c r="BS135" s="264">
        <v>0</v>
      </c>
      <c r="BT135" s="264">
        <v>0</v>
      </c>
      <c r="BU135" s="264">
        <v>0.33</v>
      </c>
      <c r="BV135" s="264">
        <v>0</v>
      </c>
      <c r="BW135" s="264">
        <v>0.36</v>
      </c>
      <c r="BX135" s="264">
        <v>0.56000000000000005</v>
      </c>
      <c r="BY135" s="264">
        <v>0.6</v>
      </c>
      <c r="BZ135" s="655"/>
      <c r="CA135" s="655"/>
      <c r="CB135" s="655"/>
      <c r="CC135" s="655"/>
      <c r="CD135" s="655"/>
      <c r="CE135" s="655"/>
      <c r="CF135" s="655"/>
      <c r="CG135" s="655"/>
      <c r="CH135" s="655"/>
      <c r="CI135" s="655"/>
      <c r="CJ135" s="655"/>
      <c r="CK135" s="655"/>
      <c r="CL135" s="655"/>
      <c r="CM135" s="655"/>
      <c r="CN135" s="657"/>
      <c r="CO135" s="657"/>
      <c r="CP135" s="657"/>
      <c r="CQ135" s="657"/>
      <c r="CR135" s="657"/>
      <c r="CS135" s="657"/>
      <c r="CT135" s="657"/>
      <c r="CU135" s="657"/>
      <c r="CV135" s="657"/>
      <c r="CW135" s="657"/>
      <c r="CX135" s="657"/>
      <c r="CY135" s="657"/>
      <c r="CZ135" s="666"/>
      <c r="DA135" s="666"/>
      <c r="DB135" s="668"/>
      <c r="DC135" s="668"/>
      <c r="DD135" s="668"/>
      <c r="DE135" s="668"/>
      <c r="DF135" s="668"/>
      <c r="DG135" s="668"/>
      <c r="DH135" s="668"/>
      <c r="DI135" s="668"/>
      <c r="DJ135" s="668"/>
      <c r="DK135" s="668"/>
      <c r="DL135" s="668"/>
      <c r="DM135" s="668"/>
      <c r="DN135" s="668"/>
      <c r="DO135" s="668"/>
    </row>
    <row r="136" spans="1:119" ht="24.95" customHeight="1" x14ac:dyDescent="0.2">
      <c r="A136" s="814" t="s">
        <v>120</v>
      </c>
      <c r="B136" s="1" t="s">
        <v>221</v>
      </c>
      <c r="C136" s="2">
        <v>4</v>
      </c>
      <c r="D136" s="12">
        <v>55</v>
      </c>
      <c r="E136" s="12">
        <v>8</v>
      </c>
      <c r="F136" s="63">
        <v>0.06</v>
      </c>
      <c r="G136" s="63">
        <v>0.5</v>
      </c>
      <c r="H136" s="63">
        <v>0.44</v>
      </c>
      <c r="I136" s="63">
        <v>0</v>
      </c>
      <c r="J136" s="63">
        <v>0.44</v>
      </c>
      <c r="K136" s="63">
        <v>0.45</v>
      </c>
      <c r="L136" s="63">
        <v>0.46</v>
      </c>
      <c r="M136" s="63">
        <v>0.39</v>
      </c>
      <c r="N136" s="63">
        <v>0.31</v>
      </c>
      <c r="O136" s="63">
        <v>0.41</v>
      </c>
      <c r="P136" s="12">
        <v>54</v>
      </c>
      <c r="Q136" s="12">
        <v>8</v>
      </c>
      <c r="R136" s="61">
        <v>0.05</v>
      </c>
      <c r="S136" s="61">
        <v>0.5</v>
      </c>
      <c r="T136" s="61">
        <v>0.45</v>
      </c>
      <c r="U136" s="61">
        <v>0</v>
      </c>
      <c r="V136" s="61">
        <v>0.38</v>
      </c>
      <c r="W136" s="61">
        <v>0.44</v>
      </c>
      <c r="X136" s="61">
        <v>0.47</v>
      </c>
      <c r="Y136" s="61">
        <v>0.44</v>
      </c>
      <c r="Z136" s="61">
        <v>0.39</v>
      </c>
      <c r="AA136" s="61">
        <v>0.36</v>
      </c>
      <c r="AB136" s="12">
        <v>57</v>
      </c>
      <c r="AC136" s="12">
        <v>6</v>
      </c>
      <c r="AD136" s="63">
        <v>0</v>
      </c>
      <c r="AE136" s="63">
        <v>0.36</v>
      </c>
      <c r="AF136" s="63">
        <v>0.64</v>
      </c>
      <c r="AG136" s="63">
        <v>0</v>
      </c>
      <c r="AH136" s="63">
        <v>0.32</v>
      </c>
      <c r="AI136" s="63">
        <v>0.32</v>
      </c>
      <c r="AJ136" s="63">
        <v>0.27</v>
      </c>
      <c r="AK136" s="63">
        <v>0.35</v>
      </c>
      <c r="AL136" s="63">
        <v>0.47</v>
      </c>
      <c r="AM136" s="63">
        <v>0.45</v>
      </c>
      <c r="AN136" s="12">
        <v>53</v>
      </c>
      <c r="AO136" s="12">
        <v>10</v>
      </c>
      <c r="AP136" s="63">
        <v>0.15</v>
      </c>
      <c r="AQ136" s="63">
        <v>0.38</v>
      </c>
      <c r="AR136" s="63">
        <v>0.46</v>
      </c>
      <c r="AS136" s="63">
        <v>0</v>
      </c>
      <c r="AT136" s="63">
        <v>0.52</v>
      </c>
      <c r="AU136" s="63">
        <v>0.41</v>
      </c>
      <c r="AV136" s="63">
        <v>0.38</v>
      </c>
      <c r="AW136" s="63">
        <v>0.35</v>
      </c>
      <c r="AX136" s="63">
        <v>0.46</v>
      </c>
      <c r="AY136" s="63">
        <v>0.39</v>
      </c>
      <c r="AZ136" s="35">
        <v>52</v>
      </c>
      <c r="BA136" s="35">
        <v>10</v>
      </c>
      <c r="BB136" s="40">
        <v>0.17</v>
      </c>
      <c r="BC136" s="40">
        <v>0.33</v>
      </c>
      <c r="BD136" s="40">
        <v>0.5</v>
      </c>
      <c r="BE136" s="40">
        <v>0</v>
      </c>
      <c r="BF136" s="40">
        <v>0.42</v>
      </c>
      <c r="BG136" s="40">
        <v>0.43</v>
      </c>
      <c r="BH136" s="40">
        <v>0.37</v>
      </c>
      <c r="BI136" s="40">
        <v>0.56000000000000005</v>
      </c>
      <c r="BJ136" s="40">
        <v>0.46</v>
      </c>
      <c r="BK136" s="40">
        <v>0.4</v>
      </c>
      <c r="BL136" s="247">
        <v>48</v>
      </c>
      <c r="BM136" s="247" t="s">
        <v>874</v>
      </c>
      <c r="BN136" s="247">
        <v>11</v>
      </c>
      <c r="BO136" s="247" t="s">
        <v>874</v>
      </c>
      <c r="BP136" s="264">
        <v>0.23</v>
      </c>
      <c r="BQ136" s="264">
        <v>0.5</v>
      </c>
      <c r="BR136" s="264">
        <v>0.27</v>
      </c>
      <c r="BS136" s="264">
        <v>0</v>
      </c>
      <c r="BT136" s="264">
        <v>0.4</v>
      </c>
      <c r="BU136" s="264">
        <v>0.56000000000000005</v>
      </c>
      <c r="BV136" s="264">
        <v>0.56000000000000005</v>
      </c>
      <c r="BW136" s="264">
        <v>0.39</v>
      </c>
      <c r="BX136" s="264">
        <v>0.47</v>
      </c>
      <c r="BY136" s="264">
        <v>0.5</v>
      </c>
      <c r="BZ136" s="74">
        <v>57</v>
      </c>
      <c r="CA136" s="74" t="s">
        <v>874</v>
      </c>
      <c r="CB136" s="74">
        <v>10</v>
      </c>
      <c r="CC136" s="74" t="s">
        <v>874</v>
      </c>
      <c r="CD136" s="96">
        <v>0.06</v>
      </c>
      <c r="CE136" s="96">
        <v>0.35</v>
      </c>
      <c r="CF136" s="96">
        <v>0.53</v>
      </c>
      <c r="CG136" s="96">
        <v>0.06</v>
      </c>
      <c r="CH136" s="96">
        <v>0.24</v>
      </c>
      <c r="CI136" s="96">
        <v>0.35</v>
      </c>
      <c r="CJ136" s="96">
        <v>0.38</v>
      </c>
      <c r="CK136" s="96">
        <v>0.46</v>
      </c>
      <c r="CL136" s="96">
        <v>0.46</v>
      </c>
      <c r="CM136" s="96">
        <v>0.45</v>
      </c>
      <c r="CN136" s="658">
        <v>47</v>
      </c>
      <c r="CO136" s="658" t="s">
        <v>874</v>
      </c>
      <c r="CP136" s="658">
        <v>10</v>
      </c>
      <c r="CQ136" s="658" t="s">
        <v>874</v>
      </c>
      <c r="CR136" s="659">
        <v>0.27</v>
      </c>
      <c r="CS136" s="659">
        <v>0.45</v>
      </c>
      <c r="CT136" s="659">
        <v>0.27</v>
      </c>
      <c r="CU136" s="659">
        <v>0</v>
      </c>
      <c r="CV136" s="659">
        <v>0.37</v>
      </c>
      <c r="CW136" s="659">
        <v>0.66</v>
      </c>
      <c r="CX136" s="659">
        <v>0.56999999999999995</v>
      </c>
      <c r="CY136" s="659">
        <v>0.6</v>
      </c>
      <c r="CZ136" s="667">
        <v>0.66</v>
      </c>
      <c r="DA136" s="667">
        <v>0.71</v>
      </c>
      <c r="DB136" s="47">
        <v>57</v>
      </c>
      <c r="DC136" s="47" t="s">
        <v>874</v>
      </c>
      <c r="DD136" s="47">
        <v>10</v>
      </c>
      <c r="DE136" s="47" t="s">
        <v>874</v>
      </c>
      <c r="DF136" s="670">
        <v>0.09</v>
      </c>
      <c r="DG136" s="670">
        <v>0.3</v>
      </c>
      <c r="DH136" s="670">
        <v>0.55000000000000004</v>
      </c>
      <c r="DI136" s="670">
        <v>0.06</v>
      </c>
      <c r="DJ136" s="670">
        <v>0.43</v>
      </c>
      <c r="DK136" s="670">
        <v>0.39</v>
      </c>
      <c r="DL136" s="670">
        <v>0.35</v>
      </c>
      <c r="DM136" s="670">
        <v>0.43</v>
      </c>
      <c r="DN136" s="670">
        <v>0.38</v>
      </c>
      <c r="DO136" s="670">
        <v>0.13</v>
      </c>
    </row>
    <row r="137" spans="1:119" ht="24.95" customHeight="1" x14ac:dyDescent="0.2">
      <c r="A137" s="814" t="s">
        <v>52</v>
      </c>
      <c r="B137" s="1" t="s">
        <v>221</v>
      </c>
      <c r="C137" s="2">
        <v>6</v>
      </c>
      <c r="D137" s="12">
        <v>54</v>
      </c>
      <c r="E137" s="12">
        <v>9</v>
      </c>
      <c r="F137" s="63">
        <v>0.09</v>
      </c>
      <c r="G137" s="63">
        <v>0.52</v>
      </c>
      <c r="H137" s="63">
        <v>0.36</v>
      </c>
      <c r="I137" s="63">
        <v>0.03</v>
      </c>
      <c r="J137" s="63">
        <v>0.47</v>
      </c>
      <c r="K137" s="63">
        <v>0.48</v>
      </c>
      <c r="L137" s="63">
        <v>0.59</v>
      </c>
      <c r="M137" s="63">
        <v>0.41</v>
      </c>
      <c r="N137" s="63">
        <v>0.4</v>
      </c>
      <c r="O137" s="63">
        <v>0.48</v>
      </c>
      <c r="P137" s="12">
        <v>53</v>
      </c>
      <c r="Q137" s="12">
        <v>9</v>
      </c>
      <c r="R137" s="61">
        <v>0.11</v>
      </c>
      <c r="S137" s="61">
        <v>0.45</v>
      </c>
      <c r="T137" s="61">
        <v>0.45</v>
      </c>
      <c r="U137" s="61">
        <v>0</v>
      </c>
      <c r="V137" s="61">
        <v>0.38</v>
      </c>
      <c r="W137" s="61">
        <v>0.43</v>
      </c>
      <c r="X137" s="61">
        <v>0.54</v>
      </c>
      <c r="Y137" s="61">
        <v>0.42</v>
      </c>
      <c r="Z137" s="61">
        <v>0.41</v>
      </c>
      <c r="AA137" s="61">
        <v>0.49</v>
      </c>
      <c r="AB137" s="12">
        <v>51</v>
      </c>
      <c r="AC137" s="12">
        <v>10</v>
      </c>
      <c r="AD137" s="63">
        <v>0.16</v>
      </c>
      <c r="AE137" s="63">
        <v>0.51</v>
      </c>
      <c r="AF137" s="63">
        <v>0.31</v>
      </c>
      <c r="AG137" s="63">
        <v>0.02</v>
      </c>
      <c r="AH137" s="63">
        <v>0.45</v>
      </c>
      <c r="AI137" s="63">
        <v>0.4</v>
      </c>
      <c r="AJ137" s="63">
        <v>0.4</v>
      </c>
      <c r="AK137" s="63">
        <v>0.47</v>
      </c>
      <c r="AL137" s="63">
        <v>0.55000000000000004</v>
      </c>
      <c r="AM137" s="63">
        <v>0.53</v>
      </c>
      <c r="AN137" s="12">
        <v>50</v>
      </c>
      <c r="AO137" s="12">
        <v>13</v>
      </c>
      <c r="AP137" s="63">
        <v>0.27</v>
      </c>
      <c r="AQ137" s="63">
        <v>0.35</v>
      </c>
      <c r="AR137" s="63">
        <v>0.36</v>
      </c>
      <c r="AS137" s="63">
        <v>0.02</v>
      </c>
      <c r="AT137" s="63">
        <v>0.56000000000000005</v>
      </c>
      <c r="AU137" s="63">
        <v>0.43</v>
      </c>
      <c r="AV137" s="63">
        <v>0.41</v>
      </c>
      <c r="AW137" s="63">
        <v>0.45</v>
      </c>
      <c r="AX137" s="63">
        <v>0.46</v>
      </c>
      <c r="AY137" s="63">
        <v>0.48</v>
      </c>
      <c r="AZ137" s="35">
        <v>52</v>
      </c>
      <c r="BA137" s="35">
        <v>10</v>
      </c>
      <c r="BB137" s="40">
        <v>0.12</v>
      </c>
      <c r="BC137" s="40">
        <v>0.49</v>
      </c>
      <c r="BD137" s="40">
        <v>0.39</v>
      </c>
      <c r="BE137" s="40">
        <v>0</v>
      </c>
      <c r="BF137" s="40">
        <v>0.48</v>
      </c>
      <c r="BG137" s="40">
        <v>0.46</v>
      </c>
      <c r="BH137" s="40">
        <v>0.43</v>
      </c>
      <c r="BI137" s="40">
        <v>0.55000000000000004</v>
      </c>
      <c r="BJ137" s="40">
        <v>0.38</v>
      </c>
      <c r="BK137" s="40">
        <v>0.34</v>
      </c>
      <c r="BL137" s="247">
        <v>49</v>
      </c>
      <c r="BM137" s="247" t="s">
        <v>874</v>
      </c>
      <c r="BN137" s="247">
        <v>11</v>
      </c>
      <c r="BO137" s="247" t="s">
        <v>874</v>
      </c>
      <c r="BP137" s="264">
        <v>0.25</v>
      </c>
      <c r="BQ137" s="264">
        <v>0.38</v>
      </c>
      <c r="BR137" s="264">
        <v>0.38</v>
      </c>
      <c r="BS137" s="264">
        <v>0</v>
      </c>
      <c r="BT137" s="264">
        <v>0.51</v>
      </c>
      <c r="BU137" s="264">
        <v>0.43</v>
      </c>
      <c r="BV137" s="264">
        <v>0.5</v>
      </c>
      <c r="BW137" s="264">
        <v>0.41</v>
      </c>
      <c r="BX137" s="264">
        <v>0.51</v>
      </c>
      <c r="BY137" s="264">
        <v>0.53</v>
      </c>
      <c r="BZ137" s="311">
        <v>54</v>
      </c>
      <c r="CA137" s="311" t="s">
        <v>874</v>
      </c>
      <c r="CB137" s="311">
        <v>10</v>
      </c>
      <c r="CC137" s="311" t="s">
        <v>874</v>
      </c>
      <c r="CD137" s="329">
        <v>0.11</v>
      </c>
      <c r="CE137" s="329">
        <v>0.45</v>
      </c>
      <c r="CF137" s="329">
        <v>0.39</v>
      </c>
      <c r="CG137" s="329">
        <v>0.05</v>
      </c>
      <c r="CH137" s="329">
        <v>0.49</v>
      </c>
      <c r="CI137" s="329">
        <v>0.28000000000000003</v>
      </c>
      <c r="CJ137" s="329">
        <v>0.51</v>
      </c>
      <c r="CK137" s="329">
        <v>0.53</v>
      </c>
      <c r="CL137" s="329">
        <v>0.42</v>
      </c>
      <c r="CM137" s="329">
        <v>0.6</v>
      </c>
      <c r="CN137" s="426">
        <v>52</v>
      </c>
      <c r="CO137" s="426" t="s">
        <v>874</v>
      </c>
      <c r="CP137" s="426">
        <v>9</v>
      </c>
      <c r="CQ137" s="426" t="s">
        <v>874</v>
      </c>
      <c r="CR137" s="430">
        <v>0.05</v>
      </c>
      <c r="CS137" s="430">
        <v>0.56000000000000005</v>
      </c>
      <c r="CT137" s="430">
        <v>0.37</v>
      </c>
      <c r="CU137" s="430">
        <v>0.02</v>
      </c>
      <c r="CV137" s="430">
        <v>0.32</v>
      </c>
      <c r="CW137" s="430">
        <v>0.52</v>
      </c>
      <c r="CX137" s="430">
        <v>0.55000000000000004</v>
      </c>
      <c r="CY137" s="430">
        <v>0.8</v>
      </c>
      <c r="CZ137" s="527">
        <v>0.52</v>
      </c>
      <c r="DA137" s="527">
        <v>0.42</v>
      </c>
      <c r="DB137" s="528">
        <v>54</v>
      </c>
      <c r="DC137" s="528" t="s">
        <v>874</v>
      </c>
      <c r="DD137" s="528">
        <v>11</v>
      </c>
      <c r="DE137" s="528" t="s">
        <v>874</v>
      </c>
      <c r="DF137" s="529">
        <v>0.09</v>
      </c>
      <c r="DG137" s="529">
        <v>0.47</v>
      </c>
      <c r="DH137" s="529">
        <v>0.34</v>
      </c>
      <c r="DI137" s="529">
        <v>0.1</v>
      </c>
      <c r="DJ137" s="529">
        <v>0.43</v>
      </c>
      <c r="DK137" s="529">
        <v>0.38</v>
      </c>
      <c r="DL137" s="529">
        <v>0.36</v>
      </c>
      <c r="DM137" s="529">
        <v>0.56999999999999995</v>
      </c>
      <c r="DN137" s="529">
        <v>0.48</v>
      </c>
      <c r="DO137" s="529">
        <v>0.25</v>
      </c>
    </row>
    <row r="138" spans="1:119" ht="24.95" customHeight="1" x14ac:dyDescent="0.2">
      <c r="A138" s="814" t="s">
        <v>40</v>
      </c>
      <c r="B138" s="1" t="s">
        <v>221</v>
      </c>
      <c r="C138" s="2">
        <v>2</v>
      </c>
      <c r="D138" s="12">
        <v>50</v>
      </c>
      <c r="E138" s="12">
        <v>8</v>
      </c>
      <c r="F138" s="63">
        <v>0.18</v>
      </c>
      <c r="G138" s="63">
        <v>0.54</v>
      </c>
      <c r="H138" s="63">
        <v>0.28000000000000003</v>
      </c>
      <c r="I138" s="63">
        <v>0</v>
      </c>
      <c r="J138" s="63">
        <v>0.57999999999999996</v>
      </c>
      <c r="K138" s="63">
        <v>0.53</v>
      </c>
      <c r="L138" s="63">
        <v>0.64</v>
      </c>
      <c r="M138" s="63">
        <v>0.4</v>
      </c>
      <c r="N138" s="63">
        <v>0.47</v>
      </c>
      <c r="O138" s="63">
        <v>0.49</v>
      </c>
      <c r="P138" s="12">
        <v>51</v>
      </c>
      <c r="Q138" s="12">
        <v>9</v>
      </c>
      <c r="R138" s="61">
        <v>0.14000000000000001</v>
      </c>
      <c r="S138" s="61">
        <v>0.56000000000000005</v>
      </c>
      <c r="T138" s="61">
        <v>0.28000000000000003</v>
      </c>
      <c r="U138" s="61">
        <v>0.02</v>
      </c>
      <c r="V138" s="61">
        <v>0.41</v>
      </c>
      <c r="W138" s="61">
        <v>0.47</v>
      </c>
      <c r="X138" s="61">
        <v>0.57999999999999996</v>
      </c>
      <c r="Y138" s="61">
        <v>0.46</v>
      </c>
      <c r="Z138" s="61">
        <v>0.48</v>
      </c>
      <c r="AA138" s="61">
        <v>0.52</v>
      </c>
      <c r="AB138" s="12">
        <v>47</v>
      </c>
      <c r="AC138" s="12">
        <v>10</v>
      </c>
      <c r="AD138" s="63">
        <v>0.26</v>
      </c>
      <c r="AE138" s="63">
        <v>0.51</v>
      </c>
      <c r="AF138" s="63">
        <v>0.23</v>
      </c>
      <c r="AG138" s="63">
        <v>0</v>
      </c>
      <c r="AH138" s="63">
        <v>0.48</v>
      </c>
      <c r="AI138" s="63">
        <v>0.47</v>
      </c>
      <c r="AJ138" s="63">
        <v>0.49</v>
      </c>
      <c r="AK138" s="63">
        <v>0.53</v>
      </c>
      <c r="AL138" s="63">
        <v>0.55000000000000004</v>
      </c>
      <c r="AM138" s="63">
        <v>0.55000000000000004</v>
      </c>
      <c r="AN138" s="12">
        <v>47</v>
      </c>
      <c r="AO138" s="12">
        <v>11</v>
      </c>
      <c r="AP138" s="63">
        <v>0.33</v>
      </c>
      <c r="AQ138" s="63">
        <v>0.39</v>
      </c>
      <c r="AR138" s="63">
        <v>0.28000000000000003</v>
      </c>
      <c r="AS138" s="63">
        <v>0</v>
      </c>
      <c r="AT138" s="63">
        <v>0.53</v>
      </c>
      <c r="AU138" s="63">
        <v>0.48</v>
      </c>
      <c r="AV138" s="63">
        <v>0.5</v>
      </c>
      <c r="AW138" s="63">
        <v>0.49</v>
      </c>
      <c r="AX138" s="63">
        <v>0.52</v>
      </c>
      <c r="AY138" s="63">
        <v>0.51</v>
      </c>
      <c r="AZ138" s="35">
        <v>49</v>
      </c>
      <c r="BA138" s="35">
        <v>11</v>
      </c>
      <c r="BB138" s="40">
        <v>0.28999999999999998</v>
      </c>
      <c r="BC138" s="40">
        <v>0.41</v>
      </c>
      <c r="BD138" s="40">
        <v>0.28999999999999998</v>
      </c>
      <c r="BE138" s="40">
        <v>0.02</v>
      </c>
      <c r="BF138" s="40">
        <v>0.51</v>
      </c>
      <c r="BG138" s="40">
        <v>0.52</v>
      </c>
      <c r="BH138" s="40">
        <v>0.49</v>
      </c>
      <c r="BI138" s="40">
        <v>0.61</v>
      </c>
      <c r="BJ138" s="40">
        <v>0.44</v>
      </c>
      <c r="BK138" s="40">
        <v>0.42</v>
      </c>
      <c r="BL138" s="247">
        <v>49</v>
      </c>
      <c r="BM138" s="247" t="s">
        <v>874</v>
      </c>
      <c r="BN138" s="247">
        <v>11</v>
      </c>
      <c r="BO138" s="247" t="s">
        <v>874</v>
      </c>
      <c r="BP138" s="264">
        <v>0.28999999999999998</v>
      </c>
      <c r="BQ138" s="264">
        <v>0.47</v>
      </c>
      <c r="BR138" s="264">
        <v>0.24</v>
      </c>
      <c r="BS138" s="264">
        <v>0</v>
      </c>
      <c r="BT138" s="264">
        <v>0.5</v>
      </c>
      <c r="BU138" s="264">
        <v>0.42</v>
      </c>
      <c r="BV138" s="264">
        <v>0.62</v>
      </c>
      <c r="BW138" s="264">
        <v>0.44</v>
      </c>
      <c r="BX138" s="264">
        <v>0.47</v>
      </c>
      <c r="BY138" s="264">
        <v>0.56000000000000005</v>
      </c>
      <c r="BZ138" s="311">
        <v>47</v>
      </c>
      <c r="CA138" s="311" t="s">
        <v>874</v>
      </c>
      <c r="CB138" s="311">
        <v>10</v>
      </c>
      <c r="CC138" s="311" t="s">
        <v>874</v>
      </c>
      <c r="CD138" s="329">
        <v>0.31</v>
      </c>
      <c r="CE138" s="329">
        <v>0.46</v>
      </c>
      <c r="CF138" s="329">
        <v>0.24</v>
      </c>
      <c r="CG138" s="329">
        <v>0</v>
      </c>
      <c r="CH138" s="329">
        <v>0.53</v>
      </c>
      <c r="CI138" s="329">
        <v>0.39</v>
      </c>
      <c r="CJ138" s="329">
        <v>0.59</v>
      </c>
      <c r="CK138" s="329">
        <v>0.54</v>
      </c>
      <c r="CL138" s="329">
        <v>0.49</v>
      </c>
      <c r="CM138" s="329">
        <v>0.6</v>
      </c>
      <c r="CN138" s="426">
        <v>49</v>
      </c>
      <c r="CO138" s="426" t="s">
        <v>874</v>
      </c>
      <c r="CP138" s="426">
        <v>11</v>
      </c>
      <c r="CQ138" s="426" t="s">
        <v>874</v>
      </c>
      <c r="CR138" s="430">
        <v>0.16</v>
      </c>
      <c r="CS138" s="430">
        <v>0.54</v>
      </c>
      <c r="CT138" s="430">
        <v>0.3</v>
      </c>
      <c r="CU138" s="430">
        <v>0</v>
      </c>
      <c r="CV138" s="430">
        <v>0.39</v>
      </c>
      <c r="CW138" s="430">
        <v>0.59</v>
      </c>
      <c r="CX138" s="430">
        <v>0.59</v>
      </c>
      <c r="CY138" s="430">
        <v>0.66</v>
      </c>
      <c r="CZ138" s="527">
        <v>0.55000000000000004</v>
      </c>
      <c r="DA138" s="527">
        <v>0.47</v>
      </c>
      <c r="DB138" s="528">
        <v>53</v>
      </c>
      <c r="DC138" s="528" t="s">
        <v>874</v>
      </c>
      <c r="DD138" s="528">
        <v>10</v>
      </c>
      <c r="DE138" s="528" t="s">
        <v>874</v>
      </c>
      <c r="DF138" s="529">
        <v>0.09</v>
      </c>
      <c r="DG138" s="529">
        <v>0.38</v>
      </c>
      <c r="DH138" s="529">
        <v>0.47</v>
      </c>
      <c r="DI138" s="529">
        <v>0.06</v>
      </c>
      <c r="DJ138" s="529">
        <v>0.47</v>
      </c>
      <c r="DK138" s="529">
        <v>0.3</v>
      </c>
      <c r="DL138" s="529">
        <v>0.41</v>
      </c>
      <c r="DM138" s="529">
        <v>0.6</v>
      </c>
      <c r="DN138" s="529">
        <v>0.46</v>
      </c>
      <c r="DO138" s="529">
        <v>0.38</v>
      </c>
    </row>
    <row r="139" spans="1:119" ht="24.95" customHeight="1" x14ac:dyDescent="0.2">
      <c r="A139" s="814" t="s">
        <v>227</v>
      </c>
      <c r="B139" s="1" t="s">
        <v>221</v>
      </c>
      <c r="C139" s="2">
        <v>2</v>
      </c>
      <c r="D139" s="12"/>
      <c r="E139" s="12"/>
      <c r="F139" s="12"/>
      <c r="G139" s="12"/>
      <c r="H139" s="12"/>
      <c r="I139" s="12"/>
      <c r="J139" s="12"/>
      <c r="K139" s="12"/>
      <c r="L139" s="12"/>
      <c r="M139" s="12"/>
      <c r="N139" s="12"/>
      <c r="O139" s="12"/>
      <c r="P139" s="12">
        <v>44</v>
      </c>
      <c r="Q139" s="12">
        <v>11</v>
      </c>
      <c r="R139" s="61">
        <v>0.5</v>
      </c>
      <c r="S139" s="61">
        <v>0.33</v>
      </c>
      <c r="T139" s="61">
        <v>0.17</v>
      </c>
      <c r="U139" s="61">
        <v>0</v>
      </c>
      <c r="V139" s="61">
        <v>0.59</v>
      </c>
      <c r="W139" s="61">
        <v>0.56000000000000005</v>
      </c>
      <c r="X139" s="61">
        <v>0.6</v>
      </c>
      <c r="Y139" s="61">
        <v>0.59</v>
      </c>
      <c r="Z139" s="61">
        <v>0.51</v>
      </c>
      <c r="AA139" s="61">
        <v>0.56000000000000005</v>
      </c>
      <c r="AB139" s="12" t="s">
        <v>224</v>
      </c>
      <c r="AC139" s="12" t="s">
        <v>224</v>
      </c>
      <c r="AD139" s="2"/>
      <c r="AE139" s="2"/>
      <c r="AF139" s="2"/>
      <c r="AG139" s="2"/>
      <c r="AH139" s="2"/>
      <c r="AI139" s="2"/>
      <c r="AJ139" s="2"/>
      <c r="AK139" s="2"/>
      <c r="AL139" s="2"/>
      <c r="AM139" s="2"/>
      <c r="AN139" s="12" t="s">
        <v>224</v>
      </c>
      <c r="AO139" s="12" t="s">
        <v>224</v>
      </c>
      <c r="AP139" s="2"/>
      <c r="AQ139" s="2"/>
      <c r="AR139" s="2"/>
      <c r="AS139" s="2"/>
      <c r="AT139" s="2"/>
      <c r="AU139" s="2"/>
      <c r="AV139" s="2"/>
      <c r="AW139" s="2"/>
      <c r="AX139" s="2"/>
      <c r="AY139" s="2"/>
      <c r="AZ139" s="35"/>
      <c r="BA139" s="35"/>
      <c r="BB139" s="40"/>
      <c r="BC139" s="40"/>
      <c r="BD139" s="40"/>
      <c r="BE139" s="40"/>
      <c r="BF139" s="40"/>
      <c r="BG139" s="40"/>
      <c r="BH139" s="40"/>
      <c r="BI139" s="40"/>
      <c r="BJ139" s="40"/>
      <c r="BK139" s="40"/>
      <c r="BL139" s="652"/>
      <c r="BM139" s="652"/>
      <c r="BN139" s="652"/>
      <c r="BO139" s="652"/>
      <c r="BP139" s="652"/>
      <c r="BQ139" s="652"/>
      <c r="BR139" s="652"/>
      <c r="BS139" s="652"/>
      <c r="BT139" s="652"/>
      <c r="BU139" s="652"/>
      <c r="BV139" s="652"/>
      <c r="BW139" s="652"/>
      <c r="BX139" s="652"/>
      <c r="BY139" s="652"/>
      <c r="BZ139" s="311">
        <v>52</v>
      </c>
      <c r="CA139" s="311" t="s">
        <v>874</v>
      </c>
      <c r="CB139" s="311">
        <v>0</v>
      </c>
      <c r="CC139" s="311" t="s">
        <v>876</v>
      </c>
      <c r="CD139" s="329">
        <v>0</v>
      </c>
      <c r="CE139" s="329">
        <v>1</v>
      </c>
      <c r="CF139" s="329">
        <v>0</v>
      </c>
      <c r="CG139" s="329">
        <v>0</v>
      </c>
      <c r="CH139" s="311" t="s">
        <v>283</v>
      </c>
      <c r="CI139" s="329">
        <v>0</v>
      </c>
      <c r="CJ139" s="329">
        <v>0.75</v>
      </c>
      <c r="CK139" s="329">
        <v>0.33</v>
      </c>
      <c r="CL139" s="329">
        <v>0.75</v>
      </c>
      <c r="CM139" s="329">
        <v>0.4</v>
      </c>
      <c r="CN139" s="426">
        <v>41</v>
      </c>
      <c r="CO139" s="426" t="s">
        <v>876</v>
      </c>
      <c r="CP139" s="426">
        <v>8</v>
      </c>
      <c r="CQ139" s="426" t="s">
        <v>874</v>
      </c>
      <c r="CR139" s="430">
        <v>0.62</v>
      </c>
      <c r="CS139" s="430">
        <v>0.31</v>
      </c>
      <c r="CT139" s="430">
        <v>0.08</v>
      </c>
      <c r="CU139" s="430">
        <v>0</v>
      </c>
      <c r="CV139" s="430">
        <v>0.55000000000000004</v>
      </c>
      <c r="CW139" s="430">
        <v>0.76</v>
      </c>
      <c r="CX139" s="430">
        <v>0.7</v>
      </c>
      <c r="CY139" s="430">
        <v>1</v>
      </c>
      <c r="CZ139" s="527">
        <v>0.66</v>
      </c>
      <c r="DA139" s="527">
        <v>0.75</v>
      </c>
      <c r="DB139" s="619"/>
      <c r="DC139" s="619"/>
      <c r="DD139" s="619"/>
      <c r="DE139" s="619"/>
      <c r="DF139" s="664"/>
      <c r="DG139" s="664"/>
      <c r="DH139" s="664"/>
      <c r="DI139" s="664"/>
      <c r="DJ139" s="664"/>
      <c r="DK139" s="664"/>
      <c r="DL139" s="664"/>
      <c r="DM139" s="664"/>
      <c r="DN139" s="664"/>
      <c r="DO139" s="664"/>
    </row>
    <row r="140" spans="1:119" ht="24.95" customHeight="1" x14ac:dyDescent="0.2">
      <c r="A140" s="814" t="s">
        <v>936</v>
      </c>
      <c r="B140" s="1" t="s">
        <v>221</v>
      </c>
      <c r="C140" s="2">
        <v>4</v>
      </c>
      <c r="D140" s="12"/>
      <c r="E140" s="12"/>
      <c r="F140" s="12"/>
      <c r="G140" s="12"/>
      <c r="H140" s="12"/>
      <c r="I140" s="12"/>
      <c r="J140" s="12"/>
      <c r="K140" s="12"/>
      <c r="L140" s="12"/>
      <c r="M140" s="12"/>
      <c r="N140" s="12"/>
      <c r="O140" s="12"/>
      <c r="P140" s="12"/>
      <c r="Q140" s="12"/>
      <c r="R140" s="61"/>
      <c r="S140" s="61"/>
      <c r="T140" s="61"/>
      <c r="U140" s="61"/>
      <c r="V140" s="61"/>
      <c r="W140" s="61"/>
      <c r="X140" s="61"/>
      <c r="Y140" s="61"/>
      <c r="Z140" s="61"/>
      <c r="AA140" s="61"/>
      <c r="AB140" s="12"/>
      <c r="AC140" s="12"/>
      <c r="AD140" s="2"/>
      <c r="AE140" s="2"/>
      <c r="AF140" s="2"/>
      <c r="AG140" s="2"/>
      <c r="AH140" s="2"/>
      <c r="AI140" s="2"/>
      <c r="AJ140" s="2"/>
      <c r="AK140" s="2"/>
      <c r="AL140" s="2"/>
      <c r="AM140" s="2"/>
      <c r="AN140" s="12"/>
      <c r="AO140" s="12"/>
      <c r="AP140" s="2"/>
      <c r="AQ140" s="2"/>
      <c r="AR140" s="2"/>
      <c r="AS140" s="2"/>
      <c r="AT140" s="2"/>
      <c r="AU140" s="2"/>
      <c r="AV140" s="2"/>
      <c r="AW140" s="2"/>
      <c r="AX140" s="2"/>
      <c r="AY140" s="2"/>
      <c r="AZ140" s="35"/>
      <c r="BA140" s="35"/>
      <c r="BB140" s="40"/>
      <c r="BC140" s="40"/>
      <c r="BD140" s="40"/>
      <c r="BE140" s="40"/>
      <c r="BF140" s="40"/>
      <c r="BG140" s="40"/>
      <c r="BH140" s="40"/>
      <c r="BI140" s="40"/>
      <c r="BJ140" s="40"/>
      <c r="BK140" s="40"/>
      <c r="BZ140" s="311">
        <v>43</v>
      </c>
      <c r="CA140" s="311" t="s">
        <v>874</v>
      </c>
      <c r="CB140" s="311">
        <v>10</v>
      </c>
      <c r="CC140" s="311" t="s">
        <v>874</v>
      </c>
      <c r="CD140" s="329">
        <v>0.53</v>
      </c>
      <c r="CE140" s="329">
        <v>0.4</v>
      </c>
      <c r="CF140" s="329">
        <v>7.0000000000000007E-2</v>
      </c>
      <c r="CG140" s="329">
        <v>0</v>
      </c>
      <c r="CH140" s="329">
        <v>0.57999999999999996</v>
      </c>
      <c r="CI140" s="329">
        <v>0.6</v>
      </c>
      <c r="CJ140" s="329">
        <v>0.56000000000000005</v>
      </c>
      <c r="CK140" s="329">
        <v>0.75</v>
      </c>
      <c r="CL140" s="329">
        <v>0.5</v>
      </c>
      <c r="CM140" s="329">
        <v>0.53</v>
      </c>
      <c r="CN140" s="426">
        <v>40</v>
      </c>
      <c r="CO140" s="426" t="s">
        <v>876</v>
      </c>
      <c r="CP140" s="426">
        <v>8</v>
      </c>
      <c r="CQ140" s="426" t="s">
        <v>874</v>
      </c>
      <c r="CR140" s="430">
        <v>0.54</v>
      </c>
      <c r="CS140" s="430">
        <v>0.46</v>
      </c>
      <c r="CT140" s="430">
        <v>0</v>
      </c>
      <c r="CU140" s="430">
        <v>0</v>
      </c>
      <c r="CV140" s="430">
        <v>0.45</v>
      </c>
      <c r="CW140" s="430">
        <v>0.72</v>
      </c>
      <c r="CX140" s="430">
        <v>0.73</v>
      </c>
      <c r="CY140" s="430">
        <v>0.8</v>
      </c>
      <c r="CZ140" s="527">
        <v>0.57999999999999996</v>
      </c>
      <c r="DA140" s="527">
        <v>0.71</v>
      </c>
      <c r="DB140" s="530"/>
      <c r="DC140" s="530"/>
      <c r="DD140" s="530"/>
      <c r="DE140" s="530"/>
      <c r="DF140" s="527"/>
      <c r="DG140" s="527"/>
      <c r="DH140" s="527"/>
      <c r="DI140" s="527"/>
      <c r="DJ140" s="527"/>
      <c r="DK140" s="527"/>
      <c r="DL140" s="527"/>
      <c r="DM140" s="527"/>
      <c r="DN140" s="527"/>
      <c r="DO140" s="527"/>
    </row>
    <row r="141" spans="1:119" ht="24.95" customHeight="1" x14ac:dyDescent="0.2">
      <c r="A141" s="815" t="s">
        <v>155</v>
      </c>
      <c r="B141" s="1" t="s">
        <v>221</v>
      </c>
      <c r="C141" s="311">
        <v>5</v>
      </c>
      <c r="D141" s="330">
        <v>52</v>
      </c>
      <c r="E141" s="330">
        <v>12</v>
      </c>
      <c r="F141" s="329">
        <v>0</v>
      </c>
      <c r="G141" s="329">
        <v>0.67</v>
      </c>
      <c r="H141" s="329">
        <v>0.33</v>
      </c>
      <c r="I141" s="329">
        <v>0</v>
      </c>
      <c r="J141" s="329">
        <v>0.52</v>
      </c>
      <c r="K141" s="329">
        <v>0.37</v>
      </c>
      <c r="L141" s="329">
        <v>0.67</v>
      </c>
      <c r="M141" s="329">
        <v>0.48</v>
      </c>
      <c r="N141" s="329">
        <v>0.48</v>
      </c>
      <c r="O141" s="329">
        <v>0.33</v>
      </c>
      <c r="P141" s="330">
        <v>52</v>
      </c>
      <c r="Q141" s="330">
        <v>12</v>
      </c>
      <c r="R141" s="332">
        <v>0.17</v>
      </c>
      <c r="S141" s="332">
        <v>0.57999999999999996</v>
      </c>
      <c r="T141" s="332">
        <v>0.08</v>
      </c>
      <c r="U141" s="332">
        <v>0.17</v>
      </c>
      <c r="V141" s="332">
        <v>0.43</v>
      </c>
      <c r="W141" s="332">
        <v>0.45</v>
      </c>
      <c r="X141" s="332">
        <v>0.48</v>
      </c>
      <c r="Y141" s="332">
        <v>0.4</v>
      </c>
      <c r="Z141" s="332">
        <v>0.42</v>
      </c>
      <c r="AA141" s="332">
        <v>0.49</v>
      </c>
      <c r="AB141" s="330">
        <v>50</v>
      </c>
      <c r="AC141" s="330">
        <v>8</v>
      </c>
      <c r="AD141" s="329">
        <v>0</v>
      </c>
      <c r="AE141" s="329">
        <v>0.5</v>
      </c>
      <c r="AF141" s="329">
        <v>0.5</v>
      </c>
      <c r="AG141" s="329">
        <v>0</v>
      </c>
      <c r="AH141" s="329">
        <v>0.64</v>
      </c>
      <c r="AI141" s="329">
        <v>0.69</v>
      </c>
      <c r="AJ141" s="329">
        <v>0.35</v>
      </c>
      <c r="AK141" s="329">
        <v>0.32</v>
      </c>
      <c r="AL141" s="329">
        <v>0.43</v>
      </c>
      <c r="AM141" s="329">
        <v>0.71</v>
      </c>
      <c r="AN141" s="330">
        <v>43</v>
      </c>
      <c r="AO141" s="330">
        <v>6</v>
      </c>
      <c r="AP141" s="329">
        <v>0.2</v>
      </c>
      <c r="AQ141" s="329">
        <v>0.8</v>
      </c>
      <c r="AR141" s="329">
        <v>0</v>
      </c>
      <c r="AS141" s="329">
        <v>0</v>
      </c>
      <c r="AT141" s="329">
        <v>0.47</v>
      </c>
      <c r="AU141" s="329">
        <v>0.56000000000000005</v>
      </c>
      <c r="AV141" s="329">
        <v>0.52</v>
      </c>
      <c r="AW141" s="329">
        <v>0.64</v>
      </c>
      <c r="AX141" s="329">
        <v>0.53</v>
      </c>
      <c r="AY141" s="329">
        <v>0.68</v>
      </c>
      <c r="AZ141" s="313">
        <v>58</v>
      </c>
      <c r="BA141" s="313">
        <v>5</v>
      </c>
      <c r="BB141" s="333">
        <v>0</v>
      </c>
      <c r="BC141" s="333">
        <v>0.33</v>
      </c>
      <c r="BD141" s="333">
        <v>0.67</v>
      </c>
      <c r="BE141" s="333">
        <v>0</v>
      </c>
      <c r="BF141" s="333">
        <v>0.11</v>
      </c>
      <c r="BG141" s="333">
        <v>0.39</v>
      </c>
      <c r="BH141" s="333">
        <v>0.28999999999999998</v>
      </c>
      <c r="BI141" s="333">
        <v>0.22</v>
      </c>
      <c r="BJ141" s="333">
        <v>0.3</v>
      </c>
      <c r="BK141" s="333">
        <v>0.33</v>
      </c>
      <c r="BL141" s="653">
        <v>55</v>
      </c>
      <c r="BM141" s="653" t="s">
        <v>874</v>
      </c>
      <c r="BN141" s="653">
        <v>5</v>
      </c>
      <c r="BO141" s="653" t="s">
        <v>876</v>
      </c>
      <c r="BP141" s="654">
        <v>0</v>
      </c>
      <c r="BQ141" s="654">
        <v>0.5</v>
      </c>
      <c r="BR141" s="654">
        <v>0.5</v>
      </c>
      <c r="BS141" s="654">
        <v>0</v>
      </c>
      <c r="BT141" s="654">
        <v>0.22</v>
      </c>
      <c r="BU141" s="654">
        <v>0.35</v>
      </c>
      <c r="BV141" s="654">
        <v>0.33</v>
      </c>
      <c r="BW141" s="654">
        <v>0.39</v>
      </c>
      <c r="BX141" s="654">
        <v>0.41</v>
      </c>
      <c r="BY141" s="654">
        <v>0.5</v>
      </c>
      <c r="BZ141" s="311">
        <v>47</v>
      </c>
      <c r="CA141" s="311" t="s">
        <v>874</v>
      </c>
      <c r="CB141" s="311">
        <v>7</v>
      </c>
      <c r="CC141" s="311" t="s">
        <v>876</v>
      </c>
      <c r="CD141" s="329">
        <v>0.25</v>
      </c>
      <c r="CE141" s="329">
        <v>0.75</v>
      </c>
      <c r="CF141" s="329">
        <v>0</v>
      </c>
      <c r="CG141" s="329">
        <v>0</v>
      </c>
      <c r="CH141" s="329">
        <v>0.75</v>
      </c>
      <c r="CI141" s="329">
        <v>0.43</v>
      </c>
      <c r="CJ141" s="329">
        <v>0.47</v>
      </c>
      <c r="CK141" s="329">
        <v>0.63</v>
      </c>
      <c r="CL141" s="329">
        <v>0.5</v>
      </c>
      <c r="CM141" s="329">
        <v>0.31</v>
      </c>
      <c r="CN141" s="426">
        <v>52</v>
      </c>
      <c r="CO141" s="426" t="s">
        <v>874</v>
      </c>
      <c r="CP141" s="426">
        <v>11</v>
      </c>
      <c r="CQ141" s="426" t="s">
        <v>874</v>
      </c>
      <c r="CR141" s="430">
        <v>0</v>
      </c>
      <c r="CS141" s="430">
        <v>0.5</v>
      </c>
      <c r="CT141" s="430">
        <v>0.5</v>
      </c>
      <c r="CU141" s="430">
        <v>0</v>
      </c>
      <c r="CV141" s="430">
        <v>0.4</v>
      </c>
      <c r="CW141" s="430">
        <v>0.5</v>
      </c>
      <c r="CX141" s="430">
        <v>0.45</v>
      </c>
      <c r="CY141" s="430">
        <v>0.67</v>
      </c>
      <c r="CZ141" s="527">
        <v>0.45</v>
      </c>
      <c r="DA141" s="527">
        <v>0.33</v>
      </c>
      <c r="DB141" s="618">
        <v>46</v>
      </c>
      <c r="DC141" s="618" t="s">
        <v>874</v>
      </c>
      <c r="DD141" s="618">
        <v>7</v>
      </c>
      <c r="DE141" s="618" t="s">
        <v>876</v>
      </c>
      <c r="DF141" s="669">
        <v>0.14000000000000001</v>
      </c>
      <c r="DG141" s="669">
        <v>0.71</v>
      </c>
      <c r="DH141" s="669">
        <v>0.14000000000000001</v>
      </c>
      <c r="DI141" s="669">
        <v>0</v>
      </c>
      <c r="DJ141" s="669">
        <v>0.52</v>
      </c>
      <c r="DK141" s="669">
        <v>0.71</v>
      </c>
      <c r="DL141" s="669">
        <v>0.56999999999999995</v>
      </c>
      <c r="DM141" s="669">
        <v>0.75</v>
      </c>
      <c r="DN141" s="669">
        <v>0.76</v>
      </c>
      <c r="DO141" s="669">
        <v>0.5</v>
      </c>
    </row>
    <row r="142" spans="1:119" ht="24.95" customHeight="1" x14ac:dyDescent="0.2">
      <c r="A142" s="814" t="s">
        <v>233</v>
      </c>
      <c r="B142" s="1" t="s">
        <v>221</v>
      </c>
      <c r="C142" s="2">
        <v>2</v>
      </c>
      <c r="D142" s="12"/>
      <c r="E142" s="12"/>
      <c r="F142" s="12"/>
      <c r="G142" s="12"/>
      <c r="H142" s="12"/>
      <c r="I142" s="12"/>
      <c r="J142" s="12"/>
      <c r="K142" s="12"/>
      <c r="L142" s="12"/>
      <c r="M142" s="12"/>
      <c r="N142" s="12"/>
      <c r="O142" s="12"/>
      <c r="P142" s="12" t="s">
        <v>224</v>
      </c>
      <c r="Q142" s="12" t="s">
        <v>224</v>
      </c>
      <c r="R142" s="61"/>
      <c r="S142" s="61"/>
      <c r="T142" s="61"/>
      <c r="U142" s="61"/>
      <c r="V142" s="61"/>
      <c r="W142" s="61"/>
      <c r="X142" s="61"/>
      <c r="Y142" s="61"/>
      <c r="Z142" s="61"/>
      <c r="AA142" s="61"/>
      <c r="AB142" s="12" t="s">
        <v>224</v>
      </c>
      <c r="AC142" s="12" t="s">
        <v>224</v>
      </c>
      <c r="AD142" s="2"/>
      <c r="AE142" s="2"/>
      <c r="AF142" s="2"/>
      <c r="AG142" s="2"/>
      <c r="AH142" s="2"/>
      <c r="AI142" s="2"/>
      <c r="AJ142" s="2"/>
      <c r="AK142" s="2"/>
      <c r="AL142" s="2"/>
      <c r="AM142" s="2"/>
      <c r="AN142" s="12">
        <v>49</v>
      </c>
      <c r="AO142" s="12">
        <v>5</v>
      </c>
      <c r="AP142" s="63">
        <v>0</v>
      </c>
      <c r="AQ142" s="63">
        <v>0.83</v>
      </c>
      <c r="AR142" s="63">
        <v>0.17</v>
      </c>
      <c r="AS142" s="63">
        <v>0</v>
      </c>
      <c r="AT142" s="63">
        <v>0.44</v>
      </c>
      <c r="AU142" s="63">
        <v>0.28999999999999998</v>
      </c>
      <c r="AV142" s="63">
        <v>0.38</v>
      </c>
      <c r="AW142" s="63">
        <v>0.4</v>
      </c>
      <c r="AX142" s="63">
        <v>0.42</v>
      </c>
      <c r="AY142" s="63">
        <v>0.56000000000000005</v>
      </c>
      <c r="AZ142" s="35">
        <v>53</v>
      </c>
      <c r="BA142" s="35">
        <v>12</v>
      </c>
      <c r="BB142" s="40">
        <v>0</v>
      </c>
      <c r="BC142" s="40">
        <v>0.67</v>
      </c>
      <c r="BD142" s="40">
        <v>0.33</v>
      </c>
      <c r="BE142" s="40">
        <v>0</v>
      </c>
      <c r="BF142" s="40">
        <v>0.28999999999999998</v>
      </c>
      <c r="BG142" s="40">
        <v>0.39</v>
      </c>
      <c r="BH142" s="40">
        <v>0.5</v>
      </c>
      <c r="BI142" s="40">
        <v>0.56000000000000005</v>
      </c>
      <c r="BJ142" s="40">
        <v>0.38</v>
      </c>
      <c r="BK142" s="40">
        <v>0.31</v>
      </c>
      <c r="BL142" s="247">
        <v>47</v>
      </c>
      <c r="BM142" s="247" t="s">
        <v>874</v>
      </c>
      <c r="BN142" s="247">
        <v>12</v>
      </c>
      <c r="BO142" s="247" t="s">
        <v>874</v>
      </c>
      <c r="BP142" s="264">
        <v>0.28999999999999998</v>
      </c>
      <c r="BQ142" s="264">
        <v>0.43</v>
      </c>
      <c r="BR142" s="264">
        <v>0.28999999999999998</v>
      </c>
      <c r="BS142" s="264">
        <v>0</v>
      </c>
      <c r="BT142" s="264">
        <v>0.52</v>
      </c>
      <c r="BU142" s="264">
        <v>0.47</v>
      </c>
      <c r="BV142" s="264">
        <v>0.86</v>
      </c>
      <c r="BW142" s="264">
        <v>0.48</v>
      </c>
      <c r="BX142" s="264">
        <v>0.45</v>
      </c>
      <c r="BY142" s="264">
        <v>0.59</v>
      </c>
      <c r="BZ142" s="311">
        <v>47</v>
      </c>
      <c r="CA142" s="311" t="s">
        <v>874</v>
      </c>
      <c r="CB142" s="311">
        <v>8</v>
      </c>
      <c r="CC142" s="311" t="s">
        <v>874</v>
      </c>
      <c r="CD142" s="329">
        <v>0.19</v>
      </c>
      <c r="CE142" s="329">
        <v>0.62</v>
      </c>
      <c r="CF142" s="329">
        <v>0.19</v>
      </c>
      <c r="CG142" s="329">
        <v>0</v>
      </c>
      <c r="CH142" s="329">
        <v>0.51</v>
      </c>
      <c r="CI142" s="329">
        <v>0.5</v>
      </c>
      <c r="CJ142" s="329">
        <v>0.65</v>
      </c>
      <c r="CK142" s="329">
        <v>0.67</v>
      </c>
      <c r="CL142" s="329">
        <v>0.47</v>
      </c>
      <c r="CM142" s="329">
        <v>0.65</v>
      </c>
      <c r="CN142" s="426">
        <v>46</v>
      </c>
      <c r="CO142" s="426" t="s">
        <v>874</v>
      </c>
      <c r="CP142" s="426">
        <v>10</v>
      </c>
      <c r="CQ142" s="426" t="s">
        <v>874</v>
      </c>
      <c r="CR142" s="430">
        <v>0.32</v>
      </c>
      <c r="CS142" s="430">
        <v>0.53</v>
      </c>
      <c r="CT142" s="430">
        <v>0.16</v>
      </c>
      <c r="CU142" s="430">
        <v>0</v>
      </c>
      <c r="CV142" s="430">
        <v>0.41</v>
      </c>
      <c r="CW142" s="430">
        <v>0.6</v>
      </c>
      <c r="CX142" s="430">
        <v>0.64</v>
      </c>
      <c r="CY142" s="430">
        <v>0.9</v>
      </c>
      <c r="CZ142" s="527">
        <v>0.6</v>
      </c>
      <c r="DA142" s="527">
        <v>0.7</v>
      </c>
      <c r="DB142" s="528">
        <v>45</v>
      </c>
      <c r="DC142" s="528" t="s">
        <v>874</v>
      </c>
      <c r="DD142" s="528">
        <v>7</v>
      </c>
      <c r="DE142" s="528" t="s">
        <v>876</v>
      </c>
      <c r="DF142" s="529">
        <v>0.33</v>
      </c>
      <c r="DG142" s="529">
        <v>0.57999999999999996</v>
      </c>
      <c r="DH142" s="529">
        <v>0.08</v>
      </c>
      <c r="DI142" s="529">
        <v>0</v>
      </c>
      <c r="DJ142" s="529">
        <v>0.67</v>
      </c>
      <c r="DK142" s="529">
        <v>0.67</v>
      </c>
      <c r="DL142" s="529">
        <v>0.56999999999999995</v>
      </c>
      <c r="DM142" s="529">
        <v>0.59</v>
      </c>
      <c r="DN142" s="529">
        <v>0.64</v>
      </c>
      <c r="DO142" s="529">
        <v>1</v>
      </c>
    </row>
    <row r="143" spans="1:119" ht="24.95" customHeight="1" x14ac:dyDescent="0.2">
      <c r="A143" s="814" t="s">
        <v>144</v>
      </c>
      <c r="B143" s="1" t="s">
        <v>221</v>
      </c>
      <c r="C143" s="2">
        <v>2</v>
      </c>
      <c r="D143" s="12">
        <v>52</v>
      </c>
      <c r="E143" s="12">
        <v>9</v>
      </c>
      <c r="F143" s="63">
        <v>0.14000000000000001</v>
      </c>
      <c r="G143" s="63">
        <v>0.56999999999999995</v>
      </c>
      <c r="H143" s="63">
        <v>0.28999999999999998</v>
      </c>
      <c r="I143" s="63">
        <v>0</v>
      </c>
      <c r="J143" s="63">
        <v>0.54</v>
      </c>
      <c r="K143" s="63">
        <v>0.56000000000000005</v>
      </c>
      <c r="L143" s="63">
        <v>0.61</v>
      </c>
      <c r="M143" s="63">
        <v>0.47</v>
      </c>
      <c r="N143" s="63">
        <v>0.43</v>
      </c>
      <c r="O143" s="63">
        <v>0.46</v>
      </c>
      <c r="P143" s="12">
        <v>57</v>
      </c>
      <c r="Q143" s="12">
        <v>8</v>
      </c>
      <c r="R143" s="61">
        <v>0.03</v>
      </c>
      <c r="S143" s="61">
        <v>0.44</v>
      </c>
      <c r="T143" s="61">
        <v>0.54</v>
      </c>
      <c r="U143" s="61">
        <v>0</v>
      </c>
      <c r="V143" s="61">
        <v>0.3</v>
      </c>
      <c r="W143" s="61">
        <v>0.36</v>
      </c>
      <c r="X143" s="61">
        <v>0.51</v>
      </c>
      <c r="Y143" s="61">
        <v>0.41</v>
      </c>
      <c r="Z143" s="61">
        <v>0.34</v>
      </c>
      <c r="AA143" s="61">
        <v>0.39</v>
      </c>
      <c r="AB143" s="12">
        <v>52</v>
      </c>
      <c r="AC143" s="12">
        <v>11</v>
      </c>
      <c r="AD143" s="63">
        <v>0.2</v>
      </c>
      <c r="AE143" s="63">
        <v>0.43</v>
      </c>
      <c r="AF143" s="63">
        <v>0.33</v>
      </c>
      <c r="AG143" s="63">
        <v>0.04</v>
      </c>
      <c r="AH143" s="63">
        <v>0.39</v>
      </c>
      <c r="AI143" s="63">
        <v>0.35</v>
      </c>
      <c r="AJ143" s="63">
        <v>0.35</v>
      </c>
      <c r="AK143" s="63">
        <v>0.5</v>
      </c>
      <c r="AL143" s="63">
        <v>0.5</v>
      </c>
      <c r="AM143" s="63">
        <v>0.49</v>
      </c>
      <c r="AN143" s="12">
        <v>50</v>
      </c>
      <c r="AO143" s="12">
        <v>9</v>
      </c>
      <c r="AP143" s="63">
        <v>0.14000000000000001</v>
      </c>
      <c r="AQ143" s="63">
        <v>0.59</v>
      </c>
      <c r="AR143" s="63">
        <v>0.27</v>
      </c>
      <c r="AS143" s="63">
        <v>0</v>
      </c>
      <c r="AT143" s="63">
        <v>0.5</v>
      </c>
      <c r="AU143" s="63">
        <v>0.39</v>
      </c>
      <c r="AV143" s="63">
        <v>0.44</v>
      </c>
      <c r="AW143" s="63">
        <v>0.42</v>
      </c>
      <c r="AX143" s="63">
        <v>0.45</v>
      </c>
      <c r="AY143" s="63">
        <v>0.46</v>
      </c>
      <c r="AZ143" s="35">
        <v>54</v>
      </c>
      <c r="BA143" s="35">
        <v>11</v>
      </c>
      <c r="BB143" s="40">
        <v>0.11</v>
      </c>
      <c r="BC143" s="40">
        <v>0.46</v>
      </c>
      <c r="BD143" s="40">
        <v>0.34</v>
      </c>
      <c r="BE143" s="40">
        <v>0.09</v>
      </c>
      <c r="BF143" s="40">
        <v>0.34</v>
      </c>
      <c r="BG143" s="40">
        <v>0.43</v>
      </c>
      <c r="BH143" s="40">
        <v>0.39</v>
      </c>
      <c r="BI143" s="40">
        <v>0.46</v>
      </c>
      <c r="BJ143" s="40">
        <v>0.34</v>
      </c>
      <c r="BK143" s="40">
        <v>0.32</v>
      </c>
      <c r="BL143" s="247">
        <v>51</v>
      </c>
      <c r="BM143" s="247" t="s">
        <v>874</v>
      </c>
      <c r="BN143" s="247">
        <v>10</v>
      </c>
      <c r="BO143" s="247" t="s">
        <v>874</v>
      </c>
      <c r="BP143" s="264">
        <v>0.24</v>
      </c>
      <c r="BQ143" s="264">
        <v>0.36</v>
      </c>
      <c r="BR143" s="264">
        <v>0.41</v>
      </c>
      <c r="BS143" s="264">
        <v>0</v>
      </c>
      <c r="BT143" s="264">
        <v>0.47</v>
      </c>
      <c r="BU143" s="264">
        <v>0.44</v>
      </c>
      <c r="BV143" s="264">
        <v>0.62</v>
      </c>
      <c r="BW143" s="264">
        <v>0.42</v>
      </c>
      <c r="BX143" s="264">
        <v>0.42</v>
      </c>
      <c r="BY143" s="264">
        <v>0.49</v>
      </c>
      <c r="BZ143" s="311">
        <v>50</v>
      </c>
      <c r="CA143" s="311" t="s">
        <v>874</v>
      </c>
      <c r="CB143" s="311">
        <v>10</v>
      </c>
      <c r="CC143" s="311" t="s">
        <v>874</v>
      </c>
      <c r="CD143" s="329">
        <v>0.17</v>
      </c>
      <c r="CE143" s="329">
        <v>0.49</v>
      </c>
      <c r="CF143" s="329">
        <v>0.32</v>
      </c>
      <c r="CG143" s="329">
        <v>0.02</v>
      </c>
      <c r="CH143" s="329">
        <v>0.47</v>
      </c>
      <c r="CI143" s="329">
        <v>0.45</v>
      </c>
      <c r="CJ143" s="329">
        <v>0.56000000000000005</v>
      </c>
      <c r="CK143" s="329">
        <v>0.53</v>
      </c>
      <c r="CL143" s="329">
        <v>0.45</v>
      </c>
      <c r="CM143" s="329">
        <v>0.62</v>
      </c>
      <c r="CN143" s="426">
        <v>52</v>
      </c>
      <c r="CO143" s="426" t="s">
        <v>874</v>
      </c>
      <c r="CP143" s="426">
        <v>11</v>
      </c>
      <c r="CQ143" s="426" t="s">
        <v>874</v>
      </c>
      <c r="CR143" s="430">
        <v>0.15</v>
      </c>
      <c r="CS143" s="430">
        <v>0.5</v>
      </c>
      <c r="CT143" s="430">
        <v>0.34</v>
      </c>
      <c r="CU143" s="430">
        <v>0.02</v>
      </c>
      <c r="CV143" s="430">
        <v>0.37</v>
      </c>
      <c r="CW143" s="430">
        <v>0.5</v>
      </c>
      <c r="CX143" s="430">
        <v>0.53</v>
      </c>
      <c r="CY143" s="430">
        <v>0.68</v>
      </c>
      <c r="CZ143" s="527">
        <v>0.49</v>
      </c>
      <c r="DA143" s="527">
        <v>0.6</v>
      </c>
      <c r="DB143" s="528">
        <v>52</v>
      </c>
      <c r="DC143" s="528" t="s">
        <v>874</v>
      </c>
      <c r="DD143" s="528">
        <v>10</v>
      </c>
      <c r="DE143" s="528" t="s">
        <v>874</v>
      </c>
      <c r="DF143" s="529">
        <v>0.16</v>
      </c>
      <c r="DG143" s="529">
        <v>0.48</v>
      </c>
      <c r="DH143" s="529">
        <v>0.32</v>
      </c>
      <c r="DI143" s="529">
        <v>0.04</v>
      </c>
      <c r="DJ143" s="529">
        <v>0.46</v>
      </c>
      <c r="DK143" s="529">
        <v>0.46</v>
      </c>
      <c r="DL143" s="529">
        <v>0.48</v>
      </c>
      <c r="DM143" s="529">
        <v>0.63</v>
      </c>
      <c r="DN143" s="529">
        <v>0.52</v>
      </c>
      <c r="DO143" s="529">
        <v>0.27</v>
      </c>
    </row>
    <row r="144" spans="1:119" ht="24.95" customHeight="1" x14ac:dyDescent="0.2">
      <c r="A144" s="814" t="s">
        <v>209</v>
      </c>
      <c r="B144" s="1" t="s">
        <v>221</v>
      </c>
      <c r="C144" s="2">
        <v>1</v>
      </c>
      <c r="D144" s="12">
        <v>54</v>
      </c>
      <c r="E144" s="12">
        <v>7</v>
      </c>
      <c r="F144" s="63">
        <v>0</v>
      </c>
      <c r="G144" s="63">
        <v>0.64</v>
      </c>
      <c r="H144" s="63">
        <v>0.36</v>
      </c>
      <c r="I144" s="63">
        <v>0</v>
      </c>
      <c r="J144" s="63">
        <v>0.47</v>
      </c>
      <c r="K144" s="63">
        <v>0.45</v>
      </c>
      <c r="L144" s="63">
        <v>0.73</v>
      </c>
      <c r="M144" s="63">
        <v>0.38</v>
      </c>
      <c r="N144" s="63">
        <v>0.4</v>
      </c>
      <c r="O144" s="63">
        <v>0.28999999999999998</v>
      </c>
      <c r="P144" s="12">
        <v>52</v>
      </c>
      <c r="Q144" s="12">
        <v>8</v>
      </c>
      <c r="R144" s="61">
        <v>0.1</v>
      </c>
      <c r="S144" s="61">
        <v>0.56999999999999995</v>
      </c>
      <c r="T144" s="61">
        <v>0.33</v>
      </c>
      <c r="U144" s="61">
        <v>0</v>
      </c>
      <c r="V144" s="61">
        <v>0.39</v>
      </c>
      <c r="W144" s="61">
        <v>0.45</v>
      </c>
      <c r="X144" s="61">
        <v>0.49</v>
      </c>
      <c r="Y144" s="61">
        <v>0.43</v>
      </c>
      <c r="Z144" s="61">
        <v>0.43</v>
      </c>
      <c r="AA144" s="61">
        <v>0.51</v>
      </c>
      <c r="AB144" s="12">
        <v>53</v>
      </c>
      <c r="AC144" s="12">
        <v>14</v>
      </c>
      <c r="AD144" s="63">
        <v>0.13</v>
      </c>
      <c r="AE144" s="63">
        <v>0.5</v>
      </c>
      <c r="AF144" s="63">
        <v>0.25</v>
      </c>
      <c r="AG144" s="63">
        <v>0.13</v>
      </c>
      <c r="AH144" s="63">
        <v>0.38</v>
      </c>
      <c r="AI144" s="63">
        <v>0.45</v>
      </c>
      <c r="AJ144" s="63">
        <v>0.39</v>
      </c>
      <c r="AK144" s="63">
        <v>0.42</v>
      </c>
      <c r="AL144" s="63">
        <v>0.65</v>
      </c>
      <c r="AM144" s="63">
        <v>0.44</v>
      </c>
      <c r="AN144" s="12">
        <v>50</v>
      </c>
      <c r="AO144" s="12">
        <v>9</v>
      </c>
      <c r="AP144" s="63">
        <v>0.22</v>
      </c>
      <c r="AQ144" s="63">
        <v>0.5</v>
      </c>
      <c r="AR144" s="63">
        <v>0.28000000000000003</v>
      </c>
      <c r="AS144" s="63">
        <v>0</v>
      </c>
      <c r="AT144" s="63">
        <v>0.54</v>
      </c>
      <c r="AU144" s="63">
        <v>0.44</v>
      </c>
      <c r="AV144" s="63">
        <v>0.41</v>
      </c>
      <c r="AW144" s="63">
        <v>0.45</v>
      </c>
      <c r="AX144" s="63">
        <v>0.41</v>
      </c>
      <c r="AY144" s="63">
        <v>0.47</v>
      </c>
      <c r="AZ144" s="35">
        <v>56</v>
      </c>
      <c r="BA144" s="35">
        <v>11</v>
      </c>
      <c r="BB144" s="40">
        <v>0.16</v>
      </c>
      <c r="BC144" s="40">
        <v>0.24</v>
      </c>
      <c r="BD144" s="40">
        <v>0.52</v>
      </c>
      <c r="BE144" s="40">
        <v>0.08</v>
      </c>
      <c r="BF144" s="40">
        <v>0.38</v>
      </c>
      <c r="BG144" s="40">
        <v>0.39</v>
      </c>
      <c r="BH144" s="40">
        <v>0.38</v>
      </c>
      <c r="BI144" s="40">
        <v>0.47</v>
      </c>
      <c r="BJ144" s="40">
        <v>0.32</v>
      </c>
      <c r="BK144" s="40">
        <v>0.31</v>
      </c>
      <c r="BL144" s="247">
        <v>49</v>
      </c>
      <c r="BM144" s="247" t="s">
        <v>874</v>
      </c>
      <c r="BN144" s="247">
        <v>9</v>
      </c>
      <c r="BO144" s="247" t="s">
        <v>874</v>
      </c>
      <c r="BP144" s="264">
        <v>0.08</v>
      </c>
      <c r="BQ144" s="264">
        <v>0.71</v>
      </c>
      <c r="BR144" s="264">
        <v>0.21</v>
      </c>
      <c r="BS144" s="264">
        <v>0</v>
      </c>
      <c r="BT144" s="264">
        <v>0.4</v>
      </c>
      <c r="BU144" s="264">
        <v>0.44</v>
      </c>
      <c r="BV144" s="264">
        <v>0.6</v>
      </c>
      <c r="BW144" s="264">
        <v>0.46</v>
      </c>
      <c r="BX144" s="264">
        <v>0.49</v>
      </c>
      <c r="BY144" s="264">
        <v>0.52</v>
      </c>
      <c r="BZ144" s="311">
        <v>54</v>
      </c>
      <c r="CA144" s="311" t="s">
        <v>874</v>
      </c>
      <c r="CB144" s="311">
        <v>11</v>
      </c>
      <c r="CC144" s="311" t="s">
        <v>874</v>
      </c>
      <c r="CD144" s="329">
        <v>0.14000000000000001</v>
      </c>
      <c r="CE144" s="329">
        <v>0.28000000000000003</v>
      </c>
      <c r="CF144" s="329">
        <v>0.59</v>
      </c>
      <c r="CG144" s="329">
        <v>0</v>
      </c>
      <c r="CH144" s="329">
        <v>0.47</v>
      </c>
      <c r="CI144" s="329">
        <v>0.28999999999999998</v>
      </c>
      <c r="CJ144" s="329">
        <v>0.56000000000000005</v>
      </c>
      <c r="CK144" s="329">
        <v>0.48</v>
      </c>
      <c r="CL144" s="329">
        <v>0.39</v>
      </c>
      <c r="CM144" s="329">
        <v>0.53</v>
      </c>
      <c r="CN144" s="426">
        <v>53</v>
      </c>
      <c r="CO144" s="426" t="s">
        <v>874</v>
      </c>
      <c r="CP144" s="426">
        <v>10</v>
      </c>
      <c r="CQ144" s="426" t="s">
        <v>874</v>
      </c>
      <c r="CR144" s="430">
        <v>0.13</v>
      </c>
      <c r="CS144" s="430">
        <v>0.45</v>
      </c>
      <c r="CT144" s="430">
        <v>0.43</v>
      </c>
      <c r="CU144" s="430">
        <v>0</v>
      </c>
      <c r="CV144" s="430">
        <v>0.31</v>
      </c>
      <c r="CW144" s="430">
        <v>0.48</v>
      </c>
      <c r="CX144" s="430">
        <v>0.53</v>
      </c>
      <c r="CY144" s="430">
        <v>0.65</v>
      </c>
      <c r="CZ144" s="527">
        <v>0.42</v>
      </c>
      <c r="DA144" s="527">
        <v>0.48</v>
      </c>
      <c r="DB144" s="528">
        <v>52</v>
      </c>
      <c r="DC144" s="528" t="s">
        <v>874</v>
      </c>
      <c r="DD144" s="528">
        <v>9</v>
      </c>
      <c r="DE144" s="528" t="s">
        <v>874</v>
      </c>
      <c r="DF144" s="529">
        <v>0.1</v>
      </c>
      <c r="DG144" s="529">
        <v>0.45</v>
      </c>
      <c r="DH144" s="529">
        <v>0.45</v>
      </c>
      <c r="DI144" s="529">
        <v>0</v>
      </c>
      <c r="DJ144" s="529">
        <v>0.48</v>
      </c>
      <c r="DK144" s="529">
        <v>0.36</v>
      </c>
      <c r="DL144" s="529">
        <v>0.45</v>
      </c>
      <c r="DM144" s="529">
        <v>0.63</v>
      </c>
      <c r="DN144" s="529">
        <v>0.55000000000000004</v>
      </c>
      <c r="DO144" s="529">
        <v>0.31</v>
      </c>
    </row>
    <row r="145" spans="1:119" ht="24.95" customHeight="1" x14ac:dyDescent="0.2">
      <c r="A145" s="814" t="s">
        <v>67</v>
      </c>
      <c r="B145" s="1" t="s">
        <v>221</v>
      </c>
      <c r="C145" s="2">
        <v>1</v>
      </c>
      <c r="D145" s="12">
        <v>52</v>
      </c>
      <c r="E145" s="12">
        <v>9</v>
      </c>
      <c r="F145" s="63">
        <v>0.12</v>
      </c>
      <c r="G145" s="63">
        <v>0.52</v>
      </c>
      <c r="H145" s="63">
        <v>0.36</v>
      </c>
      <c r="I145" s="63">
        <v>0</v>
      </c>
      <c r="J145" s="63">
        <v>0.54</v>
      </c>
      <c r="K145" s="63">
        <v>0.49</v>
      </c>
      <c r="L145" s="63">
        <v>0.62</v>
      </c>
      <c r="M145" s="63">
        <v>0.4</v>
      </c>
      <c r="N145" s="63">
        <v>0.41</v>
      </c>
      <c r="O145" s="63">
        <v>0.61</v>
      </c>
      <c r="P145" s="12">
        <v>55</v>
      </c>
      <c r="Q145" s="12">
        <v>10</v>
      </c>
      <c r="R145" s="61">
        <v>0.05</v>
      </c>
      <c r="S145" s="61">
        <v>0.46</v>
      </c>
      <c r="T145" s="61">
        <v>0.44</v>
      </c>
      <c r="U145" s="61">
        <v>0.05</v>
      </c>
      <c r="V145" s="61">
        <v>0.38</v>
      </c>
      <c r="W145" s="61">
        <v>0.4</v>
      </c>
      <c r="X145" s="61">
        <v>0.51</v>
      </c>
      <c r="Y145" s="61">
        <v>0.39</v>
      </c>
      <c r="Z145" s="61">
        <v>0.34</v>
      </c>
      <c r="AA145" s="61">
        <v>0.4</v>
      </c>
      <c r="AB145" s="12">
        <v>51</v>
      </c>
      <c r="AC145" s="12">
        <v>10</v>
      </c>
      <c r="AD145" s="63">
        <v>0.12</v>
      </c>
      <c r="AE145" s="63">
        <v>0.52</v>
      </c>
      <c r="AF145" s="63">
        <v>0.33</v>
      </c>
      <c r="AG145" s="63">
        <v>0.03</v>
      </c>
      <c r="AH145" s="63">
        <v>0.41</v>
      </c>
      <c r="AI145" s="63">
        <v>0.39</v>
      </c>
      <c r="AJ145" s="63">
        <v>0.38</v>
      </c>
      <c r="AK145" s="63">
        <v>0.48</v>
      </c>
      <c r="AL145" s="63">
        <v>0.52</v>
      </c>
      <c r="AM145" s="63">
        <v>0.47</v>
      </c>
      <c r="AN145" s="12">
        <v>51</v>
      </c>
      <c r="AO145" s="12">
        <v>10</v>
      </c>
      <c r="AP145" s="63">
        <v>0.15</v>
      </c>
      <c r="AQ145" s="63">
        <v>0.5</v>
      </c>
      <c r="AR145" s="63">
        <v>0.34</v>
      </c>
      <c r="AS145" s="63">
        <v>0.01</v>
      </c>
      <c r="AT145" s="63">
        <v>0.51</v>
      </c>
      <c r="AU145" s="63">
        <v>0.45</v>
      </c>
      <c r="AV145" s="63">
        <v>0.41</v>
      </c>
      <c r="AW145" s="63">
        <v>0.45</v>
      </c>
      <c r="AX145" s="63">
        <v>0.43</v>
      </c>
      <c r="AY145" s="63">
        <v>0.44</v>
      </c>
      <c r="AZ145" s="35">
        <v>54</v>
      </c>
      <c r="BA145" s="35">
        <v>11</v>
      </c>
      <c r="BB145" s="40">
        <v>0.11</v>
      </c>
      <c r="BC145" s="40">
        <v>0.41</v>
      </c>
      <c r="BD145" s="40">
        <v>0.42</v>
      </c>
      <c r="BE145" s="40">
        <v>0.06</v>
      </c>
      <c r="BF145" s="40">
        <v>0.43</v>
      </c>
      <c r="BG145" s="40">
        <v>0.41</v>
      </c>
      <c r="BH145" s="40">
        <v>0.4</v>
      </c>
      <c r="BI145" s="40">
        <v>0.48</v>
      </c>
      <c r="BJ145" s="40">
        <v>0.34</v>
      </c>
      <c r="BK145" s="40">
        <v>0.32</v>
      </c>
      <c r="BL145" s="247">
        <v>52</v>
      </c>
      <c r="BM145" s="247" t="s">
        <v>874</v>
      </c>
      <c r="BN145" s="247">
        <v>11</v>
      </c>
      <c r="BO145" s="247" t="s">
        <v>874</v>
      </c>
      <c r="BP145" s="264">
        <v>0.15</v>
      </c>
      <c r="BQ145" s="264">
        <v>0.48</v>
      </c>
      <c r="BR145" s="264">
        <v>0.31</v>
      </c>
      <c r="BS145" s="264">
        <v>0.05</v>
      </c>
      <c r="BT145" s="264">
        <v>0.39</v>
      </c>
      <c r="BU145" s="264">
        <v>0.44</v>
      </c>
      <c r="BV145" s="264">
        <v>0.55000000000000004</v>
      </c>
      <c r="BW145" s="264">
        <v>0.39</v>
      </c>
      <c r="BX145" s="264">
        <v>0.41</v>
      </c>
      <c r="BY145" s="264">
        <v>0.49</v>
      </c>
      <c r="BZ145" s="311">
        <v>53</v>
      </c>
      <c r="CA145" s="311" t="s">
        <v>874</v>
      </c>
      <c r="CB145" s="311">
        <v>10</v>
      </c>
      <c r="CC145" s="311" t="s">
        <v>874</v>
      </c>
      <c r="CD145" s="329">
        <v>0.14000000000000001</v>
      </c>
      <c r="CE145" s="329">
        <v>0.38</v>
      </c>
      <c r="CF145" s="329">
        <v>0.43</v>
      </c>
      <c r="CG145" s="329">
        <v>0.04</v>
      </c>
      <c r="CH145" s="329">
        <v>0.5</v>
      </c>
      <c r="CI145" s="329">
        <v>0.35</v>
      </c>
      <c r="CJ145" s="329">
        <v>0.48</v>
      </c>
      <c r="CK145" s="329">
        <v>0.53</v>
      </c>
      <c r="CL145" s="329">
        <v>0.4</v>
      </c>
      <c r="CM145" s="329">
        <v>0.53</v>
      </c>
      <c r="CN145" s="426">
        <v>55</v>
      </c>
      <c r="CO145" s="426" t="s">
        <v>874</v>
      </c>
      <c r="CP145" s="426">
        <v>10</v>
      </c>
      <c r="CQ145" s="426" t="s">
        <v>874</v>
      </c>
      <c r="CR145" s="430">
        <v>0.09</v>
      </c>
      <c r="CS145" s="430">
        <v>0.41</v>
      </c>
      <c r="CT145" s="430">
        <v>0.44</v>
      </c>
      <c r="CU145" s="430">
        <v>0.05</v>
      </c>
      <c r="CV145" s="430">
        <v>0.32</v>
      </c>
      <c r="CW145" s="430">
        <v>0.42</v>
      </c>
      <c r="CX145" s="430">
        <v>0.49</v>
      </c>
      <c r="CY145" s="430">
        <v>0.59</v>
      </c>
      <c r="CZ145" s="527">
        <v>0.49</v>
      </c>
      <c r="DA145" s="527">
        <v>0.56000000000000005</v>
      </c>
      <c r="DB145" s="528">
        <v>51</v>
      </c>
      <c r="DC145" s="528" t="s">
        <v>874</v>
      </c>
      <c r="DD145" s="528">
        <v>13</v>
      </c>
      <c r="DE145" s="528" t="s">
        <v>874</v>
      </c>
      <c r="DF145" s="529">
        <v>0.21</v>
      </c>
      <c r="DG145" s="529">
        <v>0.37</v>
      </c>
      <c r="DH145" s="529">
        <v>0.33</v>
      </c>
      <c r="DI145" s="529">
        <v>0.08</v>
      </c>
      <c r="DJ145" s="529">
        <v>0.43</v>
      </c>
      <c r="DK145" s="529">
        <v>0.53</v>
      </c>
      <c r="DL145" s="529">
        <v>0.47</v>
      </c>
      <c r="DM145" s="529">
        <v>0.55000000000000004</v>
      </c>
      <c r="DN145" s="529">
        <v>0.52</v>
      </c>
      <c r="DO145" s="529">
        <v>0.33</v>
      </c>
    </row>
    <row r="146" spans="1:119" ht="24.95" customHeight="1" x14ac:dyDescent="0.2">
      <c r="A146" s="814" t="s">
        <v>892</v>
      </c>
      <c r="B146" s="1" t="s">
        <v>221</v>
      </c>
      <c r="C146" s="2">
        <v>6</v>
      </c>
      <c r="D146" s="12"/>
      <c r="E146" s="12"/>
      <c r="F146" s="63"/>
      <c r="G146" s="63"/>
      <c r="H146" s="63"/>
      <c r="I146" s="63"/>
      <c r="J146" s="63"/>
      <c r="K146" s="63"/>
      <c r="L146" s="63"/>
      <c r="M146" s="63"/>
      <c r="N146" s="63"/>
      <c r="O146" s="63"/>
      <c r="P146" s="12"/>
      <c r="Q146" s="12"/>
      <c r="R146" s="61"/>
      <c r="S146" s="61"/>
      <c r="T146" s="61"/>
      <c r="U146" s="61"/>
      <c r="V146" s="61"/>
      <c r="W146" s="61"/>
      <c r="X146" s="61"/>
      <c r="Y146" s="61"/>
      <c r="Z146" s="61"/>
      <c r="AA146" s="61"/>
      <c r="AB146" s="12"/>
      <c r="AC146" s="12"/>
      <c r="AD146" s="63"/>
      <c r="AE146" s="63"/>
      <c r="AF146" s="63"/>
      <c r="AG146" s="63"/>
      <c r="AH146" s="63"/>
      <c r="AI146" s="63"/>
      <c r="AJ146" s="63"/>
      <c r="AK146" s="63"/>
      <c r="AL146" s="63"/>
      <c r="AM146" s="63"/>
      <c r="AN146" s="12"/>
      <c r="AO146" s="12"/>
      <c r="AP146" s="63"/>
      <c r="AQ146" s="63"/>
      <c r="AR146" s="63"/>
      <c r="AS146" s="63"/>
      <c r="AT146" s="63"/>
      <c r="AU146" s="63"/>
      <c r="AV146" s="63"/>
      <c r="AW146" s="63"/>
      <c r="AX146" s="63"/>
      <c r="AY146" s="63"/>
      <c r="AZ146" s="35"/>
      <c r="BA146" s="35"/>
      <c r="BB146" s="40"/>
      <c r="BC146" s="40"/>
      <c r="BD146" s="40"/>
      <c r="BE146" s="40"/>
      <c r="BF146" s="40"/>
      <c r="BG146" s="40"/>
      <c r="BH146" s="40"/>
      <c r="BI146" s="40"/>
      <c r="BJ146" s="40"/>
      <c r="BK146" s="40"/>
      <c r="BL146" s="247"/>
      <c r="BM146" s="247"/>
      <c r="BN146" s="247"/>
      <c r="BO146" s="247"/>
      <c r="BP146" s="264"/>
      <c r="BQ146" s="264"/>
      <c r="BR146" s="264"/>
      <c r="BS146" s="264"/>
      <c r="BT146" s="264"/>
      <c r="BU146" s="264"/>
      <c r="BV146" s="264"/>
      <c r="BW146" s="264"/>
      <c r="BX146" s="264"/>
      <c r="BY146" s="264"/>
      <c r="BZ146" s="311">
        <v>47</v>
      </c>
      <c r="CA146" s="311" t="s">
        <v>874</v>
      </c>
      <c r="CB146" s="311">
        <v>12</v>
      </c>
      <c r="CC146" s="311" t="s">
        <v>874</v>
      </c>
      <c r="CD146" s="329">
        <v>0.28999999999999998</v>
      </c>
      <c r="CE146" s="329">
        <v>0.28999999999999998</v>
      </c>
      <c r="CF146" s="329">
        <v>0.43</v>
      </c>
      <c r="CG146" s="329">
        <v>0</v>
      </c>
      <c r="CH146" s="329">
        <v>0.53</v>
      </c>
      <c r="CI146" s="329">
        <v>0.25</v>
      </c>
      <c r="CJ146" s="329">
        <v>0.68</v>
      </c>
      <c r="CK146" s="329">
        <v>0.56999999999999995</v>
      </c>
      <c r="CL146" s="329">
        <v>0.53</v>
      </c>
      <c r="CM146" s="329">
        <v>0.5</v>
      </c>
      <c r="CN146" s="426">
        <v>41</v>
      </c>
      <c r="CO146" s="426" t="s">
        <v>876</v>
      </c>
      <c r="CP146" s="426">
        <v>8</v>
      </c>
      <c r="CQ146" s="426" t="s">
        <v>874</v>
      </c>
      <c r="CR146" s="430">
        <v>0.67</v>
      </c>
      <c r="CS146" s="430">
        <v>0.33</v>
      </c>
      <c r="CT146" s="430">
        <v>0</v>
      </c>
      <c r="CU146" s="430">
        <v>0</v>
      </c>
      <c r="CV146" s="430">
        <v>0.5</v>
      </c>
      <c r="CW146" s="430">
        <v>0.69</v>
      </c>
      <c r="CX146" s="430">
        <v>0.84</v>
      </c>
      <c r="CY146" s="430">
        <v>1</v>
      </c>
      <c r="CZ146" s="527">
        <v>0.83</v>
      </c>
      <c r="DA146" s="527">
        <v>0.67</v>
      </c>
      <c r="DB146" s="528">
        <v>48</v>
      </c>
      <c r="DC146" s="528" t="s">
        <v>874</v>
      </c>
      <c r="DD146" s="528">
        <v>12</v>
      </c>
      <c r="DE146" s="528" t="s">
        <v>874</v>
      </c>
      <c r="DF146" s="529">
        <v>0.25</v>
      </c>
      <c r="DG146" s="529">
        <v>0.5</v>
      </c>
      <c r="DH146" s="529">
        <v>0.25</v>
      </c>
      <c r="DI146" s="529">
        <v>0</v>
      </c>
      <c r="DJ146" s="529">
        <v>0.57999999999999996</v>
      </c>
      <c r="DK146" s="529">
        <v>0.5</v>
      </c>
      <c r="DL146" s="529">
        <v>0.59</v>
      </c>
      <c r="DM146" s="529">
        <v>0.63</v>
      </c>
      <c r="DN146" s="529">
        <v>0.73</v>
      </c>
      <c r="DO146" s="529">
        <v>0.75</v>
      </c>
    </row>
    <row r="147" spans="1:119" ht="24.95" customHeight="1" x14ac:dyDescent="0.2">
      <c r="A147" s="815" t="s">
        <v>31</v>
      </c>
      <c r="B147" s="1" t="s">
        <v>221</v>
      </c>
      <c r="C147" s="311">
        <v>6</v>
      </c>
      <c r="D147" s="330">
        <v>54</v>
      </c>
      <c r="E147" s="330">
        <v>9</v>
      </c>
      <c r="F147" s="329">
        <v>0</v>
      </c>
      <c r="G147" s="329">
        <v>0.64</v>
      </c>
      <c r="H147" s="329">
        <v>0.36</v>
      </c>
      <c r="I147" s="329">
        <v>0</v>
      </c>
      <c r="J147" s="329">
        <v>0.5</v>
      </c>
      <c r="K147" s="329">
        <v>0.51</v>
      </c>
      <c r="L147" s="329">
        <v>0.56999999999999995</v>
      </c>
      <c r="M147" s="329">
        <v>0.39</v>
      </c>
      <c r="N147" s="329">
        <v>0.39</v>
      </c>
      <c r="O147" s="329">
        <v>0.44</v>
      </c>
      <c r="P147" s="330">
        <v>44</v>
      </c>
      <c r="Q147" s="330">
        <v>8</v>
      </c>
      <c r="R147" s="332">
        <v>0.42</v>
      </c>
      <c r="S147" s="332">
        <v>0.42</v>
      </c>
      <c r="T147" s="332">
        <v>0.17</v>
      </c>
      <c r="U147" s="332">
        <v>0</v>
      </c>
      <c r="V147" s="332">
        <v>0.51</v>
      </c>
      <c r="W147" s="332">
        <v>0.64</v>
      </c>
      <c r="X147" s="332">
        <v>0.59</v>
      </c>
      <c r="Y147" s="332">
        <v>0.57999999999999996</v>
      </c>
      <c r="Z147" s="332">
        <v>0.57999999999999996</v>
      </c>
      <c r="AA147" s="332">
        <v>0.62</v>
      </c>
      <c r="AB147" s="330">
        <v>53</v>
      </c>
      <c r="AC147" s="330">
        <v>11</v>
      </c>
      <c r="AD147" s="329">
        <v>0.13</v>
      </c>
      <c r="AE147" s="329">
        <v>0.63</v>
      </c>
      <c r="AF147" s="329">
        <v>0.13</v>
      </c>
      <c r="AG147" s="329">
        <v>0.13</v>
      </c>
      <c r="AH147" s="329">
        <v>0.45</v>
      </c>
      <c r="AI147" s="329">
        <v>0.42</v>
      </c>
      <c r="AJ147" s="329">
        <v>0.28000000000000003</v>
      </c>
      <c r="AK147" s="329">
        <v>0.34</v>
      </c>
      <c r="AL147" s="329">
        <v>0.43</v>
      </c>
      <c r="AM147" s="329">
        <v>0.65</v>
      </c>
      <c r="AN147" s="330">
        <v>48</v>
      </c>
      <c r="AO147" s="330">
        <v>9</v>
      </c>
      <c r="AP147" s="329">
        <v>0.25</v>
      </c>
      <c r="AQ147" s="329">
        <v>0.75</v>
      </c>
      <c r="AR147" s="329">
        <v>0</v>
      </c>
      <c r="AS147" s="329">
        <v>0</v>
      </c>
      <c r="AT147" s="329">
        <v>0.62</v>
      </c>
      <c r="AU147" s="329">
        <v>0.5</v>
      </c>
      <c r="AV147" s="329">
        <v>0.5</v>
      </c>
      <c r="AW147" s="329">
        <v>0.49</v>
      </c>
      <c r="AX147" s="329">
        <v>0.47</v>
      </c>
      <c r="AY147" s="329">
        <v>0.47</v>
      </c>
      <c r="AZ147" s="313">
        <v>49</v>
      </c>
      <c r="BA147" s="313">
        <v>5</v>
      </c>
      <c r="BB147" s="333">
        <v>0</v>
      </c>
      <c r="BC147" s="333">
        <v>1</v>
      </c>
      <c r="BD147" s="333">
        <v>0</v>
      </c>
      <c r="BE147" s="333">
        <v>0</v>
      </c>
      <c r="BF147" s="333">
        <v>0.57999999999999996</v>
      </c>
      <c r="BG147" s="333">
        <v>0.42</v>
      </c>
      <c r="BH147" s="333">
        <v>0.43</v>
      </c>
      <c r="BI147" s="333">
        <v>0.75</v>
      </c>
      <c r="BJ147" s="333">
        <v>0.36</v>
      </c>
      <c r="BK147" s="333">
        <v>0.47</v>
      </c>
      <c r="BL147" s="314">
        <v>49</v>
      </c>
      <c r="BM147" s="314" t="s">
        <v>874</v>
      </c>
      <c r="BN147" s="314">
        <v>10</v>
      </c>
      <c r="BO147" s="314" t="s">
        <v>874</v>
      </c>
      <c r="BP147" s="334">
        <v>0.2</v>
      </c>
      <c r="BQ147" s="334">
        <v>0.4</v>
      </c>
      <c r="BR147" s="334">
        <v>0.4</v>
      </c>
      <c r="BS147" s="334">
        <v>0</v>
      </c>
      <c r="BT147" s="334">
        <v>0.32</v>
      </c>
      <c r="BU147" s="334">
        <v>0.55000000000000004</v>
      </c>
      <c r="BV147" s="334">
        <v>0.75</v>
      </c>
      <c r="BW147" s="334">
        <v>0.45</v>
      </c>
      <c r="BX147" s="334">
        <v>0.52</v>
      </c>
      <c r="BY147" s="334">
        <v>0.56000000000000005</v>
      </c>
      <c r="BZ147" s="311">
        <v>48</v>
      </c>
      <c r="CA147" s="311" t="s">
        <v>874</v>
      </c>
      <c r="CB147" s="311">
        <v>12</v>
      </c>
      <c r="CC147" s="311" t="s">
        <v>874</v>
      </c>
      <c r="CD147" s="329">
        <v>0.3</v>
      </c>
      <c r="CE147" s="329">
        <v>0.4</v>
      </c>
      <c r="CF147" s="329">
        <v>0.3</v>
      </c>
      <c r="CG147" s="329">
        <v>0</v>
      </c>
      <c r="CH147" s="329">
        <v>0.23</v>
      </c>
      <c r="CI147" s="329">
        <v>0.43</v>
      </c>
      <c r="CJ147" s="329">
        <v>0.6</v>
      </c>
      <c r="CK147" s="329">
        <v>0.62</v>
      </c>
      <c r="CL147" s="329">
        <v>0.36</v>
      </c>
      <c r="CM147" s="329">
        <v>0.49</v>
      </c>
      <c r="CN147" s="426">
        <v>52</v>
      </c>
      <c r="CO147" s="426" t="s">
        <v>874</v>
      </c>
      <c r="CP147" s="426">
        <v>4</v>
      </c>
      <c r="CQ147" s="426" t="s">
        <v>876</v>
      </c>
      <c r="CR147" s="430">
        <v>0</v>
      </c>
      <c r="CS147" s="430">
        <v>0.86</v>
      </c>
      <c r="CT147" s="430">
        <v>0.14000000000000001</v>
      </c>
      <c r="CU147" s="430">
        <v>0</v>
      </c>
      <c r="CV147" s="430">
        <v>0.21</v>
      </c>
      <c r="CW147" s="430">
        <v>0.42</v>
      </c>
      <c r="CX147" s="430">
        <v>0.53</v>
      </c>
      <c r="CY147" s="430">
        <v>0.5</v>
      </c>
      <c r="CZ147" s="527">
        <v>0.45</v>
      </c>
      <c r="DA147" s="527">
        <v>0.38</v>
      </c>
      <c r="DB147" s="528">
        <v>46</v>
      </c>
      <c r="DC147" s="528" t="s">
        <v>874</v>
      </c>
      <c r="DD147" s="528">
        <v>9</v>
      </c>
      <c r="DE147" s="528" t="s">
        <v>874</v>
      </c>
      <c r="DF147" s="529">
        <v>0.3</v>
      </c>
      <c r="DG147" s="529">
        <v>0.5</v>
      </c>
      <c r="DH147" s="529">
        <v>0.2</v>
      </c>
      <c r="DI147" s="529">
        <v>0</v>
      </c>
      <c r="DJ147" s="529">
        <v>0.63</v>
      </c>
      <c r="DK147" s="529">
        <v>0.56000000000000005</v>
      </c>
      <c r="DL147" s="529">
        <v>0.51</v>
      </c>
      <c r="DM147" s="529">
        <v>0.85</v>
      </c>
      <c r="DN147" s="529">
        <v>0.62</v>
      </c>
      <c r="DO147" s="529">
        <v>0.17</v>
      </c>
    </row>
    <row r="148" spans="1:119" ht="24.95" customHeight="1" x14ac:dyDescent="0.2">
      <c r="A148" s="814" t="s">
        <v>54</v>
      </c>
      <c r="B148" s="1" t="s">
        <v>221</v>
      </c>
      <c r="C148" s="2">
        <v>6</v>
      </c>
      <c r="D148" s="12">
        <v>59</v>
      </c>
      <c r="E148" s="12">
        <v>7</v>
      </c>
      <c r="F148" s="63">
        <v>0</v>
      </c>
      <c r="G148" s="63">
        <v>0.42</v>
      </c>
      <c r="H148" s="63">
        <v>0.56000000000000005</v>
      </c>
      <c r="I148" s="63">
        <v>0.03</v>
      </c>
      <c r="J148" s="63">
        <v>0.4</v>
      </c>
      <c r="K148" s="63">
        <v>0.43</v>
      </c>
      <c r="L148" s="63">
        <v>0.45</v>
      </c>
      <c r="M148" s="63">
        <v>0.2</v>
      </c>
      <c r="N148" s="63">
        <v>0.34</v>
      </c>
      <c r="O148" s="63">
        <v>0.44</v>
      </c>
      <c r="P148" s="12">
        <v>58</v>
      </c>
      <c r="Q148" s="12">
        <v>8</v>
      </c>
      <c r="R148" s="61">
        <v>0</v>
      </c>
      <c r="S148" s="61">
        <v>0.37</v>
      </c>
      <c r="T148" s="61">
        <v>0.56999999999999995</v>
      </c>
      <c r="U148" s="61">
        <v>0.06</v>
      </c>
      <c r="V148" s="61">
        <v>0.23</v>
      </c>
      <c r="W148" s="61">
        <v>0.35</v>
      </c>
      <c r="X148" s="61">
        <v>0.44</v>
      </c>
      <c r="Y148" s="61">
        <v>0.34</v>
      </c>
      <c r="Z148" s="61">
        <v>0.38</v>
      </c>
      <c r="AA148" s="61">
        <v>0.31</v>
      </c>
      <c r="AB148" s="12">
        <v>56</v>
      </c>
      <c r="AC148" s="12">
        <v>8</v>
      </c>
      <c r="AD148" s="63">
        <v>0</v>
      </c>
      <c r="AE148" s="63">
        <v>0.6</v>
      </c>
      <c r="AF148" s="63">
        <v>0.36</v>
      </c>
      <c r="AG148" s="63">
        <v>0.04</v>
      </c>
      <c r="AH148" s="63">
        <v>0.31</v>
      </c>
      <c r="AI148" s="63">
        <v>0.33</v>
      </c>
      <c r="AJ148" s="63">
        <v>0.27</v>
      </c>
      <c r="AK148" s="63">
        <v>0.44</v>
      </c>
      <c r="AL148" s="63">
        <v>0.42</v>
      </c>
      <c r="AM148" s="63">
        <v>0.41</v>
      </c>
      <c r="AN148" s="12">
        <v>56</v>
      </c>
      <c r="AO148" s="12">
        <v>11</v>
      </c>
      <c r="AP148" s="63">
        <v>0.1</v>
      </c>
      <c r="AQ148" s="63">
        <v>0.23</v>
      </c>
      <c r="AR148" s="63">
        <v>0.67</v>
      </c>
      <c r="AS148" s="63">
        <v>0</v>
      </c>
      <c r="AT148" s="63">
        <v>0.39</v>
      </c>
      <c r="AU148" s="63">
        <v>0.37</v>
      </c>
      <c r="AV148" s="63">
        <v>0.35</v>
      </c>
      <c r="AW148" s="63">
        <v>0.34</v>
      </c>
      <c r="AX148" s="63">
        <v>0.34</v>
      </c>
      <c r="AY148" s="63">
        <v>0.32</v>
      </c>
      <c r="AZ148" s="35">
        <v>55</v>
      </c>
      <c r="BA148" s="35">
        <v>12</v>
      </c>
      <c r="BB148" s="40">
        <v>0.16</v>
      </c>
      <c r="BC148" s="40">
        <v>0.36</v>
      </c>
      <c r="BD148" s="40">
        <v>0.4</v>
      </c>
      <c r="BE148" s="40">
        <v>0.08</v>
      </c>
      <c r="BF148" s="40">
        <v>0.41</v>
      </c>
      <c r="BG148" s="40">
        <v>0.42</v>
      </c>
      <c r="BH148" s="40">
        <v>0.37</v>
      </c>
      <c r="BI148" s="40">
        <v>0.51</v>
      </c>
      <c r="BJ148" s="40">
        <v>0.36</v>
      </c>
      <c r="BK148" s="40">
        <v>0.34</v>
      </c>
      <c r="BL148" s="247">
        <v>56</v>
      </c>
      <c r="BM148" s="247" t="s">
        <v>874</v>
      </c>
      <c r="BN148" s="247">
        <v>8</v>
      </c>
      <c r="BO148" s="247" t="s">
        <v>874</v>
      </c>
      <c r="BP148" s="264">
        <v>0.03</v>
      </c>
      <c r="BQ148" s="264">
        <v>0.52</v>
      </c>
      <c r="BR148" s="264">
        <v>0.42</v>
      </c>
      <c r="BS148" s="264">
        <v>0.03</v>
      </c>
      <c r="BT148" s="264">
        <v>0.38</v>
      </c>
      <c r="BU148" s="264">
        <v>0.38</v>
      </c>
      <c r="BV148" s="264">
        <v>0.45</v>
      </c>
      <c r="BW148" s="264">
        <v>0.38</v>
      </c>
      <c r="BX148" s="264">
        <v>0.37</v>
      </c>
      <c r="BY148" s="264">
        <v>0.39</v>
      </c>
      <c r="BZ148" s="311">
        <v>55</v>
      </c>
      <c r="CA148" s="311" t="s">
        <v>874</v>
      </c>
      <c r="CB148" s="311">
        <v>9</v>
      </c>
      <c r="CC148" s="311" t="s">
        <v>874</v>
      </c>
      <c r="CD148" s="329">
        <v>0.04</v>
      </c>
      <c r="CE148" s="329">
        <v>0.57999999999999996</v>
      </c>
      <c r="CF148" s="329">
        <v>0.35</v>
      </c>
      <c r="CG148" s="329">
        <v>0.04</v>
      </c>
      <c r="CH148" s="329">
        <v>0.54</v>
      </c>
      <c r="CI148" s="329">
        <v>0.28000000000000003</v>
      </c>
      <c r="CJ148" s="329">
        <v>0.56000000000000005</v>
      </c>
      <c r="CK148" s="329">
        <v>0.44</v>
      </c>
      <c r="CL148" s="329">
        <v>0.36</v>
      </c>
      <c r="CM148" s="329">
        <v>0.46</v>
      </c>
      <c r="CN148" s="426">
        <v>60</v>
      </c>
      <c r="CO148" s="426" t="s">
        <v>875</v>
      </c>
      <c r="CP148" s="426">
        <v>8</v>
      </c>
      <c r="CQ148" s="426" t="s">
        <v>874</v>
      </c>
      <c r="CR148" s="430">
        <v>0</v>
      </c>
      <c r="CS148" s="430">
        <v>0.35</v>
      </c>
      <c r="CT148" s="430">
        <v>0.61</v>
      </c>
      <c r="CU148" s="430">
        <v>0.04</v>
      </c>
      <c r="CV148" s="430">
        <v>0.17</v>
      </c>
      <c r="CW148" s="430">
        <v>0.37</v>
      </c>
      <c r="CX148" s="430">
        <v>0.39</v>
      </c>
      <c r="CY148" s="430">
        <v>0.5</v>
      </c>
      <c r="CZ148" s="527">
        <v>0.42</v>
      </c>
      <c r="DA148" s="527">
        <v>0.33</v>
      </c>
      <c r="DB148" s="528">
        <v>54</v>
      </c>
      <c r="DC148" s="528" t="s">
        <v>874</v>
      </c>
      <c r="DD148" s="528">
        <v>9</v>
      </c>
      <c r="DE148" s="528" t="s">
        <v>874</v>
      </c>
      <c r="DF148" s="529">
        <v>0.1</v>
      </c>
      <c r="DG148" s="529">
        <v>0.48</v>
      </c>
      <c r="DH148" s="529">
        <v>0.38</v>
      </c>
      <c r="DI148" s="529">
        <v>0.05</v>
      </c>
      <c r="DJ148" s="529">
        <v>0.53</v>
      </c>
      <c r="DK148" s="529">
        <v>0.33</v>
      </c>
      <c r="DL148" s="529">
        <v>0.43</v>
      </c>
      <c r="DM148" s="529">
        <v>0.55000000000000004</v>
      </c>
      <c r="DN148" s="529">
        <v>0.55000000000000004</v>
      </c>
      <c r="DO148" s="529">
        <v>0.33</v>
      </c>
    </row>
    <row r="149" spans="1:119" ht="24.95" customHeight="1" x14ac:dyDescent="0.2">
      <c r="A149" s="814" t="s">
        <v>844</v>
      </c>
      <c r="B149" s="1" t="s">
        <v>221</v>
      </c>
      <c r="C149" s="2">
        <v>4</v>
      </c>
      <c r="D149" s="12"/>
      <c r="E149" s="12"/>
      <c r="F149" s="63"/>
      <c r="G149" s="63"/>
      <c r="H149" s="63"/>
      <c r="I149" s="63"/>
      <c r="J149" s="63"/>
      <c r="K149" s="63"/>
      <c r="L149" s="63"/>
      <c r="M149" s="63"/>
      <c r="N149" s="63"/>
      <c r="O149" s="63"/>
      <c r="P149" s="12"/>
      <c r="Q149" s="12"/>
      <c r="R149" s="61"/>
      <c r="S149" s="61"/>
      <c r="T149" s="61"/>
      <c r="U149" s="61"/>
      <c r="V149" s="61"/>
      <c r="W149" s="61"/>
      <c r="X149" s="61"/>
      <c r="Y149" s="61"/>
      <c r="Z149" s="61"/>
      <c r="AA149" s="61"/>
      <c r="AB149" s="12"/>
      <c r="AC149" s="12"/>
      <c r="AD149" s="63"/>
      <c r="AE149" s="63"/>
      <c r="AF149" s="63"/>
      <c r="AG149" s="63"/>
      <c r="AH149" s="63"/>
      <c r="AI149" s="63"/>
      <c r="AJ149" s="63"/>
      <c r="AK149" s="63"/>
      <c r="AL149" s="63"/>
      <c r="AM149" s="63"/>
      <c r="AN149" s="12"/>
      <c r="AO149" s="12"/>
      <c r="AP149" s="63"/>
      <c r="AQ149" s="63"/>
      <c r="AR149" s="63"/>
      <c r="AS149" s="63"/>
      <c r="AT149" s="63"/>
      <c r="AU149" s="63"/>
      <c r="AV149" s="63"/>
      <c r="AW149" s="63"/>
      <c r="AX149" s="63"/>
      <c r="AY149" s="63"/>
      <c r="AZ149" s="35"/>
      <c r="BA149" s="35"/>
      <c r="BB149" s="40"/>
      <c r="BC149" s="40"/>
      <c r="BD149" s="40"/>
      <c r="BE149" s="40"/>
      <c r="BF149" s="40"/>
      <c r="BG149" s="40"/>
      <c r="BH149" s="40"/>
      <c r="BI149" s="40"/>
      <c r="BJ149" s="40"/>
      <c r="BK149" s="40"/>
      <c r="BL149" s="652"/>
      <c r="BM149" s="652"/>
      <c r="BN149" s="652"/>
      <c r="BO149" s="652"/>
      <c r="BP149" s="652"/>
      <c r="BQ149" s="652"/>
      <c r="BR149" s="652"/>
      <c r="BS149" s="652"/>
      <c r="BT149" s="652"/>
      <c r="BU149" s="652"/>
      <c r="BV149" s="652"/>
      <c r="BW149" s="652"/>
      <c r="BX149" s="652"/>
      <c r="BY149" s="652"/>
      <c r="BZ149" s="655"/>
      <c r="CA149" s="655"/>
      <c r="CB149" s="655"/>
      <c r="CC149" s="655"/>
      <c r="CD149" s="655"/>
      <c r="CE149" s="655"/>
      <c r="CF149" s="655"/>
      <c r="CG149" s="655"/>
      <c r="CH149" s="655"/>
      <c r="CI149" s="655"/>
      <c r="CJ149" s="655"/>
      <c r="CK149" s="655"/>
      <c r="CL149" s="655"/>
      <c r="CM149" s="655"/>
      <c r="CN149" s="426">
        <v>51</v>
      </c>
      <c r="CO149" s="426" t="s">
        <v>874</v>
      </c>
      <c r="CP149" s="426">
        <v>8</v>
      </c>
      <c r="CQ149" s="426" t="s">
        <v>874</v>
      </c>
      <c r="CR149" s="430">
        <v>0</v>
      </c>
      <c r="CS149" s="430">
        <v>0.75</v>
      </c>
      <c r="CT149" s="430">
        <v>0.25</v>
      </c>
      <c r="CU149" s="430">
        <v>0</v>
      </c>
      <c r="CV149" s="430">
        <v>0.36</v>
      </c>
      <c r="CW149" s="430">
        <v>0.54</v>
      </c>
      <c r="CX149" s="430">
        <v>0.54</v>
      </c>
      <c r="CY149" s="430">
        <v>0.67</v>
      </c>
      <c r="CZ149" s="527">
        <v>0.59</v>
      </c>
      <c r="DA149" s="527">
        <v>0.67</v>
      </c>
      <c r="DB149" s="619"/>
      <c r="DC149" s="619"/>
      <c r="DD149" s="619"/>
      <c r="DE149" s="619"/>
      <c r="DF149" s="664"/>
      <c r="DG149" s="664"/>
      <c r="DH149" s="664"/>
      <c r="DI149" s="664"/>
      <c r="DJ149" s="664"/>
      <c r="DK149" s="664"/>
      <c r="DL149" s="664"/>
      <c r="DM149" s="664"/>
      <c r="DN149" s="664"/>
      <c r="DO149" s="664"/>
    </row>
    <row r="150" spans="1:119" ht="24.95" customHeight="1" x14ac:dyDescent="0.2">
      <c r="A150" s="814" t="s">
        <v>142</v>
      </c>
      <c r="B150" s="1" t="s">
        <v>221</v>
      </c>
      <c r="C150" s="2">
        <v>2</v>
      </c>
      <c r="D150" s="12">
        <v>44</v>
      </c>
      <c r="E150" s="12">
        <v>10</v>
      </c>
      <c r="F150" s="63">
        <v>0.38</v>
      </c>
      <c r="G150" s="63">
        <v>0.38</v>
      </c>
      <c r="H150" s="63">
        <v>0.25</v>
      </c>
      <c r="I150" s="63">
        <v>0</v>
      </c>
      <c r="J150" s="63">
        <v>0.59</v>
      </c>
      <c r="K150" s="63">
        <v>0.6</v>
      </c>
      <c r="L150" s="63">
        <v>0.72</v>
      </c>
      <c r="M150" s="63">
        <v>0.44</v>
      </c>
      <c r="N150" s="63">
        <v>0.56000000000000005</v>
      </c>
      <c r="O150" s="63">
        <v>0.64</v>
      </c>
      <c r="P150" s="12">
        <v>53</v>
      </c>
      <c r="Q150" s="12">
        <v>10</v>
      </c>
      <c r="R150" s="61">
        <v>0</v>
      </c>
      <c r="S150" s="61">
        <v>0.78</v>
      </c>
      <c r="T150" s="61">
        <v>0.11</v>
      </c>
      <c r="U150" s="61">
        <v>0.11</v>
      </c>
      <c r="V150" s="61">
        <v>0.38</v>
      </c>
      <c r="W150" s="61">
        <v>0.54</v>
      </c>
      <c r="X150" s="61">
        <v>0.56999999999999995</v>
      </c>
      <c r="Y150" s="61">
        <v>0.39</v>
      </c>
      <c r="Z150" s="61">
        <v>0.41</v>
      </c>
      <c r="AA150" s="61">
        <v>0.47</v>
      </c>
      <c r="AB150" s="12">
        <v>49</v>
      </c>
      <c r="AC150" s="12">
        <v>8</v>
      </c>
      <c r="AD150" s="63">
        <v>0.27</v>
      </c>
      <c r="AE150" s="63">
        <v>0.47</v>
      </c>
      <c r="AF150" s="63">
        <v>0.27</v>
      </c>
      <c r="AG150" s="63">
        <v>0</v>
      </c>
      <c r="AH150" s="63">
        <v>0.49</v>
      </c>
      <c r="AI150" s="63">
        <v>0.47</v>
      </c>
      <c r="AJ150" s="63">
        <v>0.34</v>
      </c>
      <c r="AK150" s="63">
        <v>0.53</v>
      </c>
      <c r="AL150" s="63">
        <v>0.67</v>
      </c>
      <c r="AM150" s="63">
        <v>0.44</v>
      </c>
      <c r="AN150" s="12">
        <v>40</v>
      </c>
      <c r="AO150" s="12">
        <v>10</v>
      </c>
      <c r="AP150" s="63">
        <v>0.55000000000000004</v>
      </c>
      <c r="AQ150" s="63">
        <v>0.45</v>
      </c>
      <c r="AR150" s="63">
        <v>0</v>
      </c>
      <c r="AS150" s="63">
        <v>0</v>
      </c>
      <c r="AT150" s="63">
        <v>0.82</v>
      </c>
      <c r="AU150" s="63">
        <v>0.61</v>
      </c>
      <c r="AV150" s="63">
        <v>0.65</v>
      </c>
      <c r="AW150" s="63">
        <v>0.52</v>
      </c>
      <c r="AX150" s="63">
        <v>0.62</v>
      </c>
      <c r="AY150" s="63">
        <v>0.52</v>
      </c>
      <c r="AZ150" s="35">
        <v>45</v>
      </c>
      <c r="BA150" s="35">
        <v>11</v>
      </c>
      <c r="BB150" s="40">
        <v>0.36</v>
      </c>
      <c r="BC150" s="40">
        <v>0.5</v>
      </c>
      <c r="BD150" s="40">
        <v>7.0000000000000007E-2</v>
      </c>
      <c r="BE150" s="40">
        <v>7.0000000000000007E-2</v>
      </c>
      <c r="BF150" s="40">
        <v>0.56000000000000005</v>
      </c>
      <c r="BG150" s="40">
        <v>0.6</v>
      </c>
      <c r="BH150" s="40">
        <v>0.65</v>
      </c>
      <c r="BI150" s="40">
        <v>0.56999999999999995</v>
      </c>
      <c r="BJ150" s="40">
        <v>0.52</v>
      </c>
      <c r="BK150" s="40">
        <v>0.44</v>
      </c>
      <c r="BL150" s="653">
        <v>50</v>
      </c>
      <c r="BM150" s="653" t="s">
        <v>874</v>
      </c>
      <c r="BN150" s="653">
        <v>10</v>
      </c>
      <c r="BO150" s="653" t="s">
        <v>874</v>
      </c>
      <c r="BP150" s="654">
        <v>0.15</v>
      </c>
      <c r="BQ150" s="654">
        <v>0.54</v>
      </c>
      <c r="BR150" s="654">
        <v>0.31</v>
      </c>
      <c r="BS150" s="654">
        <v>0</v>
      </c>
      <c r="BT150" s="654">
        <v>0.47</v>
      </c>
      <c r="BU150" s="654">
        <v>0.41</v>
      </c>
      <c r="BV150" s="654">
        <v>0.62</v>
      </c>
      <c r="BW150" s="654">
        <v>0.45</v>
      </c>
      <c r="BX150" s="654">
        <v>0.52</v>
      </c>
      <c r="BY150" s="654">
        <v>0.48</v>
      </c>
      <c r="BZ150" s="74">
        <v>54</v>
      </c>
      <c r="CA150" s="74" t="s">
        <v>874</v>
      </c>
      <c r="CB150" s="74">
        <v>7</v>
      </c>
      <c r="CC150" s="74" t="s">
        <v>876</v>
      </c>
      <c r="CD150" s="96">
        <v>0</v>
      </c>
      <c r="CE150" s="96">
        <v>0.64</v>
      </c>
      <c r="CF150" s="96">
        <v>0.36</v>
      </c>
      <c r="CG150" s="96">
        <v>0</v>
      </c>
      <c r="CH150" s="96">
        <v>0.62</v>
      </c>
      <c r="CI150" s="96">
        <v>0.26</v>
      </c>
      <c r="CJ150" s="96">
        <v>0.56999999999999995</v>
      </c>
      <c r="CK150" s="96">
        <v>0.56000000000000005</v>
      </c>
      <c r="CL150" s="96">
        <v>0.35</v>
      </c>
      <c r="CM150" s="96">
        <v>0.49</v>
      </c>
      <c r="CN150" s="426">
        <v>54</v>
      </c>
      <c r="CO150" s="426" t="s">
        <v>874</v>
      </c>
      <c r="CP150" s="426">
        <v>9</v>
      </c>
      <c r="CQ150" s="426" t="s">
        <v>874</v>
      </c>
      <c r="CR150" s="430">
        <v>0.16</v>
      </c>
      <c r="CS150" s="430">
        <v>0.32</v>
      </c>
      <c r="CT150" s="430">
        <v>0.53</v>
      </c>
      <c r="CU150" s="430">
        <v>0</v>
      </c>
      <c r="CV150" s="430">
        <v>0.34</v>
      </c>
      <c r="CW150" s="430">
        <v>0.46</v>
      </c>
      <c r="CX150" s="430">
        <v>0.48</v>
      </c>
      <c r="CY150" s="430">
        <v>0.55000000000000004</v>
      </c>
      <c r="CZ150" s="527">
        <v>0.46</v>
      </c>
      <c r="DA150" s="527">
        <v>0.37</v>
      </c>
      <c r="DB150" s="618">
        <v>56</v>
      </c>
      <c r="DC150" s="618" t="s">
        <v>874</v>
      </c>
      <c r="DD150" s="618">
        <v>11</v>
      </c>
      <c r="DE150" s="618" t="s">
        <v>874</v>
      </c>
      <c r="DF150" s="669">
        <v>0.11</v>
      </c>
      <c r="DG150" s="669">
        <v>0.21</v>
      </c>
      <c r="DH150" s="669">
        <v>0.63</v>
      </c>
      <c r="DI150" s="669">
        <v>0.05</v>
      </c>
      <c r="DJ150" s="669">
        <v>0.44</v>
      </c>
      <c r="DK150" s="669">
        <v>0.32</v>
      </c>
      <c r="DL150" s="669">
        <v>0.39</v>
      </c>
      <c r="DM150" s="669">
        <v>0.55000000000000004</v>
      </c>
      <c r="DN150" s="669">
        <v>0.46</v>
      </c>
      <c r="DO150" s="669">
        <v>0.25</v>
      </c>
    </row>
    <row r="151" spans="1:119" ht="24.95" customHeight="1" x14ac:dyDescent="0.2">
      <c r="A151" s="814" t="s">
        <v>149</v>
      </c>
      <c r="B151" s="1" t="s">
        <v>221</v>
      </c>
      <c r="C151" s="2">
        <v>5</v>
      </c>
      <c r="D151" s="12">
        <v>52</v>
      </c>
      <c r="E151" s="12">
        <v>9</v>
      </c>
      <c r="F151" s="63">
        <v>0.12</v>
      </c>
      <c r="G151" s="63">
        <v>0.55000000000000004</v>
      </c>
      <c r="H151" s="63">
        <v>0.33</v>
      </c>
      <c r="I151" s="63">
        <v>0</v>
      </c>
      <c r="J151" s="63">
        <v>0.53</v>
      </c>
      <c r="K151" s="63">
        <v>0.51</v>
      </c>
      <c r="L151" s="63">
        <v>0.65</v>
      </c>
      <c r="M151" s="63">
        <v>0.37</v>
      </c>
      <c r="N151" s="63">
        <v>0.4</v>
      </c>
      <c r="O151" s="63">
        <v>0.47</v>
      </c>
      <c r="P151" s="12">
        <v>47</v>
      </c>
      <c r="Q151" s="12">
        <v>11</v>
      </c>
      <c r="R151" s="61">
        <v>0.32</v>
      </c>
      <c r="S151" s="61">
        <v>0.49</v>
      </c>
      <c r="T151" s="61">
        <v>0.2</v>
      </c>
      <c r="U151" s="61">
        <v>0</v>
      </c>
      <c r="V151" s="61">
        <v>0.46</v>
      </c>
      <c r="W151" s="61">
        <v>0.59</v>
      </c>
      <c r="X151" s="61">
        <v>0.56000000000000005</v>
      </c>
      <c r="Y151" s="61">
        <v>0.51</v>
      </c>
      <c r="Z151" s="61">
        <v>0.47</v>
      </c>
      <c r="AA151" s="61">
        <v>0.57999999999999996</v>
      </c>
      <c r="AB151" s="12">
        <v>45</v>
      </c>
      <c r="AC151" s="12">
        <v>8</v>
      </c>
      <c r="AD151" s="63">
        <v>0.34</v>
      </c>
      <c r="AE151" s="63">
        <v>0.5</v>
      </c>
      <c r="AF151" s="63">
        <v>0.16</v>
      </c>
      <c r="AG151" s="63">
        <v>0</v>
      </c>
      <c r="AH151" s="63">
        <v>0.53</v>
      </c>
      <c r="AI151" s="63">
        <v>0.49</v>
      </c>
      <c r="AJ151" s="63">
        <v>0.5</v>
      </c>
      <c r="AK151" s="63">
        <v>0.57999999999999996</v>
      </c>
      <c r="AL151" s="63">
        <v>0.63</v>
      </c>
      <c r="AM151" s="63">
        <v>0.62</v>
      </c>
      <c r="AN151" s="12">
        <v>49</v>
      </c>
      <c r="AO151" s="12">
        <v>11</v>
      </c>
      <c r="AP151" s="63">
        <v>0.28999999999999998</v>
      </c>
      <c r="AQ151" s="63">
        <v>0.38</v>
      </c>
      <c r="AR151" s="63">
        <v>0.33</v>
      </c>
      <c r="AS151" s="63">
        <v>0</v>
      </c>
      <c r="AT151" s="63">
        <v>0.49</v>
      </c>
      <c r="AU151" s="63">
        <v>0.47</v>
      </c>
      <c r="AV151" s="63">
        <v>0.45</v>
      </c>
      <c r="AW151" s="63">
        <v>0.45</v>
      </c>
      <c r="AX151" s="63">
        <v>0.53</v>
      </c>
      <c r="AY151" s="63">
        <v>0.39</v>
      </c>
      <c r="AZ151" s="35">
        <v>46</v>
      </c>
      <c r="BA151" s="35">
        <v>11</v>
      </c>
      <c r="BB151" s="40">
        <v>0.22</v>
      </c>
      <c r="BC151" s="40">
        <v>0.61</v>
      </c>
      <c r="BD151" s="40">
        <v>0.17</v>
      </c>
      <c r="BE151" s="40">
        <v>0</v>
      </c>
      <c r="BF151" s="40">
        <v>0.62</v>
      </c>
      <c r="BG151" s="40">
        <v>0.55000000000000004</v>
      </c>
      <c r="BH151" s="40">
        <v>0.48</v>
      </c>
      <c r="BI151" s="40">
        <v>0.59</v>
      </c>
      <c r="BJ151" s="40">
        <v>0.49</v>
      </c>
      <c r="BK151" s="40">
        <v>0.49</v>
      </c>
      <c r="BL151" s="247">
        <v>45</v>
      </c>
      <c r="BM151" s="247" t="s">
        <v>874</v>
      </c>
      <c r="BN151" s="247">
        <v>10</v>
      </c>
      <c r="BO151" s="247" t="s">
        <v>874</v>
      </c>
      <c r="BP151" s="264">
        <v>0.41</v>
      </c>
      <c r="BQ151" s="264">
        <v>0.45</v>
      </c>
      <c r="BR151" s="264">
        <v>0.14000000000000001</v>
      </c>
      <c r="BS151" s="264">
        <v>0</v>
      </c>
      <c r="BT151" s="264">
        <v>0.55000000000000004</v>
      </c>
      <c r="BU151" s="264">
        <v>0.55000000000000004</v>
      </c>
      <c r="BV151" s="264">
        <v>0.48</v>
      </c>
      <c r="BW151" s="264">
        <v>0.5</v>
      </c>
      <c r="BX151" s="264">
        <v>0.54</v>
      </c>
      <c r="BY151" s="264">
        <v>0.6</v>
      </c>
      <c r="BZ151" s="311">
        <v>46</v>
      </c>
      <c r="CA151" s="311" t="s">
        <v>874</v>
      </c>
      <c r="CB151" s="311">
        <v>10</v>
      </c>
      <c r="CC151" s="311" t="s">
        <v>874</v>
      </c>
      <c r="CD151" s="329">
        <v>0.31</v>
      </c>
      <c r="CE151" s="329">
        <v>0.54</v>
      </c>
      <c r="CF151" s="329">
        <v>0.15</v>
      </c>
      <c r="CG151" s="329">
        <v>0</v>
      </c>
      <c r="CH151" s="329">
        <v>0.46</v>
      </c>
      <c r="CI151" s="329">
        <v>0.47</v>
      </c>
      <c r="CJ151" s="329">
        <v>0.63</v>
      </c>
      <c r="CK151" s="329">
        <v>0.56999999999999995</v>
      </c>
      <c r="CL151" s="329">
        <v>0.4</v>
      </c>
      <c r="CM151" s="329">
        <v>0.55000000000000004</v>
      </c>
      <c r="CN151" s="426">
        <v>46</v>
      </c>
      <c r="CO151" s="426" t="s">
        <v>874</v>
      </c>
      <c r="CP151" s="426">
        <v>9</v>
      </c>
      <c r="CQ151" s="426" t="s">
        <v>874</v>
      </c>
      <c r="CR151" s="430">
        <v>0.28999999999999998</v>
      </c>
      <c r="CS151" s="430">
        <v>0.49</v>
      </c>
      <c r="CT151" s="430">
        <v>0.23</v>
      </c>
      <c r="CU151" s="430">
        <v>0</v>
      </c>
      <c r="CV151" s="430">
        <v>0.49</v>
      </c>
      <c r="CW151" s="430">
        <v>0.6</v>
      </c>
      <c r="CX151" s="430">
        <v>0.63</v>
      </c>
      <c r="CY151" s="430">
        <v>0.67</v>
      </c>
      <c r="CZ151" s="527">
        <v>0.56000000000000005</v>
      </c>
      <c r="DA151" s="527">
        <v>0.72</v>
      </c>
      <c r="DB151" s="528">
        <v>50</v>
      </c>
      <c r="DC151" s="528" t="s">
        <v>874</v>
      </c>
      <c r="DD151" s="528">
        <v>9</v>
      </c>
      <c r="DE151" s="528" t="s">
        <v>874</v>
      </c>
      <c r="DF151" s="529">
        <v>0.16</v>
      </c>
      <c r="DG151" s="529">
        <v>0.59</v>
      </c>
      <c r="DH151" s="529">
        <v>0.23</v>
      </c>
      <c r="DI151" s="529">
        <v>0.02</v>
      </c>
      <c r="DJ151" s="529">
        <v>0.47</v>
      </c>
      <c r="DK151" s="529">
        <v>0.52</v>
      </c>
      <c r="DL151" s="529">
        <v>0.45</v>
      </c>
      <c r="DM151" s="529">
        <v>0.63</v>
      </c>
      <c r="DN151" s="529">
        <v>0.56999999999999995</v>
      </c>
      <c r="DO151" s="529">
        <v>0.36</v>
      </c>
    </row>
    <row r="152" spans="1:119" ht="24.95" customHeight="1" x14ac:dyDescent="0.2">
      <c r="A152" s="814" t="s">
        <v>140</v>
      </c>
      <c r="B152" s="1" t="s">
        <v>221</v>
      </c>
      <c r="C152" s="2">
        <v>2</v>
      </c>
      <c r="D152" s="12">
        <v>49</v>
      </c>
      <c r="E152" s="12">
        <v>11</v>
      </c>
      <c r="F152" s="63">
        <v>0.38</v>
      </c>
      <c r="G152" s="63">
        <v>0.25</v>
      </c>
      <c r="H152" s="63">
        <v>0.38</v>
      </c>
      <c r="I152" s="63">
        <v>0</v>
      </c>
      <c r="J152" s="63">
        <v>0.56000000000000005</v>
      </c>
      <c r="K152" s="63">
        <v>0.61</v>
      </c>
      <c r="L152" s="63">
        <v>0.56000000000000005</v>
      </c>
      <c r="M152" s="63">
        <v>0.41</v>
      </c>
      <c r="N152" s="63">
        <v>0.44</v>
      </c>
      <c r="O152" s="63">
        <v>0.63</v>
      </c>
      <c r="P152" s="12">
        <v>55</v>
      </c>
      <c r="Q152" s="12">
        <v>7</v>
      </c>
      <c r="R152" s="61">
        <v>0</v>
      </c>
      <c r="S152" s="61">
        <v>0.55000000000000004</v>
      </c>
      <c r="T152" s="61">
        <v>0.45</v>
      </c>
      <c r="U152" s="61">
        <v>0</v>
      </c>
      <c r="V152" s="61">
        <v>0.34</v>
      </c>
      <c r="W152" s="61">
        <v>0.4</v>
      </c>
      <c r="X152" s="61">
        <v>0.52</v>
      </c>
      <c r="Y152" s="61">
        <v>0.49</v>
      </c>
      <c r="Z152" s="61">
        <v>0.33</v>
      </c>
      <c r="AA152" s="61">
        <v>0.38</v>
      </c>
      <c r="AB152" s="12">
        <v>54</v>
      </c>
      <c r="AC152" s="12">
        <v>9</v>
      </c>
      <c r="AD152" s="63">
        <v>0.09</v>
      </c>
      <c r="AE152" s="63">
        <v>0.48</v>
      </c>
      <c r="AF152" s="63">
        <v>0.39</v>
      </c>
      <c r="AG152" s="63">
        <v>0.04</v>
      </c>
      <c r="AH152" s="63">
        <v>0.4</v>
      </c>
      <c r="AI152" s="63">
        <v>0.33</v>
      </c>
      <c r="AJ152" s="63">
        <v>0.34</v>
      </c>
      <c r="AK152" s="63">
        <v>0.41</v>
      </c>
      <c r="AL152" s="63">
        <v>0.43</v>
      </c>
      <c r="AM152" s="63">
        <v>0.42</v>
      </c>
      <c r="AN152" s="12">
        <v>49</v>
      </c>
      <c r="AO152" s="12">
        <v>9</v>
      </c>
      <c r="AP152" s="63">
        <v>0.15</v>
      </c>
      <c r="AQ152" s="63">
        <v>0.57999999999999996</v>
      </c>
      <c r="AR152" s="63">
        <v>0.27</v>
      </c>
      <c r="AS152" s="63">
        <v>0</v>
      </c>
      <c r="AT152" s="63">
        <v>0.56000000000000005</v>
      </c>
      <c r="AU152" s="63">
        <v>0.45</v>
      </c>
      <c r="AV152" s="63">
        <v>0.42</v>
      </c>
      <c r="AW152" s="63">
        <v>0.44</v>
      </c>
      <c r="AX152" s="63">
        <v>0.45</v>
      </c>
      <c r="AY152" s="63">
        <v>0.47</v>
      </c>
      <c r="AZ152" s="35">
        <v>50</v>
      </c>
      <c r="BA152" s="35">
        <v>9</v>
      </c>
      <c r="BB152" s="40">
        <v>0.13</v>
      </c>
      <c r="BC152" s="40">
        <v>0.61</v>
      </c>
      <c r="BD152" s="40">
        <v>0.23</v>
      </c>
      <c r="BE152" s="40">
        <v>0.03</v>
      </c>
      <c r="BF152" s="40">
        <v>0.51</v>
      </c>
      <c r="BG152" s="40">
        <v>0.55000000000000004</v>
      </c>
      <c r="BH152" s="40">
        <v>0.44</v>
      </c>
      <c r="BI152" s="40">
        <v>0.54</v>
      </c>
      <c r="BJ152" s="40">
        <v>0.44</v>
      </c>
      <c r="BK152" s="40">
        <v>0.36</v>
      </c>
      <c r="BL152" s="247">
        <v>46</v>
      </c>
      <c r="BM152" s="247" t="s">
        <v>874</v>
      </c>
      <c r="BN152" s="247">
        <v>8</v>
      </c>
      <c r="BO152" s="247" t="s">
        <v>874</v>
      </c>
      <c r="BP152" s="264">
        <v>0.18</v>
      </c>
      <c r="BQ152" s="264">
        <v>0.71</v>
      </c>
      <c r="BR152" s="264">
        <v>0.12</v>
      </c>
      <c r="BS152" s="264">
        <v>0</v>
      </c>
      <c r="BT152" s="264">
        <v>0.49</v>
      </c>
      <c r="BU152" s="264">
        <v>0.57999999999999996</v>
      </c>
      <c r="BV152" s="264">
        <v>0.63</v>
      </c>
      <c r="BW152" s="264">
        <v>0.5</v>
      </c>
      <c r="BX152" s="264">
        <v>0.47</v>
      </c>
      <c r="BY152" s="264">
        <v>0.56999999999999995</v>
      </c>
      <c r="BZ152" s="311">
        <v>47</v>
      </c>
      <c r="CA152" s="311" t="s">
        <v>874</v>
      </c>
      <c r="CB152" s="311">
        <v>11</v>
      </c>
      <c r="CC152" s="311" t="s">
        <v>874</v>
      </c>
      <c r="CD152" s="329">
        <v>0.35</v>
      </c>
      <c r="CE152" s="329">
        <v>0.38</v>
      </c>
      <c r="CF152" s="329">
        <v>0.25</v>
      </c>
      <c r="CG152" s="329">
        <v>0.03</v>
      </c>
      <c r="CH152" s="329">
        <v>0.52</v>
      </c>
      <c r="CI152" s="329">
        <v>0.46</v>
      </c>
      <c r="CJ152" s="329">
        <v>0.61</v>
      </c>
      <c r="CK152" s="329">
        <v>0.55000000000000004</v>
      </c>
      <c r="CL152" s="329">
        <v>0.5</v>
      </c>
      <c r="CM152" s="329">
        <v>0.57999999999999996</v>
      </c>
      <c r="CN152" s="426">
        <v>50</v>
      </c>
      <c r="CO152" s="426" t="s">
        <v>874</v>
      </c>
      <c r="CP152" s="426">
        <v>11</v>
      </c>
      <c r="CQ152" s="426" t="s">
        <v>874</v>
      </c>
      <c r="CR152" s="430">
        <v>0.24</v>
      </c>
      <c r="CS152" s="430">
        <v>0.39</v>
      </c>
      <c r="CT152" s="430">
        <v>0.32</v>
      </c>
      <c r="CU152" s="430">
        <v>0.05</v>
      </c>
      <c r="CV152" s="430">
        <v>0.32</v>
      </c>
      <c r="CW152" s="430">
        <v>0.48</v>
      </c>
      <c r="CX152" s="430">
        <v>0.55000000000000004</v>
      </c>
      <c r="CY152" s="430">
        <v>0.5</v>
      </c>
      <c r="CZ152" s="527">
        <v>0.52</v>
      </c>
      <c r="DA152" s="527">
        <v>0.47</v>
      </c>
      <c r="DB152" s="528">
        <v>48</v>
      </c>
      <c r="DC152" s="528" t="s">
        <v>874</v>
      </c>
      <c r="DD152" s="528">
        <v>10</v>
      </c>
      <c r="DE152" s="528" t="s">
        <v>874</v>
      </c>
      <c r="DF152" s="529">
        <v>0.26</v>
      </c>
      <c r="DG152" s="529">
        <v>0.47</v>
      </c>
      <c r="DH152" s="529">
        <v>0.26</v>
      </c>
      <c r="DI152" s="529">
        <v>0</v>
      </c>
      <c r="DJ152" s="529">
        <v>0.53</v>
      </c>
      <c r="DK152" s="529">
        <v>0.49</v>
      </c>
      <c r="DL152" s="529">
        <v>0.56000000000000005</v>
      </c>
      <c r="DM152" s="529">
        <v>0.7</v>
      </c>
      <c r="DN152" s="529">
        <v>0.62</v>
      </c>
      <c r="DO152" s="529">
        <v>0.56000000000000005</v>
      </c>
    </row>
    <row r="153" spans="1:119" ht="24.95" customHeight="1" x14ac:dyDescent="0.2">
      <c r="A153" s="814" t="s">
        <v>122</v>
      </c>
      <c r="B153" s="1" t="s">
        <v>221</v>
      </c>
      <c r="C153" s="2">
        <v>6</v>
      </c>
      <c r="D153" s="12">
        <v>53</v>
      </c>
      <c r="E153" s="12">
        <v>9</v>
      </c>
      <c r="F153" s="63">
        <v>0.08</v>
      </c>
      <c r="G153" s="63">
        <v>0.48</v>
      </c>
      <c r="H153" s="63">
        <v>0.42</v>
      </c>
      <c r="I153" s="63">
        <v>0.02</v>
      </c>
      <c r="J153" s="63">
        <v>0.49</v>
      </c>
      <c r="K153" s="63">
        <v>0.46</v>
      </c>
      <c r="L153" s="63">
        <v>0.57999999999999996</v>
      </c>
      <c r="M153" s="63">
        <v>0.44</v>
      </c>
      <c r="N153" s="63">
        <v>0.41</v>
      </c>
      <c r="O153" s="63">
        <v>0.5</v>
      </c>
      <c r="P153" s="12">
        <v>53</v>
      </c>
      <c r="Q153" s="12">
        <v>9</v>
      </c>
      <c r="R153" s="61">
        <v>0.08</v>
      </c>
      <c r="S153" s="61">
        <v>0.53</v>
      </c>
      <c r="T153" s="61">
        <v>0.37</v>
      </c>
      <c r="U153" s="61">
        <v>0.02</v>
      </c>
      <c r="V153" s="61">
        <v>0.37</v>
      </c>
      <c r="W153" s="61">
        <v>0.43</v>
      </c>
      <c r="X153" s="61">
        <v>0.55000000000000004</v>
      </c>
      <c r="Y153" s="61">
        <v>0.43</v>
      </c>
      <c r="Z153" s="61">
        <v>0.4</v>
      </c>
      <c r="AA153" s="61">
        <v>0.47</v>
      </c>
      <c r="AB153" s="12">
        <v>52</v>
      </c>
      <c r="AC153" s="12">
        <v>10</v>
      </c>
      <c r="AD153" s="63">
        <v>0.13</v>
      </c>
      <c r="AE153" s="63">
        <v>0.5</v>
      </c>
      <c r="AF153" s="63">
        <v>0.34</v>
      </c>
      <c r="AG153" s="63">
        <v>0.03</v>
      </c>
      <c r="AH153" s="63">
        <v>0.38</v>
      </c>
      <c r="AI153" s="63">
        <v>0.41</v>
      </c>
      <c r="AJ153" s="63">
        <v>0.37</v>
      </c>
      <c r="AK153" s="63">
        <v>0.44</v>
      </c>
      <c r="AL153" s="63">
        <v>0.54</v>
      </c>
      <c r="AM153" s="63">
        <v>0.47</v>
      </c>
      <c r="AN153" s="12">
        <v>49</v>
      </c>
      <c r="AO153" s="12">
        <v>11</v>
      </c>
      <c r="AP153" s="63">
        <v>0.24</v>
      </c>
      <c r="AQ153" s="63">
        <v>0.45</v>
      </c>
      <c r="AR153" s="63">
        <v>0.28999999999999998</v>
      </c>
      <c r="AS153" s="63">
        <v>0.02</v>
      </c>
      <c r="AT153" s="63">
        <v>0.53</v>
      </c>
      <c r="AU153" s="63">
        <v>0.48</v>
      </c>
      <c r="AV153" s="63">
        <v>0.45</v>
      </c>
      <c r="AW153" s="63">
        <v>0.46</v>
      </c>
      <c r="AX153" s="63">
        <v>0.44</v>
      </c>
      <c r="AY153" s="63">
        <v>0.44</v>
      </c>
      <c r="AZ153" s="35">
        <v>49</v>
      </c>
      <c r="BA153" s="35">
        <v>11</v>
      </c>
      <c r="BB153" s="40">
        <v>0.24</v>
      </c>
      <c r="BC153" s="40">
        <v>0.44</v>
      </c>
      <c r="BD153" s="40">
        <v>0.3</v>
      </c>
      <c r="BE153" s="40">
        <v>0.02</v>
      </c>
      <c r="BF153" s="40">
        <v>0.49</v>
      </c>
      <c r="BG153" s="40">
        <v>0.48</v>
      </c>
      <c r="BH153" s="40">
        <v>0.48</v>
      </c>
      <c r="BI153" s="40">
        <v>0.56000000000000005</v>
      </c>
      <c r="BJ153" s="40">
        <v>0.47</v>
      </c>
      <c r="BK153" s="40">
        <v>0.42</v>
      </c>
      <c r="BL153" s="247">
        <v>48</v>
      </c>
      <c r="BM153" s="247" t="s">
        <v>874</v>
      </c>
      <c r="BN153" s="247">
        <v>12</v>
      </c>
      <c r="BO153" s="247" t="s">
        <v>874</v>
      </c>
      <c r="BP153" s="264">
        <v>0.28000000000000003</v>
      </c>
      <c r="BQ153" s="264">
        <v>0.36</v>
      </c>
      <c r="BR153" s="264">
        <v>0.34</v>
      </c>
      <c r="BS153" s="264">
        <v>0.01</v>
      </c>
      <c r="BT153" s="264">
        <v>0.48</v>
      </c>
      <c r="BU153" s="264">
        <v>0.5</v>
      </c>
      <c r="BV153" s="264">
        <v>0.55000000000000004</v>
      </c>
      <c r="BW153" s="264">
        <v>0.45</v>
      </c>
      <c r="BX153" s="264">
        <v>0.45</v>
      </c>
      <c r="BY153" s="264">
        <v>0.52</v>
      </c>
      <c r="BZ153" s="311">
        <v>50</v>
      </c>
      <c r="CA153" s="311" t="s">
        <v>874</v>
      </c>
      <c r="CB153" s="311">
        <v>11</v>
      </c>
      <c r="CC153" s="311" t="s">
        <v>874</v>
      </c>
      <c r="CD153" s="329">
        <v>0.21</v>
      </c>
      <c r="CE153" s="329">
        <v>0.47</v>
      </c>
      <c r="CF153" s="329">
        <v>0.28000000000000003</v>
      </c>
      <c r="CG153" s="329">
        <v>0.04</v>
      </c>
      <c r="CH153" s="329">
        <v>0.51</v>
      </c>
      <c r="CI153" s="329">
        <v>0.35</v>
      </c>
      <c r="CJ153" s="329">
        <v>0.55000000000000004</v>
      </c>
      <c r="CK153" s="329">
        <v>0.54</v>
      </c>
      <c r="CL153" s="329">
        <v>0.43</v>
      </c>
      <c r="CM153" s="329">
        <v>0.57999999999999996</v>
      </c>
      <c r="CN153" s="426">
        <v>51</v>
      </c>
      <c r="CO153" s="426" t="s">
        <v>874</v>
      </c>
      <c r="CP153" s="426">
        <v>11</v>
      </c>
      <c r="CQ153" s="426" t="s">
        <v>874</v>
      </c>
      <c r="CR153" s="430">
        <v>0.17</v>
      </c>
      <c r="CS153" s="430">
        <v>0.45</v>
      </c>
      <c r="CT153" s="430">
        <v>0.36</v>
      </c>
      <c r="CU153" s="430">
        <v>0.02</v>
      </c>
      <c r="CV153" s="430">
        <v>0.35</v>
      </c>
      <c r="CW153" s="430">
        <v>0.54</v>
      </c>
      <c r="CX153" s="430">
        <v>0.55000000000000004</v>
      </c>
      <c r="CY153" s="430">
        <v>0.55000000000000004</v>
      </c>
      <c r="CZ153" s="527">
        <v>0.56000000000000005</v>
      </c>
      <c r="DA153" s="527">
        <v>0.47</v>
      </c>
      <c r="DB153" s="528">
        <v>51</v>
      </c>
      <c r="DC153" s="528" t="s">
        <v>874</v>
      </c>
      <c r="DD153" s="528">
        <v>11</v>
      </c>
      <c r="DE153" s="528" t="s">
        <v>874</v>
      </c>
      <c r="DF153" s="529">
        <v>0.17</v>
      </c>
      <c r="DG153" s="529">
        <v>0.47</v>
      </c>
      <c r="DH153" s="529">
        <v>0.33</v>
      </c>
      <c r="DI153" s="529">
        <v>0.03</v>
      </c>
      <c r="DJ153" s="529">
        <v>0.48</v>
      </c>
      <c r="DK153" s="529">
        <v>0.47</v>
      </c>
      <c r="DL153" s="529">
        <v>0.46</v>
      </c>
      <c r="DM153" s="529">
        <v>0.62</v>
      </c>
      <c r="DN153" s="529">
        <v>0.5</v>
      </c>
      <c r="DO153" s="529">
        <v>0.41</v>
      </c>
    </row>
    <row r="154" spans="1:119" ht="24.95" customHeight="1" x14ac:dyDescent="0.2">
      <c r="A154" s="814" t="s">
        <v>197</v>
      </c>
      <c r="B154" s="1" t="s">
        <v>221</v>
      </c>
      <c r="C154" s="2">
        <v>5</v>
      </c>
      <c r="D154" s="12">
        <v>60</v>
      </c>
      <c r="E154" s="12">
        <v>8</v>
      </c>
      <c r="F154" s="63">
        <v>0</v>
      </c>
      <c r="G154" s="63">
        <v>0.3</v>
      </c>
      <c r="H154" s="63">
        <v>0.63</v>
      </c>
      <c r="I154" s="63">
        <v>7.0000000000000007E-2</v>
      </c>
      <c r="J154" s="63">
        <v>0.42</v>
      </c>
      <c r="K154" s="63">
        <v>0.43</v>
      </c>
      <c r="L154" s="63">
        <v>0.42</v>
      </c>
      <c r="M154" s="63">
        <v>0.31</v>
      </c>
      <c r="N154" s="63">
        <v>0.26</v>
      </c>
      <c r="O154" s="63">
        <v>0.36</v>
      </c>
      <c r="P154" s="12">
        <v>59</v>
      </c>
      <c r="Q154" s="12">
        <v>8</v>
      </c>
      <c r="R154" s="61">
        <v>0.04</v>
      </c>
      <c r="S154" s="61">
        <v>0.17</v>
      </c>
      <c r="T154" s="61">
        <v>0.78</v>
      </c>
      <c r="U154" s="61">
        <v>0</v>
      </c>
      <c r="V154" s="61">
        <v>0.28999999999999998</v>
      </c>
      <c r="W154" s="61">
        <v>0.31</v>
      </c>
      <c r="X154" s="61">
        <v>0.43</v>
      </c>
      <c r="Y154" s="61">
        <v>0.33</v>
      </c>
      <c r="Z154" s="61">
        <v>0.35</v>
      </c>
      <c r="AA154" s="61">
        <v>0.4</v>
      </c>
      <c r="AB154" s="12">
        <v>59</v>
      </c>
      <c r="AC154" s="12">
        <v>11</v>
      </c>
      <c r="AD154" s="63">
        <v>0</v>
      </c>
      <c r="AE154" s="63">
        <v>0.46</v>
      </c>
      <c r="AF154" s="63">
        <v>0.43</v>
      </c>
      <c r="AG154" s="63">
        <v>0.11</v>
      </c>
      <c r="AH154" s="63">
        <v>0.31</v>
      </c>
      <c r="AI154" s="63">
        <v>0.28000000000000003</v>
      </c>
      <c r="AJ154" s="63">
        <v>0.27</v>
      </c>
      <c r="AK154" s="63">
        <v>0.32</v>
      </c>
      <c r="AL154" s="63">
        <v>0.35</v>
      </c>
      <c r="AM154" s="63">
        <v>0.33</v>
      </c>
      <c r="AN154" s="12">
        <v>52</v>
      </c>
      <c r="AO154" s="12">
        <v>10</v>
      </c>
      <c r="AP154" s="63">
        <v>0.13</v>
      </c>
      <c r="AQ154" s="63">
        <v>0.5</v>
      </c>
      <c r="AR154" s="63">
        <v>0.3</v>
      </c>
      <c r="AS154" s="63">
        <v>7.0000000000000007E-2</v>
      </c>
      <c r="AT154" s="63">
        <v>0.48</v>
      </c>
      <c r="AU154" s="63">
        <v>0.37</v>
      </c>
      <c r="AV154" s="63">
        <v>0.43</v>
      </c>
      <c r="AW154" s="63">
        <v>0.39</v>
      </c>
      <c r="AX154" s="63">
        <v>0.41</v>
      </c>
      <c r="AY154" s="63">
        <v>0.43</v>
      </c>
      <c r="AZ154" s="35">
        <v>54</v>
      </c>
      <c r="BA154" s="35">
        <v>10</v>
      </c>
      <c r="BB154" s="40">
        <v>0.1</v>
      </c>
      <c r="BC154" s="40">
        <v>0.5</v>
      </c>
      <c r="BD154" s="40">
        <v>0.35</v>
      </c>
      <c r="BE154" s="40">
        <v>0.06</v>
      </c>
      <c r="BF154" s="40">
        <v>0.42</v>
      </c>
      <c r="BG154" s="40">
        <v>0.4</v>
      </c>
      <c r="BH154" s="40">
        <v>0.41</v>
      </c>
      <c r="BI154" s="40">
        <v>0.47</v>
      </c>
      <c r="BJ154" s="40">
        <v>0.37</v>
      </c>
      <c r="BK154" s="40">
        <v>0.36</v>
      </c>
      <c r="BL154" s="247">
        <v>54</v>
      </c>
      <c r="BM154" s="247" t="s">
        <v>874</v>
      </c>
      <c r="BN154" s="247">
        <v>13</v>
      </c>
      <c r="BO154" s="247" t="s">
        <v>874</v>
      </c>
      <c r="BP154" s="264">
        <v>0.15</v>
      </c>
      <c r="BQ154" s="264">
        <v>0.35</v>
      </c>
      <c r="BR154" s="264">
        <v>0.48</v>
      </c>
      <c r="BS154" s="264">
        <v>0.02</v>
      </c>
      <c r="BT154" s="264">
        <v>0.34</v>
      </c>
      <c r="BU154" s="264">
        <v>0.44</v>
      </c>
      <c r="BV154" s="264">
        <v>0.44</v>
      </c>
      <c r="BW154" s="264">
        <v>0.35</v>
      </c>
      <c r="BX154" s="264">
        <v>0.38</v>
      </c>
      <c r="BY154" s="264">
        <v>0.46</v>
      </c>
      <c r="BZ154" s="311">
        <v>58</v>
      </c>
      <c r="CA154" s="311" t="s">
        <v>875</v>
      </c>
      <c r="CB154" s="311">
        <v>11</v>
      </c>
      <c r="CC154" s="311" t="s">
        <v>874</v>
      </c>
      <c r="CD154" s="329">
        <v>0.06</v>
      </c>
      <c r="CE154" s="329">
        <v>0.26</v>
      </c>
      <c r="CF154" s="329">
        <v>0.6</v>
      </c>
      <c r="CG154" s="329">
        <v>0.09</v>
      </c>
      <c r="CH154" s="329">
        <v>0.39</v>
      </c>
      <c r="CI154" s="329">
        <v>0.26</v>
      </c>
      <c r="CJ154" s="329">
        <v>0.51</v>
      </c>
      <c r="CK154" s="329">
        <v>0.39</v>
      </c>
      <c r="CL154" s="329">
        <v>0.25</v>
      </c>
      <c r="CM154" s="329">
        <v>0.41</v>
      </c>
      <c r="CN154" s="426">
        <v>56</v>
      </c>
      <c r="CO154" s="426" t="s">
        <v>874</v>
      </c>
      <c r="CP154" s="426">
        <v>11</v>
      </c>
      <c r="CQ154" s="426" t="s">
        <v>874</v>
      </c>
      <c r="CR154" s="430">
        <v>0.09</v>
      </c>
      <c r="CS154" s="430">
        <v>0.39</v>
      </c>
      <c r="CT154" s="430">
        <v>0.43</v>
      </c>
      <c r="CU154" s="430">
        <v>0.09</v>
      </c>
      <c r="CV154" s="430">
        <v>0.3</v>
      </c>
      <c r="CW154" s="430">
        <v>0.42</v>
      </c>
      <c r="CX154" s="430">
        <v>0.51</v>
      </c>
      <c r="CY154" s="430">
        <v>0.51</v>
      </c>
      <c r="CZ154" s="527">
        <v>0.43</v>
      </c>
      <c r="DA154" s="527">
        <v>0.49</v>
      </c>
      <c r="DB154" s="528">
        <v>57</v>
      </c>
      <c r="DC154" s="528" t="s">
        <v>874</v>
      </c>
      <c r="DD154" s="528">
        <v>11</v>
      </c>
      <c r="DE154" s="528" t="s">
        <v>874</v>
      </c>
      <c r="DF154" s="529">
        <v>0.08</v>
      </c>
      <c r="DG154" s="529">
        <v>0.33</v>
      </c>
      <c r="DH154" s="529">
        <v>0.49</v>
      </c>
      <c r="DI154" s="529">
        <v>0.1</v>
      </c>
      <c r="DJ154" s="529">
        <v>0.4</v>
      </c>
      <c r="DK154" s="529">
        <v>0.34</v>
      </c>
      <c r="DL154" s="529">
        <v>0.3</v>
      </c>
      <c r="DM154" s="529">
        <v>0.5</v>
      </c>
      <c r="DN154" s="529">
        <v>0.39</v>
      </c>
      <c r="DO154" s="529">
        <v>0.33</v>
      </c>
    </row>
    <row r="155" spans="1:119" ht="24.95" customHeight="1" x14ac:dyDescent="0.2">
      <c r="A155" s="814" t="s">
        <v>164</v>
      </c>
      <c r="B155" s="1" t="s">
        <v>221</v>
      </c>
      <c r="C155" s="2">
        <v>1</v>
      </c>
      <c r="D155" s="12">
        <v>52</v>
      </c>
      <c r="E155" s="12">
        <v>8</v>
      </c>
      <c r="F155" s="63">
        <v>0.11</v>
      </c>
      <c r="G155" s="63">
        <v>0.61</v>
      </c>
      <c r="H155" s="63">
        <v>0.28999999999999998</v>
      </c>
      <c r="I155" s="63">
        <v>0</v>
      </c>
      <c r="J155" s="63">
        <v>0.51</v>
      </c>
      <c r="K155" s="63">
        <v>0.49</v>
      </c>
      <c r="L155" s="63">
        <v>0.65</v>
      </c>
      <c r="M155" s="63">
        <v>0.36</v>
      </c>
      <c r="N155" s="63">
        <v>0.43</v>
      </c>
      <c r="O155" s="63">
        <v>0.51</v>
      </c>
      <c r="P155" s="12">
        <v>50</v>
      </c>
      <c r="Q155" s="12">
        <v>9</v>
      </c>
      <c r="R155" s="61">
        <v>0.13</v>
      </c>
      <c r="S155" s="61">
        <v>0.61</v>
      </c>
      <c r="T155" s="61">
        <v>0.23</v>
      </c>
      <c r="U155" s="61">
        <v>0.03</v>
      </c>
      <c r="V155" s="61">
        <v>0.42</v>
      </c>
      <c r="W155" s="61">
        <v>0.48</v>
      </c>
      <c r="X155" s="61">
        <v>0.57999999999999996</v>
      </c>
      <c r="Y155" s="61">
        <v>0.43</v>
      </c>
      <c r="Z155" s="61">
        <v>0.46</v>
      </c>
      <c r="AA155" s="61">
        <v>0.59</v>
      </c>
      <c r="AB155" s="12">
        <v>45</v>
      </c>
      <c r="AC155" s="12">
        <v>9</v>
      </c>
      <c r="AD155" s="63">
        <v>0.3</v>
      </c>
      <c r="AE155" s="63">
        <v>0.55000000000000004</v>
      </c>
      <c r="AF155" s="63">
        <v>0.15</v>
      </c>
      <c r="AG155" s="63">
        <v>0</v>
      </c>
      <c r="AH155" s="63">
        <v>0.44</v>
      </c>
      <c r="AI155" s="63">
        <v>0.63</v>
      </c>
      <c r="AJ155" s="63">
        <v>0.48</v>
      </c>
      <c r="AK155" s="63">
        <v>0.55000000000000004</v>
      </c>
      <c r="AL155" s="63">
        <v>0.61</v>
      </c>
      <c r="AM155" s="63">
        <v>0.65</v>
      </c>
      <c r="AN155" s="12">
        <v>47</v>
      </c>
      <c r="AO155" s="12">
        <v>9</v>
      </c>
      <c r="AP155" s="63">
        <v>0.2</v>
      </c>
      <c r="AQ155" s="63">
        <v>0.68</v>
      </c>
      <c r="AR155" s="63">
        <v>0.12</v>
      </c>
      <c r="AS155" s="63">
        <v>0</v>
      </c>
      <c r="AT155" s="63">
        <v>0.59</v>
      </c>
      <c r="AU155" s="63">
        <v>0.53</v>
      </c>
      <c r="AV155" s="63">
        <v>0.51</v>
      </c>
      <c r="AW155" s="63">
        <v>0.48</v>
      </c>
      <c r="AX155" s="63">
        <v>0.48</v>
      </c>
      <c r="AY155" s="63">
        <v>0.5</v>
      </c>
      <c r="AZ155" s="35">
        <v>47</v>
      </c>
      <c r="BA155" s="35">
        <v>10</v>
      </c>
      <c r="BB155" s="40">
        <v>0.32</v>
      </c>
      <c r="BC155" s="40">
        <v>0.45</v>
      </c>
      <c r="BD155" s="40">
        <v>0.23</v>
      </c>
      <c r="BE155" s="40">
        <v>0</v>
      </c>
      <c r="BF155" s="40">
        <v>0.59</v>
      </c>
      <c r="BG155" s="40">
        <v>0.51</v>
      </c>
      <c r="BH155" s="40">
        <v>0.54</v>
      </c>
      <c r="BI155" s="40">
        <v>0.56000000000000005</v>
      </c>
      <c r="BJ155" s="40">
        <v>0.49</v>
      </c>
      <c r="BK155" s="40">
        <v>0.44</v>
      </c>
      <c r="BL155" s="247">
        <v>47</v>
      </c>
      <c r="BM155" s="247" t="s">
        <v>874</v>
      </c>
      <c r="BN155" s="247">
        <v>11</v>
      </c>
      <c r="BO155" s="247" t="s">
        <v>874</v>
      </c>
      <c r="BP155" s="264">
        <v>0.32</v>
      </c>
      <c r="BQ155" s="264">
        <v>0.39</v>
      </c>
      <c r="BR155" s="264">
        <v>0.28999999999999998</v>
      </c>
      <c r="BS155" s="264">
        <v>0</v>
      </c>
      <c r="BT155" s="264">
        <v>0.53</v>
      </c>
      <c r="BU155" s="264">
        <v>0.47</v>
      </c>
      <c r="BV155" s="264">
        <v>0.63</v>
      </c>
      <c r="BW155" s="264">
        <v>0.47</v>
      </c>
      <c r="BX155" s="264">
        <v>0.5</v>
      </c>
      <c r="BY155" s="264">
        <v>0.56999999999999995</v>
      </c>
      <c r="BZ155" s="311">
        <v>51</v>
      </c>
      <c r="CA155" s="311" t="s">
        <v>874</v>
      </c>
      <c r="CB155" s="311">
        <v>11</v>
      </c>
      <c r="CC155" s="311" t="s">
        <v>874</v>
      </c>
      <c r="CD155" s="329">
        <v>0.19</v>
      </c>
      <c r="CE155" s="329">
        <v>0.38</v>
      </c>
      <c r="CF155" s="329">
        <v>0.42</v>
      </c>
      <c r="CG155" s="329">
        <v>0</v>
      </c>
      <c r="CH155" s="329">
        <v>0.46</v>
      </c>
      <c r="CI155" s="329">
        <v>0.38</v>
      </c>
      <c r="CJ155" s="329">
        <v>0.56999999999999995</v>
      </c>
      <c r="CK155" s="329">
        <v>0.54</v>
      </c>
      <c r="CL155" s="329">
        <v>0.41</v>
      </c>
      <c r="CM155" s="329">
        <v>0.57999999999999996</v>
      </c>
      <c r="CN155" s="426">
        <v>50</v>
      </c>
      <c r="CO155" s="426" t="s">
        <v>874</v>
      </c>
      <c r="CP155" s="426">
        <v>10</v>
      </c>
      <c r="CQ155" s="426" t="s">
        <v>874</v>
      </c>
      <c r="CR155" s="430">
        <v>0.19</v>
      </c>
      <c r="CS155" s="430">
        <v>0.52</v>
      </c>
      <c r="CT155" s="430">
        <v>0.27</v>
      </c>
      <c r="CU155" s="430">
        <v>0.02</v>
      </c>
      <c r="CV155" s="430">
        <v>0.35</v>
      </c>
      <c r="CW155" s="430">
        <v>0.57999999999999996</v>
      </c>
      <c r="CX155" s="430">
        <v>0.55000000000000004</v>
      </c>
      <c r="CY155" s="430">
        <v>0.67</v>
      </c>
      <c r="CZ155" s="527">
        <v>0.54</v>
      </c>
      <c r="DA155" s="527">
        <v>0.65</v>
      </c>
      <c r="DB155" s="528">
        <v>47</v>
      </c>
      <c r="DC155" s="528" t="s">
        <v>874</v>
      </c>
      <c r="DD155" s="528">
        <v>9</v>
      </c>
      <c r="DE155" s="528" t="s">
        <v>874</v>
      </c>
      <c r="DF155" s="529">
        <v>0.28999999999999998</v>
      </c>
      <c r="DG155" s="529">
        <v>0.51</v>
      </c>
      <c r="DH155" s="529">
        <v>0.2</v>
      </c>
      <c r="DI155" s="529">
        <v>0</v>
      </c>
      <c r="DJ155" s="529">
        <v>0.54</v>
      </c>
      <c r="DK155" s="529">
        <v>0.49</v>
      </c>
      <c r="DL155" s="529">
        <v>0.55000000000000004</v>
      </c>
      <c r="DM155" s="529">
        <v>0.71</v>
      </c>
      <c r="DN155" s="529">
        <v>0.62</v>
      </c>
      <c r="DO155" s="529">
        <v>0.38</v>
      </c>
    </row>
    <row r="156" spans="1:119" ht="24.95" customHeight="1" x14ac:dyDescent="0.2">
      <c r="A156" s="814" t="s">
        <v>228</v>
      </c>
      <c r="B156" s="1" t="s">
        <v>221</v>
      </c>
      <c r="C156" s="2">
        <v>6</v>
      </c>
      <c r="D156" s="12"/>
      <c r="E156" s="12"/>
      <c r="F156" s="12"/>
      <c r="G156" s="12"/>
      <c r="H156" s="12"/>
      <c r="I156" s="12"/>
      <c r="J156" s="12"/>
      <c r="K156" s="12"/>
      <c r="L156" s="12"/>
      <c r="M156" s="12"/>
      <c r="N156" s="12"/>
      <c r="O156" s="12"/>
      <c r="P156" s="12">
        <v>48</v>
      </c>
      <c r="Q156" s="12">
        <v>15</v>
      </c>
      <c r="R156" s="61">
        <v>0.33</v>
      </c>
      <c r="S156" s="61">
        <v>0.33</v>
      </c>
      <c r="T156" s="61">
        <v>0.33</v>
      </c>
      <c r="U156" s="61">
        <v>0</v>
      </c>
      <c r="V156" s="61">
        <v>0.42</v>
      </c>
      <c r="W156" s="61">
        <v>0.5</v>
      </c>
      <c r="X156" s="61">
        <v>0.59</v>
      </c>
      <c r="Y156" s="61">
        <v>0.53</v>
      </c>
      <c r="Z156" s="61">
        <v>0.5</v>
      </c>
      <c r="AA156" s="61">
        <v>0.57999999999999996</v>
      </c>
      <c r="AB156" s="12">
        <v>48</v>
      </c>
      <c r="AC156" s="12">
        <v>10</v>
      </c>
      <c r="AD156" s="63">
        <v>0.25</v>
      </c>
      <c r="AE156" s="63">
        <v>0.5</v>
      </c>
      <c r="AF156" s="63">
        <v>0.25</v>
      </c>
      <c r="AG156" s="63">
        <v>0</v>
      </c>
      <c r="AH156" s="63">
        <v>0.38</v>
      </c>
      <c r="AI156" s="63">
        <v>0.46</v>
      </c>
      <c r="AJ156" s="63">
        <v>0.31</v>
      </c>
      <c r="AK156" s="63">
        <v>0.53</v>
      </c>
      <c r="AL156" s="63">
        <v>0.67</v>
      </c>
      <c r="AM156" s="63">
        <v>0.88</v>
      </c>
      <c r="AN156" s="12">
        <v>49</v>
      </c>
      <c r="AO156" s="12">
        <v>5</v>
      </c>
      <c r="AP156" s="63">
        <v>0</v>
      </c>
      <c r="AQ156" s="63">
        <v>1</v>
      </c>
      <c r="AR156" s="63">
        <v>0</v>
      </c>
      <c r="AS156" s="63">
        <v>0</v>
      </c>
      <c r="AT156" s="63">
        <v>0.75</v>
      </c>
      <c r="AU156" s="63">
        <v>0.5</v>
      </c>
      <c r="AV156" s="63">
        <v>0.45</v>
      </c>
      <c r="AW156" s="63">
        <v>0.33</v>
      </c>
      <c r="AX156" s="63">
        <v>0.42</v>
      </c>
      <c r="AY156" s="63">
        <v>0.54</v>
      </c>
      <c r="AZ156" s="35">
        <v>39</v>
      </c>
      <c r="BA156" s="35">
        <v>2</v>
      </c>
      <c r="BB156" s="40">
        <v>1</v>
      </c>
      <c r="BC156" s="40">
        <v>0</v>
      </c>
      <c r="BD156" s="40">
        <v>0</v>
      </c>
      <c r="BE156" s="40">
        <v>0</v>
      </c>
      <c r="BF156" s="40">
        <v>0.6</v>
      </c>
      <c r="BG156" s="40">
        <v>0.42</v>
      </c>
      <c r="BH156" s="40">
        <v>0.78</v>
      </c>
      <c r="BI156" s="40">
        <v>0.5</v>
      </c>
      <c r="BJ156" s="40">
        <v>0.62</v>
      </c>
      <c r="BK156" s="40">
        <v>0.67</v>
      </c>
      <c r="BL156" s="652"/>
      <c r="BM156" s="652"/>
      <c r="BN156" s="652"/>
      <c r="BO156" s="652"/>
      <c r="BP156" s="652"/>
      <c r="BQ156" s="652"/>
      <c r="BR156" s="652"/>
      <c r="BS156" s="652"/>
      <c r="BT156" s="652"/>
      <c r="BU156" s="652"/>
      <c r="BV156" s="652"/>
      <c r="BW156" s="652"/>
      <c r="BX156" s="652"/>
      <c r="BY156" s="652"/>
      <c r="BZ156" s="655"/>
      <c r="CA156" s="655"/>
      <c r="CB156" s="655"/>
      <c r="CC156" s="655"/>
      <c r="CD156" s="655"/>
      <c r="CE156" s="655"/>
      <c r="CF156" s="655"/>
      <c r="CG156" s="655"/>
      <c r="CH156" s="655"/>
      <c r="CI156" s="655"/>
      <c r="CJ156" s="655"/>
      <c r="CK156" s="655"/>
      <c r="CL156" s="655"/>
      <c r="CM156" s="655"/>
      <c r="CN156" s="657"/>
      <c r="CO156" s="657"/>
      <c r="CP156" s="657"/>
      <c r="CQ156" s="657"/>
      <c r="CR156" s="657"/>
      <c r="CS156" s="657"/>
      <c r="CT156" s="657"/>
      <c r="CU156" s="657"/>
      <c r="CV156" s="657"/>
      <c r="CW156" s="657"/>
      <c r="CX156" s="657"/>
      <c r="CY156" s="657"/>
      <c r="CZ156" s="666"/>
      <c r="DA156" s="666"/>
      <c r="DB156" s="668"/>
      <c r="DC156" s="668"/>
      <c r="DD156" s="668"/>
      <c r="DE156" s="668"/>
      <c r="DF156" s="668"/>
      <c r="DG156" s="668"/>
      <c r="DH156" s="668"/>
      <c r="DI156" s="668"/>
      <c r="DJ156" s="668"/>
      <c r="DK156" s="668"/>
      <c r="DL156" s="668"/>
      <c r="DM156" s="668"/>
      <c r="DN156" s="668"/>
      <c r="DO156" s="668"/>
    </row>
    <row r="157" spans="1:119" ht="24.95" customHeight="1" x14ac:dyDescent="0.2">
      <c r="A157" s="814" t="s">
        <v>211</v>
      </c>
      <c r="B157" s="1" t="s">
        <v>221</v>
      </c>
      <c r="C157" s="2">
        <v>3</v>
      </c>
      <c r="D157" s="12">
        <v>55</v>
      </c>
      <c r="E157" s="12">
        <v>10</v>
      </c>
      <c r="F157" s="63">
        <v>0.13</v>
      </c>
      <c r="G157" s="63">
        <v>0.31</v>
      </c>
      <c r="H157" s="63">
        <v>0.56000000000000005</v>
      </c>
      <c r="I157" s="63">
        <v>0</v>
      </c>
      <c r="J157" s="63">
        <v>0.53</v>
      </c>
      <c r="K157" s="63">
        <v>0.43</v>
      </c>
      <c r="L157" s="63">
        <v>0.56000000000000005</v>
      </c>
      <c r="M157" s="63">
        <v>0.41</v>
      </c>
      <c r="N157" s="63">
        <v>0.36</v>
      </c>
      <c r="O157" s="63">
        <v>0.31</v>
      </c>
      <c r="P157" s="12">
        <v>49</v>
      </c>
      <c r="Q157" s="12">
        <v>5</v>
      </c>
      <c r="R157" s="61">
        <v>7.0000000000000007E-2</v>
      </c>
      <c r="S157" s="61">
        <v>0.8</v>
      </c>
      <c r="T157" s="61">
        <v>0.13</v>
      </c>
      <c r="U157" s="61">
        <v>0</v>
      </c>
      <c r="V157" s="61">
        <v>0.41</v>
      </c>
      <c r="W157" s="61">
        <v>0.54</v>
      </c>
      <c r="X157" s="61">
        <v>0.6</v>
      </c>
      <c r="Y157" s="61">
        <v>0.57999999999999996</v>
      </c>
      <c r="Z157" s="61">
        <v>0.45</v>
      </c>
      <c r="AA157" s="61">
        <v>0.44</v>
      </c>
      <c r="AB157" s="12">
        <v>51</v>
      </c>
      <c r="AC157" s="12">
        <v>10</v>
      </c>
      <c r="AD157" s="63">
        <v>0.13</v>
      </c>
      <c r="AE157" s="63">
        <v>0.56000000000000005</v>
      </c>
      <c r="AF157" s="63">
        <v>0.31</v>
      </c>
      <c r="AG157" s="63">
        <v>0</v>
      </c>
      <c r="AH157" s="63">
        <v>0.38</v>
      </c>
      <c r="AI157" s="63">
        <v>0.45</v>
      </c>
      <c r="AJ157" s="63">
        <v>0.43</v>
      </c>
      <c r="AK157" s="63">
        <v>0.47</v>
      </c>
      <c r="AL157" s="63">
        <v>0.64</v>
      </c>
      <c r="AM157" s="63">
        <v>0.56000000000000005</v>
      </c>
      <c r="AN157" s="12">
        <v>48</v>
      </c>
      <c r="AO157" s="12">
        <v>10</v>
      </c>
      <c r="AP157" s="63">
        <v>0.2</v>
      </c>
      <c r="AQ157" s="63">
        <v>0.55000000000000004</v>
      </c>
      <c r="AR157" s="63">
        <v>0.25</v>
      </c>
      <c r="AS157" s="63">
        <v>0</v>
      </c>
      <c r="AT157" s="63">
        <v>0.55000000000000004</v>
      </c>
      <c r="AU157" s="63">
        <v>0.5</v>
      </c>
      <c r="AV157" s="63">
        <v>0.47</v>
      </c>
      <c r="AW157" s="63">
        <v>0.46</v>
      </c>
      <c r="AX157" s="63">
        <v>0.48</v>
      </c>
      <c r="AY157" s="63">
        <v>0.41</v>
      </c>
      <c r="AZ157" s="35">
        <v>52</v>
      </c>
      <c r="BA157" s="35">
        <v>11</v>
      </c>
      <c r="BB157" s="40">
        <v>0.15</v>
      </c>
      <c r="BC157" s="40">
        <v>0.35</v>
      </c>
      <c r="BD157" s="40">
        <v>0.5</v>
      </c>
      <c r="BE157" s="40">
        <v>0</v>
      </c>
      <c r="BF157" s="40">
        <v>0.47</v>
      </c>
      <c r="BG157" s="40">
        <v>0.41</v>
      </c>
      <c r="BH157" s="40">
        <v>0.4</v>
      </c>
      <c r="BI157" s="40">
        <v>0.51</v>
      </c>
      <c r="BJ157" s="40">
        <v>0.41</v>
      </c>
      <c r="BK157" s="40">
        <v>0.38</v>
      </c>
      <c r="BL157" s="653">
        <v>50</v>
      </c>
      <c r="BM157" s="653" t="s">
        <v>874</v>
      </c>
      <c r="BN157" s="653">
        <v>9</v>
      </c>
      <c r="BO157" s="653" t="s">
        <v>874</v>
      </c>
      <c r="BP157" s="654">
        <v>0.16</v>
      </c>
      <c r="BQ157" s="654">
        <v>0.44</v>
      </c>
      <c r="BR157" s="654">
        <v>0.4</v>
      </c>
      <c r="BS157" s="654">
        <v>0</v>
      </c>
      <c r="BT157" s="654">
        <v>0.4</v>
      </c>
      <c r="BU157" s="654">
        <v>0.46</v>
      </c>
      <c r="BV157" s="654">
        <v>0.59</v>
      </c>
      <c r="BW157" s="654">
        <v>0.44</v>
      </c>
      <c r="BX157" s="654">
        <v>0.44</v>
      </c>
      <c r="BY157" s="654">
        <v>0.5</v>
      </c>
      <c r="BZ157" s="74">
        <v>47</v>
      </c>
      <c r="CA157" s="74" t="s">
        <v>874</v>
      </c>
      <c r="CB157" s="74">
        <v>11</v>
      </c>
      <c r="CC157" s="74" t="s">
        <v>874</v>
      </c>
      <c r="CD157" s="96">
        <v>0.39</v>
      </c>
      <c r="CE157" s="96">
        <v>0.36</v>
      </c>
      <c r="CF157" s="96">
        <v>0.25</v>
      </c>
      <c r="CG157" s="96">
        <v>0</v>
      </c>
      <c r="CH157" s="96">
        <v>0.52</v>
      </c>
      <c r="CI157" s="96">
        <v>0.5</v>
      </c>
      <c r="CJ157" s="96">
        <v>0.6</v>
      </c>
      <c r="CK157" s="96">
        <v>0.54</v>
      </c>
      <c r="CL157" s="96">
        <v>0.34</v>
      </c>
      <c r="CM157" s="96">
        <v>0.51</v>
      </c>
      <c r="CN157" s="658">
        <v>48</v>
      </c>
      <c r="CO157" s="658" t="s">
        <v>874</v>
      </c>
      <c r="CP157" s="658">
        <v>9</v>
      </c>
      <c r="CQ157" s="658" t="s">
        <v>874</v>
      </c>
      <c r="CR157" s="659">
        <v>0.19</v>
      </c>
      <c r="CS157" s="659">
        <v>0.57999999999999996</v>
      </c>
      <c r="CT157" s="659">
        <v>0.23</v>
      </c>
      <c r="CU157" s="659">
        <v>0</v>
      </c>
      <c r="CV157" s="659">
        <v>0.42</v>
      </c>
      <c r="CW157" s="659">
        <v>0.6</v>
      </c>
      <c r="CX157" s="659">
        <v>0.6</v>
      </c>
      <c r="CY157" s="659">
        <v>0.85</v>
      </c>
      <c r="CZ157" s="667">
        <v>0.51</v>
      </c>
      <c r="DA157" s="667">
        <v>0.7</v>
      </c>
      <c r="DB157" s="47">
        <v>51</v>
      </c>
      <c r="DC157" s="47" t="s">
        <v>874</v>
      </c>
      <c r="DD157" s="47">
        <v>9</v>
      </c>
      <c r="DE157" s="47" t="s">
        <v>874</v>
      </c>
      <c r="DF157" s="670">
        <v>0.1</v>
      </c>
      <c r="DG157" s="670">
        <v>0.66</v>
      </c>
      <c r="DH157" s="670">
        <v>0.21</v>
      </c>
      <c r="DI157" s="670">
        <v>0.03</v>
      </c>
      <c r="DJ157" s="670">
        <v>0.48</v>
      </c>
      <c r="DK157" s="670">
        <v>0.54</v>
      </c>
      <c r="DL157" s="670">
        <v>0.47</v>
      </c>
      <c r="DM157" s="670">
        <v>0.56000000000000005</v>
      </c>
      <c r="DN157" s="670">
        <v>0.59</v>
      </c>
      <c r="DO157" s="670">
        <v>0.38</v>
      </c>
    </row>
    <row r="158" spans="1:119" ht="24.95" customHeight="1" x14ac:dyDescent="0.2">
      <c r="A158" s="814" t="s">
        <v>57</v>
      </c>
      <c r="B158" s="1" t="s">
        <v>221</v>
      </c>
      <c r="C158" s="2">
        <v>3</v>
      </c>
      <c r="D158" s="12">
        <v>48</v>
      </c>
      <c r="E158" s="12">
        <v>9</v>
      </c>
      <c r="F158" s="63">
        <v>0.23</v>
      </c>
      <c r="G158" s="63">
        <v>0.51</v>
      </c>
      <c r="H158" s="63">
        <v>0.26</v>
      </c>
      <c r="I158" s="63">
        <v>0</v>
      </c>
      <c r="J158" s="63">
        <v>0.6</v>
      </c>
      <c r="K158" s="63">
        <v>0.55000000000000004</v>
      </c>
      <c r="L158" s="63">
        <v>0.61</v>
      </c>
      <c r="M158" s="63">
        <v>0.44</v>
      </c>
      <c r="N158" s="63">
        <v>0.47</v>
      </c>
      <c r="O158" s="63">
        <v>0.54</v>
      </c>
      <c r="P158" s="12">
        <v>54</v>
      </c>
      <c r="Q158" s="12">
        <v>10</v>
      </c>
      <c r="R158" s="61">
        <v>0.08</v>
      </c>
      <c r="S158" s="61">
        <v>0.42</v>
      </c>
      <c r="T158" s="61">
        <v>0.46</v>
      </c>
      <c r="U158" s="61">
        <v>0.04</v>
      </c>
      <c r="V158" s="61">
        <v>0.36</v>
      </c>
      <c r="W158" s="61">
        <v>0.44</v>
      </c>
      <c r="X158" s="61">
        <v>0.52</v>
      </c>
      <c r="Y158" s="61">
        <v>0.39</v>
      </c>
      <c r="Z158" s="61">
        <v>0.41</v>
      </c>
      <c r="AA158" s="61">
        <v>0.48</v>
      </c>
      <c r="AB158" s="12">
        <v>48</v>
      </c>
      <c r="AC158" s="12">
        <v>11</v>
      </c>
      <c r="AD158" s="63">
        <v>0.32</v>
      </c>
      <c r="AE158" s="63">
        <v>0.38</v>
      </c>
      <c r="AF158" s="63">
        <v>0.26</v>
      </c>
      <c r="AG158" s="63">
        <v>0.03</v>
      </c>
      <c r="AH158" s="63">
        <v>0.48</v>
      </c>
      <c r="AI158" s="63">
        <v>0.46</v>
      </c>
      <c r="AJ158" s="63">
        <v>0.43</v>
      </c>
      <c r="AK158" s="63">
        <v>0.5</v>
      </c>
      <c r="AL158" s="63">
        <v>0.56999999999999995</v>
      </c>
      <c r="AM158" s="63">
        <v>0.57999999999999996</v>
      </c>
      <c r="AN158" s="12">
        <v>47</v>
      </c>
      <c r="AO158" s="12">
        <v>13</v>
      </c>
      <c r="AP158" s="63">
        <v>0.39</v>
      </c>
      <c r="AQ158" s="63">
        <v>0.33</v>
      </c>
      <c r="AR158" s="63">
        <v>0.22</v>
      </c>
      <c r="AS158" s="63">
        <v>0.06</v>
      </c>
      <c r="AT158" s="63">
        <v>0.65</v>
      </c>
      <c r="AU158" s="63">
        <v>0.56000000000000005</v>
      </c>
      <c r="AV158" s="63">
        <v>0.48</v>
      </c>
      <c r="AW158" s="63">
        <v>0.49</v>
      </c>
      <c r="AX158" s="63">
        <v>0.48</v>
      </c>
      <c r="AY158" s="63">
        <v>0.53</v>
      </c>
      <c r="AZ158" s="35">
        <v>52</v>
      </c>
      <c r="BA158" s="35">
        <v>9</v>
      </c>
      <c r="BB158" s="40">
        <v>0.13</v>
      </c>
      <c r="BC158" s="40">
        <v>0.5</v>
      </c>
      <c r="BD158" s="40">
        <v>0.38</v>
      </c>
      <c r="BE158" s="40">
        <v>0</v>
      </c>
      <c r="BF158" s="40">
        <v>0.41</v>
      </c>
      <c r="BG158" s="40">
        <v>0.51</v>
      </c>
      <c r="BH158" s="40">
        <v>0.39</v>
      </c>
      <c r="BI158" s="40">
        <v>0.57999999999999996</v>
      </c>
      <c r="BJ158" s="40">
        <v>0.38</v>
      </c>
      <c r="BK158" s="40">
        <v>0.41</v>
      </c>
      <c r="BL158" s="247">
        <v>45</v>
      </c>
      <c r="BM158" s="247" t="s">
        <v>874</v>
      </c>
      <c r="BN158" s="247">
        <v>11</v>
      </c>
      <c r="BO158" s="247" t="s">
        <v>874</v>
      </c>
      <c r="BP158" s="264">
        <v>0.28999999999999998</v>
      </c>
      <c r="BQ158" s="264">
        <v>0.61</v>
      </c>
      <c r="BR158" s="264">
        <v>0.11</v>
      </c>
      <c r="BS158" s="264">
        <v>0</v>
      </c>
      <c r="BT158" s="264">
        <v>0.47</v>
      </c>
      <c r="BU158" s="264">
        <v>0.53</v>
      </c>
      <c r="BV158" s="264">
        <v>0.75</v>
      </c>
      <c r="BW158" s="264">
        <v>0.49</v>
      </c>
      <c r="BX158" s="264">
        <v>0.55000000000000004</v>
      </c>
      <c r="BY158" s="264">
        <v>0.62</v>
      </c>
      <c r="BZ158" s="311">
        <v>51</v>
      </c>
      <c r="CA158" s="311" t="s">
        <v>874</v>
      </c>
      <c r="CB158" s="311">
        <v>9</v>
      </c>
      <c r="CC158" s="311" t="s">
        <v>874</v>
      </c>
      <c r="CD158" s="329">
        <v>0.11</v>
      </c>
      <c r="CE158" s="329">
        <v>0.56999999999999995</v>
      </c>
      <c r="CF158" s="329">
        <v>0.32</v>
      </c>
      <c r="CG158" s="329">
        <v>0</v>
      </c>
      <c r="CH158" s="329">
        <v>0.63</v>
      </c>
      <c r="CI158" s="329">
        <v>0.47</v>
      </c>
      <c r="CJ158" s="329">
        <v>0.54</v>
      </c>
      <c r="CK158" s="329">
        <v>0.53</v>
      </c>
      <c r="CL158" s="329">
        <v>0.46</v>
      </c>
      <c r="CM158" s="329">
        <v>0.61</v>
      </c>
      <c r="CN158" s="426">
        <v>52</v>
      </c>
      <c r="CO158" s="426" t="s">
        <v>874</v>
      </c>
      <c r="CP158" s="426">
        <v>10</v>
      </c>
      <c r="CQ158" s="426" t="s">
        <v>874</v>
      </c>
      <c r="CR158" s="430">
        <v>0.15</v>
      </c>
      <c r="CS158" s="430">
        <v>0.5</v>
      </c>
      <c r="CT158" s="430">
        <v>0.35</v>
      </c>
      <c r="CU158" s="430">
        <v>0</v>
      </c>
      <c r="CV158" s="430">
        <v>0.26</v>
      </c>
      <c r="CW158" s="430">
        <v>0.53</v>
      </c>
      <c r="CX158" s="430">
        <v>0.61</v>
      </c>
      <c r="CY158" s="430">
        <v>0.71</v>
      </c>
      <c r="CZ158" s="527">
        <v>0.56999999999999995</v>
      </c>
      <c r="DA158" s="527">
        <v>0.47</v>
      </c>
      <c r="DB158" s="528">
        <v>49</v>
      </c>
      <c r="DC158" s="528" t="s">
        <v>874</v>
      </c>
      <c r="DD158" s="528">
        <v>10</v>
      </c>
      <c r="DE158" s="528" t="s">
        <v>874</v>
      </c>
      <c r="DF158" s="529">
        <v>0.19</v>
      </c>
      <c r="DG158" s="529">
        <v>0.57999999999999996</v>
      </c>
      <c r="DH158" s="529">
        <v>0.19</v>
      </c>
      <c r="DI158" s="529">
        <v>0.04</v>
      </c>
      <c r="DJ158" s="529">
        <v>0.56999999999999995</v>
      </c>
      <c r="DK158" s="529">
        <v>0.57999999999999996</v>
      </c>
      <c r="DL158" s="529">
        <v>0.43</v>
      </c>
      <c r="DM158" s="529">
        <v>0.64</v>
      </c>
      <c r="DN158" s="529">
        <v>0.59</v>
      </c>
      <c r="DO158" s="529">
        <v>0.23</v>
      </c>
    </row>
    <row r="159" spans="1:119" ht="24.95" customHeight="1" x14ac:dyDescent="0.2">
      <c r="A159" s="814" t="s">
        <v>195</v>
      </c>
      <c r="B159" s="1" t="s">
        <v>221</v>
      </c>
      <c r="C159" s="2">
        <v>5</v>
      </c>
      <c r="D159" s="12">
        <v>56</v>
      </c>
      <c r="E159" s="12">
        <v>8</v>
      </c>
      <c r="F159" s="63">
        <v>7.0000000000000007E-2</v>
      </c>
      <c r="G159" s="63">
        <v>0.47</v>
      </c>
      <c r="H159" s="63">
        <v>0.47</v>
      </c>
      <c r="I159" s="63">
        <v>0</v>
      </c>
      <c r="J159" s="63">
        <v>0.42</v>
      </c>
      <c r="K159" s="63">
        <v>0.42</v>
      </c>
      <c r="L159" s="63">
        <v>0.6</v>
      </c>
      <c r="M159" s="63">
        <v>0.37</v>
      </c>
      <c r="N159" s="63">
        <v>0.41</v>
      </c>
      <c r="O159" s="63">
        <v>0.44</v>
      </c>
      <c r="P159" s="12">
        <v>58</v>
      </c>
      <c r="Q159" s="12">
        <v>7</v>
      </c>
      <c r="R159" s="61">
        <v>0</v>
      </c>
      <c r="S159" s="61">
        <v>0.35</v>
      </c>
      <c r="T159" s="61">
        <v>0.65</v>
      </c>
      <c r="U159" s="61">
        <v>0</v>
      </c>
      <c r="V159" s="61">
        <v>0.28999999999999998</v>
      </c>
      <c r="W159" s="61">
        <v>0.32</v>
      </c>
      <c r="X159" s="61">
        <v>0.51</v>
      </c>
      <c r="Y159" s="61">
        <v>0.37</v>
      </c>
      <c r="Z159" s="61">
        <v>0.35</v>
      </c>
      <c r="AA159" s="61">
        <v>0.31</v>
      </c>
      <c r="AB159" s="12">
        <v>58</v>
      </c>
      <c r="AC159" s="12">
        <v>11</v>
      </c>
      <c r="AD159" s="63">
        <v>0</v>
      </c>
      <c r="AE159" s="63">
        <v>0.47</v>
      </c>
      <c r="AF159" s="63">
        <v>0.37</v>
      </c>
      <c r="AG159" s="63">
        <v>0.16</v>
      </c>
      <c r="AH159" s="63">
        <v>0.31</v>
      </c>
      <c r="AI159" s="63">
        <v>0.27</v>
      </c>
      <c r="AJ159" s="63">
        <v>0.28000000000000003</v>
      </c>
      <c r="AK159" s="63">
        <v>0.35</v>
      </c>
      <c r="AL159" s="63">
        <v>0.28000000000000003</v>
      </c>
      <c r="AM159" s="63">
        <v>0.32</v>
      </c>
      <c r="AN159" s="12">
        <v>54</v>
      </c>
      <c r="AO159" s="12">
        <v>11</v>
      </c>
      <c r="AP159" s="63">
        <v>0.13</v>
      </c>
      <c r="AQ159" s="63">
        <v>0.38</v>
      </c>
      <c r="AR159" s="63">
        <v>0.42</v>
      </c>
      <c r="AS159" s="63">
        <v>0.08</v>
      </c>
      <c r="AT159" s="63">
        <v>0.48</v>
      </c>
      <c r="AU159" s="63">
        <v>0.44</v>
      </c>
      <c r="AV159" s="63">
        <v>0.34</v>
      </c>
      <c r="AW159" s="63">
        <v>0.39</v>
      </c>
      <c r="AX159" s="63">
        <v>0.37</v>
      </c>
      <c r="AY159" s="63">
        <v>0.35</v>
      </c>
      <c r="AZ159" s="35">
        <v>58</v>
      </c>
      <c r="BA159" s="35">
        <v>8</v>
      </c>
      <c r="BB159" s="40">
        <v>0</v>
      </c>
      <c r="BC159" s="40">
        <v>0.41</v>
      </c>
      <c r="BD159" s="40">
        <v>0.53</v>
      </c>
      <c r="BE159" s="40">
        <v>0.06</v>
      </c>
      <c r="BF159" s="40">
        <v>0.41</v>
      </c>
      <c r="BG159" s="40">
        <v>0.39</v>
      </c>
      <c r="BH159" s="40">
        <v>0.31</v>
      </c>
      <c r="BI159" s="40">
        <v>0.43</v>
      </c>
      <c r="BJ159" s="40">
        <v>0.28999999999999998</v>
      </c>
      <c r="BK159" s="40">
        <v>0.28999999999999998</v>
      </c>
      <c r="BL159" s="247">
        <v>58</v>
      </c>
      <c r="BM159" s="247" t="s">
        <v>875</v>
      </c>
      <c r="BN159" s="247">
        <v>9</v>
      </c>
      <c r="BO159" s="247" t="s">
        <v>874</v>
      </c>
      <c r="BP159" s="264">
        <v>0</v>
      </c>
      <c r="BQ159" s="264">
        <v>0.35</v>
      </c>
      <c r="BR159" s="264">
        <v>0.54</v>
      </c>
      <c r="BS159" s="264">
        <v>0.11</v>
      </c>
      <c r="BT159" s="264">
        <v>0.34</v>
      </c>
      <c r="BU159" s="264">
        <v>0.33</v>
      </c>
      <c r="BV159" s="264">
        <v>0.42</v>
      </c>
      <c r="BW159" s="264">
        <v>0.33</v>
      </c>
      <c r="BX159" s="264">
        <v>0.3</v>
      </c>
      <c r="BY159" s="264">
        <v>0.39</v>
      </c>
      <c r="BZ159" s="311">
        <v>57</v>
      </c>
      <c r="CA159" s="311" t="s">
        <v>874</v>
      </c>
      <c r="CB159" s="311">
        <v>12</v>
      </c>
      <c r="CC159" s="311" t="s">
        <v>874</v>
      </c>
      <c r="CD159" s="329">
        <v>0.09</v>
      </c>
      <c r="CE159" s="329">
        <v>0.45</v>
      </c>
      <c r="CF159" s="329">
        <v>0.36</v>
      </c>
      <c r="CG159" s="329">
        <v>0.09</v>
      </c>
      <c r="CH159" s="329">
        <v>0.43</v>
      </c>
      <c r="CI159" s="329">
        <v>0.31</v>
      </c>
      <c r="CJ159" s="329">
        <v>0.42</v>
      </c>
      <c r="CK159" s="329">
        <v>0.37</v>
      </c>
      <c r="CL159" s="329">
        <v>0.34</v>
      </c>
      <c r="CM159" s="329">
        <v>0.63</v>
      </c>
      <c r="CN159" s="426">
        <v>62</v>
      </c>
      <c r="CO159" s="426" t="s">
        <v>875</v>
      </c>
      <c r="CP159" s="426">
        <v>8</v>
      </c>
      <c r="CQ159" s="426" t="s">
        <v>874</v>
      </c>
      <c r="CR159" s="430">
        <v>0</v>
      </c>
      <c r="CS159" s="430">
        <v>0.24</v>
      </c>
      <c r="CT159" s="430">
        <v>0.65</v>
      </c>
      <c r="CU159" s="430">
        <v>0.12</v>
      </c>
      <c r="CV159" s="430">
        <v>0.2</v>
      </c>
      <c r="CW159" s="430">
        <v>0.39</v>
      </c>
      <c r="CX159" s="430">
        <v>0.42</v>
      </c>
      <c r="CY159" s="430">
        <v>0.38</v>
      </c>
      <c r="CZ159" s="527">
        <v>0.34</v>
      </c>
      <c r="DA159" s="527">
        <v>0.41</v>
      </c>
      <c r="DB159" s="528">
        <v>62</v>
      </c>
      <c r="DC159" s="528" t="s">
        <v>875</v>
      </c>
      <c r="DD159" s="528">
        <v>10</v>
      </c>
      <c r="DE159" s="528" t="s">
        <v>874</v>
      </c>
      <c r="DF159" s="529">
        <v>0</v>
      </c>
      <c r="DG159" s="529">
        <v>0.21</v>
      </c>
      <c r="DH159" s="529">
        <v>0.61</v>
      </c>
      <c r="DI159" s="529">
        <v>0.18</v>
      </c>
      <c r="DJ159" s="529">
        <v>0.35</v>
      </c>
      <c r="DK159" s="529">
        <v>0.33</v>
      </c>
      <c r="DL159" s="529">
        <v>0.32</v>
      </c>
      <c r="DM159" s="529">
        <v>0.42</v>
      </c>
      <c r="DN159" s="529">
        <v>0.26</v>
      </c>
      <c r="DO159" s="529">
        <v>0.33</v>
      </c>
    </row>
    <row r="160" spans="1:119" ht="24.95" customHeight="1" x14ac:dyDescent="0.2">
      <c r="A160" s="814" t="s">
        <v>19</v>
      </c>
      <c r="B160" s="1" t="s">
        <v>221</v>
      </c>
      <c r="C160" s="2">
        <v>5</v>
      </c>
      <c r="D160" s="12">
        <v>57</v>
      </c>
      <c r="E160" s="12">
        <v>7</v>
      </c>
      <c r="F160" s="63">
        <v>0.02</v>
      </c>
      <c r="G160" s="63">
        <v>0.55000000000000004</v>
      </c>
      <c r="H160" s="63">
        <v>0.41</v>
      </c>
      <c r="I160" s="63">
        <v>0.03</v>
      </c>
      <c r="J160" s="63">
        <v>0.37</v>
      </c>
      <c r="K160" s="63">
        <v>0.38</v>
      </c>
      <c r="L160" s="63">
        <v>0.37</v>
      </c>
      <c r="M160" s="63">
        <v>0.25</v>
      </c>
      <c r="N160" s="63">
        <v>0.37</v>
      </c>
      <c r="O160" s="63">
        <v>0.5</v>
      </c>
      <c r="P160" s="12">
        <v>58</v>
      </c>
      <c r="Q160" s="12">
        <v>9</v>
      </c>
      <c r="R160" s="61">
        <v>0.03</v>
      </c>
      <c r="S160" s="61">
        <v>0.36</v>
      </c>
      <c r="T160" s="61">
        <v>0.54</v>
      </c>
      <c r="U160" s="61">
        <v>7.0000000000000007E-2</v>
      </c>
      <c r="V160" s="61">
        <v>0.26</v>
      </c>
      <c r="W160" s="61">
        <v>0.38</v>
      </c>
      <c r="X160" s="61">
        <v>0.45</v>
      </c>
      <c r="Y160" s="61">
        <v>0.35</v>
      </c>
      <c r="Z160" s="61">
        <v>0.33</v>
      </c>
      <c r="AA160" s="61">
        <v>0.4</v>
      </c>
      <c r="AB160" s="12">
        <v>56</v>
      </c>
      <c r="AC160" s="12">
        <v>9</v>
      </c>
      <c r="AD160" s="63">
        <v>0.08</v>
      </c>
      <c r="AE160" s="63">
        <v>0.39</v>
      </c>
      <c r="AF160" s="63">
        <v>0.47</v>
      </c>
      <c r="AG160" s="63">
        <v>0.06</v>
      </c>
      <c r="AH160" s="63">
        <v>0.35</v>
      </c>
      <c r="AI160" s="63">
        <v>0.31</v>
      </c>
      <c r="AJ160" s="63">
        <v>0.3</v>
      </c>
      <c r="AK160" s="63">
        <v>0.39</v>
      </c>
      <c r="AL160" s="63">
        <v>0.46</v>
      </c>
      <c r="AM160" s="63">
        <v>0.4</v>
      </c>
      <c r="AN160" s="12">
        <v>55</v>
      </c>
      <c r="AO160" s="12">
        <v>10</v>
      </c>
      <c r="AP160" s="63">
        <v>0.13</v>
      </c>
      <c r="AQ160" s="63">
        <v>0.38</v>
      </c>
      <c r="AR160" s="63">
        <v>0.43</v>
      </c>
      <c r="AS160" s="63">
        <v>7.0000000000000007E-2</v>
      </c>
      <c r="AT160" s="63">
        <v>0.41</v>
      </c>
      <c r="AU160" s="63">
        <v>0.34</v>
      </c>
      <c r="AV160" s="63">
        <v>0.35</v>
      </c>
      <c r="AW160" s="63">
        <v>0.42</v>
      </c>
      <c r="AX160" s="63">
        <v>0.31</v>
      </c>
      <c r="AY160" s="63">
        <v>0.36</v>
      </c>
      <c r="AZ160" s="35">
        <v>57</v>
      </c>
      <c r="BA160" s="35">
        <v>9</v>
      </c>
      <c r="BB160" s="40">
        <v>0.08</v>
      </c>
      <c r="BC160" s="40">
        <v>0.38</v>
      </c>
      <c r="BD160" s="40">
        <v>0.49</v>
      </c>
      <c r="BE160" s="40">
        <v>0.06</v>
      </c>
      <c r="BF160" s="40">
        <v>0.36</v>
      </c>
      <c r="BG160" s="40">
        <v>0.34</v>
      </c>
      <c r="BH160" s="40">
        <v>0.36</v>
      </c>
      <c r="BI160" s="40">
        <v>0.42</v>
      </c>
      <c r="BJ160" s="40">
        <v>0.3</v>
      </c>
      <c r="BK160" s="40">
        <v>0.32</v>
      </c>
      <c r="BL160" s="247">
        <v>56</v>
      </c>
      <c r="BM160" s="247" t="s">
        <v>874</v>
      </c>
      <c r="BN160" s="247">
        <v>10</v>
      </c>
      <c r="BO160" s="247" t="s">
        <v>874</v>
      </c>
      <c r="BP160" s="264">
        <v>0.04</v>
      </c>
      <c r="BQ160" s="264">
        <v>0.44</v>
      </c>
      <c r="BR160" s="264">
        <v>0.46</v>
      </c>
      <c r="BS160" s="264">
        <v>0.06</v>
      </c>
      <c r="BT160" s="264">
        <v>0.34</v>
      </c>
      <c r="BU160" s="264">
        <v>0.38</v>
      </c>
      <c r="BV160" s="264">
        <v>0.38</v>
      </c>
      <c r="BW160" s="264">
        <v>0.31</v>
      </c>
      <c r="BX160" s="264">
        <v>0.34</v>
      </c>
      <c r="BY160" s="264">
        <v>0.41</v>
      </c>
      <c r="BZ160" s="311">
        <v>55</v>
      </c>
      <c r="CA160" s="311" t="s">
        <v>874</v>
      </c>
      <c r="CB160" s="311">
        <v>10</v>
      </c>
      <c r="CC160" s="311" t="s">
        <v>874</v>
      </c>
      <c r="CD160" s="329">
        <v>0.08</v>
      </c>
      <c r="CE160" s="329">
        <v>0.48</v>
      </c>
      <c r="CF160" s="329">
        <v>0.4</v>
      </c>
      <c r="CG160" s="329">
        <v>0.04</v>
      </c>
      <c r="CH160" s="329">
        <v>0.4</v>
      </c>
      <c r="CI160" s="329">
        <v>0.28000000000000003</v>
      </c>
      <c r="CJ160" s="329">
        <v>0.54</v>
      </c>
      <c r="CK160" s="329">
        <v>0.46</v>
      </c>
      <c r="CL160" s="329">
        <v>0.4</v>
      </c>
      <c r="CM160" s="329">
        <v>0.51</v>
      </c>
      <c r="CN160" s="426">
        <v>58</v>
      </c>
      <c r="CO160" s="426" t="s">
        <v>875</v>
      </c>
      <c r="CP160" s="426">
        <v>11</v>
      </c>
      <c r="CQ160" s="426" t="s">
        <v>874</v>
      </c>
      <c r="CR160" s="430">
        <v>0.08</v>
      </c>
      <c r="CS160" s="430">
        <v>0.3</v>
      </c>
      <c r="CT160" s="430">
        <v>0.54</v>
      </c>
      <c r="CU160" s="430">
        <v>0.08</v>
      </c>
      <c r="CV160" s="430">
        <v>0.25</v>
      </c>
      <c r="CW160" s="430">
        <v>0.36</v>
      </c>
      <c r="CX160" s="430">
        <v>0.42</v>
      </c>
      <c r="CY160" s="430">
        <v>0.62</v>
      </c>
      <c r="CZ160" s="527">
        <v>0.43</v>
      </c>
      <c r="DA160" s="527">
        <v>0.36</v>
      </c>
      <c r="DB160" s="528">
        <v>56</v>
      </c>
      <c r="DC160" s="528" t="s">
        <v>874</v>
      </c>
      <c r="DD160" s="528">
        <v>10</v>
      </c>
      <c r="DE160" s="528" t="s">
        <v>874</v>
      </c>
      <c r="DF160" s="529">
        <v>0.08</v>
      </c>
      <c r="DG160" s="529">
        <v>0.37</v>
      </c>
      <c r="DH160" s="529">
        <v>0.54</v>
      </c>
      <c r="DI160" s="529">
        <v>0.01</v>
      </c>
      <c r="DJ160" s="529">
        <v>0.44</v>
      </c>
      <c r="DK160" s="529">
        <v>0.36</v>
      </c>
      <c r="DL160" s="529">
        <v>0.44</v>
      </c>
      <c r="DM160" s="529">
        <v>0.55000000000000004</v>
      </c>
      <c r="DN160" s="529">
        <v>0.4</v>
      </c>
      <c r="DO160" s="529">
        <v>0.39</v>
      </c>
    </row>
    <row r="161" spans="1:119" ht="24.95" customHeight="1" x14ac:dyDescent="0.2">
      <c r="A161" s="814" t="s">
        <v>118</v>
      </c>
      <c r="B161" s="1" t="s">
        <v>221</v>
      </c>
      <c r="C161" s="2">
        <v>3</v>
      </c>
      <c r="D161" s="12">
        <v>53</v>
      </c>
      <c r="E161" s="12">
        <v>10</v>
      </c>
      <c r="F161" s="63">
        <v>0.1</v>
      </c>
      <c r="G161" s="63">
        <v>0.5</v>
      </c>
      <c r="H161" s="63">
        <v>0.37</v>
      </c>
      <c r="I161" s="63">
        <v>0.03</v>
      </c>
      <c r="J161" s="63">
        <v>0.5</v>
      </c>
      <c r="K161" s="63">
        <v>0.51</v>
      </c>
      <c r="L161" s="63">
        <v>0.61</v>
      </c>
      <c r="M161" s="63">
        <v>0.39</v>
      </c>
      <c r="N161" s="63">
        <v>0.34</v>
      </c>
      <c r="O161" s="63">
        <v>0.41</v>
      </c>
      <c r="P161" s="12">
        <v>50</v>
      </c>
      <c r="Q161" s="12">
        <v>8</v>
      </c>
      <c r="R161" s="61">
        <v>0.11</v>
      </c>
      <c r="S161" s="61">
        <v>0.61</v>
      </c>
      <c r="T161" s="61">
        <v>0.28999999999999998</v>
      </c>
      <c r="U161" s="61">
        <v>0</v>
      </c>
      <c r="V161" s="61">
        <v>0.44</v>
      </c>
      <c r="W161" s="61">
        <v>0.48</v>
      </c>
      <c r="X161" s="61">
        <v>0.55000000000000004</v>
      </c>
      <c r="Y161" s="61">
        <v>0.5</v>
      </c>
      <c r="Z161" s="61">
        <v>0.44</v>
      </c>
      <c r="AA161" s="61">
        <v>0.45</v>
      </c>
      <c r="AB161" s="12">
        <v>50</v>
      </c>
      <c r="AC161" s="12">
        <v>10</v>
      </c>
      <c r="AD161" s="63">
        <v>0.14000000000000001</v>
      </c>
      <c r="AE161" s="63">
        <v>0.64</v>
      </c>
      <c r="AF161" s="63">
        <v>0.18</v>
      </c>
      <c r="AG161" s="63">
        <v>0.04</v>
      </c>
      <c r="AH161" s="63">
        <v>0.39</v>
      </c>
      <c r="AI161" s="63">
        <v>0.4</v>
      </c>
      <c r="AJ161" s="63">
        <v>0.43</v>
      </c>
      <c r="AK161" s="63">
        <v>0.49</v>
      </c>
      <c r="AL161" s="63">
        <v>0.51</v>
      </c>
      <c r="AM161" s="63">
        <v>0.55000000000000004</v>
      </c>
      <c r="AN161" s="12">
        <v>49</v>
      </c>
      <c r="AO161" s="12">
        <v>11</v>
      </c>
      <c r="AP161" s="63">
        <v>0.28000000000000003</v>
      </c>
      <c r="AQ161" s="63">
        <v>0.48</v>
      </c>
      <c r="AR161" s="63">
        <v>0.24</v>
      </c>
      <c r="AS161" s="63">
        <v>0</v>
      </c>
      <c r="AT161" s="63">
        <v>0.42</v>
      </c>
      <c r="AU161" s="63">
        <v>0.45</v>
      </c>
      <c r="AV161" s="63">
        <v>0.43</v>
      </c>
      <c r="AW161" s="63">
        <v>0.51</v>
      </c>
      <c r="AX161" s="63">
        <v>0.49</v>
      </c>
      <c r="AY161" s="63">
        <v>0.44</v>
      </c>
      <c r="AZ161" s="35">
        <v>45</v>
      </c>
      <c r="BA161" s="35">
        <v>11</v>
      </c>
      <c r="BB161" s="40">
        <v>0.34</v>
      </c>
      <c r="BC161" s="40">
        <v>0.41</v>
      </c>
      <c r="BD161" s="40">
        <v>0.24</v>
      </c>
      <c r="BE161" s="40">
        <v>0</v>
      </c>
      <c r="BF161" s="40">
        <v>0.56000000000000005</v>
      </c>
      <c r="BG161" s="40">
        <v>0.53</v>
      </c>
      <c r="BH161" s="40">
        <v>0.59</v>
      </c>
      <c r="BI161" s="40">
        <v>0.7</v>
      </c>
      <c r="BJ161" s="40">
        <v>0.53</v>
      </c>
      <c r="BK161" s="40">
        <v>0.51</v>
      </c>
      <c r="BL161" s="247">
        <v>50</v>
      </c>
      <c r="BM161" s="247" t="s">
        <v>874</v>
      </c>
      <c r="BN161" s="247">
        <v>11</v>
      </c>
      <c r="BO161" s="247" t="s">
        <v>874</v>
      </c>
      <c r="BP161" s="264">
        <v>0.24</v>
      </c>
      <c r="BQ161" s="264">
        <v>0.49</v>
      </c>
      <c r="BR161" s="264">
        <v>0.22</v>
      </c>
      <c r="BS161" s="264">
        <v>0.05</v>
      </c>
      <c r="BT161" s="264">
        <v>0.49</v>
      </c>
      <c r="BU161" s="264">
        <v>0.48</v>
      </c>
      <c r="BV161" s="264">
        <v>0.69</v>
      </c>
      <c r="BW161" s="264">
        <v>0.42</v>
      </c>
      <c r="BX161" s="264">
        <v>0.45</v>
      </c>
      <c r="BY161" s="264">
        <v>0.49</v>
      </c>
      <c r="BZ161" s="311">
        <v>53</v>
      </c>
      <c r="CA161" s="311" t="s">
        <v>874</v>
      </c>
      <c r="CB161" s="311">
        <v>10</v>
      </c>
      <c r="CC161" s="311" t="s">
        <v>874</v>
      </c>
      <c r="CD161" s="329">
        <v>0.13</v>
      </c>
      <c r="CE161" s="329">
        <v>0.4</v>
      </c>
      <c r="CF161" s="329">
        <v>0.48</v>
      </c>
      <c r="CG161" s="329">
        <v>0</v>
      </c>
      <c r="CH161" s="329">
        <v>0.55000000000000004</v>
      </c>
      <c r="CI161" s="329">
        <v>0.41</v>
      </c>
      <c r="CJ161" s="329">
        <v>0.6</v>
      </c>
      <c r="CK161" s="329">
        <v>0.5</v>
      </c>
      <c r="CL161" s="329">
        <v>0.37</v>
      </c>
      <c r="CM161" s="329">
        <v>0.56000000000000005</v>
      </c>
      <c r="CN161" s="426">
        <v>50</v>
      </c>
      <c r="CO161" s="426" t="s">
        <v>874</v>
      </c>
      <c r="CP161" s="426">
        <v>10</v>
      </c>
      <c r="CQ161" s="426" t="s">
        <v>874</v>
      </c>
      <c r="CR161" s="430">
        <v>0.23</v>
      </c>
      <c r="CS161" s="430">
        <v>0.5</v>
      </c>
      <c r="CT161" s="430">
        <v>0.23</v>
      </c>
      <c r="CU161" s="430">
        <v>0.03</v>
      </c>
      <c r="CV161" s="430">
        <v>0.28999999999999998</v>
      </c>
      <c r="CW161" s="430">
        <v>0.6</v>
      </c>
      <c r="CX161" s="430">
        <v>0.55000000000000004</v>
      </c>
      <c r="CY161" s="430">
        <v>0.61</v>
      </c>
      <c r="CZ161" s="527">
        <v>0.63</v>
      </c>
      <c r="DA161" s="527">
        <v>0.59</v>
      </c>
      <c r="DB161" s="528">
        <v>46</v>
      </c>
      <c r="DC161" s="528" t="s">
        <v>874</v>
      </c>
      <c r="DD161" s="528">
        <v>9</v>
      </c>
      <c r="DE161" s="528" t="s">
        <v>874</v>
      </c>
      <c r="DF161" s="529">
        <v>0.36</v>
      </c>
      <c r="DG161" s="529">
        <v>0.55000000000000004</v>
      </c>
      <c r="DH161" s="529">
        <v>0.09</v>
      </c>
      <c r="DI161" s="529">
        <v>0</v>
      </c>
      <c r="DJ161" s="529">
        <v>0.59</v>
      </c>
      <c r="DK161" s="529">
        <v>0.62</v>
      </c>
      <c r="DL161" s="529">
        <v>0.49</v>
      </c>
      <c r="DM161" s="529">
        <v>0.63</v>
      </c>
      <c r="DN161" s="529">
        <v>0.67</v>
      </c>
      <c r="DO161" s="529">
        <v>0.5</v>
      </c>
    </row>
    <row r="162" spans="1:119" ht="24.95" customHeight="1" x14ac:dyDescent="0.2">
      <c r="A162" s="814" t="s">
        <v>205</v>
      </c>
      <c r="B162" s="1" t="s">
        <v>221</v>
      </c>
      <c r="C162" s="2">
        <v>5</v>
      </c>
      <c r="D162" s="12">
        <v>50</v>
      </c>
      <c r="E162" s="12">
        <v>10</v>
      </c>
      <c r="F162" s="63">
        <v>0.13</v>
      </c>
      <c r="G162" s="63">
        <v>0.69</v>
      </c>
      <c r="H162" s="63">
        <v>0.19</v>
      </c>
      <c r="I162" s="63">
        <v>0</v>
      </c>
      <c r="J162" s="63">
        <v>0.6</v>
      </c>
      <c r="K162" s="63">
        <v>0.51</v>
      </c>
      <c r="L162" s="63">
        <v>0.66</v>
      </c>
      <c r="M162" s="63">
        <v>0.42</v>
      </c>
      <c r="N162" s="63">
        <v>0.47</v>
      </c>
      <c r="O162" s="63">
        <v>0.5</v>
      </c>
      <c r="P162" s="12">
        <v>54</v>
      </c>
      <c r="Q162" s="12">
        <v>10</v>
      </c>
      <c r="R162" s="61">
        <v>0.13</v>
      </c>
      <c r="S162" s="61">
        <v>0.4</v>
      </c>
      <c r="T162" s="61">
        <v>0.48</v>
      </c>
      <c r="U162" s="61">
        <v>0</v>
      </c>
      <c r="V162" s="61">
        <v>0.34</v>
      </c>
      <c r="W162" s="61">
        <v>0.43</v>
      </c>
      <c r="X162" s="61">
        <v>0.51</v>
      </c>
      <c r="Y162" s="61">
        <v>0.39</v>
      </c>
      <c r="Z162" s="61">
        <v>0.41</v>
      </c>
      <c r="AA162" s="61">
        <v>0.46</v>
      </c>
      <c r="AB162" s="12">
        <v>52</v>
      </c>
      <c r="AC162" s="12">
        <v>11</v>
      </c>
      <c r="AD162" s="63">
        <v>0.16</v>
      </c>
      <c r="AE162" s="63">
        <v>0.45</v>
      </c>
      <c r="AF162" s="63">
        <v>0.37</v>
      </c>
      <c r="AG162" s="63">
        <v>0.02</v>
      </c>
      <c r="AH162" s="63">
        <v>0.41</v>
      </c>
      <c r="AI162" s="63">
        <v>0.37</v>
      </c>
      <c r="AJ162" s="63">
        <v>0.39</v>
      </c>
      <c r="AK162" s="63">
        <v>0.48</v>
      </c>
      <c r="AL162" s="63">
        <v>0.53</v>
      </c>
      <c r="AM162" s="63">
        <v>0.47</v>
      </c>
      <c r="AN162" s="12">
        <v>50</v>
      </c>
      <c r="AO162" s="12">
        <v>11</v>
      </c>
      <c r="AP162" s="63">
        <v>0.22</v>
      </c>
      <c r="AQ162" s="63">
        <v>0.4</v>
      </c>
      <c r="AR162" s="63">
        <v>0.38</v>
      </c>
      <c r="AS162" s="63">
        <v>0</v>
      </c>
      <c r="AT162" s="63">
        <v>0.51</v>
      </c>
      <c r="AU162" s="63">
        <v>0.5</v>
      </c>
      <c r="AV162" s="63">
        <v>0.42</v>
      </c>
      <c r="AW162" s="63">
        <v>0.42</v>
      </c>
      <c r="AX162" s="63">
        <v>0.46</v>
      </c>
      <c r="AY162" s="63">
        <v>0.44</v>
      </c>
      <c r="AZ162" s="35">
        <v>55</v>
      </c>
      <c r="BA162" s="35">
        <v>9</v>
      </c>
      <c r="BB162" s="40">
        <v>0.08</v>
      </c>
      <c r="BC162" s="40">
        <v>0.35</v>
      </c>
      <c r="BD162" s="40">
        <v>0.54</v>
      </c>
      <c r="BE162" s="40">
        <v>0.03</v>
      </c>
      <c r="BF162" s="40">
        <v>0.41</v>
      </c>
      <c r="BG162" s="40">
        <v>0.41</v>
      </c>
      <c r="BH162" s="40">
        <v>0.37</v>
      </c>
      <c r="BI162" s="40">
        <v>0.45</v>
      </c>
      <c r="BJ162" s="40">
        <v>0.33</v>
      </c>
      <c r="BK162" s="40">
        <v>0.33</v>
      </c>
      <c r="BL162" s="247">
        <v>50</v>
      </c>
      <c r="BM162" s="247" t="s">
        <v>874</v>
      </c>
      <c r="BN162" s="247">
        <v>11</v>
      </c>
      <c r="BO162" s="247" t="s">
        <v>874</v>
      </c>
      <c r="BP162" s="264">
        <v>0.24</v>
      </c>
      <c r="BQ162" s="264">
        <v>0.41</v>
      </c>
      <c r="BR162" s="264">
        <v>0.34</v>
      </c>
      <c r="BS162" s="264">
        <v>0</v>
      </c>
      <c r="BT162" s="264">
        <v>0.44</v>
      </c>
      <c r="BU162" s="264">
        <v>0.42</v>
      </c>
      <c r="BV162" s="264">
        <v>0.6</v>
      </c>
      <c r="BW162" s="264">
        <v>0.44</v>
      </c>
      <c r="BX162" s="264">
        <v>0.44</v>
      </c>
      <c r="BY162" s="264">
        <v>0.55000000000000004</v>
      </c>
      <c r="BZ162" s="311">
        <v>54</v>
      </c>
      <c r="CA162" s="311" t="s">
        <v>874</v>
      </c>
      <c r="CB162" s="311">
        <v>9</v>
      </c>
      <c r="CC162" s="311" t="s">
        <v>874</v>
      </c>
      <c r="CD162" s="329">
        <v>0.15</v>
      </c>
      <c r="CE162" s="329">
        <v>0.36</v>
      </c>
      <c r="CF162" s="329">
        <v>0.47</v>
      </c>
      <c r="CG162" s="329">
        <v>0.02</v>
      </c>
      <c r="CH162" s="329">
        <v>0.43</v>
      </c>
      <c r="CI162" s="329">
        <v>0.39</v>
      </c>
      <c r="CJ162" s="329">
        <v>0.51</v>
      </c>
      <c r="CK162" s="329">
        <v>0.53</v>
      </c>
      <c r="CL162" s="329">
        <v>0.43</v>
      </c>
      <c r="CM162" s="329">
        <v>0.53</v>
      </c>
      <c r="CN162" s="426">
        <v>52</v>
      </c>
      <c r="CO162" s="426" t="s">
        <v>874</v>
      </c>
      <c r="CP162" s="426">
        <v>9</v>
      </c>
      <c r="CQ162" s="426" t="s">
        <v>874</v>
      </c>
      <c r="CR162" s="430">
        <v>7.0000000000000007E-2</v>
      </c>
      <c r="CS162" s="430">
        <v>0.67</v>
      </c>
      <c r="CT162" s="430">
        <v>0.24</v>
      </c>
      <c r="CU162" s="430">
        <v>0.02</v>
      </c>
      <c r="CV162" s="430">
        <v>0.35</v>
      </c>
      <c r="CW162" s="430">
        <v>0.51</v>
      </c>
      <c r="CX162" s="430">
        <v>0.55000000000000004</v>
      </c>
      <c r="CY162" s="430">
        <v>0.68</v>
      </c>
      <c r="CZ162" s="527">
        <v>0.54</v>
      </c>
      <c r="DA162" s="527">
        <v>0.57999999999999996</v>
      </c>
      <c r="DB162" s="528">
        <v>51</v>
      </c>
      <c r="DC162" s="528" t="s">
        <v>874</v>
      </c>
      <c r="DD162" s="528">
        <v>10</v>
      </c>
      <c r="DE162" s="528" t="s">
        <v>874</v>
      </c>
      <c r="DF162" s="529">
        <v>0.14000000000000001</v>
      </c>
      <c r="DG162" s="529">
        <v>0.45</v>
      </c>
      <c r="DH162" s="529">
        <v>0.4</v>
      </c>
      <c r="DI162" s="529">
        <v>0</v>
      </c>
      <c r="DJ162" s="529">
        <v>0.46</v>
      </c>
      <c r="DK162" s="529">
        <v>0.39</v>
      </c>
      <c r="DL162" s="529">
        <v>0.51</v>
      </c>
      <c r="DM162" s="529">
        <v>0.7</v>
      </c>
      <c r="DN162" s="529">
        <v>0.51</v>
      </c>
      <c r="DO162" s="529">
        <v>0.36</v>
      </c>
    </row>
    <row r="163" spans="1:119" ht="24.95" customHeight="1" x14ac:dyDescent="0.2">
      <c r="A163" s="816" t="s">
        <v>201</v>
      </c>
      <c r="B163" s="1" t="s">
        <v>219</v>
      </c>
      <c r="C163" s="2">
        <v>5</v>
      </c>
      <c r="D163" s="12">
        <v>52</v>
      </c>
      <c r="E163" s="12">
        <v>9</v>
      </c>
      <c r="F163" s="63">
        <v>0.12</v>
      </c>
      <c r="G163" s="63">
        <v>0.55000000000000004</v>
      </c>
      <c r="H163" s="63">
        <v>0.3</v>
      </c>
      <c r="I163" s="63">
        <v>0.03</v>
      </c>
      <c r="J163" s="63">
        <v>0.53</v>
      </c>
      <c r="K163" s="63">
        <v>0.5</v>
      </c>
      <c r="L163" s="63">
        <v>0.49</v>
      </c>
      <c r="M163" s="63">
        <v>0.4</v>
      </c>
      <c r="N163" s="63">
        <v>0.45</v>
      </c>
      <c r="O163" s="63">
        <v>0.51</v>
      </c>
      <c r="P163" s="12">
        <v>57</v>
      </c>
      <c r="Q163" s="12">
        <v>9</v>
      </c>
      <c r="R163" s="61">
        <v>0.03</v>
      </c>
      <c r="S163" s="61">
        <v>0.47</v>
      </c>
      <c r="T163" s="61">
        <v>0.41</v>
      </c>
      <c r="U163" s="61">
        <v>0.09</v>
      </c>
      <c r="V163" s="61">
        <v>0.31</v>
      </c>
      <c r="W163" s="61">
        <v>0.39</v>
      </c>
      <c r="X163" s="61">
        <v>0.46</v>
      </c>
      <c r="Y163" s="61">
        <v>0.35</v>
      </c>
      <c r="Z163" s="61">
        <v>0.35</v>
      </c>
      <c r="AA163" s="61">
        <v>0.37</v>
      </c>
      <c r="AB163" s="12">
        <v>55</v>
      </c>
      <c r="AC163" s="12">
        <v>10</v>
      </c>
      <c r="AD163" s="63">
        <v>0.05</v>
      </c>
      <c r="AE163" s="63">
        <v>0.49</v>
      </c>
      <c r="AF163" s="63">
        <v>0.42</v>
      </c>
      <c r="AG163" s="63">
        <v>0.04</v>
      </c>
      <c r="AH163" s="63">
        <v>0.32</v>
      </c>
      <c r="AI163" s="63">
        <v>0.34</v>
      </c>
      <c r="AJ163" s="63">
        <v>0.32</v>
      </c>
      <c r="AK163" s="63">
        <v>0.41</v>
      </c>
      <c r="AL163" s="63">
        <v>0.44</v>
      </c>
      <c r="AM163" s="63">
        <v>0.4</v>
      </c>
      <c r="AN163" s="12">
        <v>55</v>
      </c>
      <c r="AO163" s="12">
        <v>8</v>
      </c>
      <c r="AP163" s="63">
        <v>0.04</v>
      </c>
      <c r="AQ163" s="63">
        <v>0.49</v>
      </c>
      <c r="AR163" s="63">
        <v>0.44</v>
      </c>
      <c r="AS163" s="63">
        <v>0.04</v>
      </c>
      <c r="AT163" s="63">
        <v>0.46</v>
      </c>
      <c r="AU163" s="63">
        <v>0.33</v>
      </c>
      <c r="AV163" s="63">
        <v>0.34</v>
      </c>
      <c r="AW163" s="63">
        <v>0.37</v>
      </c>
      <c r="AX163" s="63">
        <v>0.36</v>
      </c>
      <c r="AY163" s="63">
        <v>0.34</v>
      </c>
      <c r="AZ163" s="35">
        <v>57</v>
      </c>
      <c r="BA163" s="35">
        <v>10</v>
      </c>
      <c r="BB163" s="40">
        <v>7.0000000000000007E-2</v>
      </c>
      <c r="BC163" s="40">
        <v>0.28000000000000003</v>
      </c>
      <c r="BD163" s="40">
        <v>0.56999999999999995</v>
      </c>
      <c r="BE163" s="40">
        <v>0.08</v>
      </c>
      <c r="BF163" s="40">
        <v>0.38</v>
      </c>
      <c r="BG163" s="40">
        <v>0.32</v>
      </c>
      <c r="BH163" s="40">
        <v>0.34</v>
      </c>
      <c r="BI163" s="40">
        <v>0.37</v>
      </c>
      <c r="BJ163" s="40">
        <v>0.3</v>
      </c>
      <c r="BK163" s="40">
        <v>0.3</v>
      </c>
      <c r="BL163" s="247">
        <v>55</v>
      </c>
      <c r="BM163" s="247" t="s">
        <v>874</v>
      </c>
      <c r="BN163" s="247">
        <v>10</v>
      </c>
      <c r="BO163" s="247" t="s">
        <v>874</v>
      </c>
      <c r="BP163" s="264">
        <v>0.06</v>
      </c>
      <c r="BQ163" s="264">
        <v>0.46</v>
      </c>
      <c r="BR163" s="264">
        <v>0.42</v>
      </c>
      <c r="BS163" s="264">
        <v>0.06</v>
      </c>
      <c r="BT163" s="264">
        <v>0.34</v>
      </c>
      <c r="BU163" s="264">
        <v>0.38</v>
      </c>
      <c r="BV163" s="264">
        <v>0.45</v>
      </c>
      <c r="BW163" s="264">
        <v>0.36</v>
      </c>
      <c r="BX163" s="264">
        <v>0.39</v>
      </c>
      <c r="BY163" s="264">
        <v>0.43</v>
      </c>
      <c r="BZ163" s="311">
        <v>57</v>
      </c>
      <c r="CA163" s="311" t="s">
        <v>874</v>
      </c>
      <c r="CB163" s="311">
        <v>9</v>
      </c>
      <c r="CC163" s="311" t="s">
        <v>874</v>
      </c>
      <c r="CD163" s="329">
        <v>0.06</v>
      </c>
      <c r="CE163" s="329">
        <v>0.34</v>
      </c>
      <c r="CF163" s="329">
        <v>0.56999999999999995</v>
      </c>
      <c r="CG163" s="329">
        <v>0.03</v>
      </c>
      <c r="CH163" s="329">
        <v>0.37</v>
      </c>
      <c r="CI163" s="329">
        <v>0.28999999999999998</v>
      </c>
      <c r="CJ163" s="329">
        <v>0.47</v>
      </c>
      <c r="CK163" s="329">
        <v>0.46</v>
      </c>
      <c r="CL163" s="329">
        <v>0.4</v>
      </c>
      <c r="CM163" s="329">
        <v>0.44</v>
      </c>
      <c r="CN163" s="426">
        <v>55</v>
      </c>
      <c r="CO163" s="426" t="s">
        <v>874</v>
      </c>
      <c r="CP163" s="426">
        <v>10</v>
      </c>
      <c r="CQ163" s="426" t="s">
        <v>874</v>
      </c>
      <c r="CR163" s="430">
        <v>0.11</v>
      </c>
      <c r="CS163" s="430">
        <v>0.36</v>
      </c>
      <c r="CT163" s="430">
        <v>0.5</v>
      </c>
      <c r="CU163" s="430">
        <v>0.03</v>
      </c>
      <c r="CV163" s="430">
        <v>0.3</v>
      </c>
      <c r="CW163" s="430">
        <v>0.44</v>
      </c>
      <c r="CX163" s="430">
        <v>0.5</v>
      </c>
      <c r="CY163" s="430">
        <v>0.63</v>
      </c>
      <c r="CZ163" s="527">
        <v>0.51</v>
      </c>
      <c r="DA163" s="527">
        <v>0.51</v>
      </c>
      <c r="DB163" s="528">
        <v>55</v>
      </c>
      <c r="DC163" s="528" t="s">
        <v>874</v>
      </c>
      <c r="DD163" s="528">
        <v>11</v>
      </c>
      <c r="DE163" s="528" t="s">
        <v>874</v>
      </c>
      <c r="DF163" s="529">
        <v>0.1</v>
      </c>
      <c r="DG163" s="529">
        <v>0.38</v>
      </c>
      <c r="DH163" s="529">
        <v>0.44</v>
      </c>
      <c r="DI163" s="529">
        <v>0.09</v>
      </c>
      <c r="DJ163" s="529">
        <v>0.41</v>
      </c>
      <c r="DK163" s="529">
        <v>0.41</v>
      </c>
      <c r="DL163" s="529">
        <v>0.41</v>
      </c>
      <c r="DM163" s="529">
        <v>0.52</v>
      </c>
      <c r="DN163" s="529">
        <v>0.44</v>
      </c>
      <c r="DO163" s="529">
        <v>0.26</v>
      </c>
    </row>
    <row r="164" spans="1:119" ht="24.95" customHeight="1" x14ac:dyDescent="0.2">
      <c r="A164" s="814" t="s">
        <v>213</v>
      </c>
      <c r="B164" s="1" t="s">
        <v>221</v>
      </c>
      <c r="C164" s="2">
        <v>5</v>
      </c>
      <c r="D164" s="12">
        <v>56</v>
      </c>
      <c r="E164" s="12">
        <v>7</v>
      </c>
      <c r="F164" s="63">
        <v>0</v>
      </c>
      <c r="G164" s="63">
        <v>0.47</v>
      </c>
      <c r="H164" s="63">
        <v>0.53</v>
      </c>
      <c r="I164" s="63">
        <v>0</v>
      </c>
      <c r="J164" s="63">
        <v>0.56999999999999995</v>
      </c>
      <c r="K164" s="63">
        <v>0.4</v>
      </c>
      <c r="L164" s="63">
        <v>0.53</v>
      </c>
      <c r="M164" s="63">
        <v>0.32</v>
      </c>
      <c r="N164" s="63">
        <v>0.36</v>
      </c>
      <c r="O164" s="63">
        <v>0.5</v>
      </c>
      <c r="P164" s="12">
        <v>59</v>
      </c>
      <c r="Q164" s="12">
        <v>8</v>
      </c>
      <c r="R164" s="61">
        <v>7.0000000000000007E-2</v>
      </c>
      <c r="S164" s="61">
        <v>0.14000000000000001</v>
      </c>
      <c r="T164" s="61">
        <v>0.79</v>
      </c>
      <c r="U164" s="61">
        <v>0</v>
      </c>
      <c r="V164" s="61">
        <v>0.3</v>
      </c>
      <c r="W164" s="61">
        <v>0.36</v>
      </c>
      <c r="X164" s="61">
        <v>0.49</v>
      </c>
      <c r="Y164" s="61">
        <v>0.34</v>
      </c>
      <c r="Z164" s="61">
        <v>0.33</v>
      </c>
      <c r="AA164" s="61">
        <v>0.31</v>
      </c>
      <c r="AB164" s="12">
        <v>57</v>
      </c>
      <c r="AC164" s="12">
        <v>10</v>
      </c>
      <c r="AD164" s="63">
        <v>0.06</v>
      </c>
      <c r="AE164" s="63">
        <v>0.28999999999999998</v>
      </c>
      <c r="AF164" s="63">
        <v>0.63</v>
      </c>
      <c r="AG164" s="63">
        <v>0.03</v>
      </c>
      <c r="AH164" s="63">
        <v>0.35</v>
      </c>
      <c r="AI164" s="63">
        <v>0.32</v>
      </c>
      <c r="AJ164" s="63">
        <v>0.24</v>
      </c>
      <c r="AK164" s="63">
        <v>0.35</v>
      </c>
      <c r="AL164" s="63">
        <v>0.47</v>
      </c>
      <c r="AM164" s="63">
        <v>0.39</v>
      </c>
      <c r="AN164" s="12">
        <v>52</v>
      </c>
      <c r="AO164" s="12">
        <v>9</v>
      </c>
      <c r="AP164" s="63">
        <v>0.1</v>
      </c>
      <c r="AQ164" s="63">
        <v>0.55000000000000004</v>
      </c>
      <c r="AR164" s="63">
        <v>0.3</v>
      </c>
      <c r="AS164" s="63">
        <v>0.05</v>
      </c>
      <c r="AT164" s="63">
        <v>0.52</v>
      </c>
      <c r="AU164" s="63">
        <v>0.37</v>
      </c>
      <c r="AV164" s="63">
        <v>0.37</v>
      </c>
      <c r="AW164" s="63">
        <v>0.46</v>
      </c>
      <c r="AX164" s="63">
        <v>0.38</v>
      </c>
      <c r="AY164" s="63">
        <v>0.48</v>
      </c>
      <c r="AZ164" s="35">
        <v>55</v>
      </c>
      <c r="BA164" s="35">
        <v>8</v>
      </c>
      <c r="BB164" s="40">
        <v>0.02</v>
      </c>
      <c r="BC164" s="40">
        <v>0.53</v>
      </c>
      <c r="BD164" s="40">
        <v>0.42</v>
      </c>
      <c r="BE164" s="40">
        <v>0.02</v>
      </c>
      <c r="BF164" s="40">
        <v>0.31</v>
      </c>
      <c r="BG164" s="40">
        <v>0.39</v>
      </c>
      <c r="BH164" s="40">
        <v>0.4</v>
      </c>
      <c r="BI164" s="40">
        <v>0.5</v>
      </c>
      <c r="BJ164" s="40">
        <v>0.31</v>
      </c>
      <c r="BK164" s="40">
        <v>0.38</v>
      </c>
      <c r="BL164" s="247">
        <v>53</v>
      </c>
      <c r="BM164" s="247" t="s">
        <v>874</v>
      </c>
      <c r="BN164" s="247">
        <v>11</v>
      </c>
      <c r="BO164" s="247" t="s">
        <v>874</v>
      </c>
      <c r="BP164" s="264">
        <v>0.14000000000000001</v>
      </c>
      <c r="BQ164" s="264">
        <v>0.37</v>
      </c>
      <c r="BR164" s="264">
        <v>0.42</v>
      </c>
      <c r="BS164" s="264">
        <v>7.0000000000000007E-2</v>
      </c>
      <c r="BT164" s="264">
        <v>0.37</v>
      </c>
      <c r="BU164" s="264">
        <v>0.4</v>
      </c>
      <c r="BV164" s="264">
        <v>0.33</v>
      </c>
      <c r="BW164" s="264">
        <v>0.4</v>
      </c>
      <c r="BX164" s="264">
        <v>0.41</v>
      </c>
      <c r="BY164" s="264">
        <v>0.47</v>
      </c>
      <c r="BZ164" s="311">
        <v>56</v>
      </c>
      <c r="CA164" s="311" t="s">
        <v>874</v>
      </c>
      <c r="CB164" s="311">
        <v>11</v>
      </c>
      <c r="CC164" s="311" t="s">
        <v>874</v>
      </c>
      <c r="CD164" s="329">
        <v>0.11</v>
      </c>
      <c r="CE164" s="329">
        <v>0.32</v>
      </c>
      <c r="CF164" s="329">
        <v>0.55000000000000004</v>
      </c>
      <c r="CG164" s="329">
        <v>0.03</v>
      </c>
      <c r="CH164" s="329">
        <v>0.51</v>
      </c>
      <c r="CI164" s="329">
        <v>0.33</v>
      </c>
      <c r="CJ164" s="329">
        <v>0.48</v>
      </c>
      <c r="CK164" s="329">
        <v>0.49</v>
      </c>
      <c r="CL164" s="329">
        <v>0.33</v>
      </c>
      <c r="CM164" s="329">
        <v>0.53</v>
      </c>
      <c r="CN164" s="426">
        <v>56</v>
      </c>
      <c r="CO164" s="426" t="s">
        <v>874</v>
      </c>
      <c r="CP164" s="426">
        <v>8</v>
      </c>
      <c r="CQ164" s="426" t="s">
        <v>874</v>
      </c>
      <c r="CR164" s="430">
        <v>0.04</v>
      </c>
      <c r="CS164" s="430">
        <v>0.39</v>
      </c>
      <c r="CT164" s="430">
        <v>0.56999999999999995</v>
      </c>
      <c r="CU164" s="430">
        <v>0</v>
      </c>
      <c r="CV164" s="430">
        <v>0.25</v>
      </c>
      <c r="CW164" s="430">
        <v>0.36</v>
      </c>
      <c r="CX164" s="430">
        <v>0.52</v>
      </c>
      <c r="CY164" s="430">
        <v>0.48</v>
      </c>
      <c r="CZ164" s="527">
        <v>0.47</v>
      </c>
      <c r="DA164" s="527">
        <v>0.52</v>
      </c>
      <c r="DB164" s="528">
        <v>56</v>
      </c>
      <c r="DC164" s="528" t="s">
        <v>874</v>
      </c>
      <c r="DD164" s="528">
        <v>9</v>
      </c>
      <c r="DE164" s="528" t="s">
        <v>874</v>
      </c>
      <c r="DF164" s="529">
        <v>0.08</v>
      </c>
      <c r="DG164" s="529">
        <v>0.38</v>
      </c>
      <c r="DH164" s="529">
        <v>0.5</v>
      </c>
      <c r="DI164" s="529">
        <v>0.03</v>
      </c>
      <c r="DJ164" s="529">
        <v>0.4</v>
      </c>
      <c r="DK164" s="529">
        <v>0.35</v>
      </c>
      <c r="DL164" s="529">
        <v>0.39</v>
      </c>
      <c r="DM164" s="529">
        <v>0.55000000000000004</v>
      </c>
      <c r="DN164" s="529">
        <v>0.4</v>
      </c>
      <c r="DO164" s="529">
        <v>0.27</v>
      </c>
    </row>
    <row r="165" spans="1:119" ht="24.95" customHeight="1" x14ac:dyDescent="0.2">
      <c r="A165" s="814" t="s">
        <v>176</v>
      </c>
      <c r="B165" s="1" t="s">
        <v>221</v>
      </c>
      <c r="C165" s="2">
        <v>5</v>
      </c>
      <c r="D165" s="12">
        <v>55</v>
      </c>
      <c r="E165" s="12">
        <v>7</v>
      </c>
      <c r="F165" s="63">
        <v>0.03</v>
      </c>
      <c r="G165" s="63">
        <v>0.6</v>
      </c>
      <c r="H165" s="63">
        <v>0.37</v>
      </c>
      <c r="I165" s="63">
        <v>0</v>
      </c>
      <c r="J165" s="63">
        <v>0.51</v>
      </c>
      <c r="K165" s="63">
        <v>0.42</v>
      </c>
      <c r="L165" s="63">
        <v>0.62</v>
      </c>
      <c r="M165" s="63">
        <v>0.39</v>
      </c>
      <c r="N165" s="63">
        <v>0.28999999999999998</v>
      </c>
      <c r="O165" s="63">
        <v>0.36</v>
      </c>
      <c r="P165" s="12">
        <v>56</v>
      </c>
      <c r="Q165" s="12">
        <v>8</v>
      </c>
      <c r="R165" s="61">
        <v>7.0000000000000007E-2</v>
      </c>
      <c r="S165" s="61">
        <v>0.41</v>
      </c>
      <c r="T165" s="61">
        <v>0.52</v>
      </c>
      <c r="U165" s="61">
        <v>0</v>
      </c>
      <c r="V165" s="61">
        <v>0.31</v>
      </c>
      <c r="W165" s="61">
        <v>0.4</v>
      </c>
      <c r="X165" s="61">
        <v>0.54</v>
      </c>
      <c r="Y165" s="61">
        <v>0.4</v>
      </c>
      <c r="Z165" s="61">
        <v>0.36</v>
      </c>
      <c r="AA165" s="61">
        <v>0.38</v>
      </c>
      <c r="AB165" s="12">
        <v>58</v>
      </c>
      <c r="AC165" s="12">
        <v>5</v>
      </c>
      <c r="AD165" s="63">
        <v>0</v>
      </c>
      <c r="AE165" s="63">
        <v>0.33</v>
      </c>
      <c r="AF165" s="63">
        <v>0.67</v>
      </c>
      <c r="AG165" s="63">
        <v>0</v>
      </c>
      <c r="AH165" s="63">
        <v>0.22</v>
      </c>
      <c r="AI165" s="63">
        <v>0.26</v>
      </c>
      <c r="AJ165" s="63">
        <v>0.27</v>
      </c>
      <c r="AK165" s="63">
        <v>0.37</v>
      </c>
      <c r="AL165" s="63">
        <v>0.44</v>
      </c>
      <c r="AM165" s="63">
        <v>0.46</v>
      </c>
      <c r="AN165" s="12">
        <v>53</v>
      </c>
      <c r="AO165" s="12">
        <v>12</v>
      </c>
      <c r="AP165" s="63">
        <v>0.2</v>
      </c>
      <c r="AQ165" s="63">
        <v>0.35</v>
      </c>
      <c r="AR165" s="63">
        <v>0.4</v>
      </c>
      <c r="AS165" s="63">
        <v>0.05</v>
      </c>
      <c r="AT165" s="63">
        <v>0.42</v>
      </c>
      <c r="AU165" s="63">
        <v>0.45</v>
      </c>
      <c r="AV165" s="63">
        <v>0.41</v>
      </c>
      <c r="AW165" s="63">
        <v>0.39</v>
      </c>
      <c r="AX165" s="63">
        <v>0.39</v>
      </c>
      <c r="AY165" s="63">
        <v>0.4</v>
      </c>
      <c r="AZ165" s="35">
        <v>57</v>
      </c>
      <c r="BA165" s="35">
        <v>6</v>
      </c>
      <c r="BB165" s="40">
        <v>0</v>
      </c>
      <c r="BC165" s="40">
        <v>0.33</v>
      </c>
      <c r="BD165" s="40">
        <v>0.67</v>
      </c>
      <c r="BE165" s="40">
        <v>0</v>
      </c>
      <c r="BF165" s="40">
        <v>0.31</v>
      </c>
      <c r="BG165" s="40">
        <v>0.4</v>
      </c>
      <c r="BH165" s="40">
        <v>0.31</v>
      </c>
      <c r="BI165" s="40">
        <v>0.38</v>
      </c>
      <c r="BJ165" s="40">
        <v>0.32</v>
      </c>
      <c r="BK165" s="40">
        <v>0.3</v>
      </c>
      <c r="BL165" s="247">
        <v>55</v>
      </c>
      <c r="BM165" s="247" t="s">
        <v>874</v>
      </c>
      <c r="BN165" s="247">
        <v>10</v>
      </c>
      <c r="BO165" s="247" t="s">
        <v>874</v>
      </c>
      <c r="BP165" s="264">
        <v>7.0000000000000007E-2</v>
      </c>
      <c r="BQ165" s="264">
        <v>0.5</v>
      </c>
      <c r="BR165" s="264">
        <v>0.36</v>
      </c>
      <c r="BS165" s="264">
        <v>7.0000000000000007E-2</v>
      </c>
      <c r="BT165" s="264">
        <v>0.32</v>
      </c>
      <c r="BU165" s="264">
        <v>0.42</v>
      </c>
      <c r="BV165" s="264">
        <v>0.42</v>
      </c>
      <c r="BW165" s="264">
        <v>0.32</v>
      </c>
      <c r="BX165" s="264">
        <v>0.41</v>
      </c>
      <c r="BY165" s="264">
        <v>0.46</v>
      </c>
      <c r="BZ165" s="311">
        <v>58</v>
      </c>
      <c r="CA165" s="311" t="s">
        <v>875</v>
      </c>
      <c r="CB165" s="311">
        <v>7</v>
      </c>
      <c r="CC165" s="311" t="s">
        <v>876</v>
      </c>
      <c r="CD165" s="329">
        <v>0.03</v>
      </c>
      <c r="CE165" s="329">
        <v>0.28999999999999998</v>
      </c>
      <c r="CF165" s="329">
        <v>0.65</v>
      </c>
      <c r="CG165" s="329">
        <v>0.03</v>
      </c>
      <c r="CH165" s="329">
        <v>0.38</v>
      </c>
      <c r="CI165" s="329">
        <v>0.15</v>
      </c>
      <c r="CJ165" s="329">
        <v>0.46</v>
      </c>
      <c r="CK165" s="329">
        <v>0.44</v>
      </c>
      <c r="CL165" s="329">
        <v>0.37</v>
      </c>
      <c r="CM165" s="329">
        <v>0.55000000000000004</v>
      </c>
      <c r="CN165" s="426">
        <v>53</v>
      </c>
      <c r="CO165" s="426" t="s">
        <v>874</v>
      </c>
      <c r="CP165" s="426">
        <v>10</v>
      </c>
      <c r="CQ165" s="426" t="s">
        <v>874</v>
      </c>
      <c r="CR165" s="430">
        <v>0.12</v>
      </c>
      <c r="CS165" s="430">
        <v>0.48</v>
      </c>
      <c r="CT165" s="430">
        <v>0.36</v>
      </c>
      <c r="CU165" s="430">
        <v>0.05</v>
      </c>
      <c r="CV165" s="430">
        <v>0.22</v>
      </c>
      <c r="CW165" s="430">
        <v>0.48</v>
      </c>
      <c r="CX165" s="430">
        <v>0.46</v>
      </c>
      <c r="CY165" s="430">
        <v>0.75</v>
      </c>
      <c r="CZ165" s="527">
        <v>0.41</v>
      </c>
      <c r="DA165" s="527">
        <v>0.6</v>
      </c>
      <c r="DB165" s="528">
        <v>56</v>
      </c>
      <c r="DC165" s="528" t="s">
        <v>874</v>
      </c>
      <c r="DD165" s="528">
        <v>8</v>
      </c>
      <c r="DE165" s="528" t="s">
        <v>874</v>
      </c>
      <c r="DF165" s="529">
        <v>0.09</v>
      </c>
      <c r="DG165" s="529">
        <v>0.36</v>
      </c>
      <c r="DH165" s="529">
        <v>0.5</v>
      </c>
      <c r="DI165" s="529">
        <v>0.05</v>
      </c>
      <c r="DJ165" s="529">
        <v>0.47</v>
      </c>
      <c r="DK165" s="529">
        <v>0.39</v>
      </c>
      <c r="DL165" s="529">
        <v>0.38</v>
      </c>
      <c r="DM165" s="529">
        <v>0.59</v>
      </c>
      <c r="DN165" s="529">
        <v>0.43</v>
      </c>
      <c r="DO165" s="529">
        <v>0.38</v>
      </c>
    </row>
    <row r="166" spans="1:119" ht="24.95" customHeight="1" x14ac:dyDescent="0.2">
      <c r="A166" s="126" t="s">
        <v>285</v>
      </c>
      <c r="B166" s="1" t="s">
        <v>221</v>
      </c>
      <c r="C166" s="2">
        <v>4</v>
      </c>
      <c r="D166" s="12">
        <v>40</v>
      </c>
      <c r="E166" s="12">
        <v>1</v>
      </c>
      <c r="F166" s="63">
        <v>1</v>
      </c>
      <c r="G166" s="63">
        <v>0</v>
      </c>
      <c r="H166" s="63">
        <v>0</v>
      </c>
      <c r="I166" s="63">
        <v>0</v>
      </c>
      <c r="J166" s="63">
        <v>0.72</v>
      </c>
      <c r="K166" s="63">
        <v>0.72</v>
      </c>
      <c r="L166" s="63">
        <v>0.63</v>
      </c>
      <c r="M166" s="63">
        <v>0.79</v>
      </c>
      <c r="N166" s="63">
        <v>0.67</v>
      </c>
      <c r="O166" s="63">
        <v>0.67</v>
      </c>
      <c r="P166" s="12">
        <v>45</v>
      </c>
      <c r="Q166" s="12">
        <v>5</v>
      </c>
      <c r="R166" s="61">
        <v>0.3</v>
      </c>
      <c r="S166" s="61">
        <v>0.7</v>
      </c>
      <c r="T166" s="61">
        <v>0</v>
      </c>
      <c r="U166" s="61">
        <v>0</v>
      </c>
      <c r="V166" s="61">
        <v>0.55000000000000004</v>
      </c>
      <c r="W166" s="61">
        <v>0.6</v>
      </c>
      <c r="X166" s="61">
        <v>0.67</v>
      </c>
      <c r="Y166" s="61">
        <v>0.47</v>
      </c>
      <c r="Z166" s="61">
        <v>0.54</v>
      </c>
      <c r="AA166" s="61">
        <v>0.48</v>
      </c>
      <c r="AB166" s="12">
        <v>42</v>
      </c>
      <c r="AC166" s="12">
        <v>7</v>
      </c>
      <c r="AD166" s="63">
        <v>0.38</v>
      </c>
      <c r="AE166" s="63">
        <v>0.63</v>
      </c>
      <c r="AF166" s="63">
        <v>0</v>
      </c>
      <c r="AG166" s="63">
        <v>0</v>
      </c>
      <c r="AH166" s="63">
        <v>0.55000000000000004</v>
      </c>
      <c r="AI166" s="63">
        <v>0.63</v>
      </c>
      <c r="AJ166" s="63">
        <v>0.59</v>
      </c>
      <c r="AK166" s="63">
        <v>0.63</v>
      </c>
      <c r="AL166" s="63">
        <v>0.74</v>
      </c>
      <c r="AM166" s="63">
        <v>0.43</v>
      </c>
      <c r="AN166" s="12">
        <v>39</v>
      </c>
      <c r="AO166" s="12">
        <v>9</v>
      </c>
      <c r="AP166" s="63">
        <v>0.5</v>
      </c>
      <c r="AQ166" s="63">
        <v>0.5</v>
      </c>
      <c r="AR166" s="63">
        <v>0</v>
      </c>
      <c r="AS166" s="63">
        <v>0</v>
      </c>
      <c r="AT166" s="63">
        <v>0.67</v>
      </c>
      <c r="AU166" s="63">
        <v>0.54</v>
      </c>
      <c r="AV166" s="63">
        <v>0.5</v>
      </c>
      <c r="AW166" s="63">
        <v>0.64</v>
      </c>
      <c r="AX166" s="63">
        <v>0.73</v>
      </c>
      <c r="AY166" s="63">
        <v>0.68</v>
      </c>
      <c r="AZ166" s="35">
        <v>37</v>
      </c>
      <c r="BA166" s="35">
        <v>8</v>
      </c>
      <c r="BB166" s="40">
        <v>0.5</v>
      </c>
      <c r="BC166" s="40">
        <v>0.5</v>
      </c>
      <c r="BD166" s="40">
        <v>0</v>
      </c>
      <c r="BE166" s="40">
        <v>0</v>
      </c>
      <c r="BF166" s="40">
        <v>1</v>
      </c>
      <c r="BG166" s="40">
        <v>0.64</v>
      </c>
      <c r="BH166" s="40">
        <v>0.7</v>
      </c>
      <c r="BI166" s="40">
        <v>0.78</v>
      </c>
      <c r="BJ166" s="40">
        <v>0.7</v>
      </c>
      <c r="BK166" s="40">
        <v>0.56000000000000005</v>
      </c>
      <c r="BL166" s="247">
        <v>44</v>
      </c>
      <c r="BM166" s="247" t="s">
        <v>874</v>
      </c>
      <c r="BN166" s="247">
        <v>11</v>
      </c>
      <c r="BO166" s="247" t="s">
        <v>874</v>
      </c>
      <c r="BP166" s="264">
        <v>0.45</v>
      </c>
      <c r="BQ166" s="264">
        <v>0.36</v>
      </c>
      <c r="BR166" s="264">
        <v>0.18</v>
      </c>
      <c r="BS166" s="264">
        <v>0</v>
      </c>
      <c r="BT166" s="264">
        <v>0.53</v>
      </c>
      <c r="BU166" s="264">
        <v>0.56000000000000005</v>
      </c>
      <c r="BV166" s="264">
        <v>0.43</v>
      </c>
      <c r="BW166" s="264">
        <v>0.55000000000000004</v>
      </c>
      <c r="BX166" s="264">
        <v>0.56000000000000005</v>
      </c>
      <c r="BY166" s="264">
        <v>0.59</v>
      </c>
      <c r="BZ166" s="311">
        <v>46</v>
      </c>
      <c r="CA166" s="311" t="s">
        <v>874</v>
      </c>
      <c r="CB166" s="311">
        <v>6</v>
      </c>
      <c r="CC166" s="311" t="s">
        <v>876</v>
      </c>
      <c r="CD166" s="329">
        <v>0.18</v>
      </c>
      <c r="CE166" s="329">
        <v>0.82</v>
      </c>
      <c r="CF166" s="329">
        <v>0</v>
      </c>
      <c r="CG166" s="329">
        <v>0</v>
      </c>
      <c r="CH166" s="329">
        <v>0.5</v>
      </c>
      <c r="CI166" s="329">
        <v>0.43</v>
      </c>
      <c r="CJ166" s="329">
        <v>0.69</v>
      </c>
      <c r="CK166" s="329">
        <v>0.59</v>
      </c>
      <c r="CL166" s="329">
        <v>0.3</v>
      </c>
      <c r="CM166" s="329">
        <v>0.7</v>
      </c>
      <c r="CN166" s="426">
        <v>46</v>
      </c>
      <c r="CO166" s="426" t="s">
        <v>874</v>
      </c>
      <c r="CP166" s="426">
        <v>9</v>
      </c>
      <c r="CQ166" s="426" t="s">
        <v>874</v>
      </c>
      <c r="CR166" s="430">
        <v>0.2</v>
      </c>
      <c r="CS166" s="430">
        <v>0.7</v>
      </c>
      <c r="CT166" s="430">
        <v>0.1</v>
      </c>
      <c r="CU166" s="430">
        <v>0</v>
      </c>
      <c r="CV166" s="430">
        <v>0.44</v>
      </c>
      <c r="CW166" s="430">
        <v>0.57999999999999996</v>
      </c>
      <c r="CX166" s="430">
        <v>0.69</v>
      </c>
      <c r="CY166" s="430">
        <v>1</v>
      </c>
      <c r="CZ166" s="527">
        <v>0.66</v>
      </c>
      <c r="DA166" s="527">
        <v>0.71</v>
      </c>
      <c r="DB166" s="528">
        <v>47</v>
      </c>
      <c r="DC166" s="528" t="s">
        <v>874</v>
      </c>
      <c r="DD166" s="528">
        <v>10</v>
      </c>
      <c r="DE166" s="528" t="s">
        <v>874</v>
      </c>
      <c r="DF166" s="529">
        <v>0.31</v>
      </c>
      <c r="DG166" s="529">
        <v>0.5</v>
      </c>
      <c r="DH166" s="529">
        <v>0.19</v>
      </c>
      <c r="DI166" s="529">
        <v>0</v>
      </c>
      <c r="DJ166" s="529">
        <v>0.54</v>
      </c>
      <c r="DK166" s="529">
        <v>0.6</v>
      </c>
      <c r="DL166" s="529">
        <v>0.52</v>
      </c>
      <c r="DM166" s="529">
        <v>0.68</v>
      </c>
      <c r="DN166" s="529">
        <v>0.52</v>
      </c>
      <c r="DO166" s="529">
        <v>0.5</v>
      </c>
    </row>
    <row r="167" spans="1:119" ht="24.95" customHeight="1" x14ac:dyDescent="0.2">
      <c r="A167" s="126" t="s">
        <v>71</v>
      </c>
      <c r="B167" s="1" t="s">
        <v>221</v>
      </c>
      <c r="C167" s="2">
        <v>6</v>
      </c>
      <c r="D167" s="12">
        <v>54</v>
      </c>
      <c r="E167" s="12">
        <v>9</v>
      </c>
      <c r="F167" s="63">
        <v>0.06</v>
      </c>
      <c r="G167" s="63">
        <v>0.46</v>
      </c>
      <c r="H167" s="63">
        <v>0.47</v>
      </c>
      <c r="I167" s="63">
        <v>0.01</v>
      </c>
      <c r="J167" s="63">
        <v>0.49</v>
      </c>
      <c r="K167" s="63">
        <v>0.48</v>
      </c>
      <c r="L167" s="63">
        <v>0.55000000000000004</v>
      </c>
      <c r="M167" s="63">
        <v>0.28999999999999998</v>
      </c>
      <c r="N167" s="63">
        <v>0.37</v>
      </c>
      <c r="O167" s="63">
        <v>0.46</v>
      </c>
      <c r="P167" s="12">
        <v>54</v>
      </c>
      <c r="Q167" s="12">
        <v>9</v>
      </c>
      <c r="R167" s="61">
        <v>0.12</v>
      </c>
      <c r="S167" s="61">
        <v>0.43</v>
      </c>
      <c r="T167" s="61">
        <v>0.43</v>
      </c>
      <c r="U167" s="61">
        <v>0.03</v>
      </c>
      <c r="V167" s="61">
        <v>0.36</v>
      </c>
      <c r="W167" s="61">
        <v>0.43</v>
      </c>
      <c r="X167" s="61">
        <v>0.48</v>
      </c>
      <c r="Y167" s="61">
        <v>0.38</v>
      </c>
      <c r="Z167" s="61">
        <v>0.38</v>
      </c>
      <c r="AA167" s="61">
        <v>0.53</v>
      </c>
      <c r="AB167" s="12">
        <v>53</v>
      </c>
      <c r="AC167" s="12">
        <v>13</v>
      </c>
      <c r="AD167" s="63">
        <v>0.16</v>
      </c>
      <c r="AE167" s="63">
        <v>0.42</v>
      </c>
      <c r="AF167" s="63">
        <v>0.39</v>
      </c>
      <c r="AG167" s="63">
        <v>0.03</v>
      </c>
      <c r="AH167" s="63">
        <v>0.39</v>
      </c>
      <c r="AI167" s="63">
        <v>0.35</v>
      </c>
      <c r="AJ167" s="63">
        <v>0.36</v>
      </c>
      <c r="AK167" s="63">
        <v>0.43</v>
      </c>
      <c r="AL167" s="63">
        <v>0.5</v>
      </c>
      <c r="AM167" s="63">
        <v>0.45</v>
      </c>
      <c r="AN167" s="12">
        <v>51</v>
      </c>
      <c r="AO167" s="12">
        <v>11</v>
      </c>
      <c r="AP167" s="63">
        <v>0.13</v>
      </c>
      <c r="AQ167" s="63">
        <v>0.54</v>
      </c>
      <c r="AR167" s="63">
        <v>0.26</v>
      </c>
      <c r="AS167" s="63">
        <v>7.0000000000000007E-2</v>
      </c>
      <c r="AT167" s="63">
        <v>0.52</v>
      </c>
      <c r="AU167" s="63">
        <v>0.42</v>
      </c>
      <c r="AV167" s="63">
        <v>0.42</v>
      </c>
      <c r="AW167" s="63">
        <v>0.43</v>
      </c>
      <c r="AX167" s="63">
        <v>0.42</v>
      </c>
      <c r="AY167" s="63">
        <v>0.47</v>
      </c>
      <c r="AZ167" s="35">
        <v>53</v>
      </c>
      <c r="BA167" s="35">
        <v>9</v>
      </c>
      <c r="BB167" s="40">
        <v>0.11</v>
      </c>
      <c r="BC167" s="40">
        <v>0.48</v>
      </c>
      <c r="BD167" s="40">
        <v>0.4</v>
      </c>
      <c r="BE167" s="40">
        <v>0.01</v>
      </c>
      <c r="BF167" s="40">
        <v>0.45</v>
      </c>
      <c r="BG167" s="40">
        <v>0.39</v>
      </c>
      <c r="BH167" s="40">
        <v>0.4</v>
      </c>
      <c r="BI167" s="40">
        <v>0.52</v>
      </c>
      <c r="BJ167" s="40">
        <v>0.36</v>
      </c>
      <c r="BK167" s="40">
        <v>0.41</v>
      </c>
      <c r="BL167" s="247">
        <v>53</v>
      </c>
      <c r="BM167" s="247" t="s">
        <v>874</v>
      </c>
      <c r="BN167" s="247">
        <v>10</v>
      </c>
      <c r="BO167" s="247" t="s">
        <v>874</v>
      </c>
      <c r="BP167" s="264">
        <v>0.12</v>
      </c>
      <c r="BQ167" s="264">
        <v>0.47</v>
      </c>
      <c r="BR167" s="264">
        <v>0.39</v>
      </c>
      <c r="BS167" s="264">
        <v>0.03</v>
      </c>
      <c r="BT167" s="264">
        <v>0.44</v>
      </c>
      <c r="BU167" s="264">
        <v>0.43</v>
      </c>
      <c r="BV167" s="264">
        <v>0.42</v>
      </c>
      <c r="BW167" s="264">
        <v>0.4</v>
      </c>
      <c r="BX167" s="264">
        <v>0.43</v>
      </c>
      <c r="BY167" s="264">
        <v>0.48</v>
      </c>
      <c r="BZ167" s="311">
        <v>53</v>
      </c>
      <c r="CA167" s="311" t="s">
        <v>874</v>
      </c>
      <c r="CB167" s="311">
        <v>9</v>
      </c>
      <c r="CC167" s="311" t="s">
        <v>874</v>
      </c>
      <c r="CD167" s="329">
        <v>0.1</v>
      </c>
      <c r="CE167" s="329">
        <v>0.42</v>
      </c>
      <c r="CF167" s="329">
        <v>0.47</v>
      </c>
      <c r="CG167" s="329">
        <v>0.02</v>
      </c>
      <c r="CH167" s="329">
        <v>0.45</v>
      </c>
      <c r="CI167" s="329">
        <v>0.28000000000000003</v>
      </c>
      <c r="CJ167" s="329">
        <v>0.51</v>
      </c>
      <c r="CK167" s="329">
        <v>0.49</v>
      </c>
      <c r="CL167" s="329">
        <v>0.37</v>
      </c>
      <c r="CM167" s="329">
        <v>0.57999999999999996</v>
      </c>
      <c r="CN167" s="426">
        <v>53</v>
      </c>
      <c r="CO167" s="426" t="s">
        <v>874</v>
      </c>
      <c r="CP167" s="426">
        <v>10</v>
      </c>
      <c r="CQ167" s="426" t="s">
        <v>874</v>
      </c>
      <c r="CR167" s="430">
        <v>0.16</v>
      </c>
      <c r="CS167" s="430">
        <v>0.41</v>
      </c>
      <c r="CT167" s="430">
        <v>0.38</v>
      </c>
      <c r="CU167" s="430">
        <v>0.05</v>
      </c>
      <c r="CV167" s="430">
        <v>0.28000000000000003</v>
      </c>
      <c r="CW167" s="430">
        <v>0.47</v>
      </c>
      <c r="CX167" s="430">
        <v>0.52</v>
      </c>
      <c r="CY167" s="430">
        <v>0.56000000000000005</v>
      </c>
      <c r="CZ167" s="527">
        <v>0.5</v>
      </c>
      <c r="DA167" s="527">
        <v>0.55000000000000004</v>
      </c>
      <c r="DB167" s="528">
        <v>55</v>
      </c>
      <c r="DC167" s="528" t="s">
        <v>874</v>
      </c>
      <c r="DD167" s="528">
        <v>10</v>
      </c>
      <c r="DE167" s="528" t="s">
        <v>874</v>
      </c>
      <c r="DF167" s="529">
        <v>7.0000000000000007E-2</v>
      </c>
      <c r="DG167" s="529">
        <v>0.41</v>
      </c>
      <c r="DH167" s="529">
        <v>0.47</v>
      </c>
      <c r="DI167" s="529">
        <v>0.05</v>
      </c>
      <c r="DJ167" s="529">
        <v>0.39</v>
      </c>
      <c r="DK167" s="529">
        <v>0.39</v>
      </c>
      <c r="DL167" s="529">
        <v>0.43</v>
      </c>
      <c r="DM167" s="529">
        <v>0.56999999999999995</v>
      </c>
      <c r="DN167" s="529">
        <v>0.45</v>
      </c>
      <c r="DO167" s="529">
        <v>0.31</v>
      </c>
    </row>
    <row r="168" spans="1:119" ht="24.95" customHeight="1" x14ac:dyDescent="0.2">
      <c r="A168" s="126" t="s">
        <v>207</v>
      </c>
      <c r="B168" s="1" t="s">
        <v>221</v>
      </c>
      <c r="C168" s="2">
        <v>4</v>
      </c>
      <c r="D168" s="12">
        <v>56</v>
      </c>
      <c r="E168" s="12">
        <v>7</v>
      </c>
      <c r="F168" s="63">
        <v>0</v>
      </c>
      <c r="G168" s="63">
        <v>0.5</v>
      </c>
      <c r="H168" s="63">
        <v>0.5</v>
      </c>
      <c r="I168" s="63">
        <v>0</v>
      </c>
      <c r="J168" s="63">
        <v>0.48</v>
      </c>
      <c r="K168" s="63">
        <v>0.4</v>
      </c>
      <c r="L168" s="63">
        <v>0.57999999999999996</v>
      </c>
      <c r="M168" s="63">
        <v>0.28999999999999998</v>
      </c>
      <c r="N168" s="63">
        <v>0.36</v>
      </c>
      <c r="O168" s="63">
        <v>0.53</v>
      </c>
      <c r="P168" s="12">
        <v>56</v>
      </c>
      <c r="Q168" s="12">
        <v>7</v>
      </c>
      <c r="R168" s="61">
        <v>0</v>
      </c>
      <c r="S168" s="61">
        <v>0.38</v>
      </c>
      <c r="T168" s="61">
        <v>0.63</v>
      </c>
      <c r="U168" s="61">
        <v>0</v>
      </c>
      <c r="V168" s="61">
        <v>0.33</v>
      </c>
      <c r="W168" s="61">
        <v>0.38</v>
      </c>
      <c r="X168" s="61">
        <v>0.45</v>
      </c>
      <c r="Y168" s="61">
        <v>0.3</v>
      </c>
      <c r="Z168" s="61">
        <v>0.38</v>
      </c>
      <c r="AA168" s="61">
        <v>0.44</v>
      </c>
      <c r="AB168" s="12">
        <v>51</v>
      </c>
      <c r="AC168" s="12">
        <v>8</v>
      </c>
      <c r="AD168" s="63">
        <v>0.2</v>
      </c>
      <c r="AE168" s="63">
        <v>0.6</v>
      </c>
      <c r="AF168" s="63">
        <v>0.2</v>
      </c>
      <c r="AG168" s="63">
        <v>0</v>
      </c>
      <c r="AH168" s="63">
        <v>0.43</v>
      </c>
      <c r="AI168" s="63">
        <v>0.37</v>
      </c>
      <c r="AJ168" s="63">
        <v>0.33</v>
      </c>
      <c r="AK168" s="63">
        <v>0.54</v>
      </c>
      <c r="AL168" s="63">
        <v>0.56999999999999995</v>
      </c>
      <c r="AM168" s="63">
        <v>0.56999999999999995</v>
      </c>
      <c r="AN168" s="12">
        <v>54</v>
      </c>
      <c r="AO168" s="12">
        <v>8</v>
      </c>
      <c r="AP168" s="63">
        <v>0.11</v>
      </c>
      <c r="AQ168" s="63">
        <v>0.44</v>
      </c>
      <c r="AR168" s="63">
        <v>0.44</v>
      </c>
      <c r="AS168" s="63">
        <v>0</v>
      </c>
      <c r="AT168" s="63">
        <v>0.47</v>
      </c>
      <c r="AU168" s="63">
        <v>0.32</v>
      </c>
      <c r="AV168" s="63">
        <v>0.4</v>
      </c>
      <c r="AW168" s="63">
        <v>0.4</v>
      </c>
      <c r="AX168" s="63">
        <v>0.36</v>
      </c>
      <c r="AY168" s="63">
        <v>0.43</v>
      </c>
      <c r="AZ168" s="35">
        <v>50</v>
      </c>
      <c r="BA168" s="35">
        <v>12</v>
      </c>
      <c r="BB168" s="40">
        <v>0.31</v>
      </c>
      <c r="BC168" s="40">
        <v>0.31</v>
      </c>
      <c r="BD168" s="40">
        <v>0.38</v>
      </c>
      <c r="BE168" s="40">
        <v>0</v>
      </c>
      <c r="BF168" s="40">
        <v>0.6</v>
      </c>
      <c r="BG168" s="40">
        <v>0.48</v>
      </c>
      <c r="BH168" s="40">
        <v>0.42</v>
      </c>
      <c r="BI168" s="40">
        <v>0.6</v>
      </c>
      <c r="BJ168" s="40">
        <v>0.43</v>
      </c>
      <c r="BK168" s="40">
        <v>0.46</v>
      </c>
      <c r="BL168" s="247">
        <v>54</v>
      </c>
      <c r="BM168" s="247" t="s">
        <v>874</v>
      </c>
      <c r="BN168" s="247">
        <v>9</v>
      </c>
      <c r="BO168" s="247" t="s">
        <v>874</v>
      </c>
      <c r="BP168" s="264">
        <v>0.06</v>
      </c>
      <c r="BQ168" s="264">
        <v>0.44</v>
      </c>
      <c r="BR168" s="264">
        <v>0.44</v>
      </c>
      <c r="BS168" s="264">
        <v>0.06</v>
      </c>
      <c r="BT168" s="264">
        <v>0.32</v>
      </c>
      <c r="BU168" s="264">
        <v>0.38</v>
      </c>
      <c r="BV168" s="264">
        <v>0.48</v>
      </c>
      <c r="BW168" s="264">
        <v>0.36</v>
      </c>
      <c r="BX168" s="264">
        <v>0.41</v>
      </c>
      <c r="BY168" s="264">
        <v>0.45</v>
      </c>
      <c r="BZ168" s="311">
        <v>52</v>
      </c>
      <c r="CA168" s="311" t="s">
        <v>874</v>
      </c>
      <c r="CB168" s="311">
        <v>12</v>
      </c>
      <c r="CC168" s="311" t="s">
        <v>874</v>
      </c>
      <c r="CD168" s="329">
        <v>0.16</v>
      </c>
      <c r="CE168" s="329">
        <v>0.37</v>
      </c>
      <c r="CF168" s="329">
        <v>0.47</v>
      </c>
      <c r="CG168" s="329">
        <v>0</v>
      </c>
      <c r="CH168" s="329">
        <v>0.56999999999999995</v>
      </c>
      <c r="CI168" s="329">
        <v>0.19</v>
      </c>
      <c r="CJ168" s="329">
        <v>0.48</v>
      </c>
      <c r="CK168" s="329">
        <v>0.5</v>
      </c>
      <c r="CL168" s="329">
        <v>0.47</v>
      </c>
      <c r="CM168" s="329">
        <v>0.55000000000000004</v>
      </c>
      <c r="CN168" s="426">
        <v>50</v>
      </c>
      <c r="CO168" s="426" t="s">
        <v>874</v>
      </c>
      <c r="CP168" s="426">
        <v>10</v>
      </c>
      <c r="CQ168" s="426" t="s">
        <v>874</v>
      </c>
      <c r="CR168" s="430">
        <v>0.13</v>
      </c>
      <c r="CS168" s="430">
        <v>0.56999999999999995</v>
      </c>
      <c r="CT168" s="430">
        <v>0.26</v>
      </c>
      <c r="CU168" s="430">
        <v>0.04</v>
      </c>
      <c r="CV168" s="430">
        <v>0.28000000000000003</v>
      </c>
      <c r="CW168" s="430">
        <v>0.53</v>
      </c>
      <c r="CX168" s="430">
        <v>0.56000000000000005</v>
      </c>
      <c r="CY168" s="430">
        <v>0.69</v>
      </c>
      <c r="CZ168" s="527">
        <v>0.6</v>
      </c>
      <c r="DA168" s="527">
        <v>0.62</v>
      </c>
      <c r="DB168" s="528">
        <v>58</v>
      </c>
      <c r="DC168" s="528" t="s">
        <v>875</v>
      </c>
      <c r="DD168" s="528">
        <v>11</v>
      </c>
      <c r="DE168" s="528" t="s">
        <v>874</v>
      </c>
      <c r="DF168" s="529">
        <v>0.04</v>
      </c>
      <c r="DG168" s="529">
        <v>0.28999999999999998</v>
      </c>
      <c r="DH168" s="529">
        <v>0.5</v>
      </c>
      <c r="DI168" s="529">
        <v>0.17</v>
      </c>
      <c r="DJ168" s="529">
        <v>0.43</v>
      </c>
      <c r="DK168" s="529">
        <v>0.36</v>
      </c>
      <c r="DL168" s="529">
        <v>0.33</v>
      </c>
      <c r="DM168" s="529">
        <v>0.46</v>
      </c>
      <c r="DN168" s="529">
        <v>0.36</v>
      </c>
      <c r="DO168" s="529">
        <v>0.23</v>
      </c>
    </row>
    <row r="169" spans="1:119" ht="24.95" customHeight="1" x14ac:dyDescent="0.2">
      <c r="A169" s="126" t="s">
        <v>99</v>
      </c>
      <c r="B169" s="1" t="s">
        <v>221</v>
      </c>
      <c r="C169" s="2">
        <v>5</v>
      </c>
      <c r="D169" s="12">
        <v>57</v>
      </c>
      <c r="E169" s="12">
        <v>10</v>
      </c>
      <c r="F169" s="63">
        <v>0.05</v>
      </c>
      <c r="G169" s="63">
        <v>0.32</v>
      </c>
      <c r="H169" s="63">
        <v>0.57999999999999996</v>
      </c>
      <c r="I169" s="63">
        <v>0.05</v>
      </c>
      <c r="J169" s="63">
        <v>0.5</v>
      </c>
      <c r="K169" s="63">
        <v>0.42</v>
      </c>
      <c r="L169" s="63">
        <v>0.59</v>
      </c>
      <c r="M169" s="63">
        <v>0.36</v>
      </c>
      <c r="N169" s="63">
        <v>0.42</v>
      </c>
      <c r="O169" s="63">
        <v>0.51</v>
      </c>
      <c r="P169" s="12">
        <v>53</v>
      </c>
      <c r="Q169" s="12">
        <v>9</v>
      </c>
      <c r="R169" s="61">
        <v>0.08</v>
      </c>
      <c r="S169" s="61">
        <v>0.38</v>
      </c>
      <c r="T169" s="61">
        <v>0.54</v>
      </c>
      <c r="U169" s="61">
        <v>0</v>
      </c>
      <c r="V169" s="61">
        <v>0.39</v>
      </c>
      <c r="W169" s="61">
        <v>0.45</v>
      </c>
      <c r="X169" s="61">
        <v>0.48</v>
      </c>
      <c r="Y169" s="61">
        <v>0.42</v>
      </c>
      <c r="Z169" s="61">
        <v>0.4</v>
      </c>
      <c r="AA169" s="61">
        <v>0.47</v>
      </c>
      <c r="AB169" s="12">
        <v>55</v>
      </c>
      <c r="AC169" s="12">
        <v>9</v>
      </c>
      <c r="AD169" s="63">
        <v>0.12</v>
      </c>
      <c r="AE169" s="63">
        <v>0.24</v>
      </c>
      <c r="AF169" s="63">
        <v>0.65</v>
      </c>
      <c r="AG169" s="63">
        <v>0</v>
      </c>
      <c r="AH169" s="63">
        <v>0.3</v>
      </c>
      <c r="AI169" s="63">
        <v>0.34</v>
      </c>
      <c r="AJ169" s="63">
        <v>0.37</v>
      </c>
      <c r="AK169" s="63">
        <v>0.42</v>
      </c>
      <c r="AL169" s="63">
        <v>0.61</v>
      </c>
      <c r="AM169" s="63">
        <v>0.4</v>
      </c>
      <c r="AN169" s="12">
        <v>54</v>
      </c>
      <c r="AO169" s="12">
        <v>14</v>
      </c>
      <c r="AP169" s="63">
        <v>0.19</v>
      </c>
      <c r="AQ169" s="63">
        <v>0.28999999999999998</v>
      </c>
      <c r="AR169" s="63">
        <v>0.48</v>
      </c>
      <c r="AS169" s="63">
        <v>0.05</v>
      </c>
      <c r="AT169" s="63">
        <v>0.44</v>
      </c>
      <c r="AU169" s="63">
        <v>0.41</v>
      </c>
      <c r="AV169" s="63">
        <v>0.41</v>
      </c>
      <c r="AW169" s="63">
        <v>0.39</v>
      </c>
      <c r="AX169" s="63">
        <v>0.36</v>
      </c>
      <c r="AY169" s="63">
        <v>0.32</v>
      </c>
      <c r="AZ169" s="35">
        <v>55</v>
      </c>
      <c r="BA169" s="35">
        <v>8</v>
      </c>
      <c r="BB169" s="40">
        <v>0.05</v>
      </c>
      <c r="BC169" s="40">
        <v>0.47</v>
      </c>
      <c r="BD169" s="40">
        <v>0.47</v>
      </c>
      <c r="BE169" s="40">
        <v>0</v>
      </c>
      <c r="BF169" s="40">
        <v>0.33</v>
      </c>
      <c r="BG169" s="40">
        <v>0.39</v>
      </c>
      <c r="BH169" s="40">
        <v>0.36</v>
      </c>
      <c r="BI169" s="40">
        <v>0.44</v>
      </c>
      <c r="BJ169" s="40">
        <v>0.34</v>
      </c>
      <c r="BK169" s="40">
        <v>0.3</v>
      </c>
      <c r="BL169" s="247">
        <v>50</v>
      </c>
      <c r="BM169" s="247" t="s">
        <v>874</v>
      </c>
      <c r="BN169" s="247">
        <v>9</v>
      </c>
      <c r="BO169" s="247" t="s">
        <v>874</v>
      </c>
      <c r="BP169" s="264">
        <v>0.15</v>
      </c>
      <c r="BQ169" s="264">
        <v>0.62</v>
      </c>
      <c r="BR169" s="264">
        <v>0.23</v>
      </c>
      <c r="BS169" s="264">
        <v>0</v>
      </c>
      <c r="BT169" s="264">
        <v>0.47</v>
      </c>
      <c r="BU169" s="264">
        <v>0.45</v>
      </c>
      <c r="BV169" s="264">
        <v>0.52</v>
      </c>
      <c r="BW169" s="264">
        <v>0.4</v>
      </c>
      <c r="BX169" s="264">
        <v>0.52</v>
      </c>
      <c r="BY169" s="264">
        <v>0.5</v>
      </c>
      <c r="BZ169" s="311">
        <v>57</v>
      </c>
      <c r="CA169" s="311" t="s">
        <v>874</v>
      </c>
      <c r="CB169" s="311">
        <v>7</v>
      </c>
      <c r="CC169" s="311" t="s">
        <v>876</v>
      </c>
      <c r="CD169" s="329">
        <v>0</v>
      </c>
      <c r="CE169" s="329">
        <v>0.39</v>
      </c>
      <c r="CF169" s="329">
        <v>0.61</v>
      </c>
      <c r="CG169" s="329">
        <v>0</v>
      </c>
      <c r="CH169" s="329">
        <v>0.41</v>
      </c>
      <c r="CI169" s="329">
        <v>0.2</v>
      </c>
      <c r="CJ169" s="329">
        <v>0.44</v>
      </c>
      <c r="CK169" s="329">
        <v>0.52</v>
      </c>
      <c r="CL169" s="329">
        <v>0.28000000000000003</v>
      </c>
      <c r="CM169" s="329">
        <v>0.48</v>
      </c>
      <c r="CN169" s="426">
        <v>55</v>
      </c>
      <c r="CO169" s="426" t="s">
        <v>874</v>
      </c>
      <c r="CP169" s="426">
        <v>11</v>
      </c>
      <c r="CQ169" s="426" t="s">
        <v>874</v>
      </c>
      <c r="CR169" s="430">
        <v>0.14000000000000001</v>
      </c>
      <c r="CS169" s="430">
        <v>0.38</v>
      </c>
      <c r="CT169" s="430">
        <v>0.38</v>
      </c>
      <c r="CU169" s="430">
        <v>0.1</v>
      </c>
      <c r="CV169" s="430">
        <v>0.32</v>
      </c>
      <c r="CW169" s="430">
        <v>0.47</v>
      </c>
      <c r="CX169" s="430">
        <v>0.5</v>
      </c>
      <c r="CY169" s="430">
        <v>0.28999999999999998</v>
      </c>
      <c r="CZ169" s="527">
        <v>0.54</v>
      </c>
      <c r="DA169" s="527">
        <v>0.45</v>
      </c>
      <c r="DB169" s="528">
        <v>53</v>
      </c>
      <c r="DC169" s="528" t="s">
        <v>874</v>
      </c>
      <c r="DD169" s="528">
        <v>12</v>
      </c>
      <c r="DE169" s="528" t="s">
        <v>874</v>
      </c>
      <c r="DF169" s="529">
        <v>0.14000000000000001</v>
      </c>
      <c r="DG169" s="529">
        <v>0.39</v>
      </c>
      <c r="DH169" s="529">
        <v>0.39</v>
      </c>
      <c r="DI169" s="529">
        <v>7.0000000000000007E-2</v>
      </c>
      <c r="DJ169" s="529">
        <v>0.45</v>
      </c>
      <c r="DK169" s="529">
        <v>0.55000000000000004</v>
      </c>
      <c r="DL169" s="529">
        <v>0.41</v>
      </c>
      <c r="DM169" s="529">
        <v>0.71</v>
      </c>
      <c r="DN169" s="529">
        <v>0.37</v>
      </c>
      <c r="DO169" s="529">
        <v>0.4</v>
      </c>
    </row>
    <row r="170" spans="1:119" ht="24.95" customHeight="1" x14ac:dyDescent="0.2">
      <c r="A170" s="126" t="s">
        <v>73</v>
      </c>
      <c r="B170" s="1" t="s">
        <v>221</v>
      </c>
      <c r="C170" s="2">
        <v>2</v>
      </c>
      <c r="D170" s="12">
        <v>50</v>
      </c>
      <c r="E170" s="12">
        <v>9</v>
      </c>
      <c r="F170" s="63">
        <v>0.18</v>
      </c>
      <c r="G170" s="63">
        <v>0.45</v>
      </c>
      <c r="H170" s="63">
        <v>0.36</v>
      </c>
      <c r="I170" s="63">
        <v>0</v>
      </c>
      <c r="J170" s="63">
        <v>0.52</v>
      </c>
      <c r="K170" s="63">
        <v>0.51</v>
      </c>
      <c r="L170" s="63">
        <v>0.54</v>
      </c>
      <c r="M170" s="63">
        <v>0.52</v>
      </c>
      <c r="N170" s="63">
        <v>0.47</v>
      </c>
      <c r="O170" s="63">
        <v>0.46</v>
      </c>
      <c r="P170" s="12">
        <v>53</v>
      </c>
      <c r="Q170" s="12">
        <v>10</v>
      </c>
      <c r="R170" s="61">
        <v>0.19</v>
      </c>
      <c r="S170" s="61">
        <v>0.37</v>
      </c>
      <c r="T170" s="61">
        <v>0.42</v>
      </c>
      <c r="U170" s="61">
        <v>0.02</v>
      </c>
      <c r="V170" s="61">
        <v>0.35</v>
      </c>
      <c r="W170" s="61">
        <v>0.43</v>
      </c>
      <c r="X170" s="61">
        <v>0.5</v>
      </c>
      <c r="Y170" s="61">
        <v>0.46</v>
      </c>
      <c r="Z170" s="61">
        <v>0.43</v>
      </c>
      <c r="AA170" s="61">
        <v>0.5</v>
      </c>
      <c r="AB170" s="12">
        <v>51</v>
      </c>
      <c r="AC170" s="12">
        <v>11</v>
      </c>
      <c r="AD170" s="63">
        <v>0.11</v>
      </c>
      <c r="AE170" s="63">
        <v>0.57999999999999996</v>
      </c>
      <c r="AF170" s="63">
        <v>0.28000000000000003</v>
      </c>
      <c r="AG170" s="63">
        <v>0.03</v>
      </c>
      <c r="AH170" s="63">
        <v>0.42</v>
      </c>
      <c r="AI170" s="63">
        <v>0.4</v>
      </c>
      <c r="AJ170" s="63">
        <v>0.38</v>
      </c>
      <c r="AK170" s="63">
        <v>0.5</v>
      </c>
      <c r="AL170" s="63">
        <v>0.61</v>
      </c>
      <c r="AM170" s="63">
        <v>0.52</v>
      </c>
      <c r="AN170" s="12">
        <v>47</v>
      </c>
      <c r="AO170" s="12">
        <v>10</v>
      </c>
      <c r="AP170" s="63">
        <v>0.28000000000000003</v>
      </c>
      <c r="AQ170" s="63">
        <v>0.5</v>
      </c>
      <c r="AR170" s="63">
        <v>0.22</v>
      </c>
      <c r="AS170" s="63">
        <v>0</v>
      </c>
      <c r="AT170" s="63">
        <v>0.62</v>
      </c>
      <c r="AU170" s="63">
        <v>0.48</v>
      </c>
      <c r="AV170" s="63">
        <v>0.4</v>
      </c>
      <c r="AW170" s="63">
        <v>0.51</v>
      </c>
      <c r="AX170" s="63">
        <v>0.56999999999999995</v>
      </c>
      <c r="AY170" s="63">
        <v>0.45</v>
      </c>
      <c r="AZ170" s="35">
        <v>45</v>
      </c>
      <c r="BA170" s="35">
        <v>10</v>
      </c>
      <c r="BB170" s="40">
        <v>0.36</v>
      </c>
      <c r="BC170" s="40">
        <v>0.48</v>
      </c>
      <c r="BD170" s="40">
        <v>0.16</v>
      </c>
      <c r="BE170" s="40">
        <v>0</v>
      </c>
      <c r="BF170" s="40">
        <v>0.59</v>
      </c>
      <c r="BG170" s="40">
        <v>0.56999999999999995</v>
      </c>
      <c r="BH170" s="40">
        <v>0.56000000000000005</v>
      </c>
      <c r="BI170" s="40">
        <v>0.53</v>
      </c>
      <c r="BJ170" s="40">
        <v>0.53</v>
      </c>
      <c r="BK170" s="40">
        <v>0.46</v>
      </c>
      <c r="BL170" s="247">
        <v>50</v>
      </c>
      <c r="BM170" s="247" t="s">
        <v>874</v>
      </c>
      <c r="BN170" s="247">
        <v>9</v>
      </c>
      <c r="BO170" s="247" t="s">
        <v>874</v>
      </c>
      <c r="BP170" s="264">
        <v>0.17</v>
      </c>
      <c r="BQ170" s="264">
        <v>0.56999999999999995</v>
      </c>
      <c r="BR170" s="264">
        <v>0.26</v>
      </c>
      <c r="BS170" s="264">
        <v>0</v>
      </c>
      <c r="BT170" s="264">
        <v>0.46</v>
      </c>
      <c r="BU170" s="264">
        <v>0.42</v>
      </c>
      <c r="BV170" s="264">
        <v>0.64</v>
      </c>
      <c r="BW170" s="264">
        <v>0.42</v>
      </c>
      <c r="BX170" s="264">
        <v>0.48</v>
      </c>
      <c r="BY170" s="264">
        <v>0.52</v>
      </c>
      <c r="BZ170" s="311">
        <v>53</v>
      </c>
      <c r="CA170" s="311" t="s">
        <v>874</v>
      </c>
      <c r="CB170" s="311">
        <v>10</v>
      </c>
      <c r="CC170" s="311" t="s">
        <v>874</v>
      </c>
      <c r="CD170" s="329">
        <v>0.14000000000000001</v>
      </c>
      <c r="CE170" s="329">
        <v>0.43</v>
      </c>
      <c r="CF170" s="329">
        <v>0.41</v>
      </c>
      <c r="CG170" s="329">
        <v>0.03</v>
      </c>
      <c r="CH170" s="329">
        <v>0.52</v>
      </c>
      <c r="CI170" s="329">
        <v>0.35</v>
      </c>
      <c r="CJ170" s="329">
        <v>0.51</v>
      </c>
      <c r="CK170" s="329">
        <v>0.47</v>
      </c>
      <c r="CL170" s="329">
        <v>0.44</v>
      </c>
      <c r="CM170" s="329">
        <v>0.45</v>
      </c>
      <c r="CN170" s="426">
        <v>52</v>
      </c>
      <c r="CO170" s="426" t="s">
        <v>874</v>
      </c>
      <c r="CP170" s="426">
        <v>10</v>
      </c>
      <c r="CQ170" s="426" t="s">
        <v>874</v>
      </c>
      <c r="CR170" s="430">
        <v>0.16</v>
      </c>
      <c r="CS170" s="430">
        <v>0.45</v>
      </c>
      <c r="CT170" s="430">
        <v>0.36</v>
      </c>
      <c r="CU170" s="430">
        <v>0.02</v>
      </c>
      <c r="CV170" s="430">
        <v>0.32</v>
      </c>
      <c r="CW170" s="430">
        <v>0.48</v>
      </c>
      <c r="CX170" s="430">
        <v>0.49</v>
      </c>
      <c r="CY170" s="430">
        <v>0.48</v>
      </c>
      <c r="CZ170" s="527">
        <v>0.59</v>
      </c>
      <c r="DA170" s="527">
        <v>0.44</v>
      </c>
      <c r="DB170" s="528">
        <v>49</v>
      </c>
      <c r="DC170" s="528" t="s">
        <v>874</v>
      </c>
      <c r="DD170" s="528">
        <v>11</v>
      </c>
      <c r="DE170" s="528" t="s">
        <v>874</v>
      </c>
      <c r="DF170" s="529">
        <v>0.24</v>
      </c>
      <c r="DG170" s="529">
        <v>0.49</v>
      </c>
      <c r="DH170" s="529">
        <v>0.24</v>
      </c>
      <c r="DI170" s="529">
        <v>0.02</v>
      </c>
      <c r="DJ170" s="529">
        <v>0.54</v>
      </c>
      <c r="DK170" s="529">
        <v>0.47</v>
      </c>
      <c r="DL170" s="529">
        <v>0.48</v>
      </c>
      <c r="DM170" s="529">
        <v>0.75</v>
      </c>
      <c r="DN170" s="529">
        <v>0.55000000000000004</v>
      </c>
      <c r="DO170" s="529">
        <v>0.56000000000000005</v>
      </c>
    </row>
    <row r="171" spans="1:119" ht="24.95" customHeight="1" x14ac:dyDescent="0.2">
      <c r="A171" s="126" t="s">
        <v>1082</v>
      </c>
      <c r="B171" s="1" t="s">
        <v>221</v>
      </c>
      <c r="C171" s="12">
        <v>1</v>
      </c>
      <c r="D171" s="12"/>
      <c r="E171" s="12"/>
      <c r="F171" s="12"/>
      <c r="G171" s="12"/>
      <c r="H171" s="12"/>
      <c r="I171" s="12"/>
      <c r="J171" s="12"/>
      <c r="K171" s="12"/>
      <c r="L171" s="12"/>
      <c r="M171" s="12"/>
      <c r="N171" s="12"/>
      <c r="O171" s="12"/>
      <c r="P171" s="12"/>
      <c r="Q171" s="12"/>
      <c r="R171" s="61"/>
      <c r="S171" s="61"/>
      <c r="T171" s="61"/>
      <c r="U171" s="61"/>
      <c r="V171" s="61"/>
      <c r="W171" s="61"/>
      <c r="X171" s="61"/>
      <c r="Y171" s="61"/>
      <c r="Z171" s="61"/>
      <c r="AA171" s="61"/>
      <c r="AB171" s="12"/>
      <c r="AC171" s="12"/>
      <c r="AD171" s="2"/>
      <c r="AE171" s="2"/>
      <c r="AF171" s="2"/>
      <c r="AG171" s="2"/>
      <c r="AH171" s="2"/>
      <c r="AI171" s="2"/>
      <c r="AJ171" s="2"/>
      <c r="AK171" s="2"/>
      <c r="AL171" s="2"/>
      <c r="AM171" s="2"/>
      <c r="AN171" s="12"/>
      <c r="AO171" s="12"/>
      <c r="AP171" s="2"/>
      <c r="AQ171" s="2"/>
      <c r="AR171" s="2"/>
      <c r="AS171" s="2"/>
      <c r="AT171" s="2"/>
      <c r="AU171" s="2"/>
      <c r="AV171" s="2"/>
      <c r="AW171" s="2"/>
      <c r="AX171" s="2"/>
      <c r="AY171" s="2"/>
      <c r="AZ171" s="35"/>
      <c r="BA171" s="35"/>
      <c r="BB171" s="40"/>
      <c r="BC171" s="40"/>
      <c r="BD171" s="40"/>
      <c r="BE171" s="40"/>
      <c r="BF171" s="40"/>
      <c r="BG171" s="40"/>
      <c r="BH171" s="40"/>
      <c r="BI171" s="40"/>
      <c r="BJ171" s="40"/>
      <c r="BK171" s="40"/>
      <c r="BL171" s="247"/>
      <c r="BM171" s="247"/>
      <c r="BN171" s="247"/>
      <c r="BO171" s="247"/>
      <c r="BP171" s="264"/>
      <c r="BQ171" s="264"/>
      <c r="BR171" s="264"/>
      <c r="BS171" s="264"/>
      <c r="BT171" s="264"/>
      <c r="BU171" s="264"/>
      <c r="BV171" s="264"/>
      <c r="BW171" s="264"/>
      <c r="BX171" s="264"/>
      <c r="BY171" s="264"/>
      <c r="BZ171" s="311"/>
      <c r="CA171" s="311"/>
      <c r="CB171" s="311"/>
      <c r="CC171" s="311"/>
      <c r="CD171" s="329"/>
      <c r="CE171" s="329"/>
      <c r="CF171" s="329"/>
      <c r="CG171" s="329"/>
      <c r="CH171" s="329"/>
      <c r="CI171" s="329"/>
      <c r="CJ171" s="329"/>
      <c r="CK171" s="329"/>
      <c r="CL171" s="329"/>
      <c r="CM171" s="329"/>
      <c r="CN171" s="426"/>
      <c r="CO171" s="426"/>
      <c r="CP171" s="426"/>
      <c r="CQ171" s="426"/>
      <c r="CR171" s="430"/>
      <c r="CS171" s="430"/>
      <c r="CT171" s="430"/>
      <c r="CU171" s="430"/>
      <c r="CV171" s="430"/>
      <c r="CW171" s="430"/>
      <c r="CX171" s="430"/>
      <c r="CY171" s="426"/>
      <c r="CZ171" s="527"/>
      <c r="DA171" s="527"/>
      <c r="DB171" s="528">
        <v>55</v>
      </c>
      <c r="DC171" s="528" t="s">
        <v>874</v>
      </c>
      <c r="DD171" s="528">
        <v>11</v>
      </c>
      <c r="DE171" s="528" t="s">
        <v>874</v>
      </c>
      <c r="DF171" s="529">
        <v>0.14000000000000001</v>
      </c>
      <c r="DG171" s="529">
        <v>0.33</v>
      </c>
      <c r="DH171" s="529">
        <v>0.52</v>
      </c>
      <c r="DI171" s="529">
        <v>0</v>
      </c>
      <c r="DJ171" s="529">
        <v>0.4</v>
      </c>
      <c r="DK171" s="529">
        <v>0.46</v>
      </c>
      <c r="DL171" s="529">
        <v>0.47</v>
      </c>
      <c r="DM171" s="529">
        <v>0.32</v>
      </c>
      <c r="DN171" s="529">
        <v>0.53</v>
      </c>
      <c r="DO171" s="529">
        <v>0.38</v>
      </c>
    </row>
    <row r="173" spans="1:119" x14ac:dyDescent="0.2">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6" spans="1:119" ht="12.75" customHeight="1" x14ac:dyDescent="0.2">
      <c r="E176" s="842" t="s">
        <v>260</v>
      </c>
      <c r="F176" s="845"/>
      <c r="G176" s="845"/>
      <c r="H176" s="845"/>
      <c r="I176" s="845"/>
      <c r="J176" s="845"/>
      <c r="K176" s="845"/>
      <c r="L176" s="845"/>
      <c r="M176" s="845"/>
      <c r="N176" s="845"/>
      <c r="O176" s="845"/>
      <c r="P176" s="73"/>
      <c r="X176" s="73"/>
      <c r="AJ176" s="73"/>
      <c r="AK176" s="73"/>
      <c r="AL176" s="73"/>
      <c r="AM176" s="73"/>
      <c r="AN176" s="73"/>
      <c r="AO176" s="73"/>
      <c r="AP176" s="73"/>
      <c r="AQ176" s="73"/>
      <c r="AR176" s="73"/>
      <c r="AS176" s="73"/>
      <c r="AT176" s="73"/>
      <c r="AU176" s="73"/>
      <c r="AV176" s="73"/>
      <c r="AW176" s="73"/>
      <c r="AX176" s="73"/>
      <c r="AY176" s="73"/>
      <c r="AZ176" s="73"/>
      <c r="BA176" s="73"/>
    </row>
    <row r="177" spans="5:53" x14ac:dyDescent="0.2">
      <c r="E177" s="989"/>
      <c r="F177" s="838">
        <v>2016</v>
      </c>
      <c r="G177" s="839"/>
      <c r="H177" s="838">
        <v>2017</v>
      </c>
      <c r="I177" s="839"/>
      <c r="J177" s="838">
        <v>2018</v>
      </c>
      <c r="K177" s="839"/>
      <c r="L177" s="838">
        <v>2019</v>
      </c>
      <c r="M177" s="839"/>
      <c r="N177" s="838">
        <v>2020</v>
      </c>
      <c r="O177" s="839"/>
      <c r="P177" s="838">
        <v>2021</v>
      </c>
      <c r="Q177" s="839"/>
      <c r="R177" s="838">
        <v>2022</v>
      </c>
      <c r="S177" s="839"/>
      <c r="T177" s="28">
        <v>2023</v>
      </c>
      <c r="U177" s="29"/>
      <c r="V177" s="1004">
        <v>2024</v>
      </c>
      <c r="W177" s="1005"/>
      <c r="X177" s="72"/>
      <c r="AJ177" s="72"/>
      <c r="AK177" s="72"/>
      <c r="AL177" s="72"/>
      <c r="AM177" s="72"/>
      <c r="AP177" s="72"/>
      <c r="AQ177" s="72"/>
      <c r="AR177" s="72"/>
      <c r="AS177" s="72"/>
      <c r="AT177" s="72"/>
      <c r="AU177" s="72"/>
      <c r="AV177" s="72"/>
      <c r="AW177" s="72"/>
      <c r="AX177" s="72"/>
      <c r="AY177" s="72"/>
    </row>
    <row r="178" spans="5:53" x14ac:dyDescent="0.2">
      <c r="E178" s="987"/>
      <c r="F178" s="7" t="s">
        <v>218</v>
      </c>
      <c r="G178" s="7" t="s">
        <v>251</v>
      </c>
      <c r="H178" s="7" t="s">
        <v>218</v>
      </c>
      <c r="I178" s="7" t="s">
        <v>251</v>
      </c>
      <c r="J178" s="7" t="s">
        <v>218</v>
      </c>
      <c r="K178" s="7" t="s">
        <v>251</v>
      </c>
      <c r="L178" s="7" t="s">
        <v>218</v>
      </c>
      <c r="M178" s="7" t="s">
        <v>251</v>
      </c>
      <c r="N178" s="7" t="s">
        <v>218</v>
      </c>
      <c r="O178" s="34" t="s">
        <v>251</v>
      </c>
      <c r="P178" s="7" t="s">
        <v>218</v>
      </c>
      <c r="Q178" s="34" t="s">
        <v>251</v>
      </c>
      <c r="R178" s="7" t="s">
        <v>218</v>
      </c>
      <c r="S178" s="34" t="s">
        <v>251</v>
      </c>
      <c r="T178" s="7" t="s">
        <v>218</v>
      </c>
      <c r="U178" s="34" t="s">
        <v>251</v>
      </c>
      <c r="V178" s="7" t="s">
        <v>218</v>
      </c>
      <c r="W178" s="34" t="s">
        <v>251</v>
      </c>
      <c r="X178" s="72"/>
      <c r="AJ178" s="72"/>
      <c r="AK178" s="72"/>
      <c r="AL178" s="72"/>
      <c r="AM178" s="72"/>
      <c r="AP178" s="72"/>
      <c r="AQ178" s="72"/>
      <c r="AR178" s="72"/>
      <c r="AS178" s="72"/>
      <c r="AT178" s="72"/>
      <c r="AU178" s="72"/>
      <c r="AV178" s="72"/>
      <c r="AW178" s="72"/>
      <c r="AX178" s="72"/>
      <c r="AY178" s="72"/>
    </row>
    <row r="179" spans="5:53" x14ac:dyDescent="0.2">
      <c r="E179" s="5" t="s">
        <v>0</v>
      </c>
      <c r="F179" s="23">
        <v>52</v>
      </c>
      <c r="G179" s="23">
        <v>9</v>
      </c>
      <c r="H179" s="23">
        <v>52</v>
      </c>
      <c r="I179" s="23">
        <v>10</v>
      </c>
      <c r="J179" s="23">
        <v>50</v>
      </c>
      <c r="K179" s="23">
        <v>10</v>
      </c>
      <c r="L179" s="23">
        <v>48</v>
      </c>
      <c r="M179" s="23">
        <v>11</v>
      </c>
      <c r="N179" s="10">
        <v>50</v>
      </c>
      <c r="O179" s="75">
        <v>11</v>
      </c>
      <c r="P179" s="10">
        <v>49</v>
      </c>
      <c r="Q179" s="75">
        <v>11</v>
      </c>
      <c r="R179" s="10">
        <v>49</v>
      </c>
      <c r="S179" s="75">
        <v>11</v>
      </c>
      <c r="T179" s="10">
        <v>49</v>
      </c>
      <c r="U179" s="75">
        <v>11</v>
      </c>
      <c r="V179" s="10">
        <v>50</v>
      </c>
      <c r="W179" s="75">
        <v>11</v>
      </c>
      <c r="X179" s="47"/>
      <c r="AJ179" s="47"/>
      <c r="AK179" s="47"/>
      <c r="AL179" s="47"/>
      <c r="AM179" s="47"/>
      <c r="AP179" s="47"/>
      <c r="AQ179" s="47"/>
      <c r="AR179" s="47"/>
      <c r="AS179" s="47"/>
      <c r="AT179" s="47"/>
      <c r="AU179" s="47"/>
      <c r="AV179" s="47"/>
      <c r="AW179" s="47"/>
      <c r="AX179" s="47"/>
      <c r="AY179" s="47"/>
    </row>
    <row r="180" spans="5:53" x14ac:dyDescent="0.2">
      <c r="E180" s="27" t="s">
        <v>244</v>
      </c>
      <c r="F180" s="27">
        <f>AVERAGEIF($C$36:$C$171,"=1",D36:D171)</f>
        <v>50.588235294117645</v>
      </c>
      <c r="G180" s="27">
        <f>AVERAGEIF($C$36:$C$171,"=1",E36:E171)</f>
        <v>8.3529411764705888</v>
      </c>
      <c r="H180" s="27">
        <f>AVERAGEIF($C$36:$C$171,"=1",P36:P171)</f>
        <v>50.8125</v>
      </c>
      <c r="I180" s="27">
        <f>AVERAGEIF($C$36:$C$171,"=1",Q36:Q171)</f>
        <v>9.0625</v>
      </c>
      <c r="J180" s="27">
        <f>AVERAGEIF($C$36:$C$171,"=1",AB36:AB171)</f>
        <v>48.882352941176471</v>
      </c>
      <c r="K180" s="27">
        <f>AVERAGEIF($C$36:$C$171,"=1",AC36:AC171)</f>
        <v>10.058823529411764</v>
      </c>
      <c r="L180" s="27">
        <f>AVERAGEIF($C$36:$C$171,"=1",AN36:AN171)</f>
        <v>46.941176470588232</v>
      </c>
      <c r="M180" s="27">
        <f>AVERAGEIF($C$36:$C$171,"=1",AO36:AO171)</f>
        <v>10.176470588235293</v>
      </c>
      <c r="N180" s="27">
        <f>AVERAGEIF($C$36:$C$171,"=1",$AZ$36:$AZ$171)</f>
        <v>50.058823529411768</v>
      </c>
      <c r="O180" s="27">
        <f>AVERAGEIF($C$36:$C$171,"=1",$BA$36:$BA$171)</f>
        <v>9.882352941176471</v>
      </c>
      <c r="P180" s="27">
        <f>AVERAGEIF($C$36:$C$171,"=1",$BL$36:$BL$171)</f>
        <v>48.823529411764703</v>
      </c>
      <c r="Q180" s="27">
        <f>AVERAGEIF($C$36:$C$171,"=1",$BN$36:$BN$171)</f>
        <v>9.7058823529411757</v>
      </c>
      <c r="R180" s="27">
        <f>AVERAGEIF($C$36:$C$171,"=1",$BZ$36:$BZ$171)</f>
        <v>49.388888888888886</v>
      </c>
      <c r="S180" s="27">
        <f>AVERAGEIF($C$36:$C$171,"=1",$CB$36:$CB$171)</f>
        <v>10.333333333333334</v>
      </c>
      <c r="T180" s="27">
        <f>AVERAGEIF($C$36:$C$171,"=1",$CN$36:$CN$171)</f>
        <v>50.058823529411768</v>
      </c>
      <c r="U180" s="27">
        <f>AVERAGEIF($C$36:$C$171,"=1",$CP$36:$CP$171)</f>
        <v>9.764705882352942</v>
      </c>
      <c r="V180" s="27">
        <v>49.777777777777779</v>
      </c>
      <c r="W180" s="27">
        <v>10.388888888888889</v>
      </c>
      <c r="X180" s="32"/>
      <c r="AJ180" s="32"/>
      <c r="AK180" s="32"/>
      <c r="AL180" s="32"/>
      <c r="AM180" s="32"/>
      <c r="AP180" s="32"/>
      <c r="AQ180" s="32"/>
      <c r="AR180" s="32"/>
      <c r="AS180" s="32"/>
      <c r="AT180" s="32"/>
      <c r="AU180" s="32"/>
      <c r="AV180" s="32"/>
      <c r="AW180" s="32"/>
      <c r="AX180" s="32"/>
      <c r="AY180" s="32"/>
    </row>
    <row r="181" spans="5:53" x14ac:dyDescent="0.2">
      <c r="E181" s="27" t="s">
        <v>245</v>
      </c>
      <c r="F181" s="27">
        <f>AVERAGEIF($C$36:$C$171,"=2",D36:D171)</f>
        <v>52.9</v>
      </c>
      <c r="G181" s="27">
        <f>AVERAGEIF($C$36:$C$171,"=2",E36:E171)</f>
        <v>7.95</v>
      </c>
      <c r="H181" s="27">
        <f>AVERAGEIF($C$36:$C$171,"=2",P36:P171)</f>
        <v>52.421052631578945</v>
      </c>
      <c r="I181" s="27">
        <f>AVERAGEIF($C$36:$C$171,"=2",Q36:Q171)</f>
        <v>9</v>
      </c>
      <c r="J181" s="27">
        <f>AVERAGEIF($C$36:$C$171,"=2",AB36:AB171)</f>
        <v>50.684210526315788</v>
      </c>
      <c r="K181" s="27">
        <f>AVERAGEIF($C$36:$C$171,"=2",AC36:AC171)</f>
        <v>9.3157894736842106</v>
      </c>
      <c r="L181" s="27">
        <f>AVERAGEIF($C$36:$C$171,"=2",AN36:AN171)</f>
        <v>49.65</v>
      </c>
      <c r="M181" s="27">
        <f>AVERAGEIF($C$36:$C$171,"=2",AO36:AO171)</f>
        <v>9.9</v>
      </c>
      <c r="N181" s="27">
        <f>AVERAGEIF($C$36:$C$171,"=2",$AZ$36:$AZ$171)</f>
        <v>51.083333333333336</v>
      </c>
      <c r="O181" s="27">
        <f>AVERAGEIF($C$36:$C$171,"=2",$BA$36:$BA$171)</f>
        <v>9.125</v>
      </c>
      <c r="P181" s="27">
        <f>AVERAGEIF($C$36:$C$171,"=2",$BL$36:$BL$171)</f>
        <v>48.636363636363633</v>
      </c>
      <c r="Q181" s="27">
        <f>AVERAGEIF($C$36:$C$171,"=2",$BN$36:$BN$171)</f>
        <v>9.4090909090909083</v>
      </c>
      <c r="R181" s="27">
        <f>AVERAGEIF($C$36:$C$171,"=2",$BZ$36:$BZ$171)</f>
        <v>51.08</v>
      </c>
      <c r="S181" s="27">
        <f>AVERAGEIF($C$36:$C$171,"=2",$CB$36:$CB$171)</f>
        <v>9.92</v>
      </c>
      <c r="T181" s="27">
        <f>AVERAGEIF($C$36:$C$171,"=2",$CN$36:$CN$171)</f>
        <v>51.5</v>
      </c>
      <c r="U181" s="27">
        <f>AVERAGEIF($C$36:$C$171,"=2",$CP$36:$CP$171)</f>
        <v>9.384615384615385</v>
      </c>
      <c r="V181" s="27">
        <v>51.583333333333336</v>
      </c>
      <c r="W181" s="27">
        <v>10.208333333333334</v>
      </c>
      <c r="X181" s="32"/>
      <c r="AJ181" s="32"/>
      <c r="AK181" s="32"/>
      <c r="AL181" s="32"/>
      <c r="AM181" s="32"/>
      <c r="AP181" s="32"/>
      <c r="AQ181" s="32"/>
      <c r="AR181" s="32"/>
      <c r="AS181" s="32"/>
      <c r="AT181" s="32"/>
      <c r="AU181" s="32"/>
      <c r="AV181" s="32"/>
      <c r="AW181" s="32"/>
      <c r="AX181" s="32"/>
      <c r="AY181" s="32"/>
    </row>
    <row r="182" spans="5:53" x14ac:dyDescent="0.2">
      <c r="E182" s="27" t="s">
        <v>246</v>
      </c>
      <c r="F182" s="27">
        <f>AVERAGEIF($C$36:$C$171,"=3",D36:D171)</f>
        <v>52.166666666666664</v>
      </c>
      <c r="G182" s="27">
        <f>AVERAGEIF($C$36:$C$171,"=3",E36:E171)</f>
        <v>8.7222222222222214</v>
      </c>
      <c r="H182" s="27">
        <f>AVERAGEIF($C$36:$C$171,"=3",P36:P171)</f>
        <v>52.473684210526315</v>
      </c>
      <c r="I182" s="27">
        <f>AVERAGEIF($C$36:$C$171,"=3",Q36:Q171)</f>
        <v>9.526315789473685</v>
      </c>
      <c r="J182" s="27">
        <f>AVERAGEIF($C$36:$C$171,"=3",AB36:AB171)</f>
        <v>51.10526315789474</v>
      </c>
      <c r="K182" s="27">
        <f>AVERAGEIF($C$36:$C$171,"=3",AC36:AC171)</f>
        <v>9.8333333333333339</v>
      </c>
      <c r="L182" s="27">
        <f>AVERAGEIF($C$36:$C$171,"=3",AN36:AN171)</f>
        <v>48.684210526315788</v>
      </c>
      <c r="M182" s="27">
        <f>AVERAGEIF($C$36:$C$171,"=3",AO36:AO171)</f>
        <v>10.277777777777779</v>
      </c>
      <c r="N182" s="27">
        <f>AVERAGEIF($C$36:$C$171,"=3",$AZ$36:$AZ$171)</f>
        <v>51.6</v>
      </c>
      <c r="O182" s="27">
        <f>AVERAGEIF($C$36:$C$171,"=3",$BA$36:$BA$171)</f>
        <v>10.25</v>
      </c>
      <c r="P182" s="27">
        <f>AVERAGEIF($C$36:$C$171,"=3",$BL$36:$BL$171)</f>
        <v>50.05</v>
      </c>
      <c r="Q182" s="27">
        <f>AVERAGEIF($C$36:$C$171,"=3",$BN$36:$BN$171)</f>
        <v>10.199999999999999</v>
      </c>
      <c r="R182" s="27">
        <f>AVERAGEIF($C$36:$C$171,"=3",$BZ$36:$BZ$171)</f>
        <v>51.863636363636367</v>
      </c>
      <c r="S182" s="27">
        <f>AVERAGEIF($C$36:$C$171,"=3",$CB$36:$CB$171)</f>
        <v>10.045454545454545</v>
      </c>
      <c r="T182" s="27">
        <f>AVERAGEIF($C$36:$C$171,"=3",$CN$36:$CN$171)</f>
        <v>51.409090909090907</v>
      </c>
      <c r="U182" s="27">
        <f>AVERAGEIF($C$36:$C$171,"=3",$CP$36:$CP$171)</f>
        <v>10.090909090909092</v>
      </c>
      <c r="V182" s="27">
        <v>51.18181818181818</v>
      </c>
      <c r="W182" s="27">
        <v>9.9090909090909083</v>
      </c>
      <c r="X182" s="32"/>
      <c r="AJ182" s="32"/>
      <c r="AK182" s="32"/>
      <c r="AL182" s="32"/>
      <c r="AM182" s="32"/>
      <c r="AP182" s="32"/>
      <c r="AQ182" s="32"/>
      <c r="AR182" s="32"/>
      <c r="AS182" s="32"/>
      <c r="AT182" s="32"/>
      <c r="AU182" s="32"/>
      <c r="AV182" s="32"/>
      <c r="AW182" s="32"/>
      <c r="AX182" s="32"/>
      <c r="AY182" s="32"/>
    </row>
    <row r="183" spans="5:53" x14ac:dyDescent="0.2">
      <c r="E183" s="27" t="s">
        <v>247</v>
      </c>
      <c r="F183" s="27">
        <f>AVERAGEIF($C$36:$C$171,"=4",D36:D171)</f>
        <v>48.142857142857146</v>
      </c>
      <c r="G183" s="27">
        <f>AVERAGEIF($C$36:$C$171,"=4",E36:E171)</f>
        <v>8</v>
      </c>
      <c r="H183" s="27">
        <f>AVERAGEIF($C$36:$C$171,"=4",P36:P171)</f>
        <v>50.266666666666666</v>
      </c>
      <c r="I183" s="27">
        <f>AVERAGEIF($C$36:$C$171,"=4",Q36:Q171)</f>
        <v>8.4666666666666668</v>
      </c>
      <c r="J183" s="27">
        <f>AVERAGEIF($C$36:$C$171,"=4",AB36:AB171)</f>
        <v>47.93333333333333</v>
      </c>
      <c r="K183" s="27">
        <f>AVERAGEIF($C$36:$C$171,"=4",AC36:AC171)</f>
        <v>8.8666666666666671</v>
      </c>
      <c r="L183" s="27">
        <f>AVERAGEIF($C$36:$C$171,"=4",AN36:AN171)</f>
        <v>45.785714285714285</v>
      </c>
      <c r="M183" s="27">
        <f>AVERAGEIF($C$36:$C$171,"=4",AO36:AO171)</f>
        <v>10.357142857142858</v>
      </c>
      <c r="N183" s="27">
        <f>AVERAGEIF($C$36:$C$171,"=4",$AZ$36:$AZ$171)</f>
        <v>46.692307692307693</v>
      </c>
      <c r="O183" s="27">
        <f>AVERAGEIF($C$36:$C$171,"=4",$BA$36:$BA$171)</f>
        <v>9.615384615384615</v>
      </c>
      <c r="P183" s="27">
        <f>AVERAGEIF($C$36:$C$171,"=4",$BL$36:$BL$171)</f>
        <v>46.642857142857146</v>
      </c>
      <c r="Q183" s="27">
        <f>AVERAGEIF($C$36:$C$171,"=4",$BN$36:$BN$171)</f>
        <v>9.6428571428571423</v>
      </c>
      <c r="R183" s="27">
        <f>AVERAGEIF($C$36:$C$171,"=4",$BZ$36:$BZ$171)</f>
        <v>47.214285714285715</v>
      </c>
      <c r="S183" s="27">
        <f>AVERAGEIF($C$36:$C$171,"=4",$CB$36:$CB$171)</f>
        <v>9.8571428571428577</v>
      </c>
      <c r="T183" s="27">
        <f>AVERAGEIF($C$36:$C$171,"=4",$CN$36:$CN$171)</f>
        <v>46.733333333333334</v>
      </c>
      <c r="U183" s="27">
        <f>AVERAGEIF($C$36:$C$171,"=4",$CP$36:$CP$171)</f>
        <v>9.6</v>
      </c>
      <c r="V183" s="27">
        <v>48.07692307692308</v>
      </c>
      <c r="W183" s="27">
        <v>10</v>
      </c>
      <c r="X183" s="32"/>
      <c r="AJ183" s="32"/>
      <c r="AK183" s="32"/>
      <c r="AL183" s="32"/>
      <c r="AM183" s="32"/>
      <c r="AP183" s="32"/>
      <c r="AQ183" s="32"/>
      <c r="AR183" s="32"/>
      <c r="AS183" s="32"/>
      <c r="AT183" s="32"/>
      <c r="AU183" s="32"/>
      <c r="AV183" s="32"/>
      <c r="AW183" s="32"/>
      <c r="AX183" s="32"/>
      <c r="AY183" s="32"/>
    </row>
    <row r="184" spans="5:53" x14ac:dyDescent="0.2">
      <c r="E184" s="27" t="s">
        <v>248</v>
      </c>
      <c r="F184" s="27">
        <f>AVERAGEIF($C$36:$C$171,"=5",D36:D171)</f>
        <v>54.235294117647058</v>
      </c>
      <c r="G184" s="27">
        <f>AVERAGEIF($C$36:$C$171,"=5",E36:E171)</f>
        <v>8.6470588235294112</v>
      </c>
      <c r="H184" s="27">
        <f>AVERAGEIF($C$36:$C$171,"=5",P36:P171)</f>
        <v>54.117647058823529</v>
      </c>
      <c r="I184" s="27">
        <f>AVERAGEIF($C$36:$C$171,"=5",Q36:Q171)</f>
        <v>8.882352941176471</v>
      </c>
      <c r="J184" s="27">
        <f>AVERAGEIF($C$36:$C$171,"=5",AB36:AB171)</f>
        <v>52.555555555555557</v>
      </c>
      <c r="K184" s="27">
        <f>AVERAGEIF($C$36:$C$171,"=5",AC36:AC171)</f>
        <v>9.3333333333333339</v>
      </c>
      <c r="L184" s="27">
        <f>AVERAGEIF($C$36:$C$171,"=5",AN36:AN171)</f>
        <v>50.421052631578945</v>
      </c>
      <c r="M184" s="27">
        <f>AVERAGEIF($C$36:$C$171,"=5",AO36:AO171)</f>
        <v>10.157894736842104</v>
      </c>
      <c r="N184" s="27">
        <f>AVERAGEIF($C$36:$C$171,"=5",$AZ$36:$AZ$171)</f>
        <v>53.777777777777779</v>
      </c>
      <c r="O184" s="27">
        <f>AVERAGEIF($C$36:$C$171,"=5",$BA$36:$BA$171)</f>
        <v>9</v>
      </c>
      <c r="P184" s="27">
        <f>AVERAGEIF($C$36:$C$171,"=5",$BL$36:$BL$171)</f>
        <v>52.111111111111114</v>
      </c>
      <c r="Q184" s="27">
        <f>AVERAGEIF($C$36:$C$171,"=5",$BN$36:$BN$171)</f>
        <v>10.222222222222221</v>
      </c>
      <c r="R184" s="27">
        <f>AVERAGEIF($C$36:$C$171,"=5",$BZ$36:$BZ$171)</f>
        <v>53.352941176470587</v>
      </c>
      <c r="S184" s="27">
        <f>AVERAGEIF($C$36:$C$171,"=5",$CB$36:$CB$171)</f>
        <v>9.5882352941176467</v>
      </c>
      <c r="T184" s="27">
        <f>AVERAGEIF($C$36:$C$171,"=5",$CN$36:$CN$171)</f>
        <v>53.647058823529413</v>
      </c>
      <c r="U184" s="27">
        <f>AVERAGEIF($C$36:$C$171,"=5",$CP$36:$CP$171)</f>
        <v>9.7058823529411757</v>
      </c>
      <c r="V184" s="27">
        <v>52.166666666666664</v>
      </c>
      <c r="W184" s="27">
        <v>9.6666666666666661</v>
      </c>
      <c r="X184" s="32"/>
      <c r="AJ184" s="32"/>
      <c r="AK184" s="32"/>
      <c r="AL184" s="32"/>
      <c r="AM184" s="32"/>
      <c r="AP184" s="32"/>
      <c r="AQ184" s="32"/>
      <c r="AR184" s="32"/>
      <c r="AS184" s="32"/>
      <c r="AT184" s="32"/>
      <c r="AU184" s="32"/>
      <c r="AV184" s="32"/>
      <c r="AW184" s="32"/>
      <c r="AX184" s="32"/>
      <c r="AY184" s="32"/>
    </row>
    <row r="185" spans="5:53" x14ac:dyDescent="0.2">
      <c r="E185" s="27" t="s">
        <v>249</v>
      </c>
      <c r="F185" s="27">
        <f>AVERAGEIF($C$36:$C$171,"=6",D36:D171)</f>
        <v>52.06666666666667</v>
      </c>
      <c r="G185" s="27">
        <f>AVERAGEIF($C$36:$C$171,"=6",E36:E171)</f>
        <v>7.5333333333333332</v>
      </c>
      <c r="H185" s="27">
        <f>AVERAGEIF($C$36:$C$171,"=6",P36:P171)</f>
        <v>50.6</v>
      </c>
      <c r="I185" s="27">
        <f>AVERAGEIF($C$36:$C$171,"=6",Q36:Q171)</f>
        <v>9.5333333333333332</v>
      </c>
      <c r="J185" s="27">
        <f>AVERAGEIF($C$36:$C$171,"=6",AB36:AB171)</f>
        <v>50.571428571428569</v>
      </c>
      <c r="K185" s="27">
        <f>AVERAGEIF($C$36:$C$171,"=6",AC36:AC171)</f>
        <v>10.357142857142858</v>
      </c>
      <c r="L185" s="27">
        <f>AVERAGEIF($C$36:$C$171,"=6",AN36:AN171)</f>
        <v>49.2</v>
      </c>
      <c r="M185" s="27">
        <f>AVERAGEIF($C$36:$C$171,"=6",AO36:AO171)</f>
        <v>10.066666666666666</v>
      </c>
      <c r="N185" s="27">
        <f>AVERAGEIF($C$36:$C$171,"=6",$AZ$36:$AZ$171)</f>
        <v>49.588235294117645</v>
      </c>
      <c r="O185" s="27">
        <f>AVERAGEIF($C$36:$C$171,"=6",$BA$36:$BA$171)</f>
        <v>9.3529411764705888</v>
      </c>
      <c r="P185" s="27">
        <f>AVERAGEIF($C$36:$C$171,"=6",$BL$36:$BL$171)</f>
        <v>48.941176470588232</v>
      </c>
      <c r="Q185" s="27">
        <f>AVERAGEIF($C$36:$C$171,"=6",$BN$36:$BN$171)</f>
        <v>9.1764705882352935</v>
      </c>
      <c r="R185" s="27">
        <f>AVERAGEIF($C$36:$C$171,"=6",$BZ$36:$BZ$171)</f>
        <v>49.736842105263158</v>
      </c>
      <c r="S185" s="27">
        <f>AVERAGEIF($C$36:$C$171,"=6",$CB$36:$CB$171)</f>
        <v>10.789473684210526</v>
      </c>
      <c r="T185" s="27">
        <f>AVERAGEIF($C$36:$C$171,"=6",$CN$36:$CN$171)</f>
        <v>51.15</v>
      </c>
      <c r="U185" s="27">
        <f>AVERAGEIF($C$36:$C$171,"=6",$CP$36:$CP$171)</f>
        <v>8.5500000000000007</v>
      </c>
      <c r="V185" s="27">
        <v>50.611111111111114</v>
      </c>
      <c r="W185" s="27">
        <v>10.166666666666666</v>
      </c>
      <c r="X185" s="32"/>
      <c r="Y185" s="32"/>
      <c r="Z185" s="32"/>
      <c r="AA185" s="32"/>
      <c r="AD185" s="32"/>
      <c r="AE185" s="32"/>
      <c r="AF185" s="32"/>
      <c r="AG185" s="32"/>
      <c r="AH185" s="32"/>
      <c r="AI185" s="32"/>
      <c r="AJ185" s="32"/>
      <c r="AK185" s="32"/>
      <c r="AL185" s="32"/>
      <c r="AM185" s="32"/>
      <c r="AP185" s="32"/>
      <c r="AQ185" s="32"/>
      <c r="AR185" s="32"/>
      <c r="AS185" s="32"/>
      <c r="AT185" s="32"/>
      <c r="AU185" s="32"/>
      <c r="AV185" s="32"/>
      <c r="AW185" s="32"/>
      <c r="AX185" s="32"/>
      <c r="AY185" s="32"/>
    </row>
    <row r="186" spans="5:53" x14ac:dyDescent="0.2">
      <c r="Q186" t="s">
        <v>256</v>
      </c>
    </row>
    <row r="188" spans="5:53" x14ac:dyDescent="0.2">
      <c r="E188" s="28"/>
      <c r="F188" s="854">
        <v>2016</v>
      </c>
      <c r="G188" s="855"/>
      <c r="H188" s="855"/>
      <c r="I188" s="972"/>
      <c r="J188" s="28"/>
      <c r="K188" s="28"/>
      <c r="L188" s="28"/>
      <c r="M188" s="28"/>
      <c r="N188" s="842">
        <v>2018</v>
      </c>
      <c r="O188" s="845"/>
      <c r="P188" s="845"/>
      <c r="Q188" s="843"/>
      <c r="R188" s="842">
        <v>2019</v>
      </c>
      <c r="S188" s="845"/>
      <c r="T188" s="845"/>
      <c r="U188" s="843"/>
      <c r="V188" s="842">
        <v>2020</v>
      </c>
      <c r="W188" s="845"/>
      <c r="X188" s="845"/>
      <c r="Y188" s="845"/>
      <c r="Z188" s="842">
        <v>2021</v>
      </c>
      <c r="AA188" s="845"/>
      <c r="AB188" s="845"/>
      <c r="AC188" s="845"/>
      <c r="AD188" s="842">
        <v>2022</v>
      </c>
      <c r="AE188" s="845"/>
      <c r="AF188" s="845"/>
      <c r="AG188" s="845"/>
      <c r="AH188" s="842">
        <v>2023</v>
      </c>
      <c r="AI188" s="845"/>
      <c r="AJ188" s="845"/>
      <c r="AK188" s="845"/>
      <c r="AL188" s="842">
        <v>2024</v>
      </c>
      <c r="AM188" s="845"/>
      <c r="AN188" s="845"/>
      <c r="AO188" s="845"/>
      <c r="AP188" s="73"/>
      <c r="AQ188" s="73"/>
      <c r="AR188" s="73"/>
      <c r="AS188" s="73"/>
      <c r="AT188" s="73"/>
      <c r="AU188" s="73"/>
      <c r="AV188" s="73"/>
      <c r="AW188" s="73"/>
      <c r="AX188" s="73"/>
      <c r="AY188" s="73"/>
      <c r="AZ188" s="73"/>
      <c r="BA188" s="73"/>
    </row>
    <row r="189" spans="5:53" x14ac:dyDescent="0.2">
      <c r="E189" s="28"/>
      <c r="F189" s="842" t="s">
        <v>252</v>
      </c>
      <c r="G189" s="843"/>
      <c r="H189" s="842" t="s">
        <v>253</v>
      </c>
      <c r="I189" s="843"/>
      <c r="J189" s="842" t="s">
        <v>252</v>
      </c>
      <c r="K189" s="843"/>
      <c r="L189" s="842" t="s">
        <v>253</v>
      </c>
      <c r="M189" s="843"/>
      <c r="N189" s="842" t="s">
        <v>252</v>
      </c>
      <c r="O189" s="843"/>
      <c r="P189" s="842" t="s">
        <v>253</v>
      </c>
      <c r="Q189" s="843"/>
      <c r="R189" s="842" t="s">
        <v>252</v>
      </c>
      <c r="S189" s="843"/>
      <c r="T189" s="842" t="s">
        <v>253</v>
      </c>
      <c r="U189" s="843"/>
      <c r="V189" s="842" t="s">
        <v>252</v>
      </c>
      <c r="W189" s="843"/>
      <c r="X189" s="842" t="s">
        <v>253</v>
      </c>
      <c r="Y189" s="845"/>
      <c r="Z189" s="842" t="s">
        <v>252</v>
      </c>
      <c r="AA189" s="843"/>
      <c r="AB189" s="842" t="s">
        <v>253</v>
      </c>
      <c r="AC189" s="845"/>
      <c r="AD189" s="842" t="s">
        <v>252</v>
      </c>
      <c r="AE189" s="843"/>
      <c r="AF189" s="842" t="s">
        <v>253</v>
      </c>
      <c r="AG189" s="845"/>
      <c r="AH189" s="842" t="s">
        <v>252</v>
      </c>
      <c r="AI189" s="843"/>
      <c r="AJ189" s="842" t="s">
        <v>253</v>
      </c>
      <c r="AK189" s="845"/>
      <c r="AL189" s="842" t="s">
        <v>252</v>
      </c>
      <c r="AM189" s="843"/>
      <c r="AN189" s="842" t="s">
        <v>253</v>
      </c>
      <c r="AO189" s="845"/>
      <c r="AP189" s="72"/>
      <c r="AQ189" s="72"/>
      <c r="AR189" s="72"/>
      <c r="AS189" s="72"/>
      <c r="AT189" s="72"/>
      <c r="AU189" s="72"/>
      <c r="AV189" s="72"/>
      <c r="AW189" s="72"/>
      <c r="AX189" s="72"/>
      <c r="AY189" s="72"/>
    </row>
    <row r="190" spans="5:53" x14ac:dyDescent="0.2">
      <c r="E190" s="28"/>
      <c r="F190" s="7" t="s">
        <v>218</v>
      </c>
      <c r="G190" s="7" t="s">
        <v>251</v>
      </c>
      <c r="H190" s="7" t="s">
        <v>218</v>
      </c>
      <c r="I190" s="7" t="s">
        <v>251</v>
      </c>
      <c r="J190" s="7" t="s">
        <v>218</v>
      </c>
      <c r="K190" s="7" t="s">
        <v>251</v>
      </c>
      <c r="L190" s="7" t="s">
        <v>218</v>
      </c>
      <c r="M190" s="7" t="s">
        <v>251</v>
      </c>
      <c r="N190" s="7" t="s">
        <v>218</v>
      </c>
      <c r="O190" s="7" t="s">
        <v>251</v>
      </c>
      <c r="P190" s="7" t="s">
        <v>218</v>
      </c>
      <c r="Q190" s="7" t="s">
        <v>251</v>
      </c>
      <c r="R190" s="7" t="s">
        <v>218</v>
      </c>
      <c r="S190" s="7" t="s">
        <v>251</v>
      </c>
      <c r="T190" s="7" t="s">
        <v>218</v>
      </c>
      <c r="U190" s="7" t="s">
        <v>251</v>
      </c>
      <c r="V190" s="7" t="s">
        <v>218</v>
      </c>
      <c r="W190" s="7" t="s">
        <v>251</v>
      </c>
      <c r="X190" s="7" t="s">
        <v>218</v>
      </c>
      <c r="Y190" s="7" t="s">
        <v>251</v>
      </c>
      <c r="Z190" s="7" t="s">
        <v>218</v>
      </c>
      <c r="AA190" s="7" t="s">
        <v>251</v>
      </c>
      <c r="AB190" s="7" t="s">
        <v>218</v>
      </c>
      <c r="AC190" s="7" t="s">
        <v>251</v>
      </c>
      <c r="AD190" s="7" t="s">
        <v>218</v>
      </c>
      <c r="AE190" s="7" t="s">
        <v>251</v>
      </c>
      <c r="AF190" s="7" t="s">
        <v>218</v>
      </c>
      <c r="AG190" s="7" t="s">
        <v>251</v>
      </c>
      <c r="AH190" s="7" t="s">
        <v>218</v>
      </c>
      <c r="AI190" s="7" t="s">
        <v>251</v>
      </c>
      <c r="AJ190" s="7" t="s">
        <v>218</v>
      </c>
      <c r="AK190" s="7" t="s">
        <v>251</v>
      </c>
      <c r="AL190" s="7" t="s">
        <v>218</v>
      </c>
      <c r="AM190" s="7" t="s">
        <v>251</v>
      </c>
      <c r="AN190" s="7" t="s">
        <v>218</v>
      </c>
      <c r="AO190" s="7" t="s">
        <v>251</v>
      </c>
      <c r="AP190" s="72"/>
      <c r="AQ190" s="72"/>
      <c r="AR190" s="72"/>
      <c r="AS190" s="72"/>
      <c r="AT190" s="72"/>
      <c r="AU190" s="72"/>
      <c r="AV190" s="72"/>
      <c r="AW190" s="72"/>
      <c r="AX190" s="72"/>
      <c r="AY190" s="72"/>
    </row>
    <row r="191" spans="5:53" x14ac:dyDescent="0.2">
      <c r="E191" s="5" t="s">
        <v>0</v>
      </c>
      <c r="F191" s="10">
        <v>51</v>
      </c>
      <c r="G191" s="10">
        <v>9</v>
      </c>
      <c r="H191" s="10">
        <v>54</v>
      </c>
      <c r="I191" s="10">
        <v>9</v>
      </c>
      <c r="J191" s="10">
        <v>50</v>
      </c>
      <c r="K191" s="10">
        <v>8</v>
      </c>
      <c r="L191" s="10">
        <v>53</v>
      </c>
      <c r="M191" s="10">
        <v>8</v>
      </c>
      <c r="N191" s="30">
        <v>52</v>
      </c>
      <c r="O191" s="30">
        <v>9</v>
      </c>
      <c r="P191" s="30">
        <v>54</v>
      </c>
      <c r="Q191" s="30">
        <v>9</v>
      </c>
      <c r="R191" s="30">
        <v>52</v>
      </c>
      <c r="S191" s="30">
        <v>9</v>
      </c>
      <c r="T191" s="30">
        <v>55</v>
      </c>
      <c r="U191" s="30">
        <v>10</v>
      </c>
      <c r="V191" s="10">
        <v>49</v>
      </c>
      <c r="W191" s="10">
        <v>10</v>
      </c>
      <c r="X191" s="10">
        <v>52</v>
      </c>
      <c r="Y191" s="10">
        <v>11</v>
      </c>
      <c r="Z191" s="10">
        <v>47</v>
      </c>
      <c r="AA191" s="10">
        <v>10</v>
      </c>
      <c r="AB191" s="10">
        <v>51</v>
      </c>
      <c r="AC191" s="10">
        <v>11</v>
      </c>
      <c r="AD191" s="10">
        <v>47</v>
      </c>
      <c r="AE191" s="10">
        <v>10</v>
      </c>
      <c r="AF191" s="10">
        <v>51</v>
      </c>
      <c r="AG191" s="10">
        <v>11</v>
      </c>
      <c r="AH191" s="10">
        <v>47</v>
      </c>
      <c r="AI191" s="10">
        <v>10</v>
      </c>
      <c r="AJ191" s="10">
        <v>51</v>
      </c>
      <c r="AK191" s="10">
        <v>11</v>
      </c>
      <c r="AL191" s="10">
        <v>49</v>
      </c>
      <c r="AM191" s="10">
        <v>11</v>
      </c>
      <c r="AN191" s="10">
        <v>53</v>
      </c>
      <c r="AO191" s="10">
        <v>11</v>
      </c>
      <c r="AP191" s="74"/>
      <c r="AQ191" s="74"/>
      <c r="AR191" s="74"/>
      <c r="AS191" s="74"/>
      <c r="AT191" s="74"/>
      <c r="AU191" s="74"/>
      <c r="AV191" s="74"/>
      <c r="AW191" s="74"/>
      <c r="AX191" s="74"/>
      <c r="AY191" s="74"/>
    </row>
    <row r="192" spans="5:53" x14ac:dyDescent="0.2">
      <c r="E192" s="27" t="s">
        <v>244</v>
      </c>
      <c r="F192" s="27">
        <f>AVERAGEIFS(D36:D171,$C$36:$C$171,"=1", $B$36:$B$171,"OFICIAL")</f>
        <v>50.75</v>
      </c>
      <c r="G192" s="27">
        <f>AVERAGEIFS(E36:E171,$C$36:$C$171,"=1", $B$36:$B$171,"OFICIAL")</f>
        <v>9</v>
      </c>
      <c r="H192" s="27">
        <f>AVERAGEIFS(D36:D171,$C$36:$C$171,"=1", $B$36:$B$171,"NO OFICIAL")</f>
        <v>50.53846153846154</v>
      </c>
      <c r="I192" s="27">
        <f>AVERAGEIFS(E36:E171,$C$36:$C$171,"=1", $B$36:$B$171,"NO OFICIAL")</f>
        <v>8.1538461538461533</v>
      </c>
      <c r="J192" s="27">
        <f>AVERAGEIFS($P$36:$P$171,$C$36:$C$171,"=1", $B$36:$B$171,"OFICIAL")</f>
        <v>51.5</v>
      </c>
      <c r="K192" s="27">
        <f>AVERAGEIFS($Q$36:$Q$171,$C$36:$C$171,"=1", $B$36:$B$171,"OFICIAL")</f>
        <v>8.75</v>
      </c>
      <c r="L192" s="27">
        <f>AVERAGEIFS($P$36:$P$171,$C$36:$C$171,"=1", $B$36:$B$171,"NO OFICIAL")</f>
        <v>50.583333333333336</v>
      </c>
      <c r="M192" s="27">
        <f>AVERAGEIFS($Q$36:$Q$171,$C$36:$C$171,"=1", $B$36:$B$171,"NO OFICIAL")</f>
        <v>9.1666666666666661</v>
      </c>
      <c r="N192" s="27">
        <f>AVERAGEIFS($AB$36:$AB$171,$C$36:$C$171,"=1", $B$36:$B$171,"OFICIAL")</f>
        <v>48.25</v>
      </c>
      <c r="O192" s="27">
        <f>AVERAGEIFS($AC$36:$AC$171,$C$36:$C$171,"=1", $B$36:$B$171,"OFICIAL")</f>
        <v>10</v>
      </c>
      <c r="P192" s="27">
        <f>AVERAGEIFS($AB$36:$AB$171,$C$36:$C$171,"=1", $B$36:$B$171,"NO OFICIAL")</f>
        <v>49.07692307692308</v>
      </c>
      <c r="Q192" s="27">
        <f>AVERAGEIFS($AC$36:$AC$171,$C$36:$C$171,"=1", $B$36:$B$171,"NO OFICIAL")</f>
        <v>10.076923076923077</v>
      </c>
      <c r="R192" s="27">
        <f>AVERAGEIFS($AN$36:$AN$171,$C$36:$C$171,"=1", $B$36:$B$171,"OFICIAL")</f>
        <v>47.25</v>
      </c>
      <c r="S192" s="27">
        <f>AVERAGEIFS($AO$36:$AO$171,$C$36:$C$171,"=1", $B$36:$B$171,"OFICIAL")</f>
        <v>10.75</v>
      </c>
      <c r="T192" s="27">
        <f>AVERAGEIFS($AN$36:$AN$171,$C$36:$C$171,"=1", $B$36:$B$171,"NO OFICIAL")</f>
        <v>46.846153846153847</v>
      </c>
      <c r="U192" s="27">
        <f>AVERAGEIFS($AO$36:$AO$171,$C$36:$C$171,"=1", $B$36:$B$171,"NO OFICIAL")</f>
        <v>10</v>
      </c>
      <c r="V192" s="27">
        <f>AVERAGEIFS($AZ$36:$AZ$171,$C$36:$C$171,"=1", $B$36:$B$171,"OFICIAL")</f>
        <v>49.75</v>
      </c>
      <c r="W192" s="27">
        <f>AVERAGEIFS($BA$36:$BA$171,$C$36:$C$171,"=1", $B$36:$B$171,"OFICIAL")</f>
        <v>9.75</v>
      </c>
      <c r="X192" s="27">
        <f>AVERAGEIFS($AZ$36:$AZ$171,$C$36:$C$171,"=1", $B$36:$B$171,"NO OFICIAL")</f>
        <v>50.153846153846153</v>
      </c>
      <c r="Y192" s="27">
        <f>AVERAGEIFS($BA$36:$BA$171,$C$36:$C$171,"=1", $B$36:$B$171,"NO OFICIAL")</f>
        <v>9.9230769230769234</v>
      </c>
      <c r="Z192" s="27">
        <f>AVERAGEIFS($BL$36:$BL$171,$C$36:$C$171,"=1", $B$36:$B$171,"OFICIAL")</f>
        <v>47.5</v>
      </c>
      <c r="AA192" s="27">
        <f>AVERAGEIFS($BN$36:$BN$171,$C$36:$C$171,"=1", $B$36:$B$171,"OFICIAL")</f>
        <v>10.25</v>
      </c>
      <c r="AB192" s="27">
        <f>AVERAGEIFS($BL$36:$BL$171,$C$36:$C$171,"=1", $B$36:$B$171,"NO OFICIAL")</f>
        <v>49.230769230769234</v>
      </c>
      <c r="AC192" s="27">
        <f>AVERAGEIFS($BN$36:$BN$171,$C$36:$C$171,"=1", $B$36:$B$171,"NO OFICIAL")</f>
        <v>9.5384615384615383</v>
      </c>
      <c r="AD192" s="27">
        <f>AVERAGEIFS($BZ$36:$BZ$171,$C$36:$C$171,"=1", $B$36:$B$171,"OFICIAL")</f>
        <v>48.2</v>
      </c>
      <c r="AE192" s="27">
        <f>AVERAGEIFS($CB$36:$CB$171,$C$36:$C$171,"=1", $B$36:$B$171,"OFICIAL")</f>
        <v>10.8</v>
      </c>
      <c r="AF192" s="27">
        <f>AVERAGEIFS($BZ$36:$BZ$171,$C$36:$C$171,"=1", $B$36:$B$171,"NO OFICIAL")</f>
        <v>49.846153846153847</v>
      </c>
      <c r="AG192" s="27">
        <f>AVERAGEIFS($CB$36:$CB$171,$C$36:$C$171,"=1", $B$36:$B$171,"NO OFICIAL")</f>
        <v>10.153846153846153</v>
      </c>
      <c r="AH192" s="27">
        <f>AVERAGEIFS($CN$36:$CN$171,$C$36:$C$171,"=1", $B$36:$B$171,"OFICIAL")</f>
        <v>48.2</v>
      </c>
      <c r="AI192" s="27">
        <f>AVERAGEIFS($CP$36:$CP$171,$C$36:$C$171,"=1", $B$36:$B$171,"OFICIAL")</f>
        <v>9.8000000000000007</v>
      </c>
      <c r="AJ192" s="27">
        <f>AVERAGEIFS($CN$36:$CN$171,$C$36:$C$171,"=1", $B$36:$B$171,"NO OFICIAL")</f>
        <v>50.833333333333336</v>
      </c>
      <c r="AK192" s="27">
        <f>AVERAGEIFS($CP$36:$CP$171,$C$36:$C$171,"=1", $B$36:$B$171,"NO OFICIAL")</f>
        <v>9.75</v>
      </c>
      <c r="AL192" s="27">
        <v>47.8</v>
      </c>
      <c r="AM192" s="27">
        <v>10.4</v>
      </c>
      <c r="AN192" s="27">
        <v>50.53846153846154</v>
      </c>
      <c r="AO192" s="27">
        <v>10.384615384615385</v>
      </c>
      <c r="AP192" s="32"/>
      <c r="AQ192" s="32"/>
      <c r="AR192" s="32"/>
      <c r="AS192" s="32"/>
      <c r="AT192" s="32"/>
      <c r="AU192" s="32"/>
      <c r="AV192" s="32"/>
      <c r="AW192" s="32"/>
      <c r="AX192" s="32"/>
      <c r="AY192" s="32"/>
    </row>
    <row r="193" spans="5:61" x14ac:dyDescent="0.2">
      <c r="E193" s="27" t="s">
        <v>245</v>
      </c>
      <c r="F193" s="27">
        <f>AVERAGEIFS(D36:D171,$C$36:$C$171,"=2", $B$36:$B$171,"OFICIAL")</f>
        <v>52</v>
      </c>
      <c r="G193" s="27">
        <f>AVERAGEIFS(E36:E171,$C$36:$C$171,"=2", $B$36:$B$171,"OFICIAL")</f>
        <v>8.5</v>
      </c>
      <c r="H193" s="27">
        <f>AVERAGEIFS(D36:D171,$C$36:$C$171,"=2", $B$36:$B$171,"NO OFICIAL")</f>
        <v>53</v>
      </c>
      <c r="I193" s="27">
        <f>AVERAGEIFS(E36:E171,$C$36:$C$171,"=2", $B$36:$B$171,"NO OFICIAL")</f>
        <v>7.8888888888888893</v>
      </c>
      <c r="J193" s="27">
        <f>AVERAGEIFS($P$36:$P$171,$C$36:$C$171,"=2", $B$36:$B$171,"OFICIAL")</f>
        <v>51</v>
      </c>
      <c r="K193" s="27">
        <f>AVERAGEIFS($Q$36:$Q$171,$C$36:$C$171,"=2", $B$36:$B$171,"OFICIAL")</f>
        <v>9.5</v>
      </c>
      <c r="L193" s="27">
        <f>AVERAGEIFS($P$36:$P$171,$C$36:$C$171,"=2", $B$36:$B$171,"NO OFICIAL")</f>
        <v>52.588235294117645</v>
      </c>
      <c r="M193" s="27">
        <f>AVERAGEIFS($Q$36:$Q$171,$C$36:$C$171,"=2", $B$36:$B$171,"NO OFICIAL")</f>
        <v>8.9411764705882355</v>
      </c>
      <c r="N193" s="27">
        <f>AVERAGEIFS($AB$36:$AB$171,$C$36:$C$171,"=2", $B$36:$B$171,"OFICIAL")</f>
        <v>49</v>
      </c>
      <c r="O193" s="27">
        <f>AVERAGEIFS($AC$36:$AC$171,$C$36:$C$171,"=2", $B$36:$B$171,"OFICIAL")</f>
        <v>10</v>
      </c>
      <c r="P193" s="27">
        <f>AVERAGEIFS($AB$36:$AB$171,$C$36:$C$171,"=2", $B$36:$B$171,"NO OFICIAL")</f>
        <v>50.882352941176471</v>
      </c>
      <c r="Q193" s="27">
        <f>AVERAGEIFS($AC$36:$AC$171,$C$36:$C$171,"=2", $B$36:$B$171,"NO OFICIAL")</f>
        <v>9.235294117647058</v>
      </c>
      <c r="R193" s="27">
        <f>AVERAGEIFS($AN$36:$AN$171,$C$36:$C$171,"=2", $B$36:$B$171,"OFICIAL")</f>
        <v>48</v>
      </c>
      <c r="S193" s="27">
        <f>AVERAGEIFS($AO$36:$AO$171,$C$36:$C$171,"=2", $B$36:$B$171,"OFICIAL")</f>
        <v>10.5</v>
      </c>
      <c r="T193" s="27">
        <f>AVERAGEIFS($AN$36:$AN$171,$C$36:$C$171,"=2", $B$36:$B$171,"NO OFICIAL")</f>
        <v>49.833333333333336</v>
      </c>
      <c r="U193" s="27">
        <f>AVERAGEIFS($AO$36:$AO$171,$C$36:$C$171,"=2", $B$36:$B$171,"NO OFICIAL")</f>
        <v>9.8333333333333339</v>
      </c>
      <c r="V193" s="27">
        <f>AVERAGEIFS($AZ$36:$AZ$171,$C$36:$C$171,"=2", $B$36:$B$171,"OFICIAL")</f>
        <v>50</v>
      </c>
      <c r="W193" s="27">
        <f>AVERAGEIFS($BA$36:$BA$171,$C$36:$C$171,"=2", $B$36:$B$171,"OFICIAL")</f>
        <v>10</v>
      </c>
      <c r="X193" s="27">
        <f>AVERAGEIFS($AZ$36:$AZ$171,$C$36:$C$171,"=2", $B$36:$B$171,"NO OFICIAL")</f>
        <v>51.18181818181818</v>
      </c>
      <c r="Y193" s="27">
        <f>AVERAGEIFS($BA$36:$BA$171,$C$36:$C$171,"=2", $B$36:$B$171,"NO OFICIAL")</f>
        <v>9.045454545454545</v>
      </c>
      <c r="Z193" s="27">
        <f>AVERAGEIFS($BL$36:$BL$171,$C$36:$C$171,"=2", $B$36:$B$171,"OFICIAL")</f>
        <v>48.5</v>
      </c>
      <c r="AA193" s="27">
        <f>AVERAGEIFS($BN$36:$BN$171,$C$36:$C$171,"=2", $B$36:$B$171,"OFICIAL")</f>
        <v>10</v>
      </c>
      <c r="AB193" s="27">
        <f>AVERAGEIFS($BL$36:$BL$171,$C$36:$C$171,"=2", $B$36:$B$171,"NO OFICIAL")</f>
        <v>48.65</v>
      </c>
      <c r="AC193" s="27">
        <f>AVERAGEIFS($BN$36:$BN$171,$C$36:$C$171,"=2", $B$36:$B$171,"NO OFICIAL")</f>
        <v>9.35</v>
      </c>
      <c r="AD193" s="27">
        <f>AVERAGEIFS($BZ$36:$BZ$171,$C$36:$C$171,"=2", $B$36:$B$171,"OFICIAL")</f>
        <v>48.5</v>
      </c>
      <c r="AE193" s="27">
        <f>AVERAGEIFS($CB$36:$CB$171,$C$36:$C$171,"=2", $B$36:$B$171,"OFICIAL")</f>
        <v>10.25</v>
      </c>
      <c r="AF193" s="27">
        <f>AVERAGEIFS($BZ$36:$BZ$171,$C$36:$C$171,"=2", $B$36:$B$171,"NO OFICIAL")</f>
        <v>51.571428571428569</v>
      </c>
      <c r="AG193" s="27">
        <f>AVERAGEIFS($CB$36:$CB$171,$C$36:$C$171,"=2", $B$36:$B$171,"NO OFICIAL")</f>
        <v>9.8571428571428577</v>
      </c>
      <c r="AH193" s="27">
        <f>AVERAGEIFS($CN$36:$CN$171,$C$36:$C$171,"=2", $B$36:$B$171,"OFICIAL")</f>
        <v>49</v>
      </c>
      <c r="AI193" s="27">
        <f>AVERAGEIFS($CP$36:$CP$171,$C$36:$C$171,"=2", $B$36:$B$171,"OFICIAL")</f>
        <v>10</v>
      </c>
      <c r="AJ193" s="27">
        <f>AVERAGEIFS($CN$36:$CN$171,$C$36:$C$171,"=2", $B$36:$B$171,"NO OFICIAL")</f>
        <v>51.954545454545453</v>
      </c>
      <c r="AK193" s="27">
        <f>AVERAGEIFS($CP$36:$CP$171,$C$36:$C$171,"=2", $B$36:$B$171,"NO OFICIAL")</f>
        <v>9.2727272727272734</v>
      </c>
      <c r="AL193" s="27">
        <v>49.75</v>
      </c>
      <c r="AM193" s="27">
        <v>10.25</v>
      </c>
      <c r="AN193" s="27">
        <v>51.95</v>
      </c>
      <c r="AO193" s="27">
        <v>10.199999999999999</v>
      </c>
      <c r="AP193" s="32"/>
      <c r="AQ193" s="32"/>
      <c r="AR193" s="32"/>
      <c r="AS193" s="32"/>
      <c r="AT193" s="32"/>
      <c r="AU193" s="32"/>
      <c r="AV193" s="32"/>
      <c r="AW193" s="32"/>
      <c r="AX193" s="32"/>
      <c r="AY193" s="32"/>
    </row>
    <row r="194" spans="5:61" x14ac:dyDescent="0.2">
      <c r="E194" s="27" t="s">
        <v>246</v>
      </c>
      <c r="F194" s="27">
        <f>AVERAGEIFS(D36:D171,$C$36:$C$171,"=3", $B$36:$B$171,"OFICIAL")</f>
        <v>50.4</v>
      </c>
      <c r="G194" s="27">
        <f>AVERAGEIFS(E36:E171,$C$36:$C$171,"=3", $B$36:$B$171,"OFICIAL")</f>
        <v>8.8000000000000007</v>
      </c>
      <c r="H194" s="27">
        <f>AVERAGEIFS(D36:D171,$C$36:$C$171,"=3", $B$36:$B$171,"NO OFICIAL")</f>
        <v>52.846153846153847</v>
      </c>
      <c r="I194" s="27">
        <f>AVERAGEIFS(E36:E171,$C$36:$C$171,"=3", $B$36:$B$171,"NO OFICIAL")</f>
        <v>8.6923076923076916</v>
      </c>
      <c r="J194" s="27">
        <f>AVERAGEIFS($P$36:$P$171,$C$36:$C$171,"=3", $B$36:$B$171,"OFICIAL")</f>
        <v>51</v>
      </c>
      <c r="K194" s="27">
        <f>AVERAGEIFS($Q$36:$Q$171,$C$36:$C$171,"=3", $B$36:$B$171,"OFICIAL")</f>
        <v>9.4</v>
      </c>
      <c r="L194" s="27">
        <f>AVERAGEIFS($P$36:$P$171,$C$36:$C$171,"=3", $B$36:$B$171,"NO OFICIAL")</f>
        <v>53</v>
      </c>
      <c r="M194" s="27">
        <f>AVERAGEIFS($Q$36:$Q$171,$C$36:$C$171,"=3", $B$36:$B$171,"NO OFICIAL")</f>
        <v>9.5714285714285712</v>
      </c>
      <c r="N194" s="27">
        <f>AVERAGEIFS($AB$36:$AB$171,$C$36:$C$171,"=3", $B$36:$B$171,"OFICIAL")</f>
        <v>50</v>
      </c>
      <c r="O194" s="27">
        <f>AVERAGEIFS($AC$36:$AC$171,$C$36:$C$171,"=3", $B$36:$B$171,"OFICIAL")</f>
        <v>10</v>
      </c>
      <c r="P194" s="27">
        <f>AVERAGEIFS($AB$36:$AB$171,$C$36:$C$171,"=3", $B$36:$B$171,"NO OFICIAL")</f>
        <v>51.5</v>
      </c>
      <c r="Q194" s="27">
        <f>AVERAGEIFS($AC$36:$AC$171,$C$36:$C$171,"=3", $B$36:$B$171,"NO OFICIAL")</f>
        <v>9.7857142857142865</v>
      </c>
      <c r="R194" s="27">
        <f>AVERAGEIFS($AN$36:$AN$171,$C$36:$C$171,"=3", $B$36:$B$171,"OFICIAL")</f>
        <v>47.2</v>
      </c>
      <c r="S194" s="27">
        <f>AVERAGEIFS($AO$36:$AO$171,$C$36:$C$171,"=3", $B$36:$B$171,"OFICIAL")</f>
        <v>10</v>
      </c>
      <c r="T194" s="27">
        <f>AVERAGEIFS($AN$36:$AN$171,$C$36:$C$171,"=3", $B$36:$B$171,"NO OFICIAL")</f>
        <v>49.214285714285715</v>
      </c>
      <c r="U194" s="27">
        <f>AVERAGEIFS($AO$36:$AO$171,$C$36:$C$171,"=3", $B$36:$B$171,"NO OFICIAL")</f>
        <v>10.357142857142858</v>
      </c>
      <c r="V194" s="27">
        <f>AVERAGEIFS($AZ$36:$AZ$171,$C$36:$C$171,"=3", $B$36:$B$171,"OFICIAL")</f>
        <v>49.8</v>
      </c>
      <c r="W194" s="27">
        <f>AVERAGEIFS($BA$36:$BA$171,$C$36:$C$171,"=3", $B$36:$B$171,"OFICIAL")</f>
        <v>10</v>
      </c>
      <c r="X194" s="27">
        <f>AVERAGEIFS($AZ$36:$AZ$171,$C$36:$C$171,"=3", $B$36:$B$171,"NO OFICIAL")</f>
        <v>52.2</v>
      </c>
      <c r="Y194" s="27">
        <f>AVERAGEIFS($BA$36:$BA$171,$C$36:$C$171,"=3", $B$36:$B$171,"NO OFICIAL")</f>
        <v>10.333333333333334</v>
      </c>
      <c r="Z194" s="27">
        <f>AVERAGEIFS($BL$36:$BL$171,$C$36:$C$171,"=3", $B$36:$B$171,"OFICIAL")</f>
        <v>47.6</v>
      </c>
      <c r="AA194" s="27">
        <f>AVERAGEIFS($BN$36:$BN$171,$C$36:$C$171,"=3", $B$36:$B$171,"OFICIAL")</f>
        <v>10</v>
      </c>
      <c r="AB194" s="27">
        <f>AVERAGEIFS($BL$36:$BL$171,$C$36:$C$171,"=3", $B$36:$B$171,"NO OFICIAL")</f>
        <v>50.866666666666667</v>
      </c>
      <c r="AC194" s="27">
        <f>AVERAGEIFS($BN$36:$BN$171,$C$36:$C$171,"=3", $B$36:$B$171,"NO OFICIAL")</f>
        <v>10.266666666666667</v>
      </c>
      <c r="AD194" s="27">
        <f>AVERAGEIFS($BZ$36:$BZ$171,$C$36:$C$171,"=3", $B$36:$B$171,"OFICIAL")</f>
        <v>49.333333333333336</v>
      </c>
      <c r="AE194" s="27">
        <f>AVERAGEIFS($CB$36:$CB$171,$C$36:$C$171,"=3", $B$36:$B$171,"OFICIAL")</f>
        <v>10</v>
      </c>
      <c r="AF194" s="27">
        <f>AVERAGEIFS($BZ$36:$BZ$171,$C$36:$C$171,"=3", $B$36:$B$171,"NO OFICIAL")</f>
        <v>52.8125</v>
      </c>
      <c r="AG194" s="27">
        <f>AVERAGEIFS($CB$36:$CB$171,$C$36:$C$171,"=3", $B$36:$B$171,"NO OFICIAL")</f>
        <v>10.0625</v>
      </c>
      <c r="AH194" s="27">
        <f>AVERAGEIFS($CN$36:$CN$171,$C$36:$C$171,"=3", $B$36:$B$171,"OFICIAL")</f>
        <v>49.666666666666664</v>
      </c>
      <c r="AI194" s="27">
        <f>AVERAGEIFS($CP$36:$CP$171,$C$36:$C$171,"=3", $B$36:$B$171,"OFICIAL")</f>
        <v>10</v>
      </c>
      <c r="AJ194" s="27">
        <f>AVERAGEIFS($CN$36:$CN$171,$C$36:$C$171,"=3", $B$36:$B$171,"NO OFICIAL")</f>
        <v>52.0625</v>
      </c>
      <c r="AK194" s="27">
        <f>AVERAGEIFS($CP$36:$CP$171,$C$36:$C$171,"=3", $B$36:$B$171,"NO OFICIAL")</f>
        <v>10.125</v>
      </c>
      <c r="AL194" s="27">
        <v>49.5</v>
      </c>
      <c r="AM194" s="27">
        <v>10.5</v>
      </c>
      <c r="AN194" s="27">
        <v>51.8125</v>
      </c>
      <c r="AO194" s="27">
        <v>9.6875</v>
      </c>
      <c r="AP194" s="32"/>
      <c r="AQ194" s="32"/>
      <c r="AR194" s="32"/>
      <c r="AS194" s="32"/>
      <c r="AT194" s="32"/>
      <c r="AU194" s="32"/>
      <c r="AV194" s="32"/>
      <c r="AW194" s="32"/>
      <c r="AX194" s="32"/>
      <c r="AY194" s="32"/>
    </row>
    <row r="195" spans="5:61" x14ac:dyDescent="0.2">
      <c r="E195" s="27" t="s">
        <v>247</v>
      </c>
      <c r="F195" s="27">
        <f>AVERAGEIFS(D36:D171,$C$36:$C$171,"=4", $B$36:$B$171,"OFICIAL")</f>
        <v>47.166666666666664</v>
      </c>
      <c r="G195" s="27">
        <f>AVERAGEIFS(E36:E171,$C$36:$C$171,"=4", $B$36:$B$171,"OFICIAL")</f>
        <v>8.5</v>
      </c>
      <c r="H195" s="27">
        <f>AVERAGEIFS(D36:D171,$C$36:$C$171,"=4", $B$36:$B$171,"NO OFICIAL")</f>
        <v>48.875</v>
      </c>
      <c r="I195" s="27">
        <f>AVERAGEIFS(E36:E171,$C$36:$C$171,"=4", $B$36:$B$171,"NO OFICIAL")</f>
        <v>7.625</v>
      </c>
      <c r="J195" s="27">
        <f>AVERAGEIFS($P$36:$P$171,$C$36:$C$171,"=4", $B$36:$B$171,"OFICIAL")</f>
        <v>47.5</v>
      </c>
      <c r="K195" s="27">
        <f>AVERAGEIFS($Q$36:$Q$171,$C$36:$C$171,"=4", $B$36:$B$171,"OFICIAL")</f>
        <v>9.6666666666666661</v>
      </c>
      <c r="L195" s="27">
        <f>AVERAGEIFS($P$36:$P$171,$C$36:$C$171,"=4", $B$36:$B$171,"NO OFICIAL")</f>
        <v>52.111111111111114</v>
      </c>
      <c r="M195" s="27">
        <f>AVERAGEIFS($Q$36:$Q$171,$C$36:$C$171,"=4", $B$36:$B$171,"NO OFICIAL")</f>
        <v>7.666666666666667</v>
      </c>
      <c r="N195" s="27">
        <f>AVERAGEIFS($AB$36:$AB$171,$C$36:$C$171,"=4", $B$36:$B$171,"OFICIAL")</f>
        <v>45.166666666666664</v>
      </c>
      <c r="O195" s="27">
        <f>AVERAGEIFS($AC$36:$AC$171,$C$36:$C$171,"=4", $B$36:$B$171,"OFICIAL")</f>
        <v>10</v>
      </c>
      <c r="P195" s="27">
        <f>AVERAGEIFS($AB$36:$AB$171,$C$36:$C$171,"=4", $B$36:$B$171,"NO OFICIAL")</f>
        <v>49.777777777777779</v>
      </c>
      <c r="Q195" s="27">
        <f>AVERAGEIFS($AC$36:$AC$171,$C$36:$C$171,"=4", $B$36:$B$171,"NO OFICIAL")</f>
        <v>8.1111111111111107</v>
      </c>
      <c r="R195" s="27">
        <f>AVERAGEIFS($AN$36:$AN$171,$C$36:$C$171,"=4", $B$36:$B$171,"OFICIAL")</f>
        <v>43</v>
      </c>
      <c r="S195" s="27">
        <f>AVERAGEIFS($AO$36:$AO$171,$C$36:$C$171,"=4", $B$36:$B$171,"OFICIAL")</f>
        <v>10.666666666666666</v>
      </c>
      <c r="T195" s="27">
        <f>AVERAGEIFS($AN$36:$AN$171,$C$36:$C$171,"=4", $B$36:$B$171,"NO OFICIAL")</f>
        <v>47.875</v>
      </c>
      <c r="U195" s="27">
        <f>AVERAGEIFS($AO$36:$AO$171,$C$36:$C$171,"=4", $B$36:$B$171,"NO OFICIAL")</f>
        <v>10.125</v>
      </c>
      <c r="V195" s="27">
        <f>AVERAGEIFS($AZ$36:$AZ$171,$C$36:$C$171,"=4", $B$36:$B$171,"OFICIAL")</f>
        <v>45.333333333333336</v>
      </c>
      <c r="W195" s="27">
        <f>AVERAGEIFS($BA$36:$BA$171,$C$36:$C$171,"=4", $B$36:$B$171,"OFICIAL")</f>
        <v>9</v>
      </c>
      <c r="X195" s="27">
        <f>AVERAGEIFS($AZ$36:$AZ$171,$C$36:$C$171,"=4", $B$36:$B$171,"NO OFICIAL")</f>
        <v>47.857142857142854</v>
      </c>
      <c r="Y195" s="27">
        <f>AVERAGEIFS($BA$36:$BA$171,$C$36:$C$171,"=4", $B$36:$B$171,"NO OFICIAL")</f>
        <v>10.142857142857142</v>
      </c>
      <c r="Z195" s="27">
        <f>AVERAGEIFS($BL$36:$BL$171,$C$36:$C$171,"=4", $B$36:$B$171,"OFICIAL")</f>
        <v>44</v>
      </c>
      <c r="AA195" s="27">
        <f>AVERAGEIFS($BN$36:$BN$171,$C$36:$C$171,"=4", $B$36:$B$171,"OFICIAL")</f>
        <v>9.8333333333333339</v>
      </c>
      <c r="AB195" s="27">
        <f>AVERAGEIFS($BL$36:$BL$171,$C$36:$C$171,"=4", $B$36:$B$171,"NO OFICIAL")</f>
        <v>48.625</v>
      </c>
      <c r="AC195" s="27">
        <f>AVERAGEIFS($BN$36:$BN$171,$C$36:$C$171,"=4", $B$36:$B$171,"NO OFICIAL")</f>
        <v>9.5</v>
      </c>
      <c r="AD195" s="27">
        <f>AVERAGEIFS($BZ$36:$BZ$171,$C$36:$C$171,"=4", $B$36:$B$171,"OFICIAL")</f>
        <v>45</v>
      </c>
      <c r="AE195" s="27">
        <f>AVERAGEIFS($CB$36:$CB$171,$C$36:$C$171,"=4", $B$36:$B$171,"OFICIAL")</f>
        <v>9.8333333333333339</v>
      </c>
      <c r="AF195" s="27">
        <f>AVERAGEIFS($BZ$36:$BZ$171,$C$36:$C$171,"=4", $B$36:$B$171,"NO OFICIAL")</f>
        <v>48.875</v>
      </c>
      <c r="AG195" s="27">
        <f>AVERAGEIFS($CB$36:$CB$171,$C$36:$C$171,"=4", $B$36:$B$171,"NO OFICIAL")</f>
        <v>9.875</v>
      </c>
      <c r="AH195" s="27">
        <f>AVERAGEIFS($CN$36:$CN$171,$C$36:$C$171,"=4", $B$36:$B$171,"OFICIAL")</f>
        <v>45.5</v>
      </c>
      <c r="AI195" s="27">
        <f>AVERAGEIFS($CP$36:$CP$171,$C$36:$C$171,"=4", $B$36:$B$171,"OFICIAL")</f>
        <v>10</v>
      </c>
      <c r="AJ195" s="27">
        <f>AVERAGEIFS($CN$36:$CN$171,$C$36:$C$171,"=4", $B$36:$B$171,"NO OFICIAL")</f>
        <v>47.555555555555557</v>
      </c>
      <c r="AK195" s="27">
        <f>AVERAGEIFS($CP$36:$CP$171,$C$36:$C$171,"=4", $B$36:$B$171,"NO OFICIAL")</f>
        <v>9.3333333333333339</v>
      </c>
      <c r="AL195" s="27">
        <v>45</v>
      </c>
      <c r="AM195" s="27">
        <v>10</v>
      </c>
      <c r="AN195" s="27">
        <v>50.714285714285715</v>
      </c>
      <c r="AO195" s="27">
        <v>10</v>
      </c>
      <c r="AP195" s="32"/>
      <c r="AQ195" s="32"/>
      <c r="AR195" s="32"/>
      <c r="AS195" s="32"/>
      <c r="AT195" s="32"/>
      <c r="AU195" s="32"/>
      <c r="AV195" s="32"/>
      <c r="AW195" s="32"/>
      <c r="AX195" s="32"/>
      <c r="AY195" s="32"/>
    </row>
    <row r="196" spans="5:61" x14ac:dyDescent="0.2">
      <c r="E196" s="27" t="s">
        <v>248</v>
      </c>
      <c r="F196" s="27">
        <f>AVERAGEIFS(D36:D171,$C$36:$C$171,"=5", $B$36:$B$171,"OFICIAL")</f>
        <v>52</v>
      </c>
      <c r="G196" s="27">
        <f>AVERAGEIFS(E36:E171,$C$36:$C$171,"=5", $B$36:$B$171,"OFICIAL")</f>
        <v>8.6666666666666661</v>
      </c>
      <c r="H196" s="27">
        <f>AVERAGEIFS(D36:D171,$C$36:$C$171,"=5", $B$36:$B$171,"NO OFICIAL")</f>
        <v>54.714285714285715</v>
      </c>
      <c r="I196" s="27">
        <f>AVERAGEIFS(E36:E171,$C$36:$C$171,"=5", $B$36:$B$171,"NO OFICIAL")</f>
        <v>8.6428571428571423</v>
      </c>
      <c r="J196" s="27">
        <f>AVERAGEIFS($P$36:$P$171,$C$36:$C$171,"=5", $B$36:$B$171,"OFICIAL")</f>
        <v>52.333333333333336</v>
      </c>
      <c r="K196" s="27">
        <f>AVERAGEIFS($Q$36:$Q$171,$C$36:$C$171,"=5", $B$36:$B$171,"OFICIAL")</f>
        <v>9.3333333333333339</v>
      </c>
      <c r="L196" s="27">
        <f>AVERAGEIFS($P$36:$P$171,$C$36:$C$171,"=5", $B$36:$B$171,"NO OFICIAL")</f>
        <v>54.5</v>
      </c>
      <c r="M196" s="27">
        <f>AVERAGEIFS($Q$36:$Q$171,$C$36:$C$171,"=5", $B$36:$B$171,"NO OFICIAL")</f>
        <v>8.7857142857142865</v>
      </c>
      <c r="N196" s="27">
        <f>AVERAGEIFS($AB$36:$AB$171,$C$36:$C$171,"=5", $B$36:$B$171,"OFICIAL")</f>
        <v>50.333333333333336</v>
      </c>
      <c r="O196" s="27">
        <f>AVERAGEIFS($AC$36:$AC$171,$C$36:$C$171,"=5", $B$36:$B$171,"OFICIAL")</f>
        <v>9.6666666666666661</v>
      </c>
      <c r="P196" s="27">
        <f>AVERAGEIFS($AB$36:$AB$171,$C$36:$C$171,"=5", $B$36:$B$171,"NO OFICIAL")</f>
        <v>53</v>
      </c>
      <c r="Q196" s="27">
        <f>AVERAGEIFS($AC$36:$AC$171,$C$36:$C$171,"=5", $B$36:$B$171,"NO OFICIAL")</f>
        <v>9.2666666666666675</v>
      </c>
      <c r="R196" s="27">
        <f>AVERAGEIFS($AN$36:$AN$171,$C$36:$C$171,"=5", $B$36:$B$171,"OFICIAL")</f>
        <v>50</v>
      </c>
      <c r="S196" s="27">
        <f>AVERAGEIFS($AO$36:$AO$171,$C$36:$C$171,"=5", $B$36:$B$171,"OFICIAL")</f>
        <v>9.3333333333333339</v>
      </c>
      <c r="T196" s="27">
        <f>AVERAGEIFS($AN$36:$AN$171,$C$36:$C$171,"=5", $B$36:$B$171,"NO OFICIAL")</f>
        <v>50.5</v>
      </c>
      <c r="U196" s="27">
        <f>AVERAGEIFS($AO$36:$AO$171,$C$36:$C$171,"=5", $B$36:$B$171,"NO OFICIAL")</f>
        <v>10.3125</v>
      </c>
      <c r="V196" s="27">
        <f>AVERAGEIFS($AZ$36:$AZ$171,$C$36:$C$171,"=5", $B$36:$B$171,"OFICIAL")</f>
        <v>52</v>
      </c>
      <c r="W196" s="27">
        <f>AVERAGEIFS($BA$36:$BA$171,$C$36:$C$171,"=5", $B$36:$B$171,"OFICIAL")</f>
        <v>9.6666666666666661</v>
      </c>
      <c r="X196" s="27">
        <f>AVERAGEIFS($AZ$36:$AZ$171,$C$36:$C$171,"=5", $B$36:$B$171,"NO OFICIAL")</f>
        <v>54.133333333333333</v>
      </c>
      <c r="Y196" s="27">
        <f>AVERAGEIFS($BA$36:$BA$171,$C$36:$C$171,"=5", $B$36:$B$171,"NO OFICIAL")</f>
        <v>8.8666666666666671</v>
      </c>
      <c r="Z196" s="27">
        <f>AVERAGEIFS($BL$36:$BL$171,$C$36:$C$171,"=5", $B$36:$B$171,"OFICIAL")</f>
        <v>50.333333333333336</v>
      </c>
      <c r="AA196" s="27">
        <f>AVERAGEIFS($BN$36:$BN$171,$C$36:$C$171,"=5", $B$36:$B$171,"OFICIAL")</f>
        <v>10.333333333333334</v>
      </c>
      <c r="AB196" s="27">
        <f>AVERAGEIFS($BL$36:$BL$171,$C$36:$C$171,"=5", $B$36:$B$171,"NO OFICIAL")</f>
        <v>52.466666666666669</v>
      </c>
      <c r="AC196" s="27">
        <f>AVERAGEIFS($BN$36:$BN$171,$C$36:$C$171,"=5", $B$36:$B$171,"NO OFICIAL")</f>
        <v>10.199999999999999</v>
      </c>
      <c r="AD196" s="27">
        <f>AVERAGEIFS($BZ$36:$BZ$171,$C$36:$C$171,"=5", $B$36:$B$171,"OFICIAL")</f>
        <v>52.333333333333336</v>
      </c>
      <c r="AE196" s="27">
        <f>AVERAGEIFS($CB$36:$CB$171,$C$36:$C$171,"=5", $B$36:$B$171,"OFICIAL")</f>
        <v>9.6666666666666661</v>
      </c>
      <c r="AF196" s="27">
        <f>AVERAGEIFS($BZ$36:$BZ$171,$C$36:$C$171,"=5", $B$36:$B$171,"NO OFICIAL")</f>
        <v>53.571428571428569</v>
      </c>
      <c r="AG196" s="27">
        <f>AVERAGEIFS($CB$36:$CB$171,$C$36:$C$171,"=5", $B$36:$B$171,"NO OFICIAL")</f>
        <v>9.5714285714285712</v>
      </c>
      <c r="AH196" s="27">
        <f>AVERAGEIFS($CN$36:$CN$171,$C$36:$C$171,"=5", $B$36:$B$171,"OFICIAL")</f>
        <v>51.333333333333336</v>
      </c>
      <c r="AI196" s="27">
        <f>AVERAGEIFS($CP$36:$CP$171,$C$36:$C$171,"=5", $B$36:$B$171,"OFICIAL")</f>
        <v>9.6666666666666661</v>
      </c>
      <c r="AJ196" s="27">
        <f>AVERAGEIFS($CN$36:$CN$171,$C$36:$C$171,"=5", $B$36:$B$171,"NO OFICIAL")</f>
        <v>54.142857142857146</v>
      </c>
      <c r="AK196" s="27">
        <f>AVERAGEIFS($CP$36:$CP$171,$C$36:$C$171,"=5", $B$36:$B$171,"NO OFICIAL")</f>
        <v>9.7142857142857135</v>
      </c>
      <c r="AL196" s="27">
        <v>51.333333333333336</v>
      </c>
      <c r="AM196" s="27">
        <v>10.666666666666666</v>
      </c>
      <c r="AN196" s="27">
        <v>52.333333333333336</v>
      </c>
      <c r="AO196" s="27">
        <v>9.4666666666666668</v>
      </c>
      <c r="AP196" s="32"/>
      <c r="AQ196" s="32"/>
      <c r="AR196" s="32"/>
      <c r="AS196" s="32"/>
      <c r="AT196" s="32"/>
      <c r="AU196" s="32"/>
      <c r="AV196" s="32"/>
      <c r="AW196" s="32"/>
      <c r="AX196" s="32"/>
      <c r="AY196" s="32"/>
    </row>
    <row r="197" spans="5:61" x14ac:dyDescent="0.2">
      <c r="E197" s="27" t="s">
        <v>249</v>
      </c>
      <c r="F197" s="27">
        <f>AVERAGEIFS(D36:D171,$C$36:$C$171,"=6", $B$36:$B$171,"OFICIAL")</f>
        <v>50.5</v>
      </c>
      <c r="G197" s="27">
        <f>AVERAGEIFS(E36:E171,$C$36:$C$171,"=6", $B$36:$B$171,"OFICIAL")</f>
        <v>8.5</v>
      </c>
      <c r="H197" s="27">
        <f>AVERAGEIFS(D36:D171,$C$36:$C$171,"=6", $B$36:$B$171,"NO OFICIAL")</f>
        <v>52.636363636363633</v>
      </c>
      <c r="I197" s="27">
        <f>AVERAGEIFS(E36:E171,$C$36:$C$171,"=6", $B$36:$B$171,"NO OFICIAL")</f>
        <v>7.1818181818181817</v>
      </c>
      <c r="J197" s="27">
        <f>AVERAGEIFS($P$36:$P$171,$C$36:$C$171,"=6", $B$36:$B$171,"OFICIAL")</f>
        <v>50</v>
      </c>
      <c r="K197" s="27">
        <f>AVERAGEIFS($Q$36:$Q$171,$C$36:$C$171,"=6", $B$36:$B$171,"OFICIAL")</f>
        <v>9.5</v>
      </c>
      <c r="L197" s="27">
        <f>AVERAGEIFS($P$36:$P$171,$C$36:$C$171,"=6", $B$36:$B$171,"NO OFICIAL")</f>
        <v>50.81818181818182</v>
      </c>
      <c r="M197" s="27">
        <f>AVERAGEIFS($Q$36:$Q$171,$C$36:$C$171,"=6", $B$36:$B$171,"NO OFICIAL")</f>
        <v>9.545454545454545</v>
      </c>
      <c r="N197" s="27">
        <f>AVERAGEIFS($AB$36:$AB$171,$C$36:$C$171,"=6", $B$36:$B$171,"OFICIAL")</f>
        <v>47.75</v>
      </c>
      <c r="O197" s="27">
        <f>AVERAGEIFS($AC$36:$AC$171,$C$36:$C$171,"=6", $B$36:$B$171,"OFICIAL")</f>
        <v>10.5</v>
      </c>
      <c r="P197" s="27">
        <f>AVERAGEIFS($AB$36:$AB$171,$C$36:$C$171,"=6", $B$36:$B$171,"NO OFICIAL")</f>
        <v>51.7</v>
      </c>
      <c r="Q197" s="27">
        <f>AVERAGEIFS($AC$36:$AC$171,$C$36:$C$171,"=6", $B$36:$B$171,"NO OFICIAL")</f>
        <v>10.3</v>
      </c>
      <c r="R197" s="27">
        <f>AVERAGEIFS($AN$36:$AN$171,$C$36:$C$171,"=6", $B$36:$B$171,"OFICIAL")</f>
        <v>46.5</v>
      </c>
      <c r="S197" s="27">
        <f>AVERAGEIFS($AO$36:$AO$171,$C$36:$C$171,"=6", $B$36:$B$171,"OFICIAL")</f>
        <v>10.25</v>
      </c>
      <c r="T197" s="27">
        <f>AVERAGEIFS($AN$36:$AN$171,$C$36:$C$171,"=6", $B$36:$B$171,"NO OFICIAL")</f>
        <v>50.18181818181818</v>
      </c>
      <c r="U197" s="27">
        <f>AVERAGEIFS($AO$36:$AO$171,$C$36:$C$171,"=6", $B$36:$B$171,"NO OFICIAL")</f>
        <v>10</v>
      </c>
      <c r="V197" s="27">
        <f>AVERAGEIFS($AZ$36:$AZ$171,$C$36:$C$171,"=6", $B$36:$B$171,"OFICIAL")</f>
        <v>48.5</v>
      </c>
      <c r="W197" s="27">
        <f>AVERAGEIFS($BA$36:$BA$171,$C$36:$C$171,"=6", $B$36:$B$171,"OFICIAL")</f>
        <v>10</v>
      </c>
      <c r="X197" s="27">
        <f>AVERAGEIFS($AZ$36:$AZ$171,$C$36:$C$171,"=6", $B$36:$B$171,"NO OFICIAL")</f>
        <v>49.92307692307692</v>
      </c>
      <c r="Y197" s="27">
        <f>AVERAGEIFS($BA$36:$BA$171,$C$36:$C$171,"=6", $B$36:$B$171,"NO OFICIAL")</f>
        <v>9.1538461538461533</v>
      </c>
      <c r="Z197" s="27">
        <f>AVERAGEIFS($BL$36:$BL$171,$C$36:$C$171,"=6", $B$36:$B$171,"OFICIAL")</f>
        <v>46.5</v>
      </c>
      <c r="AA197" s="27">
        <f>AVERAGEIFS($BN$36:$BN$171,$C$36:$C$171,"=6", $B$36:$B$171,"OFICIAL")</f>
        <v>10.25</v>
      </c>
      <c r="AB197" s="27">
        <f>AVERAGEIFS($BL$36:$BL$171,$C$36:$C$171,"=6", $B$36:$B$171,"NO OFICIAL")</f>
        <v>49.692307692307693</v>
      </c>
      <c r="AC197" s="27">
        <f>AVERAGEIFS($BN$36:$BN$171,$C$36:$C$171,"=6", $B$36:$B$171,"NO OFICIAL")</f>
        <v>8.8461538461538467</v>
      </c>
      <c r="AD197" s="27">
        <f>AVERAGEIFS($BZ$36:$BZ$171,$C$36:$C$171,"=6", $B$36:$B$171,"OFICIAL")</f>
        <v>46.75</v>
      </c>
      <c r="AE197" s="27">
        <f>AVERAGEIFS($CB$36:$CB$171,$C$36:$C$171,"=6", $B$36:$B$171,"OFICIAL")</f>
        <v>10.25</v>
      </c>
      <c r="AF197" s="27">
        <f>AVERAGEIFS($BZ$36:$BZ$171,$C$36:$C$171,"=6", $B$36:$B$171,"NO OFICIAL")</f>
        <v>50.533333333333331</v>
      </c>
      <c r="AG197" s="27">
        <f>AVERAGEIFS($CB$36:$CB$171,$C$36:$C$171,"=6", $B$36:$B$171,"NO OFICIAL")</f>
        <v>10.933333333333334</v>
      </c>
      <c r="AH197" s="27">
        <f>AVERAGEIFS($CN$36:$CN$171,$C$36:$C$171,"=6", $B$36:$B$171,"OFICIAL")</f>
        <v>47.5</v>
      </c>
      <c r="AI197" s="27">
        <f>AVERAGEIFS($CP$36:$CP$171,$C$36:$C$171,"=6", $B$36:$B$171,"OFICIAL")</f>
        <v>9.75</v>
      </c>
      <c r="AJ197" s="27">
        <f>AVERAGEIFS($CN$36:$CN$171,$C$36:$C$171,"=6", $B$36:$B$171,"NO OFICIAL")</f>
        <v>52.0625</v>
      </c>
      <c r="AK197" s="27">
        <f>AVERAGEIFS($CP$36:$CP$171,$C$36:$C$171,"=6", $B$36:$B$171,"NO OFICIAL")</f>
        <v>8.25</v>
      </c>
      <c r="AL197" s="27">
        <v>48</v>
      </c>
      <c r="AM197" s="27">
        <v>10.25</v>
      </c>
      <c r="AN197" s="27">
        <v>51.357142857142854</v>
      </c>
      <c r="AO197" s="27">
        <v>10.142857142857142</v>
      </c>
      <c r="AP197" s="32"/>
      <c r="AQ197" s="32"/>
      <c r="AR197" s="32"/>
      <c r="AS197" s="32"/>
      <c r="AT197" s="32"/>
      <c r="AU197" s="32"/>
      <c r="AV197" s="32"/>
      <c r="AW197" s="32"/>
      <c r="AX197" s="32"/>
      <c r="AY197" s="32"/>
    </row>
    <row r="198" spans="5:61" x14ac:dyDescent="0.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row>
    <row r="199" spans="5:61" x14ac:dyDescent="0.2">
      <c r="F199" s="839" t="s">
        <v>253</v>
      </c>
      <c r="G199" s="839"/>
      <c r="H199" s="839"/>
      <c r="I199" s="839"/>
      <c r="J199" s="839"/>
      <c r="K199" s="839"/>
      <c r="T199" s="29" t="s">
        <v>252</v>
      </c>
      <c r="U199" s="29"/>
      <c r="V199" s="29"/>
      <c r="W199" s="29"/>
      <c r="X199" s="29"/>
      <c r="Y199" s="29"/>
      <c r="Z199" s="73"/>
      <c r="AA199" s="73"/>
      <c r="AB199" s="73"/>
      <c r="AC199" s="73"/>
      <c r="AD199" s="73"/>
      <c r="AE199" s="73"/>
      <c r="AF199" s="73"/>
      <c r="AG199" s="73"/>
      <c r="AH199" s="73"/>
      <c r="AI199" s="73"/>
      <c r="AJ199" s="73"/>
      <c r="AK199" s="73"/>
      <c r="AL199" s="73"/>
      <c r="AM199" s="73"/>
      <c r="AN199" s="73"/>
    </row>
    <row r="200" spans="5:61" x14ac:dyDescent="0.2">
      <c r="F200" s="28"/>
      <c r="G200" s="28">
        <v>2016</v>
      </c>
      <c r="H200" s="29">
        <v>2017</v>
      </c>
      <c r="I200" s="28">
        <v>2018</v>
      </c>
      <c r="J200" s="28">
        <v>2019</v>
      </c>
      <c r="K200" s="28">
        <v>2020</v>
      </c>
      <c r="L200" s="28">
        <v>2021</v>
      </c>
      <c r="M200" s="29">
        <v>2022</v>
      </c>
      <c r="N200" s="29">
        <v>2023</v>
      </c>
      <c r="O200" s="29">
        <v>2024</v>
      </c>
      <c r="T200" s="28"/>
      <c r="U200" s="28">
        <v>2016</v>
      </c>
      <c r="V200" s="29">
        <v>2017</v>
      </c>
      <c r="W200" s="28">
        <v>2018</v>
      </c>
      <c r="X200" s="28">
        <v>2019</v>
      </c>
      <c r="Y200" s="29">
        <v>2020</v>
      </c>
      <c r="Z200" s="29">
        <v>2021</v>
      </c>
      <c r="AA200" s="29">
        <v>2022</v>
      </c>
      <c r="AB200" s="29">
        <v>2023</v>
      </c>
      <c r="AC200" s="29">
        <v>2024</v>
      </c>
      <c r="AD200" s="72"/>
      <c r="AE200" s="72"/>
      <c r="AF200" s="72"/>
      <c r="AG200" s="72"/>
      <c r="AH200" s="72"/>
      <c r="AI200" s="72"/>
      <c r="AJ200" s="72"/>
      <c r="AK200" s="72"/>
      <c r="AL200" s="72"/>
      <c r="AM200" s="72"/>
    </row>
    <row r="201" spans="5:61" x14ac:dyDescent="0.2">
      <c r="F201" s="27" t="s">
        <v>244</v>
      </c>
      <c r="G201" s="27">
        <v>50.53846153846154</v>
      </c>
      <c r="H201" s="27">
        <v>50.583333333333336</v>
      </c>
      <c r="I201" s="27">
        <v>49.07692307692308</v>
      </c>
      <c r="J201" s="27">
        <v>46.846153846153847</v>
      </c>
      <c r="K201" s="27">
        <v>50.153846153846153</v>
      </c>
      <c r="L201" s="27">
        <v>49.230769230769234</v>
      </c>
      <c r="M201" s="27">
        <v>49.846153846153847</v>
      </c>
      <c r="N201" s="27">
        <v>50.833333333333336</v>
      </c>
      <c r="O201" s="27">
        <v>50.53846153846154</v>
      </c>
      <c r="T201" s="27" t="s">
        <v>244</v>
      </c>
      <c r="U201" s="27">
        <v>50.75</v>
      </c>
      <c r="V201" s="27">
        <v>51.5</v>
      </c>
      <c r="W201" s="27">
        <v>48.25</v>
      </c>
      <c r="X201" s="27">
        <v>47.25</v>
      </c>
      <c r="Y201" s="71">
        <v>49.75</v>
      </c>
      <c r="Z201" s="27">
        <v>47.5</v>
      </c>
      <c r="AA201" s="27">
        <v>48.2</v>
      </c>
      <c r="AB201" s="27">
        <v>48.2</v>
      </c>
      <c r="AC201" s="27">
        <v>47.8</v>
      </c>
      <c r="AD201" s="32"/>
      <c r="AE201" s="32"/>
      <c r="AF201" s="32"/>
      <c r="AG201" s="32"/>
      <c r="AH201" s="32"/>
      <c r="AI201" s="32"/>
      <c r="AJ201" s="32"/>
      <c r="AK201" s="32"/>
      <c r="AL201" s="32"/>
      <c r="AM201" s="32"/>
    </row>
    <row r="202" spans="5:61" x14ac:dyDescent="0.2">
      <c r="F202" s="27" t="s">
        <v>245</v>
      </c>
      <c r="G202" s="27">
        <v>53</v>
      </c>
      <c r="H202" s="27">
        <v>52.588235294117645</v>
      </c>
      <c r="I202" s="27">
        <v>50.882352941176471</v>
      </c>
      <c r="J202" s="27">
        <v>49.833333333333336</v>
      </c>
      <c r="K202" s="27">
        <v>51.18181818181818</v>
      </c>
      <c r="L202" s="27">
        <v>48.65</v>
      </c>
      <c r="M202" s="27">
        <v>51.571428571428569</v>
      </c>
      <c r="N202" s="27">
        <v>51.954545454545453</v>
      </c>
      <c r="O202" s="27">
        <v>51.95</v>
      </c>
      <c r="T202" s="27" t="s">
        <v>245</v>
      </c>
      <c r="U202" s="27">
        <v>52</v>
      </c>
      <c r="V202" s="27">
        <v>51</v>
      </c>
      <c r="W202" s="27">
        <v>49</v>
      </c>
      <c r="X202" s="27">
        <v>48</v>
      </c>
      <c r="Y202" s="71">
        <v>50</v>
      </c>
      <c r="Z202" s="27">
        <v>48.5</v>
      </c>
      <c r="AA202" s="27">
        <v>48.5</v>
      </c>
      <c r="AB202" s="27">
        <v>49</v>
      </c>
      <c r="AC202" s="27">
        <v>49.75</v>
      </c>
      <c r="AD202" s="32"/>
      <c r="AE202" s="32"/>
      <c r="AF202" s="32"/>
      <c r="AG202" s="32"/>
      <c r="AH202" s="32"/>
      <c r="AI202" s="32"/>
      <c r="AJ202" s="32"/>
      <c r="AK202" s="32"/>
      <c r="AL202" s="32"/>
      <c r="AM202" s="32"/>
    </row>
    <row r="203" spans="5:61" x14ac:dyDescent="0.2">
      <c r="F203" s="27" t="s">
        <v>246</v>
      </c>
      <c r="G203" s="27">
        <v>52.846153846153847</v>
      </c>
      <c r="H203" s="27">
        <v>53</v>
      </c>
      <c r="I203" s="27">
        <v>51.5</v>
      </c>
      <c r="J203" s="27">
        <v>49.214285714285715</v>
      </c>
      <c r="K203" s="27">
        <v>52.2</v>
      </c>
      <c r="L203" s="27">
        <v>50.866666666666667</v>
      </c>
      <c r="M203" s="27">
        <v>52.8125</v>
      </c>
      <c r="N203" s="27">
        <v>52.0625</v>
      </c>
      <c r="O203" s="27">
        <v>51.8125</v>
      </c>
      <c r="T203" s="27" t="s">
        <v>246</v>
      </c>
      <c r="U203" s="27">
        <v>50.666666666666664</v>
      </c>
      <c r="V203" s="27">
        <v>50.666666666666664</v>
      </c>
      <c r="W203" s="27">
        <v>49.666666666666664</v>
      </c>
      <c r="X203" s="27">
        <v>46.333333333333336</v>
      </c>
      <c r="Y203" s="71">
        <v>49.25</v>
      </c>
      <c r="Z203" s="27">
        <v>47.6</v>
      </c>
      <c r="AA203" s="27">
        <v>49.333333333333336</v>
      </c>
      <c r="AB203" s="27">
        <v>49.666666666666664</v>
      </c>
      <c r="AC203" s="27">
        <v>49.5</v>
      </c>
      <c r="AD203" s="32"/>
      <c r="AE203" s="32"/>
      <c r="AF203" s="32"/>
      <c r="AG203" s="32"/>
      <c r="AH203" s="32"/>
      <c r="AI203" s="32"/>
      <c r="AJ203" s="32"/>
      <c r="AK203" s="32"/>
      <c r="AL203" s="32"/>
      <c r="AM203" s="32"/>
    </row>
    <row r="204" spans="5:61" x14ac:dyDescent="0.2">
      <c r="F204" s="27" t="s">
        <v>247</v>
      </c>
      <c r="G204" s="27">
        <v>48.875</v>
      </c>
      <c r="H204" s="27">
        <v>52.111111111111114</v>
      </c>
      <c r="I204" s="27">
        <v>49.777777777777779</v>
      </c>
      <c r="J204" s="27">
        <v>47.875</v>
      </c>
      <c r="K204" s="27">
        <v>47.857142857142854</v>
      </c>
      <c r="L204" s="27">
        <v>48.625</v>
      </c>
      <c r="M204" s="27">
        <v>48.875</v>
      </c>
      <c r="N204" s="27">
        <v>47.555555555555557</v>
      </c>
      <c r="O204" s="27">
        <v>50.714285714285715</v>
      </c>
      <c r="T204" s="27" t="s">
        <v>247</v>
      </c>
      <c r="U204" s="27">
        <v>47.166666666666664</v>
      </c>
      <c r="V204" s="27">
        <v>47.5</v>
      </c>
      <c r="W204" s="27">
        <v>45.166666666666664</v>
      </c>
      <c r="X204" s="27">
        <v>43</v>
      </c>
      <c r="Y204" s="71">
        <v>45.333333333333336</v>
      </c>
      <c r="Z204" s="27">
        <v>44</v>
      </c>
      <c r="AA204" s="27">
        <v>45</v>
      </c>
      <c r="AB204" s="27">
        <v>45.5</v>
      </c>
      <c r="AC204" s="27">
        <v>45</v>
      </c>
      <c r="AD204" s="32"/>
      <c r="AE204" s="32"/>
      <c r="AF204" s="32"/>
      <c r="AG204" s="32"/>
      <c r="AH204" s="32"/>
      <c r="AI204" s="32"/>
      <c r="AJ204" s="32"/>
      <c r="AK204" s="32"/>
      <c r="AL204" s="32"/>
      <c r="AM204" s="32"/>
    </row>
    <row r="205" spans="5:61" x14ac:dyDescent="0.2">
      <c r="F205" s="27" t="s">
        <v>248</v>
      </c>
      <c r="G205" s="27">
        <v>54.533333333333331</v>
      </c>
      <c r="H205" s="27">
        <v>54.666666666666664</v>
      </c>
      <c r="I205" s="27">
        <v>53.125</v>
      </c>
      <c r="J205" s="27">
        <v>50.764705882352942</v>
      </c>
      <c r="K205" s="27">
        <v>54.3125</v>
      </c>
      <c r="L205" s="27">
        <v>52.625</v>
      </c>
      <c r="M205" s="27">
        <v>53.8</v>
      </c>
      <c r="N205" s="27">
        <v>54.2</v>
      </c>
      <c r="O205" s="27">
        <v>52.333333333333336</v>
      </c>
      <c r="T205" s="27" t="s">
        <v>248</v>
      </c>
      <c r="U205" s="27">
        <v>52</v>
      </c>
      <c r="V205" s="27">
        <v>50</v>
      </c>
      <c r="W205" s="27">
        <v>48</v>
      </c>
      <c r="X205" s="27">
        <v>47.5</v>
      </c>
      <c r="Y205" s="71">
        <v>49.5</v>
      </c>
      <c r="Z205" s="27">
        <v>48</v>
      </c>
      <c r="AA205" s="27">
        <v>50</v>
      </c>
      <c r="AB205" s="27">
        <v>49.5</v>
      </c>
      <c r="AC205" s="27">
        <v>51.333333333333336</v>
      </c>
      <c r="AD205" s="32"/>
      <c r="AE205" s="32"/>
      <c r="AF205" s="32"/>
      <c r="AG205" s="32"/>
      <c r="AH205" s="32"/>
      <c r="AI205" s="32"/>
      <c r="AJ205" s="32"/>
      <c r="AK205" s="32"/>
      <c r="AL205" s="69"/>
      <c r="AM205" s="68"/>
      <c r="AN205" s="68"/>
    </row>
    <row r="206" spans="5:61" x14ac:dyDescent="0.2">
      <c r="F206" s="27" t="s">
        <v>249</v>
      </c>
      <c r="G206" s="27">
        <v>52.416666666666664</v>
      </c>
      <c r="H206" s="27">
        <v>50.75</v>
      </c>
      <c r="I206" s="27">
        <v>51.363636363636367</v>
      </c>
      <c r="J206" s="27">
        <v>49.833333333333336</v>
      </c>
      <c r="K206" s="27">
        <v>49.785714285714285</v>
      </c>
      <c r="L206" s="27">
        <v>49.428571428571431</v>
      </c>
      <c r="M206" s="27">
        <v>50.25</v>
      </c>
      <c r="N206" s="27">
        <v>51.823529411764703</v>
      </c>
      <c r="O206" s="27">
        <v>51.357142857142854</v>
      </c>
      <c r="T206" s="27" t="s">
        <v>249</v>
      </c>
      <c r="U206" s="27">
        <v>50.666666666666664</v>
      </c>
      <c r="V206" s="27">
        <v>50</v>
      </c>
      <c r="W206" s="27">
        <v>47.666666666666664</v>
      </c>
      <c r="X206" s="27">
        <v>46.666666666666664</v>
      </c>
      <c r="Y206" s="71">
        <v>48.666666666666664</v>
      </c>
      <c r="Z206" s="27">
        <v>46.666666666666664</v>
      </c>
      <c r="AA206" s="27">
        <v>47</v>
      </c>
      <c r="AB206" s="27">
        <v>47.333333333333336</v>
      </c>
      <c r="AC206" s="27">
        <v>48</v>
      </c>
      <c r="AD206" s="32"/>
      <c r="AE206" s="32"/>
      <c r="AF206" s="32"/>
      <c r="AG206" s="32"/>
      <c r="AH206" s="32"/>
      <c r="AI206" s="32"/>
      <c r="AJ206" s="32"/>
      <c r="AK206" s="32"/>
      <c r="AL206" s="69"/>
      <c r="AM206" s="68"/>
      <c r="AN206" s="68"/>
    </row>
    <row r="207" spans="5:61" x14ac:dyDescent="0.2">
      <c r="AL207" s="68"/>
      <c r="AM207" s="68"/>
      <c r="AN207" s="68"/>
    </row>
    <row r="208" spans="5:61" x14ac:dyDescent="0.2">
      <c r="AL208" s="68"/>
      <c r="AM208" s="68"/>
      <c r="AN208" s="68"/>
    </row>
    <row r="233" spans="5:41" x14ac:dyDescent="0.2">
      <c r="E233" s="838" t="s">
        <v>320</v>
      </c>
      <c r="F233" s="839"/>
      <c r="G233" s="839"/>
      <c r="H233" s="839"/>
      <c r="I233" s="839"/>
      <c r="J233" s="839"/>
      <c r="K233" s="839"/>
      <c r="L233" s="839"/>
      <c r="M233" s="839"/>
      <c r="N233" s="839"/>
      <c r="O233" s="839"/>
      <c r="P233" s="839"/>
      <c r="Q233" s="839"/>
      <c r="R233" s="839"/>
      <c r="S233" s="839"/>
      <c r="T233" s="839"/>
      <c r="U233" s="839"/>
      <c r="V233" s="839"/>
      <c r="W233" s="839"/>
      <c r="X233" s="839"/>
      <c r="Y233" s="839"/>
    </row>
    <row r="234" spans="5:41" x14ac:dyDescent="0.2">
      <c r="E234" s="28"/>
      <c r="F234" s="838">
        <v>2016</v>
      </c>
      <c r="G234" s="839"/>
      <c r="H234" s="839"/>
      <c r="I234" s="969"/>
      <c r="J234" s="838">
        <v>2017</v>
      </c>
      <c r="K234" s="839"/>
      <c r="L234" s="839"/>
      <c r="M234" s="969"/>
      <c r="N234" s="838">
        <v>2018</v>
      </c>
      <c r="O234" s="839"/>
      <c r="P234" s="839"/>
      <c r="Q234" s="969"/>
      <c r="R234" s="838">
        <v>2019</v>
      </c>
      <c r="S234" s="839"/>
      <c r="T234" s="839"/>
      <c r="U234" s="969"/>
      <c r="V234" s="838">
        <v>2020</v>
      </c>
      <c r="W234" s="839"/>
      <c r="X234" s="839"/>
      <c r="Y234" s="839"/>
      <c r="Z234" s="838">
        <v>2021</v>
      </c>
      <c r="AA234" s="839"/>
      <c r="AB234" s="839"/>
      <c r="AC234" s="839"/>
      <c r="AD234" s="838">
        <v>2022</v>
      </c>
      <c r="AE234" s="839"/>
      <c r="AF234" s="839"/>
      <c r="AG234" s="839"/>
      <c r="AH234" s="838">
        <v>2023</v>
      </c>
      <c r="AI234" s="839"/>
      <c r="AJ234" s="839"/>
      <c r="AK234" s="839"/>
      <c r="AL234" s="838">
        <v>2024</v>
      </c>
      <c r="AM234" s="839"/>
      <c r="AN234" s="839"/>
      <c r="AO234" s="839"/>
    </row>
    <row r="235" spans="5:41" x14ac:dyDescent="0.2">
      <c r="F235" s="67" t="s">
        <v>10</v>
      </c>
      <c r="G235" t="s">
        <v>0</v>
      </c>
      <c r="H235" t="s">
        <v>318</v>
      </c>
      <c r="I235" t="s">
        <v>319</v>
      </c>
      <c r="J235" s="67" t="s">
        <v>10</v>
      </c>
      <c r="K235" s="67" t="s">
        <v>0</v>
      </c>
      <c r="L235" t="s">
        <v>318</v>
      </c>
      <c r="M235" t="s">
        <v>319</v>
      </c>
      <c r="N235" s="67" t="s">
        <v>10</v>
      </c>
      <c r="O235" s="67" t="s">
        <v>0</v>
      </c>
      <c r="P235" t="s">
        <v>318</v>
      </c>
      <c r="Q235" t="s">
        <v>319</v>
      </c>
      <c r="R235" s="67" t="s">
        <v>10</v>
      </c>
      <c r="S235" s="67" t="s">
        <v>0</v>
      </c>
      <c r="T235" t="s">
        <v>318</v>
      </c>
      <c r="U235" t="s">
        <v>319</v>
      </c>
      <c r="V235" s="67" t="s">
        <v>10</v>
      </c>
      <c r="W235" s="67" t="s">
        <v>0</v>
      </c>
      <c r="X235" t="s">
        <v>318</v>
      </c>
      <c r="Y235" t="s">
        <v>319</v>
      </c>
      <c r="Z235" s="67" t="s">
        <v>10</v>
      </c>
      <c r="AA235" s="67" t="s">
        <v>0</v>
      </c>
      <c r="AB235" t="s">
        <v>318</v>
      </c>
      <c r="AC235" t="s">
        <v>319</v>
      </c>
      <c r="AD235" s="67" t="s">
        <v>10</v>
      </c>
      <c r="AE235" s="67" t="s">
        <v>0</v>
      </c>
      <c r="AF235" t="s">
        <v>318</v>
      </c>
      <c r="AG235" t="s">
        <v>319</v>
      </c>
      <c r="AH235" s="67" t="s">
        <v>10</v>
      </c>
      <c r="AI235" s="67" t="s">
        <v>0</v>
      </c>
      <c r="AJ235" t="s">
        <v>318</v>
      </c>
      <c r="AK235" t="s">
        <v>319</v>
      </c>
      <c r="AL235" s="67" t="s">
        <v>10</v>
      </c>
      <c r="AM235" s="67" t="s">
        <v>0</v>
      </c>
      <c r="AN235" t="s">
        <v>318</v>
      </c>
      <c r="AO235" t="s">
        <v>319</v>
      </c>
    </row>
    <row r="236" spans="5:41" x14ac:dyDescent="0.2">
      <c r="E236" s="26">
        <v>1</v>
      </c>
      <c r="F236" s="58">
        <f>$F10</f>
        <v>0.17</v>
      </c>
      <c r="G236" s="58">
        <f>$F11</f>
        <v>0.13</v>
      </c>
      <c r="H236" s="58">
        <f>$F12</f>
        <v>0.16</v>
      </c>
      <c r="I236" s="58">
        <f>$F14</f>
        <v>0.11</v>
      </c>
      <c r="J236" s="58">
        <f>$R10</f>
        <v>0.17</v>
      </c>
      <c r="K236" s="58">
        <f>$R11</f>
        <v>0.13</v>
      </c>
      <c r="L236" s="58">
        <f>$R12</f>
        <v>0.16</v>
      </c>
      <c r="M236" s="58">
        <f>$R14</f>
        <v>0.11</v>
      </c>
      <c r="N236" s="58">
        <f>$AD10</f>
        <v>0.25</v>
      </c>
      <c r="O236" s="58">
        <f>$AD11</f>
        <v>0.21</v>
      </c>
      <c r="P236" s="58">
        <f>$AD12</f>
        <v>0.25</v>
      </c>
      <c r="Q236" s="58">
        <f>$AD14</f>
        <v>0.16</v>
      </c>
      <c r="R236" s="58">
        <f>$AP10</f>
        <v>0.32</v>
      </c>
      <c r="S236" s="58">
        <f>$AP11</f>
        <v>0.26</v>
      </c>
      <c r="T236" s="58">
        <f>$AP12</f>
        <v>0.31</v>
      </c>
      <c r="U236" s="58">
        <f>$AP14</f>
        <v>0.21</v>
      </c>
      <c r="V236" s="58">
        <f>$BB10</f>
        <v>0.27</v>
      </c>
      <c r="W236" s="58">
        <f>$BB11</f>
        <v>0.19</v>
      </c>
      <c r="X236" s="58">
        <f>$BB12</f>
        <v>0.22</v>
      </c>
      <c r="Y236" s="58">
        <f>$BB14</f>
        <v>0.16</v>
      </c>
      <c r="Z236" s="305">
        <f>$BP$10</f>
        <v>0.31</v>
      </c>
      <c r="AA236" s="305">
        <f>$BP$11</f>
        <v>0.23</v>
      </c>
      <c r="AB236" s="58">
        <f>$BP12</f>
        <v>0.28000000000000003</v>
      </c>
      <c r="AC236" s="58">
        <f>$BP14</f>
        <v>0.19</v>
      </c>
      <c r="AD236" s="305">
        <f>$CD$10</f>
        <v>0.28999999999999998</v>
      </c>
      <c r="AE236" s="305">
        <f>$CD$11</f>
        <v>0.21</v>
      </c>
      <c r="AF236" s="305">
        <f>$CD$12</f>
        <v>0.25</v>
      </c>
      <c r="AG236" s="305">
        <f>$CD$14</f>
        <v>0.16</v>
      </c>
      <c r="AH236" s="427">
        <v>0.27</v>
      </c>
      <c r="AI236" s="428">
        <v>0.2</v>
      </c>
      <c r="AJ236" s="429">
        <v>0.24</v>
      </c>
      <c r="AK236" s="429">
        <v>0.14000000000000001</v>
      </c>
      <c r="AL236" s="427">
        <v>0.27</v>
      </c>
      <c r="AM236" s="523">
        <v>0.2</v>
      </c>
      <c r="AN236" s="490">
        <v>0.24</v>
      </c>
      <c r="AO236" s="490">
        <v>0.15</v>
      </c>
    </row>
    <row r="237" spans="5:41" x14ac:dyDescent="0.2">
      <c r="E237" s="26">
        <v>2</v>
      </c>
      <c r="F237" s="58">
        <f>$G10</f>
        <v>0.47</v>
      </c>
      <c r="G237" s="58">
        <f>$G11</f>
        <v>0.52</v>
      </c>
      <c r="H237" s="58">
        <f>$G12</f>
        <v>0.55000000000000004</v>
      </c>
      <c r="I237" s="58">
        <f>$G14</f>
        <v>0.5</v>
      </c>
      <c r="J237" s="58">
        <f>$S10</f>
        <v>0.47</v>
      </c>
      <c r="K237" s="58">
        <f>$S11</f>
        <v>0.51</v>
      </c>
      <c r="L237" s="58">
        <f>$S12</f>
        <v>0.54</v>
      </c>
      <c r="M237" s="58">
        <f>$S14</f>
        <v>0.48</v>
      </c>
      <c r="N237" s="58">
        <f>$AE10</f>
        <v>0.43</v>
      </c>
      <c r="O237" s="58">
        <f>$AE11</f>
        <v>0.49</v>
      </c>
      <c r="P237" s="58">
        <f>$AE12</f>
        <v>0.51</v>
      </c>
      <c r="Q237" s="58">
        <f>$AE14</f>
        <v>0.47</v>
      </c>
      <c r="R237" s="58">
        <f>$AQ10</f>
        <v>0.41</v>
      </c>
      <c r="S237" s="58">
        <f>$AQ11</f>
        <v>0.47</v>
      </c>
      <c r="T237" s="58">
        <f>$AQ12</f>
        <v>0.48</v>
      </c>
      <c r="U237" s="58">
        <f>$AQ14</f>
        <v>0.46</v>
      </c>
      <c r="V237" s="58">
        <f>$BC10</f>
        <v>0.42</v>
      </c>
      <c r="W237" s="58">
        <f>$BC11</f>
        <v>0.47</v>
      </c>
      <c r="X237" s="58">
        <f>$BC12</f>
        <v>0.5</v>
      </c>
      <c r="Y237" s="58">
        <f>$BC14</f>
        <v>0.45</v>
      </c>
      <c r="Z237" s="58">
        <f>$BQ10</f>
        <v>0.42</v>
      </c>
      <c r="AA237" s="58">
        <f>$BQ11</f>
        <v>0.48</v>
      </c>
      <c r="AB237" s="58">
        <f>$BQ12</f>
        <v>0.5</v>
      </c>
      <c r="AC237" s="58">
        <f>$BQ14</f>
        <v>0.45</v>
      </c>
      <c r="AD237" s="58">
        <f>$CE10</f>
        <v>0.41</v>
      </c>
      <c r="AE237" s="58">
        <f>$CE11</f>
        <v>0.46</v>
      </c>
      <c r="AF237" s="58">
        <f>$CE12</f>
        <v>0.5</v>
      </c>
      <c r="AG237" s="58">
        <f>$CE14</f>
        <v>0.42</v>
      </c>
      <c r="AH237" s="427">
        <v>0.42</v>
      </c>
      <c r="AI237" s="428">
        <v>0.48</v>
      </c>
      <c r="AJ237" s="429">
        <v>0.51</v>
      </c>
      <c r="AK237" s="429">
        <v>0.44</v>
      </c>
      <c r="AL237" s="427">
        <v>0.41</v>
      </c>
      <c r="AM237" s="523">
        <v>0.46</v>
      </c>
      <c r="AN237" s="490">
        <v>0.49</v>
      </c>
      <c r="AO237" s="490">
        <v>0.43</v>
      </c>
    </row>
    <row r="238" spans="5:41" x14ac:dyDescent="0.2">
      <c r="E238" s="26">
        <v>3</v>
      </c>
      <c r="F238" s="58">
        <f>$H10</f>
        <v>0.32</v>
      </c>
      <c r="G238" s="58">
        <f>$H11</f>
        <v>0.33</v>
      </c>
      <c r="H238" s="58">
        <f>$H12</f>
        <v>0.28000000000000003</v>
      </c>
      <c r="I238" s="58">
        <f>$H14</f>
        <v>0.38</v>
      </c>
      <c r="J238" s="58">
        <f>$T10</f>
        <v>0.32</v>
      </c>
      <c r="K238" s="58">
        <f>$T11</f>
        <v>0.33</v>
      </c>
      <c r="L238" s="58">
        <f>$T12</f>
        <v>0.28999999999999998</v>
      </c>
      <c r="M238" s="58">
        <f>$T14</f>
        <v>0.39</v>
      </c>
      <c r="N238" s="58">
        <f>$AF10</f>
        <v>0.28000000000000003</v>
      </c>
      <c r="O238" s="58">
        <f>$AF11</f>
        <v>0.28999999999999998</v>
      </c>
      <c r="P238" s="58">
        <f>$AF12</f>
        <v>0.24</v>
      </c>
      <c r="Q238" s="58">
        <f>$AF14</f>
        <v>0.35</v>
      </c>
      <c r="R238" s="58">
        <f>$AR10</f>
        <v>0.24</v>
      </c>
      <c r="S238" s="58">
        <f>$AR11</f>
        <v>0.25</v>
      </c>
      <c r="T238" s="58">
        <f>$AR12</f>
        <v>0.2</v>
      </c>
      <c r="U238" s="58">
        <f>$AR14</f>
        <v>0.31</v>
      </c>
      <c r="V238" s="58">
        <f>$BD10</f>
        <v>0.27</v>
      </c>
      <c r="W238" s="58">
        <f>$BD11</f>
        <v>0.31</v>
      </c>
      <c r="X238" s="58">
        <f>$BD12</f>
        <v>0.26</v>
      </c>
      <c r="Y238" s="58">
        <f>$BD14</f>
        <v>0.36</v>
      </c>
      <c r="Z238" s="58">
        <f>$BR10</f>
        <v>0.24</v>
      </c>
      <c r="AA238" s="58">
        <f>$BR11</f>
        <v>0.27</v>
      </c>
      <c r="AB238" s="58">
        <f>$BR12</f>
        <v>0.21</v>
      </c>
      <c r="AC238" s="58">
        <f>$BR14</f>
        <v>0.33</v>
      </c>
      <c r="AD238" s="58">
        <f>$CF10</f>
        <v>0.27</v>
      </c>
      <c r="AE238" s="58">
        <f>$CF11</f>
        <v>0.31</v>
      </c>
      <c r="AF238" s="58">
        <f>$CF12</f>
        <v>0.23</v>
      </c>
      <c r="AG238" s="58">
        <f>$CF14</f>
        <v>0.39</v>
      </c>
      <c r="AH238" s="427">
        <v>0.27</v>
      </c>
      <c r="AI238" s="428">
        <v>0.31</v>
      </c>
      <c r="AJ238" s="429">
        <v>0.24</v>
      </c>
      <c r="AK238" s="429">
        <v>0.38</v>
      </c>
      <c r="AL238" s="427">
        <v>0.28000000000000003</v>
      </c>
      <c r="AM238" s="523">
        <v>0.31</v>
      </c>
      <c r="AN238" s="490">
        <v>0.26</v>
      </c>
      <c r="AO238" s="490">
        <v>0.37</v>
      </c>
    </row>
    <row r="239" spans="5:41" x14ac:dyDescent="0.2">
      <c r="E239" s="26">
        <v>4</v>
      </c>
      <c r="F239" s="58">
        <f>$I10</f>
        <v>0.03</v>
      </c>
      <c r="G239" s="58">
        <f>$I11</f>
        <v>0.01</v>
      </c>
      <c r="H239" s="58">
        <f>$I12</f>
        <v>0.01</v>
      </c>
      <c r="I239" s="58">
        <f>$I14</f>
        <v>0.02</v>
      </c>
      <c r="J239" s="58">
        <f>$U10</f>
        <v>0.04</v>
      </c>
      <c r="K239" s="58">
        <f>$U11</f>
        <v>0.02</v>
      </c>
      <c r="L239" s="58">
        <f>$U12</f>
        <v>0.01</v>
      </c>
      <c r="M239" s="58">
        <f>$U14</f>
        <v>0.03</v>
      </c>
      <c r="N239" s="58">
        <f>$AG10</f>
        <v>0.04</v>
      </c>
      <c r="O239" s="58">
        <f>$AG11</f>
        <v>0.02</v>
      </c>
      <c r="P239" s="58">
        <f>$AG12</f>
        <v>0.01</v>
      </c>
      <c r="Q239" s="58">
        <f>$AG14</f>
        <v>0.03</v>
      </c>
      <c r="R239" s="58">
        <f>$AS10</f>
        <v>0.03</v>
      </c>
      <c r="S239" s="58">
        <f>$AS11</f>
        <v>0.01</v>
      </c>
      <c r="T239" s="58">
        <f>$AS12</f>
        <v>0.01</v>
      </c>
      <c r="U239" s="58">
        <f>$AS14</f>
        <v>0.02</v>
      </c>
      <c r="V239" s="58">
        <f>$BE10</f>
        <v>0.04</v>
      </c>
      <c r="W239" s="58">
        <f>$BE11</f>
        <v>0.02</v>
      </c>
      <c r="X239" s="58">
        <f>$BE12</f>
        <v>0.01</v>
      </c>
      <c r="Y239" s="58">
        <f>$BE14</f>
        <v>0.03</v>
      </c>
      <c r="Z239" s="58">
        <f>$BS10</f>
        <v>0.03</v>
      </c>
      <c r="AA239" s="58">
        <f>$BS11</f>
        <v>0.02</v>
      </c>
      <c r="AB239" s="58">
        <f>$BS12</f>
        <v>0.01</v>
      </c>
      <c r="AC239" s="58">
        <f>$BS14</f>
        <v>0.03</v>
      </c>
      <c r="AD239" s="58">
        <f>$CG10</f>
        <v>0.03</v>
      </c>
      <c r="AE239" s="58">
        <f>$CG11</f>
        <v>0.02</v>
      </c>
      <c r="AF239" s="58">
        <f>$CG12</f>
        <v>0.01</v>
      </c>
      <c r="AG239" s="58">
        <f>$CG14</f>
        <v>0.03</v>
      </c>
      <c r="AH239" s="427">
        <v>0.04</v>
      </c>
      <c r="AI239" s="428">
        <v>0.02</v>
      </c>
      <c r="AJ239" s="429">
        <v>0.01</v>
      </c>
      <c r="AK239" s="429">
        <v>0.03</v>
      </c>
      <c r="AL239" s="427">
        <v>0.04</v>
      </c>
      <c r="AM239" s="523">
        <v>0.03</v>
      </c>
      <c r="AN239" s="490">
        <v>0.02</v>
      </c>
      <c r="AO239" s="490">
        <v>0.04</v>
      </c>
    </row>
    <row r="278" spans="5:15" x14ac:dyDescent="0.2">
      <c r="E278" s="838" t="s">
        <v>260</v>
      </c>
      <c r="F278" s="839"/>
      <c r="G278" s="839"/>
      <c r="H278" s="839"/>
      <c r="I278" s="839"/>
      <c r="J278" s="839"/>
      <c r="K278" s="73"/>
      <c r="L278" s="73"/>
      <c r="M278" s="73"/>
      <c r="N278" s="73"/>
      <c r="O278" s="73"/>
    </row>
    <row r="279" spans="5:15" x14ac:dyDescent="0.2">
      <c r="E279" s="28"/>
      <c r="F279" s="28">
        <v>2016</v>
      </c>
      <c r="G279" s="29">
        <v>2017</v>
      </c>
      <c r="H279" s="28">
        <v>2018</v>
      </c>
      <c r="I279" s="28">
        <v>2019</v>
      </c>
      <c r="J279" s="28">
        <v>2020</v>
      </c>
      <c r="K279" s="28">
        <v>2021</v>
      </c>
      <c r="L279" s="28">
        <v>2022</v>
      </c>
      <c r="M279" s="28">
        <v>2023</v>
      </c>
      <c r="N279" s="28">
        <v>2024</v>
      </c>
      <c r="O279" s="72"/>
    </row>
    <row r="280" spans="5:15" x14ac:dyDescent="0.2">
      <c r="E280" s="27" t="s">
        <v>244</v>
      </c>
      <c r="F280" s="27">
        <v>50.588235294117645</v>
      </c>
      <c r="G280" s="27">
        <v>50.8125</v>
      </c>
      <c r="H280" s="27">
        <v>48.882352941176471</v>
      </c>
      <c r="I280" s="27">
        <v>46.941176470588232</v>
      </c>
      <c r="J280" s="27">
        <v>50.058823529411768</v>
      </c>
      <c r="K280" s="27">
        <v>50.058823529411768</v>
      </c>
      <c r="L280" s="27">
        <v>49.388888888888886</v>
      </c>
      <c r="M280" s="27">
        <v>50.058823529411768</v>
      </c>
      <c r="N280" s="27">
        <v>49.777777777777779</v>
      </c>
      <c r="O280" s="72"/>
    </row>
    <row r="281" spans="5:15" x14ac:dyDescent="0.2">
      <c r="E281" s="27" t="s">
        <v>245</v>
      </c>
      <c r="F281" s="27">
        <v>52.9</v>
      </c>
      <c r="G281" s="27">
        <v>52.421052631578945</v>
      </c>
      <c r="H281" s="27">
        <v>50.684210526315788</v>
      </c>
      <c r="I281" s="27">
        <v>49.65</v>
      </c>
      <c r="J281" s="27">
        <v>51.083333333333336</v>
      </c>
      <c r="K281" s="27">
        <v>51.083333333333336</v>
      </c>
      <c r="L281" s="27">
        <v>51.08</v>
      </c>
      <c r="M281" s="27">
        <v>51.5</v>
      </c>
      <c r="N281" s="27">
        <v>51.583333333333336</v>
      </c>
      <c r="O281" s="47"/>
    </row>
    <row r="282" spans="5:15" x14ac:dyDescent="0.2">
      <c r="E282" s="27" t="s">
        <v>246</v>
      </c>
      <c r="F282" s="27">
        <v>52.4375</v>
      </c>
      <c r="G282" s="27">
        <v>52.588235294117645</v>
      </c>
      <c r="H282" s="27">
        <v>51.176470588235297</v>
      </c>
      <c r="I282" s="27">
        <v>48.705882352941174</v>
      </c>
      <c r="J282" s="27">
        <v>51.578947368421055</v>
      </c>
      <c r="K282" s="27">
        <v>51.578947368421055</v>
      </c>
      <c r="L282" s="27">
        <v>51.863636363636367</v>
      </c>
      <c r="M282" s="27">
        <v>51.409090909090907</v>
      </c>
      <c r="N282" s="27">
        <v>51.18181818181818</v>
      </c>
      <c r="O282" s="32"/>
    </row>
    <row r="283" spans="5:15" x14ac:dyDescent="0.2">
      <c r="E283" s="27" t="s">
        <v>247</v>
      </c>
      <c r="F283" s="27">
        <v>48.142857142857146</v>
      </c>
      <c r="G283" s="27">
        <v>50.266666666666666</v>
      </c>
      <c r="H283" s="27">
        <v>47.93333333333333</v>
      </c>
      <c r="I283" s="27">
        <v>45.785714285714285</v>
      </c>
      <c r="J283" s="27">
        <v>46.692307692307693</v>
      </c>
      <c r="K283" s="27">
        <v>46.692307692307693</v>
      </c>
      <c r="L283" s="27">
        <v>47.214285714285715</v>
      </c>
      <c r="M283" s="27">
        <v>46.733333333333334</v>
      </c>
      <c r="N283" s="27">
        <v>48.07692307692308</v>
      </c>
      <c r="O283" s="32"/>
    </row>
    <row r="284" spans="5:15" x14ac:dyDescent="0.2">
      <c r="E284" s="27" t="s">
        <v>248</v>
      </c>
      <c r="F284" s="27">
        <v>54.235294117647058</v>
      </c>
      <c r="G284" s="27">
        <v>54.117647058823529</v>
      </c>
      <c r="H284" s="27">
        <v>52.555555555555557</v>
      </c>
      <c r="I284" s="27">
        <v>50.421052631578945</v>
      </c>
      <c r="J284" s="27">
        <v>53.777777777777779</v>
      </c>
      <c r="K284" s="27">
        <v>53.777777777777779</v>
      </c>
      <c r="L284" s="27">
        <v>53.352941176470587</v>
      </c>
      <c r="M284" s="27">
        <v>53.647058823529413</v>
      </c>
      <c r="N284" s="27">
        <v>52.166666666666664</v>
      </c>
      <c r="O284" s="32"/>
    </row>
    <row r="285" spans="5:15" x14ac:dyDescent="0.2">
      <c r="E285" s="27" t="s">
        <v>249</v>
      </c>
      <c r="F285" s="27">
        <v>52.06666666666667</v>
      </c>
      <c r="G285" s="27">
        <v>50.6</v>
      </c>
      <c r="H285" s="27">
        <v>50.571428571428569</v>
      </c>
      <c r="I285" s="27">
        <v>49.2</v>
      </c>
      <c r="J285" s="27">
        <v>49.588235294117645</v>
      </c>
      <c r="K285" s="27">
        <v>49.588235294117645</v>
      </c>
      <c r="L285" s="27">
        <v>49.736842105263158</v>
      </c>
      <c r="M285" s="27">
        <v>51.15</v>
      </c>
      <c r="N285" s="27">
        <v>50.611111111111114</v>
      </c>
      <c r="O285" s="32"/>
    </row>
    <row r="286" spans="5:15" x14ac:dyDescent="0.2">
      <c r="E286" s="32"/>
      <c r="F286" s="32"/>
      <c r="G286" s="32"/>
      <c r="J286" s="32"/>
      <c r="K286" s="32"/>
      <c r="L286" s="32"/>
      <c r="M286" s="32"/>
      <c r="N286" s="32"/>
      <c r="O286" s="32"/>
    </row>
  </sheetData>
  <sheetProtection algorithmName="SHA-512" hashValue="4WHVqLkBBOjV4tgNbzW5URcvUIU0v8bBI7K1BkUhF1Axj5blfHHcNVlzRW+zs76l2r9cr13nt/z088DQaceaBA==" saltValue="+y488p1aUXfKny1jlvZspg==" spinCount="100000" sheet="1" objects="1" scenarios="1"/>
  <sortState ref="A38:BK171">
    <sortCondition ref="A38:A171"/>
  </sortState>
  <mergeCells count="104">
    <mergeCell ref="AN7:AY7"/>
    <mergeCell ref="AZ7:BK7"/>
    <mergeCell ref="CN7:DA7"/>
    <mergeCell ref="CN8:CN9"/>
    <mergeCell ref="CO8:CO9"/>
    <mergeCell ref="CP8:CP9"/>
    <mergeCell ref="CQ8:CQ9"/>
    <mergeCell ref="CR8:CU8"/>
    <mergeCell ref="CV8:DA8"/>
    <mergeCell ref="BZ7:CM7"/>
    <mergeCell ref="BZ8:BZ9"/>
    <mergeCell ref="CA8:CA9"/>
    <mergeCell ref="CB8:CB9"/>
    <mergeCell ref="CC8:CC9"/>
    <mergeCell ref="CD8:CG8"/>
    <mergeCell ref="CH8:CM8"/>
    <mergeCell ref="Z234:AC234"/>
    <mergeCell ref="BL7:BY7"/>
    <mergeCell ref="BL8:BL9"/>
    <mergeCell ref="BN8:BN9"/>
    <mergeCell ref="BM8:BM9"/>
    <mergeCell ref="BO8:BO9"/>
    <mergeCell ref="BT8:BY8"/>
    <mergeCell ref="BP8:BS8"/>
    <mergeCell ref="Z188:AC188"/>
    <mergeCell ref="Z189:AA189"/>
    <mergeCell ref="AB189:AC189"/>
    <mergeCell ref="AZ8:AZ9"/>
    <mergeCell ref="BA8:BA9"/>
    <mergeCell ref="AB7:AM7"/>
    <mergeCell ref="AD8:AG8"/>
    <mergeCell ref="AH8:AM8"/>
    <mergeCell ref="AB8:AB9"/>
    <mergeCell ref="AC8:AC9"/>
    <mergeCell ref="AN8:AN9"/>
    <mergeCell ref="AD234:AG234"/>
    <mergeCell ref="AH234:AK234"/>
    <mergeCell ref="AL189:AM189"/>
    <mergeCell ref="AN189:AO189"/>
    <mergeCell ref="AL234:AO234"/>
    <mergeCell ref="A1:Q1"/>
    <mergeCell ref="A3:Q3"/>
    <mergeCell ref="A4:Q4"/>
    <mergeCell ref="F8:I8"/>
    <mergeCell ref="J8:O8"/>
    <mergeCell ref="D7:O7"/>
    <mergeCell ref="P7:AA7"/>
    <mergeCell ref="D8:D9"/>
    <mergeCell ref="E8:E9"/>
    <mergeCell ref="P8:P9"/>
    <mergeCell ref="Q8:Q9"/>
    <mergeCell ref="A7:A9"/>
    <mergeCell ref="R8:U8"/>
    <mergeCell ref="V8:AA8"/>
    <mergeCell ref="B7:B9"/>
    <mergeCell ref="C7:C9"/>
    <mergeCell ref="T189:U189"/>
    <mergeCell ref="DB8:DB9"/>
    <mergeCell ref="DC8:DC9"/>
    <mergeCell ref="DD8:DD9"/>
    <mergeCell ref="DE8:DE9"/>
    <mergeCell ref="DF8:DI8"/>
    <mergeCell ref="F188:I188"/>
    <mergeCell ref="V188:Y188"/>
    <mergeCell ref="N177:O177"/>
    <mergeCell ref="E176:O176"/>
    <mergeCell ref="AL188:AO188"/>
    <mergeCell ref="AD188:AG188"/>
    <mergeCell ref="AP8:AS8"/>
    <mergeCell ref="AT8:AY8"/>
    <mergeCell ref="AO8:AO9"/>
    <mergeCell ref="N188:Q188"/>
    <mergeCell ref="R188:U188"/>
    <mergeCell ref="N189:O189"/>
    <mergeCell ref="V189:W189"/>
    <mergeCell ref="AD189:AE189"/>
    <mergeCell ref="AF189:AG189"/>
    <mergeCell ref="AH188:AK188"/>
    <mergeCell ref="AH189:AI189"/>
    <mergeCell ref="AJ189:AK189"/>
    <mergeCell ref="DB7:DO7"/>
    <mergeCell ref="E278:J278"/>
    <mergeCell ref="E177:E178"/>
    <mergeCell ref="F177:G177"/>
    <mergeCell ref="H177:I177"/>
    <mergeCell ref="J177:K177"/>
    <mergeCell ref="L177:M177"/>
    <mergeCell ref="P177:Q177"/>
    <mergeCell ref="R177:S177"/>
    <mergeCell ref="V177:W177"/>
    <mergeCell ref="E233:Y233"/>
    <mergeCell ref="F234:I234"/>
    <mergeCell ref="J234:M234"/>
    <mergeCell ref="N234:Q234"/>
    <mergeCell ref="R234:U234"/>
    <mergeCell ref="V234:Y234"/>
    <mergeCell ref="X189:Y189"/>
    <mergeCell ref="F199:K199"/>
    <mergeCell ref="F189:G189"/>
    <mergeCell ref="H189:I189"/>
    <mergeCell ref="J189:K189"/>
    <mergeCell ref="L189:M189"/>
    <mergeCell ref="P189:Q189"/>
    <mergeCell ref="R189:S189"/>
  </mergeCells>
  <conditionalFormatting sqref="A130">
    <cfRule type="duplicateValues" dxfId="43" priority="1"/>
    <cfRule type="duplicateValues" dxfId="42" priority="2"/>
  </conditionalFormatting>
  <conditionalFormatting sqref="A163">
    <cfRule type="duplicateValues" dxfId="41" priority="3"/>
    <cfRule type="duplicateValues" dxfId="40" priority="4"/>
  </conditionalFormatting>
  <conditionalFormatting sqref="A165:A1048576 A1:A36 A131:A162 A38:A129">
    <cfRule type="duplicateValues" dxfId="39" priority="5"/>
  </conditionalFormatting>
  <pageMargins left="0.75" right="0.75" top="1" bottom="1" header="0.5" footer="0.5"/>
  <pageSetup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pageSetUpPr autoPageBreaks="0"/>
  </sheetPr>
  <dimension ref="A1:KG242"/>
  <sheetViews>
    <sheetView topLeftCell="A155" zoomScale="80" zoomScaleNormal="80" workbookViewId="0">
      <pane xSplit="1" topLeftCell="JH1" activePane="topRight" state="frozen"/>
      <selection activeCell="K23" sqref="K23"/>
      <selection pane="topRight" activeCell="JT18" sqref="JT18"/>
    </sheetView>
  </sheetViews>
  <sheetFormatPr baseColWidth="10" defaultColWidth="9.140625" defaultRowHeight="12.75" x14ac:dyDescent="0.2"/>
  <cols>
    <col min="1" max="1" width="71.42578125" bestFit="1" customWidth="1"/>
    <col min="2" max="2" width="12.140625" bestFit="1" customWidth="1"/>
    <col min="3" max="3" width="13.140625" customWidth="1"/>
    <col min="4" max="4" width="12.140625" customWidth="1"/>
    <col min="5" max="33" width="11.85546875" customWidth="1"/>
    <col min="34" max="34" width="12.140625" customWidth="1"/>
    <col min="35" max="64" width="12.42578125" customWidth="1"/>
    <col min="65" max="65" width="11.28515625" customWidth="1"/>
    <col min="66" max="96" width="11.85546875" customWidth="1"/>
    <col min="97" max="97" width="11" customWidth="1"/>
    <col min="98" max="127" width="11.7109375" customWidth="1"/>
    <col min="128" max="128" width="12.5703125" customWidth="1"/>
    <col min="129" max="130" width="12" customWidth="1"/>
    <col min="131" max="132" width="11.5703125" customWidth="1"/>
    <col min="133" max="133" width="12" customWidth="1"/>
    <col min="134" max="134" width="11.42578125" customWidth="1"/>
    <col min="135" max="135" width="12.42578125" customWidth="1"/>
    <col min="136" max="136" width="13.85546875" customWidth="1"/>
    <col min="137" max="137" width="13.140625" customWidth="1"/>
    <col min="138" max="138" width="9.140625" customWidth="1"/>
    <col min="143" max="143" width="9.140625" customWidth="1"/>
    <col min="207" max="207" width="12.5703125" customWidth="1"/>
    <col min="224" max="224" width="12" customWidth="1"/>
  </cols>
  <sheetData>
    <row r="1" spans="1:293" ht="7.5" hidden="1" customHeight="1" x14ac:dyDescent="0.2">
      <c r="A1" s="846"/>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row>
    <row r="2" spans="1:293" ht="3.75" hidden="1" customHeight="1" x14ac:dyDescent="0.2">
      <c r="A2" s="846"/>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row>
    <row r="3" spans="1:293" ht="6.75" hidden="1" customHeight="1" x14ac:dyDescent="0.2">
      <c r="A3" s="846"/>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row>
    <row r="4" spans="1:293" ht="8.25" hidden="1" customHeight="1" x14ac:dyDescent="0.2"/>
    <row r="5" spans="1:293" ht="12" customHeight="1" x14ac:dyDescent="0.2">
      <c r="A5">
        <v>1</v>
      </c>
      <c r="B5">
        <v>2</v>
      </c>
      <c r="C5">
        <v>3</v>
      </c>
      <c r="D5">
        <v>4</v>
      </c>
      <c r="E5">
        <v>5</v>
      </c>
      <c r="F5">
        <v>6</v>
      </c>
      <c r="G5">
        <v>7</v>
      </c>
      <c r="H5">
        <v>8</v>
      </c>
      <c r="I5">
        <v>9</v>
      </c>
      <c r="J5">
        <v>10</v>
      </c>
      <c r="K5">
        <v>11</v>
      </c>
      <c r="L5">
        <v>12</v>
      </c>
      <c r="M5">
        <v>13</v>
      </c>
      <c r="N5">
        <v>14</v>
      </c>
      <c r="O5">
        <v>15</v>
      </c>
      <c r="P5">
        <v>16</v>
      </c>
      <c r="Q5">
        <v>17</v>
      </c>
      <c r="R5">
        <v>18</v>
      </c>
      <c r="S5">
        <v>19</v>
      </c>
      <c r="T5">
        <v>20</v>
      </c>
      <c r="U5">
        <v>21</v>
      </c>
      <c r="V5">
        <v>22</v>
      </c>
      <c r="W5">
        <v>23</v>
      </c>
      <c r="X5">
        <v>24</v>
      </c>
      <c r="Y5">
        <v>25</v>
      </c>
      <c r="Z5">
        <v>26</v>
      </c>
      <c r="AA5">
        <v>27</v>
      </c>
      <c r="AB5">
        <v>28</v>
      </c>
      <c r="AC5">
        <v>29</v>
      </c>
      <c r="AD5">
        <v>30</v>
      </c>
      <c r="AE5">
        <v>31</v>
      </c>
      <c r="AF5">
        <v>32</v>
      </c>
      <c r="AG5">
        <v>33</v>
      </c>
      <c r="AH5">
        <v>34</v>
      </c>
      <c r="AI5">
        <v>35</v>
      </c>
      <c r="AJ5">
        <v>36</v>
      </c>
      <c r="AK5">
        <v>37</v>
      </c>
      <c r="AL5">
        <v>38</v>
      </c>
      <c r="AM5">
        <v>39</v>
      </c>
      <c r="AN5">
        <v>40</v>
      </c>
      <c r="AO5">
        <v>41</v>
      </c>
      <c r="AP5">
        <v>42</v>
      </c>
      <c r="AQ5">
        <v>43</v>
      </c>
      <c r="AR5">
        <v>44</v>
      </c>
      <c r="AS5">
        <v>45</v>
      </c>
      <c r="AT5">
        <v>46</v>
      </c>
      <c r="AU5">
        <v>47</v>
      </c>
      <c r="AV5">
        <v>48</v>
      </c>
      <c r="AW5">
        <v>49</v>
      </c>
      <c r="AX5">
        <v>50</v>
      </c>
      <c r="AY5">
        <v>51</v>
      </c>
      <c r="AZ5">
        <v>52</v>
      </c>
      <c r="BA5">
        <v>53</v>
      </c>
      <c r="BB5">
        <v>54</v>
      </c>
      <c r="BC5">
        <v>55</v>
      </c>
      <c r="BD5">
        <v>56</v>
      </c>
      <c r="BE5">
        <v>57</v>
      </c>
      <c r="BF5">
        <v>58</v>
      </c>
      <c r="BG5">
        <v>59</v>
      </c>
      <c r="BH5">
        <v>60</v>
      </c>
      <c r="BI5">
        <v>61</v>
      </c>
      <c r="BJ5">
        <v>62</v>
      </c>
      <c r="BK5">
        <v>63</v>
      </c>
      <c r="BL5">
        <v>64</v>
      </c>
      <c r="BM5">
        <v>65</v>
      </c>
      <c r="BN5">
        <v>66</v>
      </c>
      <c r="BO5">
        <v>67</v>
      </c>
      <c r="BP5">
        <v>68</v>
      </c>
      <c r="BQ5">
        <v>69</v>
      </c>
      <c r="BR5">
        <v>70</v>
      </c>
      <c r="BS5">
        <v>71</v>
      </c>
      <c r="BT5">
        <v>72</v>
      </c>
      <c r="BU5">
        <v>73</v>
      </c>
      <c r="BV5">
        <v>74</v>
      </c>
      <c r="BW5">
        <v>75</v>
      </c>
      <c r="BX5">
        <v>76</v>
      </c>
      <c r="BY5">
        <v>77</v>
      </c>
      <c r="BZ5">
        <v>78</v>
      </c>
      <c r="CA5">
        <v>79</v>
      </c>
      <c r="CB5">
        <v>80</v>
      </c>
      <c r="CC5">
        <v>81</v>
      </c>
      <c r="CD5">
        <v>82</v>
      </c>
      <c r="CE5">
        <v>83</v>
      </c>
      <c r="CF5">
        <v>84</v>
      </c>
      <c r="CG5">
        <v>85</v>
      </c>
      <c r="CH5">
        <v>86</v>
      </c>
      <c r="CI5">
        <v>87</v>
      </c>
      <c r="CJ5">
        <v>88</v>
      </c>
      <c r="CK5">
        <v>89</v>
      </c>
      <c r="CL5">
        <v>90</v>
      </c>
      <c r="CM5">
        <v>91</v>
      </c>
      <c r="CN5">
        <v>92</v>
      </c>
      <c r="CO5">
        <v>93</v>
      </c>
      <c r="CP5">
        <v>94</v>
      </c>
      <c r="CQ5">
        <v>95</v>
      </c>
      <c r="CR5">
        <v>96</v>
      </c>
      <c r="CS5">
        <v>97</v>
      </c>
      <c r="CT5">
        <v>98</v>
      </c>
      <c r="CU5">
        <v>99</v>
      </c>
      <c r="CV5">
        <v>100</v>
      </c>
      <c r="CW5">
        <v>101</v>
      </c>
      <c r="CX5">
        <v>102</v>
      </c>
      <c r="CY5">
        <v>103</v>
      </c>
      <c r="CZ5">
        <v>104</v>
      </c>
      <c r="DA5">
        <v>105</v>
      </c>
      <c r="DB5">
        <v>106</v>
      </c>
      <c r="DC5">
        <v>107</v>
      </c>
      <c r="DD5">
        <v>108</v>
      </c>
      <c r="DE5">
        <v>109</v>
      </c>
      <c r="DF5">
        <v>110</v>
      </c>
      <c r="DG5">
        <v>111</v>
      </c>
      <c r="DH5">
        <v>112</v>
      </c>
      <c r="DI5">
        <v>113</v>
      </c>
      <c r="DJ5">
        <v>114</v>
      </c>
      <c r="DK5">
        <v>115</v>
      </c>
      <c r="DL5">
        <v>116</v>
      </c>
      <c r="DM5">
        <v>117</v>
      </c>
      <c r="DN5">
        <v>118</v>
      </c>
      <c r="DO5">
        <v>119</v>
      </c>
      <c r="DP5">
        <v>120</v>
      </c>
      <c r="DQ5">
        <v>121</v>
      </c>
      <c r="DR5">
        <v>122</v>
      </c>
      <c r="DS5">
        <v>123</v>
      </c>
      <c r="DT5">
        <v>124</v>
      </c>
      <c r="DU5">
        <v>125</v>
      </c>
      <c r="DV5">
        <v>126</v>
      </c>
      <c r="DW5">
        <v>127</v>
      </c>
      <c r="DX5">
        <v>128</v>
      </c>
      <c r="DY5">
        <v>129</v>
      </c>
      <c r="DZ5">
        <v>130</v>
      </c>
      <c r="EA5">
        <v>131</v>
      </c>
      <c r="EB5">
        <v>132</v>
      </c>
      <c r="EC5">
        <v>133</v>
      </c>
      <c r="ED5">
        <v>134</v>
      </c>
      <c r="EE5">
        <v>135</v>
      </c>
      <c r="EF5">
        <v>136</v>
      </c>
      <c r="EG5">
        <v>137</v>
      </c>
      <c r="EH5">
        <v>138</v>
      </c>
      <c r="EI5">
        <v>139</v>
      </c>
      <c r="EJ5">
        <v>140</v>
      </c>
      <c r="EK5">
        <v>141</v>
      </c>
      <c r="EL5">
        <v>142</v>
      </c>
      <c r="EM5">
        <v>143</v>
      </c>
      <c r="EN5">
        <v>144</v>
      </c>
      <c r="EO5">
        <v>145</v>
      </c>
      <c r="EP5">
        <v>146</v>
      </c>
      <c r="EQ5">
        <v>147</v>
      </c>
      <c r="ER5">
        <v>148</v>
      </c>
      <c r="ES5">
        <v>149</v>
      </c>
      <c r="ET5">
        <v>150</v>
      </c>
      <c r="EU5">
        <v>151</v>
      </c>
      <c r="EV5">
        <v>152</v>
      </c>
      <c r="EW5">
        <v>153</v>
      </c>
      <c r="EX5">
        <v>154</v>
      </c>
      <c r="EY5">
        <v>155</v>
      </c>
      <c r="EZ5">
        <v>156</v>
      </c>
      <c r="FA5">
        <v>157</v>
      </c>
      <c r="FB5">
        <v>158</v>
      </c>
      <c r="FC5">
        <v>159</v>
      </c>
      <c r="FD5">
        <v>160</v>
      </c>
      <c r="FE5">
        <v>161</v>
      </c>
      <c r="FF5">
        <v>162</v>
      </c>
      <c r="FG5">
        <v>163</v>
      </c>
      <c r="FH5">
        <v>164</v>
      </c>
      <c r="FI5">
        <v>165</v>
      </c>
      <c r="FJ5">
        <v>166</v>
      </c>
      <c r="FK5">
        <v>167</v>
      </c>
      <c r="FL5">
        <v>168</v>
      </c>
      <c r="FM5">
        <v>169</v>
      </c>
      <c r="FN5">
        <v>170</v>
      </c>
      <c r="FO5">
        <v>171</v>
      </c>
      <c r="FP5">
        <v>172</v>
      </c>
      <c r="FQ5">
        <v>173</v>
      </c>
      <c r="FR5">
        <v>174</v>
      </c>
      <c r="FS5">
        <v>175</v>
      </c>
      <c r="FT5">
        <v>176</v>
      </c>
      <c r="FU5">
        <v>177</v>
      </c>
      <c r="FV5">
        <v>178</v>
      </c>
      <c r="FW5">
        <v>179</v>
      </c>
      <c r="FX5">
        <v>180</v>
      </c>
      <c r="FY5">
        <v>181</v>
      </c>
      <c r="FZ5">
        <v>182</v>
      </c>
      <c r="GA5">
        <v>183</v>
      </c>
      <c r="GB5">
        <v>184</v>
      </c>
      <c r="GC5">
        <v>185</v>
      </c>
      <c r="GD5">
        <v>186</v>
      </c>
      <c r="GE5">
        <v>187</v>
      </c>
      <c r="GF5">
        <v>188</v>
      </c>
      <c r="GG5">
        <v>189</v>
      </c>
      <c r="GH5">
        <v>190</v>
      </c>
      <c r="GI5">
        <v>191</v>
      </c>
      <c r="GJ5">
        <v>192</v>
      </c>
      <c r="GK5">
        <v>193</v>
      </c>
      <c r="GL5">
        <v>194</v>
      </c>
      <c r="GM5">
        <v>195</v>
      </c>
      <c r="GN5">
        <v>196</v>
      </c>
      <c r="GO5">
        <v>197</v>
      </c>
      <c r="GP5">
        <v>198</v>
      </c>
      <c r="GQ5">
        <v>199</v>
      </c>
      <c r="GR5">
        <v>200</v>
      </c>
      <c r="GS5">
        <v>201</v>
      </c>
      <c r="GT5">
        <v>202</v>
      </c>
      <c r="GU5">
        <v>203</v>
      </c>
      <c r="GV5">
        <v>204</v>
      </c>
      <c r="GW5">
        <v>205</v>
      </c>
      <c r="GX5">
        <v>206</v>
      </c>
      <c r="GY5">
        <v>207</v>
      </c>
      <c r="GZ5">
        <v>208</v>
      </c>
      <c r="HA5">
        <v>209</v>
      </c>
      <c r="HB5">
        <v>210</v>
      </c>
      <c r="HC5">
        <v>211</v>
      </c>
      <c r="HD5">
        <v>212</v>
      </c>
      <c r="HE5">
        <v>213</v>
      </c>
      <c r="HF5">
        <v>214</v>
      </c>
      <c r="HG5">
        <v>215</v>
      </c>
      <c r="HH5">
        <v>216</v>
      </c>
      <c r="HI5">
        <v>217</v>
      </c>
      <c r="HJ5">
        <v>218</v>
      </c>
      <c r="HK5">
        <v>219</v>
      </c>
      <c r="HL5">
        <v>220</v>
      </c>
      <c r="HM5">
        <v>221</v>
      </c>
      <c r="HN5">
        <v>222</v>
      </c>
      <c r="HO5">
        <v>223</v>
      </c>
      <c r="HP5">
        <v>224</v>
      </c>
      <c r="HQ5">
        <v>225</v>
      </c>
      <c r="HR5">
        <v>226</v>
      </c>
      <c r="HS5">
        <v>227</v>
      </c>
      <c r="HT5">
        <v>228</v>
      </c>
      <c r="HU5">
        <v>229</v>
      </c>
      <c r="HV5">
        <v>230</v>
      </c>
      <c r="HW5">
        <v>231</v>
      </c>
      <c r="HX5">
        <v>232</v>
      </c>
      <c r="HY5">
        <v>233</v>
      </c>
      <c r="HZ5">
        <v>234</v>
      </c>
      <c r="IA5">
        <v>235</v>
      </c>
      <c r="IB5">
        <v>236</v>
      </c>
      <c r="IC5">
        <v>237</v>
      </c>
      <c r="ID5">
        <v>238</v>
      </c>
      <c r="IE5">
        <v>239</v>
      </c>
      <c r="IF5">
        <v>240</v>
      </c>
      <c r="IG5">
        <v>241</v>
      </c>
      <c r="IH5">
        <v>242</v>
      </c>
      <c r="II5">
        <v>243</v>
      </c>
      <c r="IJ5">
        <v>244</v>
      </c>
      <c r="IK5">
        <v>245</v>
      </c>
      <c r="IL5">
        <v>246</v>
      </c>
      <c r="IM5">
        <v>247</v>
      </c>
      <c r="IN5">
        <v>248</v>
      </c>
      <c r="IO5">
        <v>249</v>
      </c>
      <c r="IP5">
        <v>250</v>
      </c>
      <c r="IQ5">
        <v>251</v>
      </c>
      <c r="IR5">
        <v>252</v>
      </c>
      <c r="IS5">
        <v>253</v>
      </c>
      <c r="IT5">
        <v>254</v>
      </c>
      <c r="IU5">
        <v>255</v>
      </c>
      <c r="IV5">
        <v>256</v>
      </c>
      <c r="IW5">
        <v>257</v>
      </c>
      <c r="IX5">
        <v>258</v>
      </c>
      <c r="IY5">
        <v>259</v>
      </c>
      <c r="IZ5">
        <v>260</v>
      </c>
      <c r="JA5">
        <v>261</v>
      </c>
      <c r="JB5">
        <v>262</v>
      </c>
      <c r="JC5">
        <v>263</v>
      </c>
      <c r="JD5">
        <v>264</v>
      </c>
      <c r="JE5">
        <v>265</v>
      </c>
      <c r="JF5">
        <v>266</v>
      </c>
      <c r="JG5">
        <v>267</v>
      </c>
      <c r="JH5">
        <v>268</v>
      </c>
      <c r="JI5">
        <v>269</v>
      </c>
      <c r="JJ5">
        <v>270</v>
      </c>
      <c r="JK5">
        <v>271</v>
      </c>
      <c r="JL5">
        <v>272</v>
      </c>
      <c r="JM5">
        <v>273</v>
      </c>
      <c r="JN5">
        <v>274</v>
      </c>
      <c r="JO5">
        <v>275</v>
      </c>
      <c r="JP5">
        <v>276</v>
      </c>
      <c r="JQ5">
        <v>277</v>
      </c>
      <c r="JR5">
        <v>278</v>
      </c>
      <c r="JS5">
        <v>279</v>
      </c>
      <c r="JT5">
        <v>280</v>
      </c>
      <c r="JU5">
        <v>281</v>
      </c>
      <c r="JV5">
        <v>282</v>
      </c>
      <c r="JW5">
        <v>283</v>
      </c>
      <c r="JX5">
        <v>284</v>
      </c>
      <c r="JY5">
        <v>285</v>
      </c>
      <c r="JZ5">
        <v>286</v>
      </c>
      <c r="KA5">
        <v>287</v>
      </c>
      <c r="KB5">
        <v>288</v>
      </c>
      <c r="KC5">
        <v>289</v>
      </c>
      <c r="KD5">
        <v>290</v>
      </c>
      <c r="KE5">
        <v>291</v>
      </c>
      <c r="KF5">
        <v>292</v>
      </c>
      <c r="KG5">
        <v>293</v>
      </c>
    </row>
    <row r="6" spans="1:293" x14ac:dyDescent="0.2">
      <c r="A6" s="839" t="s">
        <v>5</v>
      </c>
      <c r="B6" s="839" t="s">
        <v>242</v>
      </c>
      <c r="C6" s="839" t="s">
        <v>243</v>
      </c>
      <c r="D6" s="1022">
        <v>2016</v>
      </c>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3">
        <v>2017</v>
      </c>
      <c r="AI6" s="970"/>
      <c r="AJ6" s="970"/>
      <c r="AK6" s="970"/>
      <c r="AL6" s="970"/>
      <c r="AM6" s="970"/>
      <c r="AN6" s="970"/>
      <c r="AO6" s="970"/>
      <c r="AP6" s="970"/>
      <c r="AQ6" s="970"/>
      <c r="AR6" s="970"/>
      <c r="AS6" s="970"/>
      <c r="AT6" s="970"/>
      <c r="AU6" s="970"/>
      <c r="AV6" s="970"/>
      <c r="AW6" s="970"/>
      <c r="AX6" s="970"/>
      <c r="AY6" s="970"/>
      <c r="AZ6" s="970"/>
      <c r="BA6" s="970"/>
      <c r="BB6" s="970"/>
      <c r="BC6" s="970"/>
      <c r="BD6" s="970"/>
      <c r="BE6" s="970"/>
      <c r="BF6" s="970"/>
      <c r="BG6" s="970"/>
      <c r="BH6" s="970"/>
      <c r="BI6" s="970"/>
      <c r="BJ6" s="970"/>
      <c r="BK6" s="970"/>
      <c r="BL6" s="970"/>
      <c r="BM6" s="838">
        <v>2018</v>
      </c>
      <c r="BN6" s="839"/>
      <c r="BO6" s="839"/>
      <c r="BP6" s="839"/>
      <c r="BQ6" s="839"/>
      <c r="BR6" s="839"/>
      <c r="BS6" s="839"/>
      <c r="BT6" s="839"/>
      <c r="BU6" s="839"/>
      <c r="BV6" s="839"/>
      <c r="BW6" s="839"/>
      <c r="BX6" s="839"/>
      <c r="BY6" s="839"/>
      <c r="BZ6" s="839"/>
      <c r="CA6" s="839"/>
      <c r="CB6" s="839"/>
      <c r="CC6" s="839"/>
      <c r="CD6" s="839"/>
      <c r="CE6" s="839"/>
      <c r="CF6" s="839"/>
      <c r="CG6" s="839"/>
      <c r="CH6" s="839"/>
      <c r="CI6" s="839"/>
      <c r="CJ6" s="839"/>
      <c r="CK6" s="839"/>
      <c r="CL6" s="839"/>
      <c r="CM6" s="839"/>
      <c r="CN6" s="839"/>
      <c r="CO6" s="839"/>
      <c r="CP6" s="839"/>
      <c r="CQ6" s="839"/>
      <c r="CR6" s="839"/>
      <c r="CS6" s="838">
        <v>2019</v>
      </c>
      <c r="CT6" s="839"/>
      <c r="CU6" s="839"/>
      <c r="CV6" s="839"/>
      <c r="CW6" s="839"/>
      <c r="CX6" s="839"/>
      <c r="CY6" s="839"/>
      <c r="CZ6" s="839"/>
      <c r="DA6" s="839"/>
      <c r="DB6" s="839"/>
      <c r="DC6" s="839"/>
      <c r="DD6" s="839"/>
      <c r="DE6" s="839"/>
      <c r="DF6" s="839"/>
      <c r="DG6" s="839"/>
      <c r="DH6" s="839"/>
      <c r="DI6" s="839"/>
      <c r="DJ6" s="839"/>
      <c r="DK6" s="839"/>
      <c r="DL6" s="839"/>
      <c r="DM6" s="839"/>
      <c r="DN6" s="839"/>
      <c r="DO6" s="839"/>
      <c r="DP6" s="839"/>
      <c r="DQ6" s="839"/>
      <c r="DR6" s="839"/>
      <c r="DS6" s="839"/>
      <c r="DT6" s="839"/>
      <c r="DU6" s="839"/>
      <c r="DV6" s="839"/>
      <c r="DW6" s="839"/>
      <c r="DX6" s="1015">
        <v>2020</v>
      </c>
      <c r="DY6" s="1014"/>
      <c r="DZ6" s="1014"/>
      <c r="EA6" s="1014"/>
      <c r="EB6" s="1014"/>
      <c r="EC6" s="1014"/>
      <c r="ED6" s="1014"/>
      <c r="EE6" s="1014"/>
      <c r="EF6" s="1014"/>
      <c r="EG6" s="1014"/>
      <c r="EH6" s="1014"/>
      <c r="EI6" s="1014"/>
      <c r="EJ6" s="1014"/>
      <c r="EK6" s="1014"/>
      <c r="EL6" s="1014"/>
      <c r="EM6" s="1014"/>
      <c r="EN6" s="1014"/>
      <c r="EO6" s="1014"/>
      <c r="EP6" s="1014"/>
      <c r="EQ6" s="1014"/>
      <c r="ER6" s="1014"/>
      <c r="ES6" s="1014"/>
      <c r="ET6" s="1014"/>
      <c r="EU6" s="1014"/>
      <c r="EV6" s="1014"/>
      <c r="EW6" s="1014"/>
      <c r="EX6" s="1014"/>
      <c r="EY6" s="1014"/>
      <c r="EZ6" s="1014"/>
      <c r="FA6" s="1014"/>
      <c r="FB6" s="1015">
        <v>2021</v>
      </c>
      <c r="FC6" s="1014"/>
      <c r="FD6" s="1014"/>
      <c r="FE6" s="1014"/>
      <c r="FF6" s="1014"/>
      <c r="FG6" s="1014"/>
      <c r="FH6" s="1014"/>
      <c r="FI6" s="1014"/>
      <c r="FJ6" s="1014"/>
      <c r="FK6" s="1014"/>
      <c r="FL6" s="1014"/>
      <c r="FM6" s="1014"/>
      <c r="FN6" s="1014"/>
      <c r="FO6" s="1014"/>
      <c r="FP6" s="1014"/>
      <c r="FQ6" s="1014"/>
      <c r="FR6" s="1014"/>
      <c r="FS6" s="1014"/>
      <c r="FT6" s="1014"/>
      <c r="FU6" s="1014"/>
      <c r="FV6" s="1014"/>
      <c r="FW6" s="1014"/>
      <c r="FX6" s="1014"/>
      <c r="FY6" s="1014"/>
      <c r="FZ6" s="1014"/>
      <c r="GA6" s="1014"/>
      <c r="GB6" s="1014"/>
      <c r="GC6" s="1014"/>
      <c r="GD6" s="1014"/>
      <c r="GE6" s="1014"/>
      <c r="GF6" s="1014"/>
      <c r="GG6" s="1014"/>
      <c r="GH6" s="1014"/>
      <c r="GI6" s="1014"/>
      <c r="GJ6" s="1015">
        <v>2022</v>
      </c>
      <c r="GK6" s="1014"/>
      <c r="GL6" s="1014"/>
      <c r="GM6" s="1014"/>
      <c r="GN6" s="1014"/>
      <c r="GO6" s="1014"/>
      <c r="GP6" s="1014"/>
      <c r="GQ6" s="1014"/>
      <c r="GR6" s="1014"/>
      <c r="GS6" s="1014"/>
      <c r="GT6" s="1014"/>
      <c r="GU6" s="1014"/>
      <c r="GV6" s="1014"/>
      <c r="GW6" s="1014"/>
      <c r="GX6" s="1014"/>
      <c r="GY6" s="1014"/>
      <c r="GZ6" s="1014"/>
      <c r="HA6" s="1014"/>
      <c r="HB6" s="1014"/>
      <c r="HC6" s="1014"/>
      <c r="HD6" s="1014"/>
      <c r="HE6" s="1014"/>
      <c r="HF6" s="1014"/>
      <c r="HG6" s="1014"/>
      <c r="HH6" s="1014"/>
      <c r="HI6" s="1014"/>
      <c r="HJ6" s="1014"/>
      <c r="HK6" s="1014"/>
      <c r="HL6" s="1014"/>
      <c r="HM6" s="1014"/>
      <c r="HN6" s="1014"/>
      <c r="HO6" s="1014"/>
      <c r="HP6" s="1014"/>
      <c r="HQ6" s="1014"/>
      <c r="HR6" s="1015">
        <v>2023</v>
      </c>
      <c r="HS6" s="1014"/>
      <c r="HT6" s="1014"/>
      <c r="HU6" s="1014"/>
      <c r="HV6" s="1014"/>
      <c r="HW6" s="1014"/>
      <c r="HX6" s="1014"/>
      <c r="HY6" s="1014"/>
      <c r="HZ6" s="1014"/>
      <c r="IA6" s="1014"/>
      <c r="IB6" s="1014"/>
      <c r="IC6" s="1014"/>
      <c r="ID6" s="1014"/>
      <c r="IE6" s="1014"/>
      <c r="IF6" s="1014"/>
      <c r="IG6" s="1014"/>
      <c r="IH6" s="1014"/>
      <c r="II6" s="1014"/>
      <c r="IJ6" s="1014"/>
      <c r="IK6" s="1014"/>
      <c r="IL6" s="1014"/>
      <c r="IM6" s="1014"/>
      <c r="IN6" s="1014"/>
      <c r="IO6" s="1014"/>
      <c r="IP6" s="1014"/>
      <c r="IQ6" s="1014"/>
      <c r="IR6" s="1014"/>
      <c r="IS6" s="1014"/>
      <c r="IT6" s="1014"/>
      <c r="IU6" s="1014"/>
      <c r="IV6" s="1014"/>
      <c r="IW6" s="1014"/>
      <c r="IX6" s="1014"/>
      <c r="IY6" s="1014"/>
      <c r="IZ6" s="1013">
        <v>2024</v>
      </c>
      <c r="JA6" s="1014"/>
      <c r="JB6" s="1014"/>
      <c r="JC6" s="1014"/>
      <c r="JD6" s="1014"/>
      <c r="JE6" s="1014"/>
      <c r="JF6" s="1014"/>
      <c r="JG6" s="1014"/>
      <c r="JH6" s="1014"/>
      <c r="JI6" s="1014"/>
      <c r="JJ6" s="1014"/>
      <c r="JK6" s="1014"/>
      <c r="JL6" s="1014"/>
      <c r="JM6" s="1014"/>
      <c r="JN6" s="1014"/>
      <c r="JO6" s="1014"/>
      <c r="JP6" s="1014"/>
      <c r="JQ6" s="1014"/>
      <c r="JR6" s="1014"/>
      <c r="JS6" s="1014"/>
      <c r="JT6" s="1014"/>
      <c r="JU6" s="1014"/>
      <c r="JV6" s="1014"/>
      <c r="JW6" s="1014"/>
      <c r="JX6" s="1014"/>
      <c r="JY6" s="1014"/>
      <c r="JZ6" s="1014"/>
      <c r="KA6" s="1014"/>
      <c r="KB6" s="1014"/>
      <c r="KC6" s="1014"/>
      <c r="KD6" s="1014"/>
      <c r="KE6" s="1014"/>
      <c r="KF6" s="1014"/>
      <c r="KG6" s="1014"/>
    </row>
    <row r="7" spans="1:293" x14ac:dyDescent="0.2">
      <c r="A7" s="839"/>
      <c r="B7" s="839"/>
      <c r="C7" s="839"/>
      <c r="D7" s="970" t="s">
        <v>218</v>
      </c>
      <c r="E7" s="969" t="s">
        <v>217</v>
      </c>
      <c r="F7" s="973" t="s">
        <v>278</v>
      </c>
      <c r="G7" s="983"/>
      <c r="H7" s="983"/>
      <c r="I7" s="983"/>
      <c r="J7" s="973" t="s">
        <v>279</v>
      </c>
      <c r="K7" s="983"/>
      <c r="L7" s="983"/>
      <c r="M7" s="983"/>
      <c r="N7" s="983"/>
      <c r="O7" s="983"/>
      <c r="P7" s="983"/>
      <c r="Q7" s="983"/>
      <c r="R7" s="983"/>
      <c r="S7" s="983"/>
      <c r="T7" s="983"/>
      <c r="U7" s="983"/>
      <c r="V7" s="983"/>
      <c r="W7" s="983"/>
      <c r="X7" s="983"/>
      <c r="Y7" s="983"/>
      <c r="Z7" s="983"/>
      <c r="AA7" s="983"/>
      <c r="AB7" s="983"/>
      <c r="AC7" s="983"/>
      <c r="AD7" s="983"/>
      <c r="AE7" s="983"/>
      <c r="AF7" s="983"/>
      <c r="AG7" s="983"/>
      <c r="AH7" s="970" t="s">
        <v>218</v>
      </c>
      <c r="AI7" s="969" t="s">
        <v>217</v>
      </c>
      <c r="AJ7" s="982" t="s">
        <v>278</v>
      </c>
      <c r="AK7" s="846"/>
      <c r="AL7" s="846"/>
      <c r="AM7" s="846"/>
      <c r="AN7" s="982" t="s">
        <v>279</v>
      </c>
      <c r="AO7" s="846"/>
      <c r="AP7" s="846"/>
      <c r="AQ7" s="846"/>
      <c r="AR7" s="846"/>
      <c r="AS7" s="846"/>
      <c r="AT7" s="846"/>
      <c r="AU7" s="846"/>
      <c r="AV7" s="846"/>
      <c r="AW7" s="846"/>
      <c r="AX7" s="846"/>
      <c r="AY7" s="846"/>
      <c r="AZ7" s="846"/>
      <c r="BA7" s="846"/>
      <c r="BB7" s="846"/>
      <c r="BC7" s="846"/>
      <c r="BD7" s="846"/>
      <c r="BE7" s="846"/>
      <c r="BF7" s="846"/>
      <c r="BG7" s="846"/>
      <c r="BH7" s="846"/>
      <c r="BI7" s="846"/>
      <c r="BJ7" s="846"/>
      <c r="BK7" s="846"/>
      <c r="BL7" s="846"/>
      <c r="BN7" s="7"/>
      <c r="BO7" s="973" t="s">
        <v>278</v>
      </c>
      <c r="BP7" s="983"/>
      <c r="BQ7" s="983"/>
      <c r="BR7" s="983"/>
      <c r="BS7" s="973" t="s">
        <v>279</v>
      </c>
      <c r="BT7" s="983"/>
      <c r="BU7" s="983"/>
      <c r="BV7" s="983"/>
      <c r="BW7" s="983"/>
      <c r="BX7" s="983"/>
      <c r="BY7" s="983"/>
      <c r="BZ7" s="983"/>
      <c r="CA7" s="983"/>
      <c r="CB7" s="983"/>
      <c r="CC7" s="983"/>
      <c r="CD7" s="983"/>
      <c r="CE7" s="983"/>
      <c r="CF7" s="983"/>
      <c r="CG7" s="983"/>
      <c r="CH7" s="983"/>
      <c r="CI7" s="983"/>
      <c r="CJ7" s="983"/>
      <c r="CK7" s="983"/>
      <c r="CL7" s="983"/>
      <c r="CM7" s="983"/>
      <c r="CN7" s="983"/>
      <c r="CO7" s="983"/>
      <c r="CP7" s="983"/>
      <c r="CQ7" s="983"/>
      <c r="CR7" s="983"/>
      <c r="CS7" s="970" t="s">
        <v>218</v>
      </c>
      <c r="CT7" s="969" t="s">
        <v>217</v>
      </c>
      <c r="CU7" s="973" t="s">
        <v>278</v>
      </c>
      <c r="CV7" s="846"/>
      <c r="CW7" s="846"/>
      <c r="CX7" s="846"/>
      <c r="CY7" s="973" t="s">
        <v>279</v>
      </c>
      <c r="CZ7" s="846"/>
      <c r="DA7" s="846"/>
      <c r="DB7" s="846"/>
      <c r="DC7" s="846"/>
      <c r="DD7" s="846"/>
      <c r="DE7" s="846"/>
      <c r="DF7" s="846"/>
      <c r="DG7" s="846"/>
      <c r="DH7" s="846"/>
      <c r="DI7" s="846"/>
      <c r="DJ7" s="846"/>
      <c r="DK7" s="846"/>
      <c r="DL7" s="846"/>
      <c r="DM7" s="846"/>
      <c r="DN7" s="846"/>
      <c r="DO7" s="846"/>
      <c r="DP7" s="846"/>
      <c r="DQ7" s="846"/>
      <c r="DR7" s="846"/>
      <c r="DS7" s="846"/>
      <c r="DT7" s="846"/>
      <c r="DU7" s="846"/>
      <c r="DV7" s="846"/>
      <c r="DW7" s="846"/>
      <c r="DX7" s="1016" t="s">
        <v>218</v>
      </c>
      <c r="DY7" s="1016" t="s">
        <v>217</v>
      </c>
      <c r="DZ7" s="51" t="s">
        <v>278</v>
      </c>
      <c r="EA7" s="52"/>
      <c r="EB7" s="52"/>
      <c r="EC7" s="53"/>
      <c r="ED7" s="51" t="s">
        <v>279</v>
      </c>
      <c r="EE7" s="52"/>
      <c r="EF7" s="52"/>
      <c r="EG7" s="52"/>
      <c r="EH7" s="52"/>
      <c r="EI7" s="52"/>
      <c r="EJ7" s="52"/>
      <c r="EK7" s="52"/>
      <c r="EL7" s="52"/>
      <c r="EM7" s="52"/>
      <c r="EN7" s="52"/>
      <c r="EO7" s="52"/>
      <c r="EP7" s="52"/>
      <c r="EQ7" s="52"/>
      <c r="ER7" s="52"/>
      <c r="ES7" s="52"/>
      <c r="ET7" s="52"/>
      <c r="EU7" s="52"/>
      <c r="EV7" s="52"/>
      <c r="EW7" s="52"/>
      <c r="EX7" s="52"/>
      <c r="EY7" s="52"/>
      <c r="EZ7" s="52"/>
      <c r="FA7" s="53"/>
      <c r="FB7" s="1016" t="s">
        <v>218</v>
      </c>
      <c r="FC7" s="243"/>
      <c r="FD7" s="1016" t="s">
        <v>217</v>
      </c>
      <c r="FE7" s="242"/>
      <c r="FF7" s="1018" t="s">
        <v>278</v>
      </c>
      <c r="FG7" s="1019"/>
      <c r="FH7" s="1019"/>
      <c r="FI7" s="1020"/>
      <c r="FJ7" s="1015" t="s">
        <v>279</v>
      </c>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6" t="s">
        <v>218</v>
      </c>
      <c r="GK7" s="243"/>
      <c r="GL7" s="1016" t="s">
        <v>217</v>
      </c>
      <c r="GM7" s="242"/>
      <c r="GN7" s="1018" t="s">
        <v>278</v>
      </c>
      <c r="GO7" s="1019"/>
      <c r="GP7" s="1019"/>
      <c r="GQ7" s="1020"/>
      <c r="GR7" s="1015" t="s">
        <v>279</v>
      </c>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6" t="s">
        <v>218</v>
      </c>
      <c r="HS7" s="243"/>
      <c r="HT7" s="1016" t="s">
        <v>217</v>
      </c>
      <c r="HU7" s="242"/>
      <c r="HV7" s="1018" t="s">
        <v>278</v>
      </c>
      <c r="HW7" s="1019"/>
      <c r="HX7" s="1019"/>
      <c r="HY7" s="1020"/>
      <c r="HZ7" s="1015" t="s">
        <v>279</v>
      </c>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014"/>
      <c r="IW7" s="1014"/>
      <c r="IX7" s="1014"/>
      <c r="IY7" s="1014"/>
      <c r="IZ7" s="601" t="s">
        <v>218</v>
      </c>
      <c r="JA7" s="243"/>
      <c r="JB7" s="601" t="s">
        <v>217</v>
      </c>
      <c r="JC7" s="242"/>
      <c r="JD7" s="593" t="s">
        <v>278</v>
      </c>
      <c r="JE7" s="594"/>
      <c r="JF7" s="594"/>
      <c r="JG7" s="595"/>
      <c r="JH7" s="1013" t="s">
        <v>279</v>
      </c>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row>
    <row r="8" spans="1:293" ht="24.95" customHeight="1" x14ac:dyDescent="0.2">
      <c r="A8" s="855"/>
      <c r="B8" s="855"/>
      <c r="C8" s="855"/>
      <c r="D8" s="971"/>
      <c r="E8" s="972"/>
      <c r="F8" s="7" t="s">
        <v>190</v>
      </c>
      <c r="G8" s="7" t="s">
        <v>79</v>
      </c>
      <c r="H8" s="7" t="s">
        <v>156</v>
      </c>
      <c r="I8" s="7" t="s">
        <v>95</v>
      </c>
      <c r="J8" s="7" t="s">
        <v>280</v>
      </c>
      <c r="K8" s="7" t="s">
        <v>281</v>
      </c>
      <c r="L8" s="7" t="s">
        <v>282</v>
      </c>
      <c r="M8" s="7" t="s">
        <v>288</v>
      </c>
      <c r="N8" s="7" t="s">
        <v>289</v>
      </c>
      <c r="O8" s="7" t="s">
        <v>290</v>
      </c>
      <c r="P8" s="7" t="s">
        <v>292</v>
      </c>
      <c r="Q8" s="7" t="s">
        <v>293</v>
      </c>
      <c r="R8" s="7" t="s">
        <v>294</v>
      </c>
      <c r="S8" s="7" t="s">
        <v>295</v>
      </c>
      <c r="T8" s="7" t="s">
        <v>296</v>
      </c>
      <c r="U8" s="7" t="s">
        <v>297</v>
      </c>
      <c r="V8" s="7" t="s">
        <v>298</v>
      </c>
      <c r="W8" s="7" t="s">
        <v>299</v>
      </c>
      <c r="X8" s="7" t="s">
        <v>300</v>
      </c>
      <c r="Y8" s="7" t="s">
        <v>301</v>
      </c>
      <c r="Z8" s="7" t="s">
        <v>302</v>
      </c>
      <c r="AA8" s="7" t="s">
        <v>303</v>
      </c>
      <c r="AB8" s="7" t="s">
        <v>304</v>
      </c>
      <c r="AC8" s="7" t="s">
        <v>305</v>
      </c>
      <c r="AD8" s="7" t="s">
        <v>306</v>
      </c>
      <c r="AE8" s="7" t="s">
        <v>307</v>
      </c>
      <c r="AF8" s="7" t="s">
        <v>308</v>
      </c>
      <c r="AG8" s="7" t="s">
        <v>309</v>
      </c>
      <c r="AH8" s="971"/>
      <c r="AI8" s="972"/>
      <c r="AJ8" s="16" t="s">
        <v>190</v>
      </c>
      <c r="AK8" s="16" t="s">
        <v>79</v>
      </c>
      <c r="AL8" s="16" t="s">
        <v>156</v>
      </c>
      <c r="AM8" s="16" t="s">
        <v>95</v>
      </c>
      <c r="AN8" s="16" t="s">
        <v>280</v>
      </c>
      <c r="AO8" s="16" t="s">
        <v>281</v>
      </c>
      <c r="AP8" s="16" t="s">
        <v>282</v>
      </c>
      <c r="AQ8" s="16" t="s">
        <v>288</v>
      </c>
      <c r="AR8" s="16" t="s">
        <v>289</v>
      </c>
      <c r="AS8" s="16" t="s">
        <v>290</v>
      </c>
      <c r="AT8" s="16" t="s">
        <v>292</v>
      </c>
      <c r="AU8" s="16" t="s">
        <v>293</v>
      </c>
      <c r="AV8" s="16" t="s">
        <v>294</v>
      </c>
      <c r="AW8" s="16" t="s">
        <v>295</v>
      </c>
      <c r="AX8" s="16" t="s">
        <v>296</v>
      </c>
      <c r="AY8" s="16" t="s">
        <v>297</v>
      </c>
      <c r="AZ8" s="16" t="s">
        <v>298</v>
      </c>
      <c r="BA8" s="16" t="s">
        <v>299</v>
      </c>
      <c r="BB8" s="16" t="s">
        <v>300</v>
      </c>
      <c r="BC8" s="16" t="s">
        <v>301</v>
      </c>
      <c r="BD8" s="16" t="s">
        <v>302</v>
      </c>
      <c r="BE8" s="16" t="s">
        <v>303</v>
      </c>
      <c r="BF8" s="16" t="s">
        <v>304</v>
      </c>
      <c r="BG8" s="16" t="s">
        <v>305</v>
      </c>
      <c r="BH8" s="16" t="s">
        <v>306</v>
      </c>
      <c r="BI8" s="16" t="s">
        <v>307</v>
      </c>
      <c r="BJ8" s="16" t="s">
        <v>308</v>
      </c>
      <c r="BK8" s="16" t="s">
        <v>309</v>
      </c>
      <c r="BL8" s="16" t="s">
        <v>315</v>
      </c>
      <c r="BM8" s="16" t="s">
        <v>218</v>
      </c>
      <c r="BN8" s="7" t="s">
        <v>217</v>
      </c>
      <c r="BO8" s="7" t="s">
        <v>190</v>
      </c>
      <c r="BP8" s="7" t="s">
        <v>79</v>
      </c>
      <c r="BQ8" s="7" t="s">
        <v>156</v>
      </c>
      <c r="BR8" s="7" t="s">
        <v>95</v>
      </c>
      <c r="BS8" s="7" t="s">
        <v>280</v>
      </c>
      <c r="BT8" s="7" t="s">
        <v>281</v>
      </c>
      <c r="BU8" s="7" t="s">
        <v>282</v>
      </c>
      <c r="BV8" s="7" t="s">
        <v>288</v>
      </c>
      <c r="BW8" s="7" t="s">
        <v>289</v>
      </c>
      <c r="BX8" s="7" t="s">
        <v>290</v>
      </c>
      <c r="BY8" s="7" t="s">
        <v>292</v>
      </c>
      <c r="BZ8" s="7" t="s">
        <v>293</v>
      </c>
      <c r="CA8" s="7" t="s">
        <v>294</v>
      </c>
      <c r="CB8" s="7" t="s">
        <v>295</v>
      </c>
      <c r="CC8" s="7" t="s">
        <v>296</v>
      </c>
      <c r="CD8" s="7" t="s">
        <v>297</v>
      </c>
      <c r="CE8" s="7" t="s">
        <v>298</v>
      </c>
      <c r="CF8" s="7" t="s">
        <v>299</v>
      </c>
      <c r="CG8" s="7" t="s">
        <v>300</v>
      </c>
      <c r="CH8" s="7" t="s">
        <v>301</v>
      </c>
      <c r="CI8" s="7" t="s">
        <v>302</v>
      </c>
      <c r="CJ8" s="7" t="s">
        <v>303</v>
      </c>
      <c r="CK8" s="7" t="s">
        <v>304</v>
      </c>
      <c r="CL8" s="7" t="s">
        <v>305</v>
      </c>
      <c r="CM8" s="7" t="s">
        <v>306</v>
      </c>
      <c r="CN8" s="7" t="s">
        <v>307</v>
      </c>
      <c r="CO8" s="7" t="s">
        <v>308</v>
      </c>
      <c r="CP8" s="7" t="s">
        <v>309</v>
      </c>
      <c r="CQ8" s="7" t="s">
        <v>315</v>
      </c>
      <c r="CR8" s="7" t="s">
        <v>316</v>
      </c>
      <c r="CS8" s="971"/>
      <c r="CT8" s="972"/>
      <c r="CU8" s="7">
        <v>1</v>
      </c>
      <c r="CV8" s="7">
        <v>2</v>
      </c>
      <c r="CW8" s="7">
        <v>3</v>
      </c>
      <c r="CX8" s="7">
        <v>4</v>
      </c>
      <c r="CY8" s="7" t="s">
        <v>280</v>
      </c>
      <c r="CZ8" s="7" t="s">
        <v>281</v>
      </c>
      <c r="DA8" s="7" t="s">
        <v>282</v>
      </c>
      <c r="DB8" s="7" t="s">
        <v>288</v>
      </c>
      <c r="DC8" s="7" t="s">
        <v>289</v>
      </c>
      <c r="DD8" s="7" t="s">
        <v>290</v>
      </c>
      <c r="DE8" s="7" t="s">
        <v>292</v>
      </c>
      <c r="DF8" s="7" t="s">
        <v>293</v>
      </c>
      <c r="DG8" s="7" t="s">
        <v>294</v>
      </c>
      <c r="DH8" s="7" t="s">
        <v>295</v>
      </c>
      <c r="DI8" s="7" t="s">
        <v>296</v>
      </c>
      <c r="DJ8" s="7" t="s">
        <v>297</v>
      </c>
      <c r="DK8" s="7" t="s">
        <v>298</v>
      </c>
      <c r="DL8" s="7" t="s">
        <v>299</v>
      </c>
      <c r="DM8" s="7" t="s">
        <v>300</v>
      </c>
      <c r="DN8" s="7" t="s">
        <v>301</v>
      </c>
      <c r="DO8" s="7" t="s">
        <v>302</v>
      </c>
      <c r="DP8" s="7" t="s">
        <v>303</v>
      </c>
      <c r="DQ8" s="7" t="s">
        <v>304</v>
      </c>
      <c r="DR8" s="7" t="s">
        <v>305</v>
      </c>
      <c r="DS8" s="7" t="s">
        <v>306</v>
      </c>
      <c r="DT8" s="7" t="s">
        <v>307</v>
      </c>
      <c r="DU8" s="7" t="s">
        <v>308</v>
      </c>
      <c r="DV8" s="7" t="s">
        <v>309</v>
      </c>
      <c r="DW8" s="7" t="s">
        <v>315</v>
      </c>
      <c r="DX8" s="1017"/>
      <c r="DY8" s="1017"/>
      <c r="DZ8" s="54" t="s">
        <v>190</v>
      </c>
      <c r="EA8" s="54" t="s">
        <v>79</v>
      </c>
      <c r="EB8" s="54" t="s">
        <v>156</v>
      </c>
      <c r="EC8" s="54" t="s">
        <v>95</v>
      </c>
      <c r="ED8" s="54" t="s">
        <v>280</v>
      </c>
      <c r="EE8" s="54" t="s">
        <v>281</v>
      </c>
      <c r="EF8" s="54" t="s">
        <v>282</v>
      </c>
      <c r="EG8" s="54" t="s">
        <v>288</v>
      </c>
      <c r="EH8" s="54" t="s">
        <v>289</v>
      </c>
      <c r="EI8" s="54" t="s">
        <v>290</v>
      </c>
      <c r="EJ8" s="54" t="s">
        <v>292</v>
      </c>
      <c r="EK8" s="54" t="s">
        <v>293</v>
      </c>
      <c r="EL8" s="54" t="s">
        <v>294</v>
      </c>
      <c r="EM8" s="54" t="s">
        <v>295</v>
      </c>
      <c r="EN8" s="54" t="s">
        <v>296</v>
      </c>
      <c r="EO8" s="54" t="s">
        <v>297</v>
      </c>
      <c r="EP8" s="54" t="s">
        <v>298</v>
      </c>
      <c r="EQ8" s="54" t="s">
        <v>299</v>
      </c>
      <c r="ER8" s="54" t="s">
        <v>300</v>
      </c>
      <c r="ES8" s="54" t="s">
        <v>301</v>
      </c>
      <c r="ET8" s="54" t="s">
        <v>302</v>
      </c>
      <c r="EU8" s="54" t="s">
        <v>303</v>
      </c>
      <c r="EV8" s="54" t="s">
        <v>304</v>
      </c>
      <c r="EW8" s="54" t="s">
        <v>305</v>
      </c>
      <c r="EX8" s="54" t="s">
        <v>306</v>
      </c>
      <c r="EY8" s="54" t="s">
        <v>307</v>
      </c>
      <c r="EZ8" s="54" t="s">
        <v>308</v>
      </c>
      <c r="FA8" s="54" t="s">
        <v>309</v>
      </c>
      <c r="FB8" s="1017"/>
      <c r="FC8" s="265"/>
      <c r="FD8" s="1017"/>
      <c r="FE8" s="243"/>
      <c r="FF8" s="54" t="s">
        <v>190</v>
      </c>
      <c r="FG8" s="54" t="s">
        <v>79</v>
      </c>
      <c r="FH8" s="54" t="s">
        <v>156</v>
      </c>
      <c r="FI8" s="54" t="s">
        <v>95</v>
      </c>
      <c r="FJ8" s="54" t="s">
        <v>280</v>
      </c>
      <c r="FK8" s="54" t="s">
        <v>281</v>
      </c>
      <c r="FL8" s="54" t="s">
        <v>282</v>
      </c>
      <c r="FM8" s="54" t="s">
        <v>288</v>
      </c>
      <c r="FN8" s="54" t="s">
        <v>289</v>
      </c>
      <c r="FO8" s="54" t="s">
        <v>290</v>
      </c>
      <c r="FP8" s="54" t="s">
        <v>292</v>
      </c>
      <c r="FQ8" s="54" t="s">
        <v>293</v>
      </c>
      <c r="FR8" s="54" t="s">
        <v>294</v>
      </c>
      <c r="FS8" s="54" t="s">
        <v>295</v>
      </c>
      <c r="FT8" s="54" t="s">
        <v>296</v>
      </c>
      <c r="FU8" s="54" t="s">
        <v>297</v>
      </c>
      <c r="FV8" s="54" t="s">
        <v>298</v>
      </c>
      <c r="FW8" s="54" t="s">
        <v>299</v>
      </c>
      <c r="FX8" s="54" t="s">
        <v>300</v>
      </c>
      <c r="FY8" s="54" t="s">
        <v>301</v>
      </c>
      <c r="FZ8" s="54" t="s">
        <v>302</v>
      </c>
      <c r="GA8" s="54" t="s">
        <v>303</v>
      </c>
      <c r="GB8" s="54" t="s">
        <v>304</v>
      </c>
      <c r="GC8" s="54" t="s">
        <v>305</v>
      </c>
      <c r="GD8" s="54" t="s">
        <v>306</v>
      </c>
      <c r="GE8" s="54" t="s">
        <v>307</v>
      </c>
      <c r="GF8" s="54" t="s">
        <v>308</v>
      </c>
      <c r="GG8" s="54" t="s">
        <v>309</v>
      </c>
      <c r="GH8" s="267" t="s">
        <v>315</v>
      </c>
      <c r="GI8" s="267" t="s">
        <v>316</v>
      </c>
      <c r="GJ8" s="1017"/>
      <c r="GK8" s="265"/>
      <c r="GL8" s="1017"/>
      <c r="GM8" s="243"/>
      <c r="GN8" s="54" t="s">
        <v>190</v>
      </c>
      <c r="GO8" s="54" t="s">
        <v>79</v>
      </c>
      <c r="GP8" s="54" t="s">
        <v>156</v>
      </c>
      <c r="GQ8" s="54" t="s">
        <v>95</v>
      </c>
      <c r="GR8" s="16" t="s">
        <v>280</v>
      </c>
      <c r="GS8" s="16" t="s">
        <v>281</v>
      </c>
      <c r="GT8" s="16" t="s">
        <v>282</v>
      </c>
      <c r="GU8" s="16" t="s">
        <v>288</v>
      </c>
      <c r="GV8" s="16" t="s">
        <v>289</v>
      </c>
      <c r="GW8" s="16" t="s">
        <v>290</v>
      </c>
      <c r="GX8" s="16" t="s">
        <v>292</v>
      </c>
      <c r="GY8" s="16" t="s">
        <v>293</v>
      </c>
      <c r="GZ8" s="16" t="s">
        <v>294</v>
      </c>
      <c r="HA8" s="16" t="s">
        <v>295</v>
      </c>
      <c r="HB8" s="16" t="s">
        <v>296</v>
      </c>
      <c r="HC8" s="16" t="s">
        <v>297</v>
      </c>
      <c r="HD8" s="16" t="s">
        <v>298</v>
      </c>
      <c r="HE8" s="16" t="s">
        <v>299</v>
      </c>
      <c r="HF8" s="16" t="s">
        <v>300</v>
      </c>
      <c r="HG8" s="16" t="s">
        <v>301</v>
      </c>
      <c r="HH8" s="16" t="s">
        <v>302</v>
      </c>
      <c r="HI8" s="16" t="s">
        <v>303</v>
      </c>
      <c r="HJ8" s="16" t="s">
        <v>304</v>
      </c>
      <c r="HK8" s="16" t="s">
        <v>305</v>
      </c>
      <c r="HL8" s="16" t="s">
        <v>306</v>
      </c>
      <c r="HM8" s="16" t="s">
        <v>307</v>
      </c>
      <c r="HN8" s="16" t="s">
        <v>308</v>
      </c>
      <c r="HO8" s="16" t="s">
        <v>309</v>
      </c>
      <c r="HP8" s="249" t="s">
        <v>315</v>
      </c>
      <c r="HQ8" s="249" t="s">
        <v>316</v>
      </c>
      <c r="HR8" s="1017"/>
      <c r="HS8" s="265"/>
      <c r="HT8" s="1017"/>
      <c r="HU8" s="243"/>
      <c r="HV8" s="54" t="s">
        <v>190</v>
      </c>
      <c r="HW8" s="54" t="s">
        <v>79</v>
      </c>
      <c r="HX8" s="54" t="s">
        <v>156</v>
      </c>
      <c r="HY8" s="54" t="s">
        <v>95</v>
      </c>
      <c r="HZ8" s="16" t="s">
        <v>280</v>
      </c>
      <c r="IA8" s="16" t="s">
        <v>281</v>
      </c>
      <c r="IB8" s="16" t="s">
        <v>282</v>
      </c>
      <c r="IC8" s="16" t="s">
        <v>288</v>
      </c>
      <c r="ID8" s="16" t="s">
        <v>289</v>
      </c>
      <c r="IE8" s="16" t="s">
        <v>290</v>
      </c>
      <c r="IF8" s="16" t="s">
        <v>292</v>
      </c>
      <c r="IG8" s="16" t="s">
        <v>293</v>
      </c>
      <c r="IH8" s="16" t="s">
        <v>294</v>
      </c>
      <c r="II8" s="16" t="s">
        <v>295</v>
      </c>
      <c r="IJ8" s="16" t="s">
        <v>296</v>
      </c>
      <c r="IK8" s="16" t="s">
        <v>297</v>
      </c>
      <c r="IL8" s="16" t="s">
        <v>298</v>
      </c>
      <c r="IM8" s="16" t="s">
        <v>299</v>
      </c>
      <c r="IN8" s="16" t="s">
        <v>300</v>
      </c>
      <c r="IO8" s="16" t="s">
        <v>301</v>
      </c>
      <c r="IP8" s="16" t="s">
        <v>302</v>
      </c>
      <c r="IQ8" s="16" t="s">
        <v>303</v>
      </c>
      <c r="IR8" s="16" t="s">
        <v>304</v>
      </c>
      <c r="IS8" s="16" t="s">
        <v>305</v>
      </c>
      <c r="IT8" s="16" t="s">
        <v>306</v>
      </c>
      <c r="IU8" s="16" t="s">
        <v>307</v>
      </c>
      <c r="IV8" s="16" t="s">
        <v>308</v>
      </c>
      <c r="IW8" s="16" t="s">
        <v>309</v>
      </c>
      <c r="IX8" s="249" t="s">
        <v>315</v>
      </c>
      <c r="IY8" s="249" t="s">
        <v>316</v>
      </c>
      <c r="IZ8" s="602"/>
      <c r="JA8" s="265"/>
      <c r="JB8" s="602"/>
      <c r="JC8" s="243"/>
      <c r="JD8" s="54" t="s">
        <v>190</v>
      </c>
      <c r="JE8" s="54" t="s">
        <v>79</v>
      </c>
      <c r="JF8" s="54" t="s">
        <v>156</v>
      </c>
      <c r="JG8" s="54" t="s">
        <v>95</v>
      </c>
      <c r="JH8" s="249" t="s">
        <v>280</v>
      </c>
      <c r="JI8" s="249" t="s">
        <v>281</v>
      </c>
      <c r="JJ8" s="249" t="s">
        <v>282</v>
      </c>
      <c r="JK8" s="249" t="s">
        <v>288</v>
      </c>
      <c r="JL8" s="249" t="s">
        <v>289</v>
      </c>
      <c r="JM8" s="249" t="s">
        <v>290</v>
      </c>
      <c r="JN8" s="249" t="s">
        <v>292</v>
      </c>
      <c r="JO8" s="249" t="s">
        <v>293</v>
      </c>
      <c r="JP8" s="249" t="s">
        <v>294</v>
      </c>
      <c r="JQ8" s="249" t="s">
        <v>295</v>
      </c>
      <c r="JR8" s="249" t="s">
        <v>296</v>
      </c>
      <c r="JS8" s="249" t="s">
        <v>297</v>
      </c>
      <c r="JT8" s="249" t="s">
        <v>298</v>
      </c>
      <c r="JU8" s="249" t="s">
        <v>299</v>
      </c>
      <c r="JV8" s="249" t="s">
        <v>300</v>
      </c>
      <c r="JW8" s="249" t="s">
        <v>301</v>
      </c>
      <c r="JX8" s="249" t="s">
        <v>302</v>
      </c>
      <c r="JY8" s="249" t="s">
        <v>303</v>
      </c>
      <c r="JZ8" s="249" t="s">
        <v>304</v>
      </c>
      <c r="KA8" s="249" t="s">
        <v>305</v>
      </c>
      <c r="KB8" s="249" t="s">
        <v>306</v>
      </c>
      <c r="KC8" s="249" t="s">
        <v>307</v>
      </c>
      <c r="KD8" s="249" t="s">
        <v>308</v>
      </c>
      <c r="KE8" s="249" t="s">
        <v>309</v>
      </c>
      <c r="KF8" s="249" t="s">
        <v>315</v>
      </c>
      <c r="KG8" s="249" t="s">
        <v>316</v>
      </c>
    </row>
    <row r="9" spans="1:293" ht="187.5" customHeight="1" x14ac:dyDescent="0.2">
      <c r="A9" s="29"/>
      <c r="B9" s="29"/>
      <c r="C9" s="29"/>
      <c r="D9" s="83"/>
      <c r="E9" s="29"/>
      <c r="F9" s="29"/>
      <c r="G9" s="29"/>
      <c r="H9" s="29"/>
      <c r="I9" s="29"/>
      <c r="J9" s="113" t="s">
        <v>372</v>
      </c>
      <c r="K9" s="113" t="s">
        <v>373</v>
      </c>
      <c r="L9" s="113" t="s">
        <v>374</v>
      </c>
      <c r="M9" s="113" t="s">
        <v>375</v>
      </c>
      <c r="N9" s="113" t="s">
        <v>376</v>
      </c>
      <c r="O9" s="113" t="s">
        <v>377</v>
      </c>
      <c r="P9" s="113" t="s">
        <v>378</v>
      </c>
      <c r="Q9" s="113" t="s">
        <v>379</v>
      </c>
      <c r="R9" s="111" t="s">
        <v>779</v>
      </c>
      <c r="S9" s="111" t="s">
        <v>396</v>
      </c>
      <c r="T9" s="111" t="s">
        <v>390</v>
      </c>
      <c r="U9" s="111" t="s">
        <v>391</v>
      </c>
      <c r="V9" s="111" t="s">
        <v>387</v>
      </c>
      <c r="W9" s="111" t="s">
        <v>381</v>
      </c>
      <c r="X9" s="111" t="s">
        <v>388</v>
      </c>
      <c r="Y9" s="111" t="s">
        <v>382</v>
      </c>
      <c r="Z9" s="112" t="s">
        <v>394</v>
      </c>
      <c r="AA9" s="112" t="s">
        <v>383</v>
      </c>
      <c r="AB9" s="112" t="s">
        <v>389</v>
      </c>
      <c r="AC9" s="112" t="s">
        <v>395</v>
      </c>
      <c r="AD9" s="112" t="s">
        <v>392</v>
      </c>
      <c r="AE9" s="112" t="s">
        <v>393</v>
      </c>
      <c r="AF9" s="112" t="s">
        <v>386</v>
      </c>
      <c r="AG9" s="110" t="s">
        <v>380</v>
      </c>
      <c r="AH9" s="83"/>
      <c r="AI9" s="29"/>
      <c r="AJ9" s="83"/>
      <c r="AK9" s="83"/>
      <c r="AL9" s="83"/>
      <c r="AM9" s="83"/>
      <c r="AN9" s="113" t="s">
        <v>372</v>
      </c>
      <c r="AO9" s="113" t="s">
        <v>373</v>
      </c>
      <c r="AP9" s="113" t="s">
        <v>374</v>
      </c>
      <c r="AQ9" s="113" t="s">
        <v>375</v>
      </c>
      <c r="AR9" s="113" t="s">
        <v>376</v>
      </c>
      <c r="AS9" s="113" t="s">
        <v>378</v>
      </c>
      <c r="AT9" s="113" t="s">
        <v>379</v>
      </c>
      <c r="AU9" s="111" t="s">
        <v>372</v>
      </c>
      <c r="AV9" s="111" t="s">
        <v>396</v>
      </c>
      <c r="AW9" s="111" t="s">
        <v>390</v>
      </c>
      <c r="AX9" s="111" t="s">
        <v>391</v>
      </c>
      <c r="AY9" s="111" t="s">
        <v>387</v>
      </c>
      <c r="AZ9" s="111" t="s">
        <v>381</v>
      </c>
      <c r="BA9" s="111" t="s">
        <v>388</v>
      </c>
      <c r="BB9" s="111" t="s">
        <v>382</v>
      </c>
      <c r="BC9" s="112" t="s">
        <v>394</v>
      </c>
      <c r="BD9" s="112" t="s">
        <v>383</v>
      </c>
      <c r="BE9" s="112" t="s">
        <v>389</v>
      </c>
      <c r="BF9" s="112" t="s">
        <v>385</v>
      </c>
      <c r="BG9" s="112" t="s">
        <v>395</v>
      </c>
      <c r="BH9" s="112" t="s">
        <v>392</v>
      </c>
      <c r="BI9" s="112" t="s">
        <v>393</v>
      </c>
      <c r="BJ9" s="112" t="s">
        <v>386</v>
      </c>
      <c r="BK9" s="110" t="s">
        <v>380</v>
      </c>
      <c r="BL9" s="110" t="s">
        <v>384</v>
      </c>
      <c r="BM9" s="83"/>
      <c r="BN9" s="29"/>
      <c r="BO9" s="29"/>
      <c r="BP9" s="29"/>
      <c r="BQ9" s="29"/>
      <c r="BR9" s="29"/>
      <c r="BS9" s="112" t="s">
        <v>393</v>
      </c>
      <c r="BT9" s="113" t="s">
        <v>374</v>
      </c>
      <c r="BU9" s="111" t="s">
        <v>779</v>
      </c>
      <c r="BV9" s="112" t="s">
        <v>389</v>
      </c>
      <c r="BW9" s="110" t="s">
        <v>384</v>
      </c>
      <c r="BX9" s="113" t="s">
        <v>376</v>
      </c>
      <c r="BY9" s="113" t="s">
        <v>379</v>
      </c>
      <c r="BZ9" s="112" t="s">
        <v>386</v>
      </c>
      <c r="CA9" s="113" t="s">
        <v>372</v>
      </c>
      <c r="CB9" s="111" t="s">
        <v>391</v>
      </c>
      <c r="CC9" s="111" t="s">
        <v>387</v>
      </c>
      <c r="CD9" s="110" t="s">
        <v>380</v>
      </c>
      <c r="CE9" s="111" t="s">
        <v>390</v>
      </c>
      <c r="CF9" s="111" t="s">
        <v>381</v>
      </c>
      <c r="CG9" s="112" t="s">
        <v>395</v>
      </c>
      <c r="CH9" s="113" t="s">
        <v>378</v>
      </c>
      <c r="CI9" s="112" t="s">
        <v>383</v>
      </c>
      <c r="CJ9" s="112" t="s">
        <v>385</v>
      </c>
      <c r="CK9" s="112" t="s">
        <v>392</v>
      </c>
      <c r="CL9" s="113" t="s">
        <v>375</v>
      </c>
      <c r="CM9" s="113" t="s">
        <v>377</v>
      </c>
      <c r="CN9" s="111" t="s">
        <v>388</v>
      </c>
      <c r="CO9" s="111" t="s">
        <v>382</v>
      </c>
      <c r="CP9" s="113" t="s">
        <v>373</v>
      </c>
      <c r="CQ9" s="111" t="s">
        <v>396</v>
      </c>
      <c r="CR9" s="112" t="s">
        <v>394</v>
      </c>
      <c r="CS9" s="83"/>
      <c r="CT9" s="29"/>
      <c r="CU9" s="29"/>
      <c r="CV9" s="29"/>
      <c r="CW9" s="29"/>
      <c r="CX9" s="29"/>
      <c r="CY9" s="112" t="s">
        <v>386</v>
      </c>
      <c r="CZ9" s="113" t="s">
        <v>376</v>
      </c>
      <c r="DA9" s="113" t="s">
        <v>378</v>
      </c>
      <c r="DB9" s="111" t="s">
        <v>391</v>
      </c>
      <c r="DC9" s="112" t="s">
        <v>392</v>
      </c>
      <c r="DD9" s="112" t="s">
        <v>393</v>
      </c>
      <c r="DE9" s="113" t="s">
        <v>374</v>
      </c>
      <c r="DF9" s="112" t="s">
        <v>394</v>
      </c>
      <c r="DG9" s="112" t="s">
        <v>395</v>
      </c>
      <c r="DH9" s="113" t="s">
        <v>379</v>
      </c>
      <c r="DI9" s="111" t="s">
        <v>387</v>
      </c>
      <c r="DJ9" s="111" t="s">
        <v>388</v>
      </c>
      <c r="DK9" s="113" t="s">
        <v>375</v>
      </c>
      <c r="DL9" s="112" t="s">
        <v>389</v>
      </c>
      <c r="DM9" s="113" t="s">
        <v>372</v>
      </c>
      <c r="DN9" s="113" t="s">
        <v>373</v>
      </c>
      <c r="DO9" s="111" t="s">
        <v>390</v>
      </c>
      <c r="DP9" s="110" t="s">
        <v>380</v>
      </c>
      <c r="DQ9" s="111" t="s">
        <v>396</v>
      </c>
      <c r="DR9" s="111" t="s">
        <v>381</v>
      </c>
      <c r="DS9" s="111" t="s">
        <v>382</v>
      </c>
      <c r="DT9" s="112" t="s">
        <v>383</v>
      </c>
      <c r="DU9" s="113" t="s">
        <v>377</v>
      </c>
      <c r="DV9" s="110" t="s">
        <v>384</v>
      </c>
      <c r="DW9" s="112" t="s">
        <v>385</v>
      </c>
      <c r="DX9" s="132"/>
      <c r="DY9" s="132"/>
      <c r="DZ9" s="84"/>
      <c r="EA9" s="84"/>
      <c r="EB9" s="84"/>
      <c r="EC9" s="84"/>
      <c r="ED9" s="603" t="s">
        <v>378</v>
      </c>
      <c r="EE9" s="603" t="s">
        <v>372</v>
      </c>
      <c r="EF9" s="604" t="s">
        <v>382</v>
      </c>
      <c r="EG9" s="605" t="s">
        <v>389</v>
      </c>
      <c r="EH9" s="605" t="s">
        <v>395</v>
      </c>
      <c r="EI9" s="606" t="s">
        <v>384</v>
      </c>
      <c r="EJ9" s="603" t="s">
        <v>379</v>
      </c>
      <c r="EK9" s="605" t="s">
        <v>393</v>
      </c>
      <c r="EL9" s="603" t="s">
        <v>376</v>
      </c>
      <c r="EM9" s="604" t="s">
        <v>387</v>
      </c>
      <c r="EN9" s="604" t="s">
        <v>388</v>
      </c>
      <c r="EO9" s="605" t="s">
        <v>386</v>
      </c>
      <c r="EP9" s="603" t="s">
        <v>375</v>
      </c>
      <c r="EQ9" s="604" t="s">
        <v>390</v>
      </c>
      <c r="ER9" s="605" t="s">
        <v>392</v>
      </c>
      <c r="ES9" s="603" t="s">
        <v>374</v>
      </c>
      <c r="ET9" s="604" t="s">
        <v>391</v>
      </c>
      <c r="EU9" s="605" t="s">
        <v>383</v>
      </c>
      <c r="EV9" s="605" t="s">
        <v>385</v>
      </c>
      <c r="EW9" s="606" t="s">
        <v>380</v>
      </c>
      <c r="EX9" s="603" t="s">
        <v>373</v>
      </c>
      <c r="EY9" s="604" t="s">
        <v>396</v>
      </c>
      <c r="EZ9" s="604" t="s">
        <v>381</v>
      </c>
      <c r="FA9" s="605" t="s">
        <v>394</v>
      </c>
      <c r="FB9" s="132"/>
      <c r="FC9" s="268"/>
      <c r="FD9" s="132"/>
      <c r="FE9" s="84"/>
      <c r="FF9" s="84"/>
      <c r="FG9" s="84"/>
      <c r="FH9" s="84"/>
      <c r="FI9" s="84"/>
      <c r="FJ9" s="112" t="s">
        <v>395</v>
      </c>
      <c r="FK9" s="112" t="s">
        <v>386</v>
      </c>
      <c r="FL9" s="113" t="s">
        <v>373</v>
      </c>
      <c r="FM9" s="111" t="s">
        <v>390</v>
      </c>
      <c r="FN9" s="112" t="s">
        <v>389</v>
      </c>
      <c r="FO9" s="112" t="s">
        <v>392</v>
      </c>
      <c r="FP9" s="113" t="s">
        <v>372</v>
      </c>
      <c r="FQ9" s="111" t="s">
        <v>381</v>
      </c>
      <c r="FR9" s="111" t="s">
        <v>388</v>
      </c>
      <c r="FS9" s="112" t="s">
        <v>383</v>
      </c>
      <c r="FT9" s="110" t="s">
        <v>384</v>
      </c>
      <c r="FU9" s="111" t="s">
        <v>391</v>
      </c>
      <c r="FV9" s="112" t="s">
        <v>385</v>
      </c>
      <c r="FW9" s="110" t="s">
        <v>380</v>
      </c>
      <c r="FX9" s="113" t="s">
        <v>375</v>
      </c>
      <c r="FY9" s="111" t="s">
        <v>387</v>
      </c>
      <c r="FZ9" s="111" t="s">
        <v>382</v>
      </c>
      <c r="GA9" s="112" t="s">
        <v>393</v>
      </c>
      <c r="GB9" s="266" t="s">
        <v>377</v>
      </c>
      <c r="GC9" s="113" t="s">
        <v>376</v>
      </c>
      <c r="GD9" s="111" t="s">
        <v>396</v>
      </c>
      <c r="GE9" s="112" t="s">
        <v>394</v>
      </c>
      <c r="GF9" s="113" t="s">
        <v>374</v>
      </c>
      <c r="GG9" s="113" t="s">
        <v>378</v>
      </c>
      <c r="GH9" s="111" t="s">
        <v>397</v>
      </c>
      <c r="GI9" s="113" t="s">
        <v>379</v>
      </c>
      <c r="GJ9" s="132"/>
      <c r="GK9" s="268"/>
      <c r="GL9" s="132"/>
      <c r="GM9" s="84"/>
      <c r="GN9" s="84"/>
      <c r="GO9" s="84"/>
      <c r="GP9" s="84"/>
      <c r="GQ9" s="84"/>
      <c r="GR9" s="339" t="s">
        <v>375</v>
      </c>
      <c r="GS9" s="339" t="s">
        <v>376</v>
      </c>
      <c r="GT9" s="339" t="s">
        <v>379</v>
      </c>
      <c r="GU9" s="340" t="s">
        <v>387</v>
      </c>
      <c r="GV9" s="339" t="s">
        <v>373</v>
      </c>
      <c r="GW9" s="340" t="s">
        <v>390</v>
      </c>
      <c r="GX9" s="341" t="s">
        <v>392</v>
      </c>
      <c r="GY9" s="341" t="s">
        <v>389</v>
      </c>
      <c r="GZ9" s="341" t="s">
        <v>395</v>
      </c>
      <c r="HA9" s="340" t="s">
        <v>391</v>
      </c>
      <c r="HB9" s="342" t="s">
        <v>377</v>
      </c>
      <c r="HC9" s="340" t="s">
        <v>397</v>
      </c>
      <c r="HD9" s="340" t="s">
        <v>396</v>
      </c>
      <c r="HE9" s="340" t="s">
        <v>388</v>
      </c>
      <c r="HF9" s="340" t="s">
        <v>381</v>
      </c>
      <c r="HG9" s="341" t="s">
        <v>386</v>
      </c>
      <c r="HH9" s="339" t="s">
        <v>378</v>
      </c>
      <c r="HI9" s="341" t="s">
        <v>393</v>
      </c>
      <c r="HJ9" s="341" t="s">
        <v>383</v>
      </c>
      <c r="HK9" s="341" t="s">
        <v>394</v>
      </c>
      <c r="HL9" s="343" t="s">
        <v>384</v>
      </c>
      <c r="HM9" s="340" t="s">
        <v>382</v>
      </c>
      <c r="HN9" s="343" t="s">
        <v>380</v>
      </c>
      <c r="HO9" s="339" t="s">
        <v>372</v>
      </c>
      <c r="HP9" s="339" t="s">
        <v>374</v>
      </c>
      <c r="HQ9" s="341" t="s">
        <v>385</v>
      </c>
      <c r="HZ9" s="343" t="s">
        <v>384</v>
      </c>
      <c r="IA9" s="339" t="s">
        <v>373</v>
      </c>
      <c r="IB9" s="339" t="s">
        <v>374</v>
      </c>
      <c r="IC9" s="339" t="s">
        <v>375</v>
      </c>
      <c r="ID9" s="341" t="s">
        <v>393</v>
      </c>
      <c r="IE9" s="343" t="s">
        <v>380</v>
      </c>
      <c r="IF9" s="339" t="s">
        <v>376</v>
      </c>
      <c r="IG9" s="340" t="s">
        <v>381</v>
      </c>
      <c r="IH9" s="341" t="s">
        <v>383</v>
      </c>
      <c r="II9" s="340" t="s">
        <v>390</v>
      </c>
      <c r="IJ9" s="340" t="s">
        <v>391</v>
      </c>
      <c r="IK9" s="341" t="s">
        <v>394</v>
      </c>
      <c r="IL9" s="340" t="s">
        <v>387</v>
      </c>
      <c r="IM9" s="341" t="s">
        <v>395</v>
      </c>
      <c r="IN9" s="339" t="s">
        <v>379</v>
      </c>
      <c r="IO9" s="340" t="s">
        <v>397</v>
      </c>
      <c r="IP9" s="339" t="s">
        <v>378</v>
      </c>
      <c r="IQ9" s="340" t="s">
        <v>396</v>
      </c>
      <c r="IR9" s="340" t="s">
        <v>388</v>
      </c>
      <c r="IS9" s="342" t="s">
        <v>377</v>
      </c>
      <c r="IT9" s="340" t="s">
        <v>382</v>
      </c>
      <c r="IU9" s="341" t="s">
        <v>389</v>
      </c>
      <c r="IV9" s="341" t="s">
        <v>386</v>
      </c>
      <c r="IW9" s="341" t="s">
        <v>385</v>
      </c>
      <c r="IX9" s="341" t="s">
        <v>392</v>
      </c>
      <c r="IY9" s="339" t="s">
        <v>372</v>
      </c>
      <c r="JH9" s="596" t="s">
        <v>372</v>
      </c>
      <c r="JI9" s="596" t="s">
        <v>373</v>
      </c>
      <c r="JJ9" s="596" t="s">
        <v>374</v>
      </c>
      <c r="JK9" s="596" t="s">
        <v>375</v>
      </c>
      <c r="JL9" s="596" t="s">
        <v>376</v>
      </c>
      <c r="JM9" s="600" t="s">
        <v>377</v>
      </c>
      <c r="JN9" s="596" t="s">
        <v>378</v>
      </c>
      <c r="JO9" s="596" t="s">
        <v>379</v>
      </c>
      <c r="JP9" s="599" t="s">
        <v>397</v>
      </c>
      <c r="JQ9" s="599" t="s">
        <v>396</v>
      </c>
      <c r="JR9" s="599" t="s">
        <v>390</v>
      </c>
      <c r="JS9" s="599" t="s">
        <v>391</v>
      </c>
      <c r="JT9" s="599" t="s">
        <v>387</v>
      </c>
      <c r="JU9" s="599" t="s">
        <v>381</v>
      </c>
      <c r="JV9" s="599" t="s">
        <v>388</v>
      </c>
      <c r="JW9" s="599" t="s">
        <v>382</v>
      </c>
      <c r="JX9" s="598" t="s">
        <v>394</v>
      </c>
      <c r="JY9" s="598" t="s">
        <v>383</v>
      </c>
      <c r="JZ9" s="598" t="s">
        <v>389</v>
      </c>
      <c r="KA9" s="598" t="s">
        <v>385</v>
      </c>
      <c r="KB9" s="598" t="s">
        <v>395</v>
      </c>
      <c r="KC9" s="598" t="s">
        <v>392</v>
      </c>
      <c r="KD9" s="598" t="s">
        <v>393</v>
      </c>
      <c r="KE9" s="598" t="s">
        <v>386</v>
      </c>
      <c r="KF9" s="597" t="s">
        <v>384</v>
      </c>
      <c r="KG9" s="597" t="s">
        <v>380</v>
      </c>
    </row>
    <row r="10" spans="1:293" ht="24.95" customHeight="1" x14ac:dyDescent="0.2">
      <c r="A10" s="3" t="s">
        <v>10</v>
      </c>
      <c r="B10" s="3"/>
      <c r="C10" s="3"/>
      <c r="D10" s="17">
        <v>54</v>
      </c>
      <c r="E10" s="17">
        <v>9</v>
      </c>
      <c r="F10" s="64">
        <v>0.09</v>
      </c>
      <c r="G10" s="64">
        <v>0.5</v>
      </c>
      <c r="H10" s="64">
        <v>0.38</v>
      </c>
      <c r="I10" s="64">
        <v>0.03</v>
      </c>
      <c r="J10" s="64">
        <v>0.38</v>
      </c>
      <c r="K10" s="64">
        <v>0.39</v>
      </c>
      <c r="L10" s="64">
        <v>0.73</v>
      </c>
      <c r="M10" s="64">
        <v>0.27</v>
      </c>
      <c r="N10" s="64">
        <v>0.33</v>
      </c>
      <c r="O10" s="64">
        <v>0.67</v>
      </c>
      <c r="P10" s="64">
        <v>0.39</v>
      </c>
      <c r="Q10" s="64">
        <v>0.41</v>
      </c>
      <c r="R10" s="64">
        <v>0.53</v>
      </c>
      <c r="S10" s="64">
        <v>0.6</v>
      </c>
      <c r="T10" s="64">
        <v>0.47</v>
      </c>
      <c r="U10" s="64">
        <v>0.6</v>
      </c>
      <c r="V10" s="64">
        <v>0.11</v>
      </c>
      <c r="W10" s="64">
        <v>0.2</v>
      </c>
      <c r="X10" s="64">
        <v>0.51</v>
      </c>
      <c r="Y10" s="64">
        <v>0.52</v>
      </c>
      <c r="Z10" s="64">
        <v>0.79</v>
      </c>
      <c r="AA10" s="64">
        <v>0.14000000000000001</v>
      </c>
      <c r="AB10" s="64">
        <v>0.45</v>
      </c>
      <c r="AC10" s="64">
        <v>0.31</v>
      </c>
      <c r="AD10" s="64">
        <v>0.47</v>
      </c>
      <c r="AE10" s="64">
        <v>0.44</v>
      </c>
      <c r="AF10" s="64">
        <v>0.5</v>
      </c>
      <c r="AG10" s="64">
        <v>0.52</v>
      </c>
      <c r="AH10" s="17">
        <v>52</v>
      </c>
      <c r="AI10" s="17">
        <v>10</v>
      </c>
      <c r="AJ10" s="55">
        <v>0.12</v>
      </c>
      <c r="AK10" s="55">
        <v>0.49</v>
      </c>
      <c r="AL10" s="55">
        <v>0.36</v>
      </c>
      <c r="AM10" s="55">
        <v>0.03</v>
      </c>
      <c r="AN10" s="55">
        <v>0.28000000000000003</v>
      </c>
      <c r="AO10" s="55">
        <v>0.45</v>
      </c>
      <c r="AP10" s="55">
        <v>0.56000000000000005</v>
      </c>
      <c r="AQ10" s="55">
        <v>0.38</v>
      </c>
      <c r="AR10" s="55">
        <v>0.54</v>
      </c>
      <c r="AS10" s="55">
        <v>0.51</v>
      </c>
      <c r="AT10" s="55">
        <v>0.51</v>
      </c>
      <c r="AU10" s="55">
        <v>0.51</v>
      </c>
      <c r="AV10" s="55">
        <v>0.57999999999999996</v>
      </c>
      <c r="AW10" s="55">
        <v>0.47</v>
      </c>
      <c r="AX10" s="55">
        <v>0.53</v>
      </c>
      <c r="AY10" s="55">
        <v>0.32</v>
      </c>
      <c r="AZ10" s="55">
        <v>0.28999999999999998</v>
      </c>
      <c r="BA10" s="55">
        <v>0.47</v>
      </c>
      <c r="BB10" s="55">
        <v>0.63</v>
      </c>
      <c r="BC10" s="55">
        <v>0.62</v>
      </c>
      <c r="BD10" s="55">
        <v>0.41</v>
      </c>
      <c r="BE10" s="55">
        <v>0.55000000000000004</v>
      </c>
      <c r="BF10" s="55">
        <v>0.59</v>
      </c>
      <c r="BG10" s="55">
        <v>0.49</v>
      </c>
      <c r="BH10" s="55">
        <v>0.42</v>
      </c>
      <c r="BI10" s="55">
        <v>0.41</v>
      </c>
      <c r="BJ10" s="55">
        <v>0.36</v>
      </c>
      <c r="BK10" s="55">
        <v>0.43</v>
      </c>
      <c r="BL10" s="55">
        <v>0.46</v>
      </c>
      <c r="BM10" s="17">
        <v>51</v>
      </c>
      <c r="BN10" s="17">
        <v>10</v>
      </c>
      <c r="BO10" s="64">
        <v>0.17</v>
      </c>
      <c r="BP10" s="64">
        <v>0.5</v>
      </c>
      <c r="BQ10" s="64">
        <v>0.31</v>
      </c>
      <c r="BR10" s="64">
        <v>0.03</v>
      </c>
      <c r="BS10" s="64">
        <v>0.36</v>
      </c>
      <c r="BT10" s="64">
        <v>0.53</v>
      </c>
      <c r="BU10" s="64">
        <v>0.64</v>
      </c>
      <c r="BV10" s="64">
        <v>0.37</v>
      </c>
      <c r="BW10" s="64">
        <v>0.61</v>
      </c>
      <c r="BX10" s="64">
        <v>0.36</v>
      </c>
      <c r="BY10" s="64">
        <v>0.44</v>
      </c>
      <c r="BZ10" s="64">
        <v>0.5</v>
      </c>
      <c r="CA10" s="64">
        <v>0.45</v>
      </c>
      <c r="CB10" s="64">
        <v>0.36</v>
      </c>
      <c r="CC10" s="64">
        <v>0.21</v>
      </c>
      <c r="CD10" s="64">
        <v>0.41</v>
      </c>
      <c r="CE10" s="64">
        <v>0.34</v>
      </c>
      <c r="CF10" s="64">
        <v>0.6</v>
      </c>
      <c r="CG10" s="64">
        <v>0.56999999999999995</v>
      </c>
      <c r="CH10" s="64">
        <v>0.45</v>
      </c>
      <c r="CI10" s="64">
        <v>0.56000000000000005</v>
      </c>
      <c r="CJ10" s="64">
        <v>0.34</v>
      </c>
      <c r="CK10" s="64">
        <v>0.64</v>
      </c>
      <c r="CL10" s="64">
        <v>0.33</v>
      </c>
      <c r="CM10" s="64">
        <v>0.44</v>
      </c>
      <c r="CN10" s="64">
        <v>0.45</v>
      </c>
      <c r="CO10" s="64">
        <v>0.45</v>
      </c>
      <c r="CP10" s="64">
        <v>0.36</v>
      </c>
      <c r="CQ10" s="64">
        <v>0.53</v>
      </c>
      <c r="CR10" s="64">
        <v>0.54</v>
      </c>
      <c r="CS10" s="17">
        <v>50</v>
      </c>
      <c r="CT10" s="17">
        <v>11</v>
      </c>
      <c r="CU10" s="37">
        <v>0.21</v>
      </c>
      <c r="CV10" s="37">
        <v>0.5</v>
      </c>
      <c r="CW10" s="37">
        <v>0.27</v>
      </c>
      <c r="CX10" s="37">
        <v>0.03</v>
      </c>
      <c r="CY10" s="37">
        <v>0.49</v>
      </c>
      <c r="CZ10" s="37">
        <v>0.31</v>
      </c>
      <c r="DA10" s="37">
        <v>0.55000000000000004</v>
      </c>
      <c r="DB10" s="37">
        <v>0.36</v>
      </c>
      <c r="DC10" s="37">
        <v>0.45</v>
      </c>
      <c r="DD10" s="37">
        <v>0.6</v>
      </c>
      <c r="DE10" s="37">
        <v>0.47</v>
      </c>
      <c r="DF10" s="37">
        <v>0.55000000000000004</v>
      </c>
      <c r="DG10" s="37">
        <v>0.45</v>
      </c>
      <c r="DH10" s="37">
        <v>0.37</v>
      </c>
      <c r="DI10" s="37">
        <v>0.53</v>
      </c>
      <c r="DJ10" s="37">
        <v>0.49</v>
      </c>
      <c r="DK10" s="37">
        <v>0.38</v>
      </c>
      <c r="DL10" s="37">
        <v>0.37</v>
      </c>
      <c r="DM10" s="37">
        <v>0.5</v>
      </c>
      <c r="DN10" s="37">
        <v>0.49</v>
      </c>
      <c r="DO10" s="37">
        <v>0.44</v>
      </c>
      <c r="DP10" s="37">
        <v>0.44</v>
      </c>
      <c r="DQ10" s="37">
        <v>0.55000000000000004</v>
      </c>
      <c r="DR10" s="37">
        <v>0.21</v>
      </c>
      <c r="DS10" s="37">
        <v>0.4</v>
      </c>
      <c r="DT10" s="37">
        <v>0.56999999999999995</v>
      </c>
      <c r="DU10" s="37">
        <v>0.51</v>
      </c>
      <c r="DV10" s="37">
        <v>0.56999999999999995</v>
      </c>
      <c r="DW10" s="37">
        <v>0.35</v>
      </c>
      <c r="DX10" s="18">
        <v>49</v>
      </c>
      <c r="DY10" s="18">
        <v>10</v>
      </c>
      <c r="DZ10" s="58">
        <v>0.23</v>
      </c>
      <c r="EA10" s="58">
        <v>0.5</v>
      </c>
      <c r="EB10" s="58">
        <v>0.25</v>
      </c>
      <c r="EC10" s="58">
        <v>0.02</v>
      </c>
      <c r="ED10" s="58">
        <v>0.5</v>
      </c>
      <c r="EE10" s="58">
        <v>0.46</v>
      </c>
      <c r="EF10" s="58">
        <v>0.51</v>
      </c>
      <c r="EG10" s="58">
        <v>0.37</v>
      </c>
      <c r="EH10" s="58">
        <v>0.45</v>
      </c>
      <c r="EI10" s="58">
        <v>0.51</v>
      </c>
      <c r="EJ10" s="58">
        <v>0.59</v>
      </c>
      <c r="EK10" s="58">
        <v>0.28999999999999998</v>
      </c>
      <c r="EL10" s="58">
        <v>0.47</v>
      </c>
      <c r="EM10" s="58">
        <v>0.65</v>
      </c>
      <c r="EN10" s="58">
        <v>0.46</v>
      </c>
      <c r="EO10" s="58">
        <v>0.56000000000000005</v>
      </c>
      <c r="EP10" s="58">
        <v>0.41</v>
      </c>
      <c r="EQ10" s="58">
        <v>0.31</v>
      </c>
      <c r="ER10" s="58">
        <v>0.6</v>
      </c>
      <c r="ES10" s="58">
        <v>0.48</v>
      </c>
      <c r="ET10" s="58">
        <v>0.36</v>
      </c>
      <c r="EU10" s="58">
        <v>0.56999999999999995</v>
      </c>
      <c r="EV10" s="58">
        <v>0.41</v>
      </c>
      <c r="EW10" s="58">
        <v>0.34</v>
      </c>
      <c r="EX10" s="58">
        <v>0.68</v>
      </c>
      <c r="EY10" s="58">
        <v>0.59</v>
      </c>
      <c r="EZ10" s="58">
        <v>0.26</v>
      </c>
      <c r="FA10" s="58">
        <v>0.61</v>
      </c>
      <c r="FB10" s="246">
        <v>49</v>
      </c>
      <c r="FC10" s="246" t="s">
        <v>874</v>
      </c>
      <c r="FD10" s="246">
        <v>10</v>
      </c>
      <c r="FE10" s="246" t="s">
        <v>874</v>
      </c>
      <c r="FF10" s="261">
        <v>0.22</v>
      </c>
      <c r="FG10" s="261">
        <v>0.53</v>
      </c>
      <c r="FH10" s="261">
        <v>0.23</v>
      </c>
      <c r="FI10" s="261">
        <v>0.02</v>
      </c>
      <c r="FJ10" s="261">
        <v>0.49</v>
      </c>
      <c r="FK10" s="261">
        <v>0.65</v>
      </c>
      <c r="FL10" s="261">
        <v>0.51</v>
      </c>
      <c r="FM10" s="261">
        <v>0.45</v>
      </c>
      <c r="FN10" s="261">
        <v>0.32</v>
      </c>
      <c r="FO10" s="261">
        <v>0.37</v>
      </c>
      <c r="FP10" s="261">
        <v>0.42</v>
      </c>
      <c r="FQ10" s="261">
        <v>0.43</v>
      </c>
      <c r="FR10" s="261">
        <v>0.61</v>
      </c>
      <c r="FS10" s="261">
        <v>0.51</v>
      </c>
      <c r="FT10" s="261">
        <v>0.51</v>
      </c>
      <c r="FU10" s="261">
        <v>0.43</v>
      </c>
      <c r="FV10" s="261">
        <v>0.59</v>
      </c>
      <c r="FW10" s="261">
        <v>0.56000000000000005</v>
      </c>
      <c r="FX10" s="261">
        <v>0.48</v>
      </c>
      <c r="FY10" s="261">
        <v>0.4</v>
      </c>
      <c r="FZ10" s="261">
        <v>0.43</v>
      </c>
      <c r="GA10" s="261">
        <v>0.51</v>
      </c>
      <c r="GB10" s="261">
        <v>0.54</v>
      </c>
      <c r="GC10" s="261">
        <v>0.46</v>
      </c>
      <c r="GD10" s="261">
        <v>0.6</v>
      </c>
      <c r="GE10" s="261">
        <v>0.55000000000000004</v>
      </c>
      <c r="GF10" s="261">
        <v>0.49</v>
      </c>
      <c r="GG10" s="261">
        <v>0.48</v>
      </c>
      <c r="GH10" s="261">
        <v>0.57999999999999996</v>
      </c>
      <c r="GI10" s="261">
        <v>0.31</v>
      </c>
      <c r="GJ10" s="315">
        <v>50</v>
      </c>
      <c r="GK10" s="315" t="s">
        <v>874</v>
      </c>
      <c r="GL10" s="315">
        <v>10</v>
      </c>
      <c r="GM10" s="315" t="s">
        <v>874</v>
      </c>
      <c r="GN10" s="289">
        <v>0.21</v>
      </c>
      <c r="GO10" s="289">
        <v>0.5</v>
      </c>
      <c r="GP10" s="289">
        <v>0.27</v>
      </c>
      <c r="GQ10" s="289">
        <v>0.03</v>
      </c>
      <c r="GR10" s="289">
        <v>0.5</v>
      </c>
      <c r="GS10" s="289">
        <v>0.55000000000000004</v>
      </c>
      <c r="GT10" s="289">
        <v>0.61</v>
      </c>
      <c r="GU10" s="289">
        <v>0.26</v>
      </c>
      <c r="GV10" s="289">
        <v>0.56000000000000005</v>
      </c>
      <c r="GW10" s="289">
        <v>0.5</v>
      </c>
      <c r="GX10" s="289">
        <v>0.48</v>
      </c>
      <c r="GY10" s="315" t="s">
        <v>283</v>
      </c>
      <c r="GZ10" s="289">
        <v>0.34</v>
      </c>
      <c r="HA10" s="289">
        <v>0.65</v>
      </c>
      <c r="HB10" s="289">
        <v>0.48</v>
      </c>
      <c r="HC10" s="289">
        <v>0.54</v>
      </c>
      <c r="HD10" s="289">
        <v>0.56999999999999995</v>
      </c>
      <c r="HE10" s="289">
        <v>0.47</v>
      </c>
      <c r="HF10" s="289">
        <v>0.5</v>
      </c>
      <c r="HG10" s="289">
        <v>0.65</v>
      </c>
      <c r="HH10" s="289">
        <v>0.4</v>
      </c>
      <c r="HI10" s="289">
        <v>0.54</v>
      </c>
      <c r="HJ10" s="289">
        <v>0.59</v>
      </c>
      <c r="HK10" s="289">
        <v>0.53</v>
      </c>
      <c r="HL10" s="289">
        <v>0.44</v>
      </c>
      <c r="HM10" s="289">
        <v>0.51</v>
      </c>
      <c r="HN10" s="289">
        <v>0.49</v>
      </c>
      <c r="HO10" s="289">
        <v>0.45</v>
      </c>
      <c r="HP10" s="315" t="s">
        <v>283</v>
      </c>
      <c r="HQ10" s="289">
        <v>0.44</v>
      </c>
      <c r="HR10" s="423">
        <v>50</v>
      </c>
      <c r="HS10" s="423" t="s">
        <v>874</v>
      </c>
      <c r="HT10" s="423">
        <v>10</v>
      </c>
      <c r="HU10" s="423" t="s">
        <v>874</v>
      </c>
      <c r="HV10" s="427">
        <v>0.19</v>
      </c>
      <c r="HW10" s="427">
        <v>0.49</v>
      </c>
      <c r="HX10" s="427">
        <v>0.28999999999999998</v>
      </c>
      <c r="HY10" s="427">
        <v>0.03</v>
      </c>
      <c r="HZ10" s="427">
        <v>0.41</v>
      </c>
      <c r="IA10" s="427">
        <v>0.52</v>
      </c>
      <c r="IB10" s="427">
        <v>0.36</v>
      </c>
      <c r="IC10" s="427">
        <v>0.51</v>
      </c>
      <c r="ID10" s="427">
        <v>0.63</v>
      </c>
      <c r="IE10" s="427">
        <v>0.38</v>
      </c>
      <c r="IF10" s="427">
        <v>0.42</v>
      </c>
      <c r="IG10" s="427">
        <v>0.55000000000000004</v>
      </c>
      <c r="IH10" s="427">
        <v>0.53</v>
      </c>
      <c r="II10" s="427">
        <v>0.37</v>
      </c>
      <c r="IJ10" s="427">
        <v>0.32</v>
      </c>
      <c r="IK10" s="427">
        <v>0.59</v>
      </c>
      <c r="IL10" s="427">
        <v>0.36</v>
      </c>
      <c r="IM10" s="427">
        <v>0.57999999999999996</v>
      </c>
      <c r="IN10" s="427">
        <v>0.47</v>
      </c>
      <c r="IO10" s="427">
        <v>0.52</v>
      </c>
      <c r="IP10" s="427">
        <v>0.44</v>
      </c>
      <c r="IQ10" s="427">
        <v>0.64</v>
      </c>
      <c r="IR10" s="427">
        <v>0.56999999999999995</v>
      </c>
      <c r="IS10" s="427">
        <v>0.53</v>
      </c>
      <c r="IT10" s="427">
        <v>0.45</v>
      </c>
      <c r="IU10" s="423" t="s">
        <v>283</v>
      </c>
      <c r="IV10" s="427">
        <v>0.63</v>
      </c>
      <c r="IW10" s="427">
        <v>0.43</v>
      </c>
      <c r="IX10" s="427">
        <v>0.49</v>
      </c>
      <c r="IY10" s="427">
        <v>0.52</v>
      </c>
      <c r="IZ10" s="575">
        <v>51</v>
      </c>
      <c r="JA10" s="575" t="s">
        <v>874</v>
      </c>
      <c r="JB10" s="575">
        <v>11</v>
      </c>
      <c r="JC10" s="575" t="s">
        <v>875</v>
      </c>
      <c r="JD10" s="671">
        <v>0.18</v>
      </c>
      <c r="JE10" s="671">
        <v>0.47</v>
      </c>
      <c r="JF10" s="671">
        <v>0.31</v>
      </c>
      <c r="JG10" s="671">
        <v>0.04</v>
      </c>
      <c r="JH10" s="671">
        <v>0.47</v>
      </c>
      <c r="JI10" s="671">
        <v>0.46</v>
      </c>
      <c r="JJ10" s="671">
        <v>0.43</v>
      </c>
      <c r="JK10" s="671">
        <v>0.49</v>
      </c>
      <c r="JL10" s="671">
        <v>0.5</v>
      </c>
      <c r="JM10" s="671">
        <v>0.48</v>
      </c>
      <c r="JN10" s="671">
        <v>0.43</v>
      </c>
      <c r="JO10" s="671">
        <v>0.48</v>
      </c>
      <c r="JP10" s="671">
        <v>0.56000000000000005</v>
      </c>
      <c r="JQ10" s="671">
        <v>0.28999999999999998</v>
      </c>
      <c r="JR10" s="671">
        <v>0.56999999999999995</v>
      </c>
      <c r="JS10" s="671">
        <v>0.53</v>
      </c>
      <c r="JT10" s="671">
        <v>0.44</v>
      </c>
      <c r="JU10" s="671">
        <v>0.52</v>
      </c>
      <c r="JV10" s="671">
        <v>0.48</v>
      </c>
      <c r="JW10" s="671">
        <v>0.46</v>
      </c>
      <c r="JX10" s="671">
        <v>0.42</v>
      </c>
      <c r="JY10" s="671">
        <v>0.5</v>
      </c>
      <c r="JZ10" s="671">
        <v>0.46</v>
      </c>
      <c r="KA10" s="671">
        <v>0.59</v>
      </c>
      <c r="KB10" s="671">
        <v>0.46</v>
      </c>
      <c r="KC10" s="671">
        <v>0.63</v>
      </c>
      <c r="KD10" s="671">
        <v>0.36</v>
      </c>
      <c r="KE10" s="671">
        <v>0.51</v>
      </c>
      <c r="KF10" s="671">
        <v>0.46</v>
      </c>
      <c r="KG10" s="671">
        <v>0.51</v>
      </c>
    </row>
    <row r="11" spans="1:293" ht="24.95" customHeight="1" x14ac:dyDescent="0.2">
      <c r="A11" s="4" t="s">
        <v>0</v>
      </c>
      <c r="B11" s="4"/>
      <c r="C11" s="4"/>
      <c r="D11" s="19">
        <v>54</v>
      </c>
      <c r="E11" s="19">
        <v>8</v>
      </c>
      <c r="F11" s="62">
        <v>0.05</v>
      </c>
      <c r="G11" s="62">
        <v>0.54</v>
      </c>
      <c r="H11" s="62">
        <v>0.4</v>
      </c>
      <c r="I11" s="62">
        <v>0.01</v>
      </c>
      <c r="J11" s="62">
        <v>0.39</v>
      </c>
      <c r="K11" s="62">
        <v>0.37</v>
      </c>
      <c r="L11" s="62">
        <v>0.7</v>
      </c>
      <c r="M11" s="62">
        <v>0.21</v>
      </c>
      <c r="N11" s="62">
        <v>0.28999999999999998</v>
      </c>
      <c r="O11" s="62">
        <v>0.62</v>
      </c>
      <c r="P11" s="62">
        <v>0.31</v>
      </c>
      <c r="Q11" s="62">
        <v>0.42</v>
      </c>
      <c r="R11" s="62">
        <v>0.52</v>
      </c>
      <c r="S11" s="62">
        <v>0.59</v>
      </c>
      <c r="T11" s="62">
        <v>0.45</v>
      </c>
      <c r="U11" s="62">
        <v>0.57999999999999996</v>
      </c>
      <c r="V11" s="62">
        <v>7.0000000000000007E-2</v>
      </c>
      <c r="W11" s="62">
        <v>0.15</v>
      </c>
      <c r="X11" s="62">
        <v>0.48</v>
      </c>
      <c r="Y11" s="62">
        <v>0.49</v>
      </c>
      <c r="Z11" s="62">
        <v>0.75</v>
      </c>
      <c r="AA11" s="62">
        <v>0.1</v>
      </c>
      <c r="AB11" s="62">
        <v>0.44</v>
      </c>
      <c r="AC11" s="62">
        <v>0.24</v>
      </c>
      <c r="AD11" s="62">
        <v>0.44</v>
      </c>
      <c r="AE11" s="62">
        <v>0.4</v>
      </c>
      <c r="AF11" s="62">
        <v>0.53</v>
      </c>
      <c r="AG11" s="62">
        <v>0.48</v>
      </c>
      <c r="AH11" s="19">
        <v>53</v>
      </c>
      <c r="AI11" s="19">
        <v>8</v>
      </c>
      <c r="AJ11" s="56">
        <v>0.08</v>
      </c>
      <c r="AK11" s="56">
        <v>0.53</v>
      </c>
      <c r="AL11" s="56">
        <v>0.38</v>
      </c>
      <c r="AM11" s="56">
        <v>0.01</v>
      </c>
      <c r="AN11" s="56">
        <v>0.27</v>
      </c>
      <c r="AO11" s="56">
        <v>0.45</v>
      </c>
      <c r="AP11" s="56">
        <v>0.56000000000000005</v>
      </c>
      <c r="AQ11" s="56">
        <v>0.37</v>
      </c>
      <c r="AR11" s="56">
        <v>0.54</v>
      </c>
      <c r="AS11" s="56">
        <v>0.5</v>
      </c>
      <c r="AT11" s="56">
        <v>0.5</v>
      </c>
      <c r="AU11" s="56">
        <v>0.5</v>
      </c>
      <c r="AV11" s="56">
        <v>0.59</v>
      </c>
      <c r="AW11" s="56">
        <v>0.46</v>
      </c>
      <c r="AX11" s="56">
        <v>0.54</v>
      </c>
      <c r="AY11" s="56">
        <v>0.3</v>
      </c>
      <c r="AZ11" s="56">
        <v>0.27</v>
      </c>
      <c r="BA11" s="56">
        <v>0.47</v>
      </c>
      <c r="BB11" s="56">
        <v>0.65</v>
      </c>
      <c r="BC11" s="56">
        <v>0.64</v>
      </c>
      <c r="BD11" s="56">
        <v>0.4</v>
      </c>
      <c r="BE11" s="56">
        <v>0.53</v>
      </c>
      <c r="BF11" s="56">
        <v>0.57999999999999996</v>
      </c>
      <c r="BG11" s="56">
        <v>0.48</v>
      </c>
      <c r="BH11" s="56">
        <v>0.42</v>
      </c>
      <c r="BI11" s="56">
        <v>0.39</v>
      </c>
      <c r="BJ11" s="56">
        <v>0.34</v>
      </c>
      <c r="BK11" s="56">
        <v>0.43</v>
      </c>
      <c r="BL11" s="56">
        <v>0.46</v>
      </c>
      <c r="BM11" s="19">
        <v>51</v>
      </c>
      <c r="BN11" s="19">
        <v>9</v>
      </c>
      <c r="BO11" s="62">
        <v>0.11</v>
      </c>
      <c r="BP11" s="62">
        <v>0.56999999999999995</v>
      </c>
      <c r="BQ11" s="62">
        <v>0.31</v>
      </c>
      <c r="BR11" s="62">
        <v>0.01</v>
      </c>
      <c r="BS11" s="62">
        <v>0.34</v>
      </c>
      <c r="BT11" s="62">
        <v>0.55000000000000004</v>
      </c>
      <c r="BU11" s="62">
        <v>0.64</v>
      </c>
      <c r="BV11" s="62">
        <v>0.32</v>
      </c>
      <c r="BW11" s="62">
        <v>0.63</v>
      </c>
      <c r="BX11" s="62">
        <v>0.35</v>
      </c>
      <c r="BY11" s="62">
        <v>0.43</v>
      </c>
      <c r="BZ11" s="62">
        <v>0.52</v>
      </c>
      <c r="CA11" s="62">
        <v>0.45</v>
      </c>
      <c r="CB11" s="62">
        <v>0.35</v>
      </c>
      <c r="CC11" s="62">
        <v>0.19</v>
      </c>
      <c r="CD11" s="62">
        <v>0.41</v>
      </c>
      <c r="CE11" s="62">
        <v>0.33</v>
      </c>
      <c r="CF11" s="62">
        <v>0.6</v>
      </c>
      <c r="CG11" s="62">
        <v>0.57999999999999996</v>
      </c>
      <c r="CH11" s="62">
        <v>0.44</v>
      </c>
      <c r="CI11" s="62">
        <v>0.56000000000000005</v>
      </c>
      <c r="CJ11" s="62">
        <v>0.34</v>
      </c>
      <c r="CK11" s="62">
        <v>0.67</v>
      </c>
      <c r="CL11" s="62">
        <v>0.3</v>
      </c>
      <c r="CM11" s="62">
        <v>0.44</v>
      </c>
      <c r="CN11" s="62">
        <v>0.45</v>
      </c>
      <c r="CO11" s="62">
        <v>0.43</v>
      </c>
      <c r="CP11" s="62">
        <v>0.35</v>
      </c>
      <c r="CQ11" s="62">
        <v>0.53</v>
      </c>
      <c r="CR11" s="62">
        <v>0.55000000000000004</v>
      </c>
      <c r="CS11" s="19">
        <v>50</v>
      </c>
      <c r="CT11" s="19">
        <v>9</v>
      </c>
      <c r="CU11" s="38">
        <v>0.14000000000000001</v>
      </c>
      <c r="CV11" s="38">
        <v>0.6</v>
      </c>
      <c r="CW11" s="38">
        <v>0.25</v>
      </c>
      <c r="CX11" s="38">
        <v>0.01</v>
      </c>
      <c r="CY11" s="38">
        <v>0.5</v>
      </c>
      <c r="CZ11" s="38">
        <v>0.28999999999999998</v>
      </c>
      <c r="DA11" s="38">
        <v>0.56999999999999995</v>
      </c>
      <c r="DB11" s="38">
        <v>0.35</v>
      </c>
      <c r="DC11" s="38">
        <v>0.45</v>
      </c>
      <c r="DD11" s="38">
        <v>0.62</v>
      </c>
      <c r="DE11" s="38">
        <v>0.46</v>
      </c>
      <c r="DF11" s="38">
        <v>0.54</v>
      </c>
      <c r="DG11" s="38">
        <v>0.44</v>
      </c>
      <c r="DH11" s="38">
        <v>0.36</v>
      </c>
      <c r="DI11" s="38">
        <v>0.52</v>
      </c>
      <c r="DJ11" s="38">
        <v>0.5</v>
      </c>
      <c r="DK11" s="38">
        <v>0.36</v>
      </c>
      <c r="DL11" s="38">
        <v>0.35</v>
      </c>
      <c r="DM11" s="38">
        <v>0.51</v>
      </c>
      <c r="DN11" s="38">
        <v>0.49</v>
      </c>
      <c r="DO11" s="38">
        <v>0.43</v>
      </c>
      <c r="DP11" s="38">
        <v>0.45</v>
      </c>
      <c r="DQ11" s="38">
        <v>0.56000000000000005</v>
      </c>
      <c r="DR11" s="38">
        <v>0.19</v>
      </c>
      <c r="DS11" s="38">
        <v>0.38</v>
      </c>
      <c r="DT11" s="38">
        <v>0.56999999999999995</v>
      </c>
      <c r="DU11" s="38">
        <v>0.5</v>
      </c>
      <c r="DV11" s="38">
        <v>0.59</v>
      </c>
      <c r="DW11" s="38">
        <v>0.34</v>
      </c>
      <c r="DX11" s="20">
        <v>50</v>
      </c>
      <c r="DY11" s="20">
        <v>9</v>
      </c>
      <c r="DZ11" s="59">
        <v>0.16</v>
      </c>
      <c r="EA11" s="59">
        <v>0.56000000000000005</v>
      </c>
      <c r="EB11" s="59">
        <v>0.27</v>
      </c>
      <c r="EC11" s="59">
        <v>0.01</v>
      </c>
      <c r="ED11" s="59">
        <v>0.48</v>
      </c>
      <c r="EE11" s="59">
        <v>0.46</v>
      </c>
      <c r="EF11" s="59">
        <v>0.5</v>
      </c>
      <c r="EG11" s="59">
        <v>0.35</v>
      </c>
      <c r="EH11" s="59">
        <v>0.42</v>
      </c>
      <c r="EI11" s="59">
        <v>0.5</v>
      </c>
      <c r="EJ11" s="59">
        <v>0.56999999999999995</v>
      </c>
      <c r="EK11" s="59">
        <v>0.27</v>
      </c>
      <c r="EL11" s="59">
        <v>0.45</v>
      </c>
      <c r="EM11" s="59">
        <v>0.64</v>
      </c>
      <c r="EN11" s="59">
        <v>0.44</v>
      </c>
      <c r="EO11" s="59">
        <v>0.56999999999999995</v>
      </c>
      <c r="EP11" s="59">
        <v>0.38</v>
      </c>
      <c r="EQ11" s="59">
        <v>0.28000000000000003</v>
      </c>
      <c r="ER11" s="59">
        <v>0.6</v>
      </c>
      <c r="ES11" s="59">
        <v>0.46</v>
      </c>
      <c r="ET11" s="59">
        <v>0.33</v>
      </c>
      <c r="EU11" s="59">
        <v>0.59</v>
      </c>
      <c r="EV11" s="59">
        <v>0.39</v>
      </c>
      <c r="EW11" s="59">
        <v>0.32</v>
      </c>
      <c r="EX11" s="59">
        <v>0.67</v>
      </c>
      <c r="EY11" s="59">
        <v>0.57999999999999996</v>
      </c>
      <c r="EZ11" s="59">
        <v>0.22</v>
      </c>
      <c r="FA11" s="59">
        <v>0.6</v>
      </c>
      <c r="FB11" s="244">
        <v>50</v>
      </c>
      <c r="FC11" s="244" t="s">
        <v>11</v>
      </c>
      <c r="FD11" s="244">
        <v>9</v>
      </c>
      <c r="FE11" s="244" t="s">
        <v>11</v>
      </c>
      <c r="FF11" s="262">
        <v>0.14000000000000001</v>
      </c>
      <c r="FG11" s="262">
        <v>0.6</v>
      </c>
      <c r="FH11" s="262">
        <v>0.25</v>
      </c>
      <c r="FI11" s="262">
        <v>0.01</v>
      </c>
      <c r="FJ11" s="262">
        <v>0.46</v>
      </c>
      <c r="FK11" s="262">
        <v>0.66</v>
      </c>
      <c r="FL11" s="262">
        <v>0.49</v>
      </c>
      <c r="FM11" s="262">
        <v>0.42</v>
      </c>
      <c r="FN11" s="262">
        <v>0.28999999999999998</v>
      </c>
      <c r="FO11" s="262">
        <v>0.33</v>
      </c>
      <c r="FP11" s="262">
        <v>0.39</v>
      </c>
      <c r="FQ11" s="262">
        <v>0.41</v>
      </c>
      <c r="FR11" s="262">
        <v>0.59</v>
      </c>
      <c r="FS11" s="262">
        <v>0.51</v>
      </c>
      <c r="FT11" s="262">
        <v>0.5</v>
      </c>
      <c r="FU11" s="262">
        <v>0.38</v>
      </c>
      <c r="FV11" s="262">
        <v>0.6</v>
      </c>
      <c r="FW11" s="262">
        <v>0.56000000000000005</v>
      </c>
      <c r="FX11" s="262">
        <v>0.46</v>
      </c>
      <c r="FY11" s="262">
        <v>0.37</v>
      </c>
      <c r="FZ11" s="262">
        <v>0.42</v>
      </c>
      <c r="GA11" s="262">
        <v>0.5</v>
      </c>
      <c r="GB11" s="262">
        <v>0.53</v>
      </c>
      <c r="GC11" s="262">
        <v>0.45</v>
      </c>
      <c r="GD11" s="262">
        <v>0.6</v>
      </c>
      <c r="GE11" s="262">
        <v>0.54</v>
      </c>
      <c r="GF11" s="262">
        <v>0.47</v>
      </c>
      <c r="GG11" s="262">
        <v>0.45</v>
      </c>
      <c r="GH11" s="262">
        <v>0.56000000000000005</v>
      </c>
      <c r="GI11" s="262">
        <v>0.28999999999999998</v>
      </c>
      <c r="GJ11" s="316">
        <v>51</v>
      </c>
      <c r="GK11" s="316" t="s">
        <v>11</v>
      </c>
      <c r="GL11" s="316">
        <v>9</v>
      </c>
      <c r="GM11" s="316" t="s">
        <v>11</v>
      </c>
      <c r="GN11" s="290">
        <v>0.14000000000000001</v>
      </c>
      <c r="GO11" s="290">
        <v>0.55000000000000004</v>
      </c>
      <c r="GP11" s="290">
        <v>0.28999999999999998</v>
      </c>
      <c r="GQ11" s="290">
        <v>0.01</v>
      </c>
      <c r="GR11" s="290">
        <v>0.48</v>
      </c>
      <c r="GS11" s="290">
        <v>0.53</v>
      </c>
      <c r="GT11" s="290">
        <v>0.61</v>
      </c>
      <c r="GU11" s="290">
        <v>0.24</v>
      </c>
      <c r="GV11" s="290">
        <v>0.55000000000000004</v>
      </c>
      <c r="GW11" s="290">
        <v>0.48</v>
      </c>
      <c r="GX11" s="290">
        <v>0.46</v>
      </c>
      <c r="GY11" s="316" t="s">
        <v>283</v>
      </c>
      <c r="GZ11" s="290">
        <v>0.32</v>
      </c>
      <c r="HA11" s="290">
        <v>0.67</v>
      </c>
      <c r="HB11" s="290">
        <v>0.46</v>
      </c>
      <c r="HC11" s="290">
        <v>0.52</v>
      </c>
      <c r="HD11" s="290">
        <v>0.56999999999999995</v>
      </c>
      <c r="HE11" s="290">
        <v>0.46</v>
      </c>
      <c r="HF11" s="290">
        <v>0.48</v>
      </c>
      <c r="HG11" s="290">
        <v>0.66</v>
      </c>
      <c r="HH11" s="290">
        <v>0.38</v>
      </c>
      <c r="HI11" s="290">
        <v>0.52</v>
      </c>
      <c r="HJ11" s="290">
        <v>0.57999999999999996</v>
      </c>
      <c r="HK11" s="290">
        <v>0.51</v>
      </c>
      <c r="HL11" s="290">
        <v>0.42</v>
      </c>
      <c r="HM11" s="290">
        <v>0.49</v>
      </c>
      <c r="HN11" s="290">
        <v>0.48</v>
      </c>
      <c r="HO11" s="290">
        <v>0.43</v>
      </c>
      <c r="HP11" s="316" t="s">
        <v>283</v>
      </c>
      <c r="HQ11" s="290">
        <v>0.41</v>
      </c>
      <c r="HR11" s="424">
        <v>51</v>
      </c>
      <c r="HS11" s="424" t="s">
        <v>11</v>
      </c>
      <c r="HT11" s="424">
        <v>9</v>
      </c>
      <c r="HU11" s="424" t="s">
        <v>11</v>
      </c>
      <c r="HV11" s="428">
        <v>0.13</v>
      </c>
      <c r="HW11" s="428">
        <v>0.54</v>
      </c>
      <c r="HX11" s="428">
        <v>0.32</v>
      </c>
      <c r="HY11" s="428">
        <v>0.02</v>
      </c>
      <c r="HZ11" s="428">
        <v>0.38</v>
      </c>
      <c r="IA11" s="428">
        <v>0.52</v>
      </c>
      <c r="IB11" s="428">
        <v>0.34</v>
      </c>
      <c r="IC11" s="428">
        <v>0.49</v>
      </c>
      <c r="ID11" s="428">
        <v>0.63</v>
      </c>
      <c r="IE11" s="428">
        <v>0.34</v>
      </c>
      <c r="IF11" s="428">
        <v>0.4</v>
      </c>
      <c r="IG11" s="428">
        <v>0.55000000000000004</v>
      </c>
      <c r="IH11" s="428">
        <v>0.51</v>
      </c>
      <c r="II11" s="428">
        <v>0.33</v>
      </c>
      <c r="IJ11" s="428">
        <v>0.28000000000000003</v>
      </c>
      <c r="IK11" s="428">
        <v>0.57999999999999996</v>
      </c>
      <c r="IL11" s="428">
        <v>0.34</v>
      </c>
      <c r="IM11" s="428">
        <v>0.56999999999999995</v>
      </c>
      <c r="IN11" s="428">
        <v>0.44</v>
      </c>
      <c r="IO11" s="428">
        <v>0.53</v>
      </c>
      <c r="IP11" s="428">
        <v>0.41</v>
      </c>
      <c r="IQ11" s="428">
        <v>0.64</v>
      </c>
      <c r="IR11" s="428">
        <v>0.55000000000000004</v>
      </c>
      <c r="IS11" s="428">
        <v>0.52</v>
      </c>
      <c r="IT11" s="428">
        <v>0.43</v>
      </c>
      <c r="IU11" s="424" t="s">
        <v>283</v>
      </c>
      <c r="IV11" s="428">
        <v>0.62</v>
      </c>
      <c r="IW11" s="428">
        <v>0.41</v>
      </c>
      <c r="IX11" s="428">
        <v>0.49</v>
      </c>
      <c r="IY11" s="428">
        <v>0.51</v>
      </c>
      <c r="IZ11" s="524">
        <v>52</v>
      </c>
      <c r="JA11" s="524" t="s">
        <v>11</v>
      </c>
      <c r="JB11" s="524">
        <v>9</v>
      </c>
      <c r="JC11" s="524" t="s">
        <v>11</v>
      </c>
      <c r="JD11" s="523">
        <v>0.12</v>
      </c>
      <c r="JE11" s="523">
        <v>0.52</v>
      </c>
      <c r="JF11" s="523">
        <v>0.34</v>
      </c>
      <c r="JG11" s="523">
        <v>0.02</v>
      </c>
      <c r="JH11" s="523">
        <v>0.46</v>
      </c>
      <c r="JI11" s="523">
        <v>0.44</v>
      </c>
      <c r="JJ11" s="523">
        <v>0.42</v>
      </c>
      <c r="JK11" s="523">
        <v>0.47</v>
      </c>
      <c r="JL11" s="523">
        <v>0.48</v>
      </c>
      <c r="JM11" s="523">
        <v>0.48</v>
      </c>
      <c r="JN11" s="523">
        <v>0.41</v>
      </c>
      <c r="JO11" s="523">
        <v>0.46</v>
      </c>
      <c r="JP11" s="523">
        <v>0.54</v>
      </c>
      <c r="JQ11" s="523">
        <v>0.27</v>
      </c>
      <c r="JR11" s="523">
        <v>0.57999999999999996</v>
      </c>
      <c r="JS11" s="523">
        <v>0.52</v>
      </c>
      <c r="JT11" s="523">
        <v>0.42</v>
      </c>
      <c r="JU11" s="523">
        <v>0.51</v>
      </c>
      <c r="JV11" s="523">
        <v>0.48</v>
      </c>
      <c r="JW11" s="523">
        <v>0.47</v>
      </c>
      <c r="JX11" s="523">
        <v>0.41</v>
      </c>
      <c r="JY11" s="523">
        <v>0.48</v>
      </c>
      <c r="JZ11" s="523">
        <v>0.45</v>
      </c>
      <c r="KA11" s="523">
        <v>0.6</v>
      </c>
      <c r="KB11" s="523">
        <v>0.45</v>
      </c>
      <c r="KC11" s="523">
        <v>0.65</v>
      </c>
      <c r="KD11" s="523">
        <v>0.34</v>
      </c>
      <c r="KE11" s="523">
        <v>0.48</v>
      </c>
      <c r="KF11" s="523">
        <v>0.45</v>
      </c>
      <c r="KG11" s="523">
        <v>0.51</v>
      </c>
    </row>
    <row r="12" spans="1:293" ht="24.95" customHeight="1" x14ac:dyDescent="0.2">
      <c r="A12" s="6" t="s">
        <v>12</v>
      </c>
      <c r="B12" s="6"/>
      <c r="C12" s="6"/>
      <c r="D12" s="21">
        <v>53</v>
      </c>
      <c r="E12" s="21">
        <v>7</v>
      </c>
      <c r="F12" s="65">
        <v>0.06</v>
      </c>
      <c r="G12" s="65">
        <v>0.59</v>
      </c>
      <c r="H12" s="65">
        <v>0.35</v>
      </c>
      <c r="I12" s="65">
        <v>0.01</v>
      </c>
      <c r="J12" s="39">
        <f>AVERAGEIFS(J$36:J$171,$B$36:$B$171,"=oficial")</f>
        <v>0.42040000000000005</v>
      </c>
      <c r="K12" s="39">
        <f t="shared" ref="K12:AG12" si="0">AVERAGEIFS(K$36:K$171,$B$36:$B$171,"=oficial")</f>
        <v>0.40639999999999993</v>
      </c>
      <c r="L12" s="39">
        <f t="shared" si="0"/>
        <v>0.74639999999999984</v>
      </c>
      <c r="M12" s="39">
        <f t="shared" si="0"/>
        <v>0.24520000000000003</v>
      </c>
      <c r="N12" s="39">
        <f t="shared" si="0"/>
        <v>0.3103999999999999</v>
      </c>
      <c r="O12" s="39">
        <f t="shared" si="0"/>
        <v>0.65359999999999996</v>
      </c>
      <c r="P12" s="39">
        <f t="shared" si="0"/>
        <v>0.34239999999999993</v>
      </c>
      <c r="Q12" s="39">
        <f t="shared" si="0"/>
        <v>0.42760000000000004</v>
      </c>
      <c r="R12" s="39">
        <f t="shared" si="0"/>
        <v>0.54199999999999993</v>
      </c>
      <c r="S12" s="39">
        <f t="shared" si="0"/>
        <v>0.60119999999999996</v>
      </c>
      <c r="T12" s="39">
        <f t="shared" si="0"/>
        <v>0.4708</v>
      </c>
      <c r="U12" s="39">
        <f t="shared" si="0"/>
        <v>0.60920000000000007</v>
      </c>
      <c r="V12" s="39">
        <f t="shared" si="0"/>
        <v>7.6800000000000035E-2</v>
      </c>
      <c r="W12" s="39">
        <f t="shared" si="0"/>
        <v>0.17120000000000002</v>
      </c>
      <c r="X12" s="39">
        <f t="shared" si="0"/>
        <v>0.51440000000000008</v>
      </c>
      <c r="Y12" s="39">
        <f t="shared" si="0"/>
        <v>0.49560000000000004</v>
      </c>
      <c r="Z12" s="39">
        <f t="shared" si="0"/>
        <v>0.80761904761904768</v>
      </c>
      <c r="AA12" s="39">
        <f t="shared" si="0"/>
        <v>0.11960000000000003</v>
      </c>
      <c r="AB12" s="39">
        <f t="shared" si="0"/>
        <v>0.45319999999999999</v>
      </c>
      <c r="AC12" s="39">
        <f t="shared" si="0"/>
        <v>0.27159999999999995</v>
      </c>
      <c r="AD12" s="39">
        <f t="shared" si="0"/>
        <v>0.45640000000000003</v>
      </c>
      <c r="AE12" s="39">
        <f t="shared" si="0"/>
        <v>0.44639999999999991</v>
      </c>
      <c r="AF12" s="39">
        <f t="shared" si="0"/>
        <v>0.55519999999999992</v>
      </c>
      <c r="AG12" s="39">
        <f t="shared" si="0"/>
        <v>0.50319999999999998</v>
      </c>
      <c r="AH12" s="21">
        <v>52</v>
      </c>
      <c r="AI12" s="21">
        <v>8</v>
      </c>
      <c r="AJ12" s="57">
        <v>0.09</v>
      </c>
      <c r="AK12" s="57">
        <v>0.56999999999999995</v>
      </c>
      <c r="AL12" s="57">
        <v>0.33</v>
      </c>
      <c r="AM12" s="57">
        <v>0.01</v>
      </c>
      <c r="AN12" s="39">
        <f>AVERAGEIFS(AN$36:AN$171,$B$36:$B$171,"=oficial")</f>
        <v>0.29720000000000002</v>
      </c>
      <c r="AO12" s="39">
        <f t="shared" ref="AO12:BL12" si="1">AVERAGEIFS(AO$36:AO$171,$B$36:$B$171,"=oficial")</f>
        <v>0.47080000000000005</v>
      </c>
      <c r="AP12" s="39">
        <f t="shared" si="1"/>
        <v>0.58839999999999992</v>
      </c>
      <c r="AQ12" s="39">
        <f t="shared" si="1"/>
        <v>0.40839999999999999</v>
      </c>
      <c r="AR12" s="39">
        <f t="shared" si="1"/>
        <v>0.56480000000000008</v>
      </c>
      <c r="AS12" s="39">
        <f t="shared" si="1"/>
        <v>0.51840000000000008</v>
      </c>
      <c r="AT12" s="39">
        <f t="shared" si="1"/>
        <v>0.52199999999999991</v>
      </c>
      <c r="AU12" s="39">
        <f t="shared" si="1"/>
        <v>0.52639999999999998</v>
      </c>
      <c r="AV12" s="39">
        <f t="shared" si="1"/>
        <v>0.61720000000000008</v>
      </c>
      <c r="AW12" s="39">
        <f t="shared" si="1"/>
        <v>0.49240000000000012</v>
      </c>
      <c r="AX12" s="39">
        <f t="shared" si="1"/>
        <v>0.58040000000000003</v>
      </c>
      <c r="AY12" s="39">
        <f t="shared" si="1"/>
        <v>0.31879999999999997</v>
      </c>
      <c r="AZ12" s="39">
        <f t="shared" si="1"/>
        <v>0.28520000000000001</v>
      </c>
      <c r="BA12" s="39">
        <f t="shared" si="1"/>
        <v>0.50120000000000009</v>
      </c>
      <c r="BB12" s="39">
        <f t="shared" si="1"/>
        <v>0.6631999999999999</v>
      </c>
      <c r="BC12" s="39">
        <f t="shared" si="1"/>
        <v>0.65560000000000007</v>
      </c>
      <c r="BD12" s="39">
        <f t="shared" si="1"/>
        <v>0.41720000000000007</v>
      </c>
      <c r="BE12" s="39">
        <f t="shared" si="1"/>
        <v>0.54679999999999984</v>
      </c>
      <c r="BF12" s="39">
        <f t="shared" si="1"/>
        <v>0.58599999999999997</v>
      </c>
      <c r="BG12" s="39">
        <f t="shared" si="1"/>
        <v>0.51319999999999988</v>
      </c>
      <c r="BH12" s="39">
        <f t="shared" si="1"/>
        <v>0.43920000000000009</v>
      </c>
      <c r="BI12" s="39">
        <f t="shared" si="1"/>
        <v>0.41120000000000012</v>
      </c>
      <c r="BJ12" s="39">
        <f t="shared" si="1"/>
        <v>0.36319999999999991</v>
      </c>
      <c r="BK12" s="39">
        <f t="shared" si="1"/>
        <v>0.45999999999999991</v>
      </c>
      <c r="BL12" s="39">
        <f t="shared" si="1"/>
        <v>0.48479999999999995</v>
      </c>
      <c r="BM12" s="21">
        <v>50</v>
      </c>
      <c r="BN12" s="21">
        <v>8</v>
      </c>
      <c r="BO12" s="65">
        <v>0.14000000000000001</v>
      </c>
      <c r="BP12" s="65">
        <v>0.6</v>
      </c>
      <c r="BQ12" s="65">
        <v>0.25</v>
      </c>
      <c r="BR12" s="65">
        <v>0.01</v>
      </c>
      <c r="BS12" s="39">
        <f>AVERAGEIFS(BS$36:BS$171,$B$36:$B$171,"=oficial")</f>
        <v>0.35359999999999997</v>
      </c>
      <c r="BT12" s="39">
        <f t="shared" ref="BT12:CR12" si="2">AVERAGEIFS(BT$36:BT$171,$B$36:$B$171,"=oficial")</f>
        <v>0.57679999999999987</v>
      </c>
      <c r="BU12" s="39">
        <f t="shared" si="2"/>
        <v>0.67320000000000024</v>
      </c>
      <c r="BV12" s="39">
        <f t="shared" si="2"/>
        <v>0.37800000000000011</v>
      </c>
      <c r="BW12" s="39">
        <f t="shared" si="2"/>
        <v>0.64680000000000004</v>
      </c>
      <c r="BX12" s="39">
        <f t="shared" si="2"/>
        <v>0.38520000000000004</v>
      </c>
      <c r="BY12" s="39">
        <f t="shared" si="2"/>
        <v>0.45360000000000006</v>
      </c>
      <c r="BZ12" s="39">
        <f t="shared" si="2"/>
        <v>0.5391999999999999</v>
      </c>
      <c r="CA12" s="39">
        <f t="shared" si="2"/>
        <v>0.48120000000000013</v>
      </c>
      <c r="CB12" s="39">
        <f t="shared" si="2"/>
        <v>0.39479999999999998</v>
      </c>
      <c r="CC12" s="39">
        <f t="shared" si="2"/>
        <v>0.22359999999999999</v>
      </c>
      <c r="CD12" s="39">
        <f t="shared" si="2"/>
        <v>0.45200000000000012</v>
      </c>
      <c r="CE12" s="39">
        <f t="shared" si="2"/>
        <v>0.36839999999999995</v>
      </c>
      <c r="CF12" s="39">
        <f t="shared" si="2"/>
        <v>0.62040000000000006</v>
      </c>
      <c r="CG12" s="39">
        <f t="shared" si="2"/>
        <v>0.61599999999999988</v>
      </c>
      <c r="CH12" s="39">
        <f t="shared" si="2"/>
        <v>0.47040000000000004</v>
      </c>
      <c r="CI12" s="39">
        <f t="shared" si="2"/>
        <v>0.59</v>
      </c>
      <c r="CJ12" s="39">
        <f t="shared" si="2"/>
        <v>0.36919999999999997</v>
      </c>
      <c r="CK12" s="39">
        <f t="shared" si="2"/>
        <v>0.70319999999999994</v>
      </c>
      <c r="CL12" s="39">
        <f t="shared" si="2"/>
        <v>0.34079999999999994</v>
      </c>
      <c r="CM12" s="39">
        <f t="shared" si="2"/>
        <v>0.47960000000000008</v>
      </c>
      <c r="CN12" s="39">
        <f t="shared" si="2"/>
        <v>0.48239999999999994</v>
      </c>
      <c r="CO12" s="39">
        <f t="shared" si="2"/>
        <v>0.45480000000000004</v>
      </c>
      <c r="CP12" s="39">
        <f t="shared" si="2"/>
        <v>0.38640000000000008</v>
      </c>
      <c r="CQ12" s="39">
        <f t="shared" si="2"/>
        <v>0.55080000000000007</v>
      </c>
      <c r="CR12" s="39">
        <f t="shared" si="2"/>
        <v>0.57800000000000007</v>
      </c>
      <c r="CS12" s="21">
        <v>49</v>
      </c>
      <c r="CT12" s="21">
        <v>9</v>
      </c>
      <c r="CU12" s="39">
        <v>0.18</v>
      </c>
      <c r="CV12" s="39">
        <v>0.61</v>
      </c>
      <c r="CW12" s="39">
        <v>0.2</v>
      </c>
      <c r="CX12" s="39">
        <v>0.01</v>
      </c>
      <c r="CY12" s="39">
        <f>AVERAGEIFS(CY$36:CY$171,$B$36:$B$171,"=oficial")</f>
        <v>0.52</v>
      </c>
      <c r="CZ12" s="39">
        <f t="shared" ref="CZ12:DW12" si="3">AVERAGEIFS(CZ$36:CZ$171,$B$36:$B$171,"=oficial")</f>
        <v>0.31879999999999997</v>
      </c>
      <c r="DA12" s="39">
        <f t="shared" si="3"/>
        <v>0.59439999999999993</v>
      </c>
      <c r="DB12" s="39">
        <f t="shared" si="3"/>
        <v>0.38640000000000002</v>
      </c>
      <c r="DC12" s="39">
        <f t="shared" si="3"/>
        <v>0.47360000000000013</v>
      </c>
      <c r="DD12" s="39">
        <f t="shared" si="3"/>
        <v>0.63599999999999979</v>
      </c>
      <c r="DE12" s="39">
        <f t="shared" si="3"/>
        <v>0.49640000000000006</v>
      </c>
      <c r="DF12" s="39">
        <f t="shared" si="3"/>
        <v>0.56240000000000012</v>
      </c>
      <c r="DG12" s="39">
        <f t="shared" si="3"/>
        <v>0.47040000000000004</v>
      </c>
      <c r="DH12" s="39">
        <f t="shared" si="3"/>
        <v>0.39280000000000004</v>
      </c>
      <c r="DI12" s="39">
        <f t="shared" si="3"/>
        <v>0.55280000000000018</v>
      </c>
      <c r="DJ12" s="39">
        <f t="shared" si="3"/>
        <v>0.53079999999999994</v>
      </c>
      <c r="DK12" s="39">
        <f t="shared" si="3"/>
        <v>0.40080000000000005</v>
      </c>
      <c r="DL12" s="39">
        <f t="shared" si="3"/>
        <v>0.38880000000000003</v>
      </c>
      <c r="DM12" s="39">
        <f t="shared" si="3"/>
        <v>0.53759999999999997</v>
      </c>
      <c r="DN12" s="39">
        <f t="shared" si="3"/>
        <v>0.50879999999999992</v>
      </c>
      <c r="DO12" s="39">
        <f t="shared" si="3"/>
        <v>0.46200000000000002</v>
      </c>
      <c r="DP12" s="39">
        <f t="shared" si="3"/>
        <v>0.47239999999999993</v>
      </c>
      <c r="DQ12" s="39">
        <f t="shared" si="3"/>
        <v>0.58319999999999983</v>
      </c>
      <c r="DR12" s="39">
        <f t="shared" si="3"/>
        <v>0.22120000000000004</v>
      </c>
      <c r="DS12" s="39">
        <f t="shared" si="3"/>
        <v>0.40360000000000013</v>
      </c>
      <c r="DT12" s="39">
        <f t="shared" si="3"/>
        <v>0.59360000000000002</v>
      </c>
      <c r="DU12" s="39">
        <f t="shared" si="3"/>
        <v>0.55080000000000007</v>
      </c>
      <c r="DV12" s="39">
        <f t="shared" si="3"/>
        <v>0.60919999999999996</v>
      </c>
      <c r="DW12" s="39">
        <f t="shared" si="3"/>
        <v>0.36799999999999988</v>
      </c>
      <c r="DX12" s="22">
        <v>49</v>
      </c>
      <c r="DY12" s="22">
        <v>9</v>
      </c>
      <c r="DZ12" s="60">
        <v>0.19</v>
      </c>
      <c r="EA12" s="60">
        <v>0.59</v>
      </c>
      <c r="EB12" s="60">
        <v>0.22</v>
      </c>
      <c r="EC12" s="60">
        <v>0.01</v>
      </c>
      <c r="ED12" s="39">
        <f t="shared" ref="ED12:FA12" si="4">AVERAGEIFS(ED$36:ED$171,$B$36:$B$171,"=oficial")</f>
        <v>0.49760000000000004</v>
      </c>
      <c r="EE12" s="39">
        <f t="shared" si="4"/>
        <v>0.47480000000000011</v>
      </c>
      <c r="EF12" s="39">
        <f t="shared" si="4"/>
        <v>0.51440000000000008</v>
      </c>
      <c r="EG12" s="39">
        <f t="shared" si="4"/>
        <v>0.37640000000000007</v>
      </c>
      <c r="EH12" s="39">
        <f t="shared" si="4"/>
        <v>0.45600000000000002</v>
      </c>
      <c r="EI12" s="39">
        <f t="shared" si="4"/>
        <v>0.52760000000000007</v>
      </c>
      <c r="EJ12" s="39">
        <f t="shared" si="4"/>
        <v>0.5928000000000001</v>
      </c>
      <c r="EK12" s="39">
        <f t="shared" si="4"/>
        <v>0.29920000000000002</v>
      </c>
      <c r="EL12" s="39">
        <f t="shared" si="4"/>
        <v>0.47440000000000004</v>
      </c>
      <c r="EM12" s="39">
        <f t="shared" si="4"/>
        <v>0.66279999999999983</v>
      </c>
      <c r="EN12" s="39">
        <f t="shared" si="4"/>
        <v>0.49959999999999999</v>
      </c>
      <c r="EO12" s="39">
        <f t="shared" si="4"/>
        <v>0.58560000000000001</v>
      </c>
      <c r="EP12" s="39">
        <f t="shared" si="4"/>
        <v>0.40640000000000009</v>
      </c>
      <c r="EQ12" s="39">
        <f t="shared" si="4"/>
        <v>0.32159999999999994</v>
      </c>
      <c r="ER12" s="39">
        <f t="shared" si="4"/>
        <v>0.62</v>
      </c>
      <c r="ES12" s="39">
        <f t="shared" si="4"/>
        <v>0.48919999999999997</v>
      </c>
      <c r="ET12" s="39">
        <f t="shared" si="4"/>
        <v>0.35799999999999998</v>
      </c>
      <c r="EU12" s="39">
        <f t="shared" si="4"/>
        <v>0.622</v>
      </c>
      <c r="EV12" s="39">
        <f t="shared" si="4"/>
        <v>0.43079999999999996</v>
      </c>
      <c r="EW12" s="39">
        <f t="shared" si="4"/>
        <v>0.34119999999999995</v>
      </c>
      <c r="EX12" s="39">
        <f t="shared" si="4"/>
        <v>0.67519999999999991</v>
      </c>
      <c r="EY12" s="39">
        <f t="shared" si="4"/>
        <v>0.60600000000000009</v>
      </c>
      <c r="EZ12" s="39">
        <f t="shared" si="4"/>
        <v>0.25960000000000005</v>
      </c>
      <c r="FA12" s="39">
        <f t="shared" si="4"/>
        <v>0.62519999999999987</v>
      </c>
      <c r="FB12" s="245">
        <v>48</v>
      </c>
      <c r="FC12" s="245" t="s">
        <v>874</v>
      </c>
      <c r="FD12" s="245">
        <v>8</v>
      </c>
      <c r="FE12" s="245" t="s">
        <v>874</v>
      </c>
      <c r="FF12" s="263">
        <v>0.17</v>
      </c>
      <c r="FG12" s="263">
        <v>0.64</v>
      </c>
      <c r="FH12" s="263">
        <v>0.18</v>
      </c>
      <c r="FI12" s="263">
        <v>0</v>
      </c>
      <c r="FJ12" s="39">
        <f>AVERAGEIFS(FJ$36:FJ$171,$B$36:$B$171,"=oficial")</f>
        <v>0.50880000000000003</v>
      </c>
      <c r="FK12" s="39">
        <f t="shared" ref="FK12:GI12" si="5">AVERAGEIFS(FK$36:FK$171,$B$36:$B$171,"=oficial")</f>
        <v>0.68559999999999988</v>
      </c>
      <c r="FL12" s="39">
        <f t="shared" si="5"/>
        <v>0.52600000000000013</v>
      </c>
      <c r="FM12" s="39">
        <f t="shared" si="5"/>
        <v>0.47039999999999998</v>
      </c>
      <c r="FN12" s="39">
        <f t="shared" si="5"/>
        <v>0.3236</v>
      </c>
      <c r="FO12" s="39">
        <f t="shared" si="5"/>
        <v>0.36799999999999999</v>
      </c>
      <c r="FP12" s="39">
        <f t="shared" si="5"/>
        <v>0.42919999999999997</v>
      </c>
      <c r="FQ12" s="39">
        <f t="shared" si="5"/>
        <v>0.4247999999999999</v>
      </c>
      <c r="FR12" s="39">
        <f t="shared" si="5"/>
        <v>0.61599999999999999</v>
      </c>
      <c r="FS12" s="39">
        <f t="shared" si="5"/>
        <v>0.5404000000000001</v>
      </c>
      <c r="FT12" s="39">
        <f t="shared" si="5"/>
        <v>0.54160000000000008</v>
      </c>
      <c r="FU12" s="39">
        <f t="shared" si="5"/>
        <v>0.42120000000000002</v>
      </c>
      <c r="FV12" s="39">
        <f t="shared" si="5"/>
        <v>0.64200000000000002</v>
      </c>
      <c r="FW12" s="39">
        <f t="shared" si="5"/>
        <v>0.5948</v>
      </c>
      <c r="FX12" s="39">
        <f t="shared" si="5"/>
        <v>0.51639999999999997</v>
      </c>
      <c r="FY12" s="39">
        <f t="shared" si="5"/>
        <v>0.39799999999999996</v>
      </c>
      <c r="FZ12" s="39">
        <f t="shared" si="5"/>
        <v>0.44519999999999987</v>
      </c>
      <c r="GA12" s="39">
        <f t="shared" si="5"/>
        <v>0.53</v>
      </c>
      <c r="GB12" s="39">
        <f t="shared" si="5"/>
        <v>0.56359999999999999</v>
      </c>
      <c r="GC12" s="39">
        <f t="shared" si="5"/>
        <v>0.48799999999999999</v>
      </c>
      <c r="GD12" s="39">
        <f t="shared" si="5"/>
        <v>0.62080000000000002</v>
      </c>
      <c r="GE12" s="39">
        <f t="shared" si="5"/>
        <v>0.57679999999999998</v>
      </c>
      <c r="GF12" s="39">
        <f t="shared" si="5"/>
        <v>0.5159999999999999</v>
      </c>
      <c r="GG12" s="39">
        <f t="shared" si="5"/>
        <v>0.49960000000000016</v>
      </c>
      <c r="GH12" s="39">
        <f t="shared" si="5"/>
        <v>0.59960000000000013</v>
      </c>
      <c r="GI12" s="39">
        <f t="shared" si="5"/>
        <v>0.31639999999999996</v>
      </c>
      <c r="GJ12" s="317">
        <v>49</v>
      </c>
      <c r="GK12" s="317" t="s">
        <v>874</v>
      </c>
      <c r="GL12" s="317">
        <v>9</v>
      </c>
      <c r="GM12" s="317" t="s">
        <v>874</v>
      </c>
      <c r="GN12" s="293">
        <v>0.17</v>
      </c>
      <c r="GO12" s="293">
        <v>0.59</v>
      </c>
      <c r="GP12" s="293">
        <v>0.23</v>
      </c>
      <c r="GQ12" s="293">
        <v>0.01</v>
      </c>
      <c r="GR12" s="39">
        <f>AVERAGEIFS(GR$36:GR$171,$B$36:$B$171,"=oficial")</f>
        <v>0.51241379310344815</v>
      </c>
      <c r="GS12" s="39">
        <f t="shared" ref="GS12:HQ12" si="6">AVERAGEIFS(GS$36:GS$171,$B$36:$B$171,"=oficial")</f>
        <v>0.57310344827586213</v>
      </c>
      <c r="GT12" s="39">
        <f t="shared" si="6"/>
        <v>0.64482758620689673</v>
      </c>
      <c r="GU12" s="39">
        <f t="shared" si="6"/>
        <v>0.26793103448275862</v>
      </c>
      <c r="GV12" s="39">
        <f t="shared" si="6"/>
        <v>0.58275862068965523</v>
      </c>
      <c r="GW12" s="39">
        <f t="shared" si="6"/>
        <v>0.51793103448275857</v>
      </c>
      <c r="GX12" s="39">
        <f t="shared" si="6"/>
        <v>0.5</v>
      </c>
      <c r="GY12" s="39" t="e">
        <f t="shared" si="6"/>
        <v>#DIV/0!</v>
      </c>
      <c r="GZ12" s="39">
        <f t="shared" si="6"/>
        <v>0.36999999999999994</v>
      </c>
      <c r="HA12" s="39">
        <f t="shared" si="6"/>
        <v>0.67</v>
      </c>
      <c r="HB12" s="39">
        <f t="shared" si="6"/>
        <v>0.49689655172413794</v>
      </c>
      <c r="HC12" s="39">
        <f t="shared" si="6"/>
        <v>0.54793103448275871</v>
      </c>
      <c r="HD12" s="39">
        <f t="shared" si="6"/>
        <v>0.59862068965517234</v>
      </c>
      <c r="HE12" s="39">
        <f t="shared" si="6"/>
        <v>0.49241379310344824</v>
      </c>
      <c r="HF12" s="39">
        <f t="shared" si="6"/>
        <v>0.51620689655172414</v>
      </c>
      <c r="HG12" s="39">
        <f t="shared" si="6"/>
        <v>0.67379310344827592</v>
      </c>
      <c r="HH12" s="39">
        <f t="shared" si="6"/>
        <v>0.42</v>
      </c>
      <c r="HI12" s="39">
        <f t="shared" si="6"/>
        <v>0.56103448275862067</v>
      </c>
      <c r="HJ12" s="39">
        <f t="shared" si="6"/>
        <v>0.61206896551724133</v>
      </c>
      <c r="HK12" s="39">
        <f t="shared" si="6"/>
        <v>0.53551724137931034</v>
      </c>
      <c r="HL12" s="39">
        <f t="shared" si="6"/>
        <v>0.45413793103448274</v>
      </c>
      <c r="HM12" s="39">
        <f t="shared" si="6"/>
        <v>0.51241379310344848</v>
      </c>
      <c r="HN12" s="39">
        <f t="shared" si="6"/>
        <v>0.51275862068965516</v>
      </c>
      <c r="HO12" s="39">
        <f t="shared" si="6"/>
        <v>0.46586206896551724</v>
      </c>
      <c r="HP12" s="39" t="e">
        <f t="shared" si="6"/>
        <v>#DIV/0!</v>
      </c>
      <c r="HQ12" s="39">
        <f t="shared" si="6"/>
        <v>0.44241379310344836</v>
      </c>
      <c r="HR12" s="425">
        <v>50</v>
      </c>
      <c r="HS12" s="425" t="s">
        <v>874</v>
      </c>
      <c r="HT12" s="425">
        <v>9</v>
      </c>
      <c r="HU12" s="425" t="s">
        <v>874</v>
      </c>
      <c r="HV12" s="429">
        <v>0.16</v>
      </c>
      <c r="HW12" s="429">
        <v>0.57999999999999996</v>
      </c>
      <c r="HX12" s="429">
        <v>0.25</v>
      </c>
      <c r="HY12" s="429">
        <v>0.01</v>
      </c>
      <c r="HZ12" s="425" t="s">
        <v>283</v>
      </c>
      <c r="IA12" s="425" t="s">
        <v>283</v>
      </c>
      <c r="IB12" s="425" t="s">
        <v>283</v>
      </c>
      <c r="IC12" s="425" t="s">
        <v>283</v>
      </c>
      <c r="ID12" s="425" t="s">
        <v>283</v>
      </c>
      <c r="IE12" s="425" t="s">
        <v>283</v>
      </c>
      <c r="IF12" s="425" t="s">
        <v>283</v>
      </c>
      <c r="IG12" s="425" t="s">
        <v>283</v>
      </c>
      <c r="IH12" s="425" t="s">
        <v>283</v>
      </c>
      <c r="II12" s="425" t="s">
        <v>283</v>
      </c>
      <c r="IJ12" s="425" t="s">
        <v>283</v>
      </c>
      <c r="IK12" s="425" t="s">
        <v>283</v>
      </c>
      <c r="IL12" s="425" t="s">
        <v>283</v>
      </c>
      <c r="IM12" s="425" t="s">
        <v>283</v>
      </c>
      <c r="IN12" s="425" t="s">
        <v>283</v>
      </c>
      <c r="IO12" s="425" t="s">
        <v>283</v>
      </c>
      <c r="IP12" s="425" t="s">
        <v>283</v>
      </c>
      <c r="IQ12" s="425" t="s">
        <v>283</v>
      </c>
      <c r="IR12" s="425" t="s">
        <v>283</v>
      </c>
      <c r="IS12" s="425" t="s">
        <v>283</v>
      </c>
      <c r="IT12" s="425" t="s">
        <v>283</v>
      </c>
      <c r="IU12" s="425" t="s">
        <v>283</v>
      </c>
      <c r="IV12" s="425" t="s">
        <v>283</v>
      </c>
      <c r="IW12" s="425" t="s">
        <v>283</v>
      </c>
      <c r="IX12" s="425" t="s">
        <v>283</v>
      </c>
      <c r="IY12" s="425" t="s">
        <v>283</v>
      </c>
      <c r="IZ12" s="525">
        <v>50</v>
      </c>
      <c r="JA12" s="525" t="s">
        <v>874</v>
      </c>
      <c r="JB12" s="525">
        <v>9</v>
      </c>
      <c r="JC12" s="525" t="s">
        <v>874</v>
      </c>
      <c r="JD12" s="490">
        <v>0.15</v>
      </c>
      <c r="JE12" s="490">
        <v>0.55000000000000004</v>
      </c>
      <c r="JF12" s="490">
        <v>0.28000000000000003</v>
      </c>
      <c r="JG12" s="490">
        <v>0.01</v>
      </c>
      <c r="JH12" s="525" t="s">
        <v>283</v>
      </c>
      <c r="JI12" s="525" t="s">
        <v>283</v>
      </c>
      <c r="JJ12" s="525" t="s">
        <v>283</v>
      </c>
      <c r="JK12" s="525" t="s">
        <v>283</v>
      </c>
      <c r="JL12" s="525" t="s">
        <v>283</v>
      </c>
      <c r="JM12" s="525" t="s">
        <v>283</v>
      </c>
      <c r="JN12" s="525" t="s">
        <v>283</v>
      </c>
      <c r="JO12" s="525" t="s">
        <v>283</v>
      </c>
      <c r="JP12" s="525" t="s">
        <v>283</v>
      </c>
      <c r="JQ12" s="525" t="s">
        <v>283</v>
      </c>
      <c r="JR12" s="525" t="s">
        <v>283</v>
      </c>
      <c r="JS12" s="525" t="s">
        <v>283</v>
      </c>
      <c r="JT12" s="525" t="s">
        <v>283</v>
      </c>
      <c r="JU12" s="525" t="s">
        <v>283</v>
      </c>
      <c r="JV12" s="525" t="s">
        <v>283</v>
      </c>
      <c r="JW12" s="525" t="s">
        <v>283</v>
      </c>
      <c r="JX12" s="525" t="s">
        <v>283</v>
      </c>
      <c r="JY12" s="525" t="s">
        <v>283</v>
      </c>
      <c r="JZ12" s="525" t="s">
        <v>283</v>
      </c>
      <c r="KA12" s="525" t="s">
        <v>283</v>
      </c>
      <c r="KB12" s="525" t="s">
        <v>283</v>
      </c>
      <c r="KC12" s="525" t="s">
        <v>283</v>
      </c>
      <c r="KD12" s="525" t="s">
        <v>283</v>
      </c>
      <c r="KE12" s="525" t="s">
        <v>283</v>
      </c>
      <c r="KF12" s="525" t="s">
        <v>283</v>
      </c>
      <c r="KG12" s="525" t="s">
        <v>283</v>
      </c>
    </row>
    <row r="13" spans="1:293" ht="24.95" customHeight="1" x14ac:dyDescent="0.2">
      <c r="A13" s="6" t="s">
        <v>13</v>
      </c>
      <c r="B13" s="6"/>
      <c r="C13" s="6"/>
      <c r="D13" s="21">
        <v>54</v>
      </c>
      <c r="E13" s="21">
        <v>7</v>
      </c>
      <c r="F13" s="65">
        <v>0</v>
      </c>
      <c r="G13" s="65">
        <v>0.59</v>
      </c>
      <c r="H13" s="65">
        <v>0.41</v>
      </c>
      <c r="I13" s="65">
        <v>0</v>
      </c>
      <c r="J13" s="39">
        <f t="shared" ref="J13:O13" si="7">J99</f>
        <v>0</v>
      </c>
      <c r="K13" s="39">
        <f t="shared" si="7"/>
        <v>0</v>
      </c>
      <c r="L13" s="39">
        <f t="shared" si="7"/>
        <v>0</v>
      </c>
      <c r="M13" s="39">
        <f t="shared" si="7"/>
        <v>0</v>
      </c>
      <c r="N13" s="39">
        <f t="shared" si="7"/>
        <v>0</v>
      </c>
      <c r="O13" s="39">
        <f t="shared" si="7"/>
        <v>0</v>
      </c>
      <c r="P13" s="39">
        <f t="shared" ref="P13:AG13" si="8">P99</f>
        <v>0</v>
      </c>
      <c r="Q13" s="39">
        <f t="shared" si="8"/>
        <v>0</v>
      </c>
      <c r="R13" s="39">
        <f t="shared" si="8"/>
        <v>0</v>
      </c>
      <c r="S13" s="39">
        <f t="shared" si="8"/>
        <v>0</v>
      </c>
      <c r="T13" s="39">
        <f t="shared" si="8"/>
        <v>0</v>
      </c>
      <c r="U13" s="39">
        <f t="shared" si="8"/>
        <v>0</v>
      </c>
      <c r="V13" s="39">
        <f t="shared" si="8"/>
        <v>0</v>
      </c>
      <c r="W13" s="39">
        <f t="shared" si="8"/>
        <v>0</v>
      </c>
      <c r="X13" s="39">
        <f t="shared" si="8"/>
        <v>0</v>
      </c>
      <c r="Y13" s="39">
        <f t="shared" si="8"/>
        <v>0</v>
      </c>
      <c r="Z13" s="39">
        <f t="shared" si="8"/>
        <v>0</v>
      </c>
      <c r="AA13" s="39">
        <f t="shared" si="8"/>
        <v>0</v>
      </c>
      <c r="AB13" s="39">
        <f t="shared" si="8"/>
        <v>0</v>
      </c>
      <c r="AC13" s="39">
        <f t="shared" si="8"/>
        <v>0</v>
      </c>
      <c r="AD13" s="39">
        <f t="shared" si="8"/>
        <v>0</v>
      </c>
      <c r="AE13" s="39">
        <f t="shared" si="8"/>
        <v>0</v>
      </c>
      <c r="AF13" s="39">
        <f t="shared" si="8"/>
        <v>0</v>
      </c>
      <c r="AG13" s="39">
        <f t="shared" si="8"/>
        <v>0</v>
      </c>
      <c r="AH13" s="21">
        <v>51</v>
      </c>
      <c r="AI13" s="21">
        <v>7</v>
      </c>
      <c r="AJ13" s="57">
        <v>0.1</v>
      </c>
      <c r="AK13" s="57">
        <v>0.62</v>
      </c>
      <c r="AL13" s="57">
        <v>0.28999999999999998</v>
      </c>
      <c r="AM13" s="57">
        <v>0</v>
      </c>
      <c r="AN13" s="39">
        <f>AN99</f>
        <v>0</v>
      </c>
      <c r="AO13" s="39">
        <f t="shared" ref="AO13:BL13" si="9">AO99</f>
        <v>0</v>
      </c>
      <c r="AP13" s="39">
        <f t="shared" si="9"/>
        <v>1</v>
      </c>
      <c r="AQ13" s="39">
        <f t="shared" si="9"/>
        <v>0.33</v>
      </c>
      <c r="AR13" s="39">
        <f t="shared" si="9"/>
        <v>0.67</v>
      </c>
      <c r="AS13" s="39">
        <f t="shared" si="9"/>
        <v>0.5</v>
      </c>
      <c r="AT13" s="39">
        <f t="shared" si="9"/>
        <v>0.33</v>
      </c>
      <c r="AU13" s="39">
        <f t="shared" si="9"/>
        <v>0.5</v>
      </c>
      <c r="AV13" s="39">
        <f t="shared" si="9"/>
        <v>0.5</v>
      </c>
      <c r="AW13" s="39">
        <f t="shared" si="9"/>
        <v>0</v>
      </c>
      <c r="AX13" s="39" t="str">
        <f t="shared" si="9"/>
        <v>N.D.</v>
      </c>
      <c r="AY13" s="39">
        <f t="shared" si="9"/>
        <v>0.25</v>
      </c>
      <c r="AZ13" s="39">
        <f t="shared" si="9"/>
        <v>0.5</v>
      </c>
      <c r="BA13" s="39">
        <f t="shared" si="9"/>
        <v>0.5</v>
      </c>
      <c r="BB13" s="39">
        <f t="shared" si="9"/>
        <v>0</v>
      </c>
      <c r="BC13" s="39">
        <f t="shared" si="9"/>
        <v>0</v>
      </c>
      <c r="BD13" s="39">
        <f t="shared" si="9"/>
        <v>0</v>
      </c>
      <c r="BE13" s="39">
        <f t="shared" si="9"/>
        <v>0</v>
      </c>
      <c r="BF13" s="39" t="str">
        <f t="shared" si="9"/>
        <v>N.D.</v>
      </c>
      <c r="BG13" s="39">
        <f t="shared" si="9"/>
        <v>0</v>
      </c>
      <c r="BH13" s="39">
        <f t="shared" si="9"/>
        <v>0.2</v>
      </c>
      <c r="BI13" s="39">
        <f t="shared" si="9"/>
        <v>0.33</v>
      </c>
      <c r="BJ13" s="39">
        <f t="shared" si="9"/>
        <v>0.5</v>
      </c>
      <c r="BK13" s="39">
        <f t="shared" si="9"/>
        <v>0.5</v>
      </c>
      <c r="BL13" s="39" t="str">
        <f t="shared" si="9"/>
        <v>N.D.</v>
      </c>
      <c r="BM13" s="21">
        <v>50</v>
      </c>
      <c r="BN13" s="21">
        <v>9</v>
      </c>
      <c r="BO13" s="65">
        <v>0.12</v>
      </c>
      <c r="BP13" s="65">
        <v>0.62</v>
      </c>
      <c r="BQ13" s="65">
        <v>0.26</v>
      </c>
      <c r="BR13" s="65">
        <v>0</v>
      </c>
      <c r="BS13" s="39">
        <f>BS99</f>
        <v>0</v>
      </c>
      <c r="BT13" s="39">
        <f t="shared" ref="BT13:CR13" si="10">BT99</f>
        <v>0</v>
      </c>
      <c r="BU13" s="39">
        <f t="shared" si="10"/>
        <v>0</v>
      </c>
      <c r="BV13" s="39">
        <f t="shared" si="10"/>
        <v>0</v>
      </c>
      <c r="BW13" s="39">
        <f t="shared" si="10"/>
        <v>0</v>
      </c>
      <c r="BX13" s="39">
        <f t="shared" si="10"/>
        <v>0</v>
      </c>
      <c r="BY13" s="39">
        <f t="shared" si="10"/>
        <v>0</v>
      </c>
      <c r="BZ13" s="39">
        <f t="shared" si="10"/>
        <v>0</v>
      </c>
      <c r="CA13" s="39">
        <f t="shared" si="10"/>
        <v>0</v>
      </c>
      <c r="CB13" s="39">
        <f t="shared" si="10"/>
        <v>0</v>
      </c>
      <c r="CC13" s="39">
        <f t="shared" si="10"/>
        <v>0</v>
      </c>
      <c r="CD13" s="39">
        <f t="shared" si="10"/>
        <v>0</v>
      </c>
      <c r="CE13" s="39">
        <f t="shared" si="10"/>
        <v>0</v>
      </c>
      <c r="CF13" s="39">
        <f t="shared" si="10"/>
        <v>0</v>
      </c>
      <c r="CG13" s="39">
        <f t="shared" si="10"/>
        <v>0</v>
      </c>
      <c r="CH13" s="39">
        <f t="shared" si="10"/>
        <v>0</v>
      </c>
      <c r="CI13" s="39">
        <f t="shared" si="10"/>
        <v>0</v>
      </c>
      <c r="CJ13" s="39">
        <f t="shared" si="10"/>
        <v>0</v>
      </c>
      <c r="CK13" s="39">
        <f t="shared" si="10"/>
        <v>0</v>
      </c>
      <c r="CL13" s="39">
        <f t="shared" si="10"/>
        <v>0</v>
      </c>
      <c r="CM13" s="39">
        <f t="shared" si="10"/>
        <v>0</v>
      </c>
      <c r="CN13" s="39">
        <f t="shared" si="10"/>
        <v>0</v>
      </c>
      <c r="CO13" s="39">
        <f t="shared" si="10"/>
        <v>0</v>
      </c>
      <c r="CP13" s="39">
        <f t="shared" si="10"/>
        <v>0</v>
      </c>
      <c r="CQ13" s="39">
        <f t="shared" si="10"/>
        <v>0</v>
      </c>
      <c r="CR13" s="39">
        <f t="shared" si="10"/>
        <v>0</v>
      </c>
      <c r="CS13" s="21">
        <v>49</v>
      </c>
      <c r="CT13" s="21">
        <v>9</v>
      </c>
      <c r="CU13" s="39">
        <v>0.18</v>
      </c>
      <c r="CV13" s="39">
        <v>0.56999999999999995</v>
      </c>
      <c r="CW13" s="39">
        <v>0.25</v>
      </c>
      <c r="CX13" s="39">
        <v>0</v>
      </c>
      <c r="CY13" s="39">
        <f>CY99</f>
        <v>0</v>
      </c>
      <c r="CZ13" s="39">
        <f t="shared" ref="CZ13:DW13" si="11">CZ99</f>
        <v>0</v>
      </c>
      <c r="DA13" s="39">
        <f t="shared" si="11"/>
        <v>0</v>
      </c>
      <c r="DB13" s="39">
        <f t="shared" si="11"/>
        <v>0</v>
      </c>
      <c r="DC13" s="39">
        <f t="shared" si="11"/>
        <v>0</v>
      </c>
      <c r="DD13" s="39">
        <f t="shared" si="11"/>
        <v>0</v>
      </c>
      <c r="DE13" s="39">
        <f t="shared" si="11"/>
        <v>0</v>
      </c>
      <c r="DF13" s="39">
        <f t="shared" si="11"/>
        <v>0</v>
      </c>
      <c r="DG13" s="39">
        <f t="shared" si="11"/>
        <v>0</v>
      </c>
      <c r="DH13" s="39">
        <f t="shared" si="11"/>
        <v>0</v>
      </c>
      <c r="DI13" s="39">
        <f t="shared" si="11"/>
        <v>0</v>
      </c>
      <c r="DJ13" s="39">
        <f t="shared" si="11"/>
        <v>0</v>
      </c>
      <c r="DK13" s="39">
        <f t="shared" si="11"/>
        <v>0</v>
      </c>
      <c r="DL13" s="39">
        <f t="shared" si="11"/>
        <v>0</v>
      </c>
      <c r="DM13" s="39">
        <f t="shared" si="11"/>
        <v>0</v>
      </c>
      <c r="DN13" s="39">
        <f t="shared" si="11"/>
        <v>0</v>
      </c>
      <c r="DO13" s="39">
        <f t="shared" si="11"/>
        <v>0</v>
      </c>
      <c r="DP13" s="39">
        <f t="shared" si="11"/>
        <v>0</v>
      </c>
      <c r="DQ13" s="39">
        <f t="shared" si="11"/>
        <v>0</v>
      </c>
      <c r="DR13" s="39">
        <f t="shared" si="11"/>
        <v>0</v>
      </c>
      <c r="DS13" s="39">
        <f t="shared" si="11"/>
        <v>0</v>
      </c>
      <c r="DT13" s="39">
        <f t="shared" si="11"/>
        <v>0</v>
      </c>
      <c r="DU13" s="39">
        <f t="shared" si="11"/>
        <v>0</v>
      </c>
      <c r="DV13" s="39">
        <f t="shared" si="11"/>
        <v>0</v>
      </c>
      <c r="DW13" s="39">
        <f t="shared" si="11"/>
        <v>0</v>
      </c>
      <c r="DX13" s="22">
        <v>48</v>
      </c>
      <c r="DY13" s="22">
        <v>9</v>
      </c>
      <c r="DZ13" s="60">
        <v>0.21</v>
      </c>
      <c r="EA13" s="60">
        <v>0.61</v>
      </c>
      <c r="EB13" s="60">
        <v>0.18</v>
      </c>
      <c r="EC13" s="60">
        <v>0</v>
      </c>
      <c r="ED13" s="39">
        <f t="shared" ref="ED13:FA13" si="12">ED99</f>
        <v>0</v>
      </c>
      <c r="EE13" s="39">
        <f t="shared" si="12"/>
        <v>0</v>
      </c>
      <c r="EF13" s="39">
        <f t="shared" si="12"/>
        <v>0</v>
      </c>
      <c r="EG13" s="39">
        <f t="shared" si="12"/>
        <v>0</v>
      </c>
      <c r="EH13" s="39">
        <f t="shared" si="12"/>
        <v>0</v>
      </c>
      <c r="EI13" s="39">
        <f t="shared" si="12"/>
        <v>0</v>
      </c>
      <c r="EJ13" s="39">
        <f t="shared" si="12"/>
        <v>0</v>
      </c>
      <c r="EK13" s="39">
        <f t="shared" si="12"/>
        <v>0</v>
      </c>
      <c r="EL13" s="39">
        <f t="shared" si="12"/>
        <v>0</v>
      </c>
      <c r="EM13" s="39">
        <f t="shared" si="12"/>
        <v>0</v>
      </c>
      <c r="EN13" s="39">
        <f t="shared" si="12"/>
        <v>0</v>
      </c>
      <c r="EO13" s="39">
        <f t="shared" si="12"/>
        <v>0</v>
      </c>
      <c r="EP13" s="39">
        <f t="shared" si="12"/>
        <v>0</v>
      </c>
      <c r="EQ13" s="39">
        <f t="shared" si="12"/>
        <v>0</v>
      </c>
      <c r="ER13" s="39">
        <f t="shared" si="12"/>
        <v>0</v>
      </c>
      <c r="ES13" s="39">
        <f t="shared" si="12"/>
        <v>0</v>
      </c>
      <c r="ET13" s="39">
        <f t="shared" si="12"/>
        <v>0</v>
      </c>
      <c r="EU13" s="39">
        <f t="shared" si="12"/>
        <v>0</v>
      </c>
      <c r="EV13" s="39">
        <f t="shared" si="12"/>
        <v>0</v>
      </c>
      <c r="EW13" s="39">
        <f t="shared" si="12"/>
        <v>0</v>
      </c>
      <c r="EX13" s="39">
        <f t="shared" si="12"/>
        <v>0</v>
      </c>
      <c r="EY13" s="39">
        <f t="shared" si="12"/>
        <v>0</v>
      </c>
      <c r="EZ13" s="39">
        <f t="shared" si="12"/>
        <v>0</v>
      </c>
      <c r="FA13" s="39">
        <f t="shared" si="12"/>
        <v>0</v>
      </c>
      <c r="FB13" s="245">
        <v>48</v>
      </c>
      <c r="FC13" s="245" t="s">
        <v>874</v>
      </c>
      <c r="FD13" s="245">
        <v>9</v>
      </c>
      <c r="FE13" s="245" t="s">
        <v>874</v>
      </c>
      <c r="FF13" s="263">
        <v>0.25</v>
      </c>
      <c r="FG13" s="263">
        <v>0.55000000000000004</v>
      </c>
      <c r="FH13" s="263">
        <v>0.2</v>
      </c>
      <c r="FI13" s="263">
        <v>0</v>
      </c>
      <c r="FJ13" s="39">
        <f>FJ99</f>
        <v>0</v>
      </c>
      <c r="FK13" s="39">
        <f t="shared" ref="FK13:GG13" si="13">FK99</f>
        <v>0</v>
      </c>
      <c r="FL13" s="39">
        <f t="shared" si="13"/>
        <v>0</v>
      </c>
      <c r="FM13" s="39">
        <f t="shared" si="13"/>
        <v>0</v>
      </c>
      <c r="FN13" s="39">
        <f t="shared" si="13"/>
        <v>0</v>
      </c>
      <c r="FO13" s="39">
        <f t="shared" si="13"/>
        <v>0</v>
      </c>
      <c r="FP13" s="39">
        <f t="shared" si="13"/>
        <v>0</v>
      </c>
      <c r="FQ13" s="39">
        <f t="shared" si="13"/>
        <v>0</v>
      </c>
      <c r="FR13" s="39">
        <f t="shared" si="13"/>
        <v>0</v>
      </c>
      <c r="FS13" s="39">
        <f t="shared" si="13"/>
        <v>0</v>
      </c>
      <c r="FT13" s="39">
        <f t="shared" si="13"/>
        <v>0</v>
      </c>
      <c r="FU13" s="39">
        <f t="shared" si="13"/>
        <v>0</v>
      </c>
      <c r="FV13" s="39">
        <f t="shared" si="13"/>
        <v>0</v>
      </c>
      <c r="FW13" s="39">
        <f t="shared" si="13"/>
        <v>0</v>
      </c>
      <c r="FX13" s="39">
        <f t="shared" si="13"/>
        <v>0</v>
      </c>
      <c r="FY13" s="39">
        <f t="shared" si="13"/>
        <v>0</v>
      </c>
      <c r="FZ13" s="39">
        <f t="shared" si="13"/>
        <v>0</v>
      </c>
      <c r="GA13" s="39">
        <f t="shared" si="13"/>
        <v>0</v>
      </c>
      <c r="GB13" s="39">
        <f t="shared" si="13"/>
        <v>0</v>
      </c>
      <c r="GC13" s="39">
        <f t="shared" si="13"/>
        <v>0</v>
      </c>
      <c r="GD13" s="39">
        <f t="shared" si="13"/>
        <v>0</v>
      </c>
      <c r="GE13" s="39">
        <f t="shared" si="13"/>
        <v>0</v>
      </c>
      <c r="GF13" s="39">
        <f t="shared" si="13"/>
        <v>0</v>
      </c>
      <c r="GG13" s="39">
        <f t="shared" si="13"/>
        <v>0</v>
      </c>
      <c r="GH13" s="39">
        <f>GH99</f>
        <v>0</v>
      </c>
      <c r="GI13" s="39">
        <f>GI99</f>
        <v>0</v>
      </c>
      <c r="GJ13" s="317">
        <v>50</v>
      </c>
      <c r="GK13" s="317" t="s">
        <v>874</v>
      </c>
      <c r="GL13" s="317">
        <v>9</v>
      </c>
      <c r="GM13" s="317" t="s">
        <v>874</v>
      </c>
      <c r="GN13" s="293">
        <v>0.18</v>
      </c>
      <c r="GO13" s="293">
        <v>0.57999999999999996</v>
      </c>
      <c r="GP13" s="293">
        <v>0.25</v>
      </c>
      <c r="GQ13" s="293">
        <v>0</v>
      </c>
      <c r="GR13" s="39">
        <f>GR99</f>
        <v>0</v>
      </c>
      <c r="GS13" s="39">
        <f t="shared" ref="GS13:HQ13" si="14">GS99</f>
        <v>0</v>
      </c>
      <c r="GT13" s="39">
        <f t="shared" si="14"/>
        <v>0</v>
      </c>
      <c r="GU13" s="39">
        <f t="shared" si="14"/>
        <v>0</v>
      </c>
      <c r="GV13" s="39">
        <f t="shared" si="14"/>
        <v>0</v>
      </c>
      <c r="GW13" s="39">
        <f t="shared" si="14"/>
        <v>0</v>
      </c>
      <c r="GX13" s="39">
        <f t="shared" si="14"/>
        <v>0</v>
      </c>
      <c r="GY13" s="39">
        <f t="shared" si="14"/>
        <v>0</v>
      </c>
      <c r="GZ13" s="39">
        <f t="shared" si="14"/>
        <v>0</v>
      </c>
      <c r="HA13" s="39">
        <f t="shared" si="14"/>
        <v>0</v>
      </c>
      <c r="HB13" s="39">
        <f t="shared" si="14"/>
        <v>0</v>
      </c>
      <c r="HC13" s="39">
        <f t="shared" si="14"/>
        <v>0</v>
      </c>
      <c r="HD13" s="39">
        <f t="shared" si="14"/>
        <v>0</v>
      </c>
      <c r="HE13" s="39">
        <f t="shared" si="14"/>
        <v>0</v>
      </c>
      <c r="HF13" s="39">
        <f t="shared" si="14"/>
        <v>0</v>
      </c>
      <c r="HG13" s="39">
        <f t="shared" si="14"/>
        <v>0</v>
      </c>
      <c r="HH13" s="39">
        <f t="shared" si="14"/>
        <v>0</v>
      </c>
      <c r="HI13" s="39">
        <f t="shared" si="14"/>
        <v>0</v>
      </c>
      <c r="HJ13" s="39">
        <f t="shared" si="14"/>
        <v>0</v>
      </c>
      <c r="HK13" s="39">
        <f t="shared" si="14"/>
        <v>0</v>
      </c>
      <c r="HL13" s="39">
        <f t="shared" si="14"/>
        <v>0</v>
      </c>
      <c r="HM13" s="39">
        <f t="shared" si="14"/>
        <v>0</v>
      </c>
      <c r="HN13" s="39">
        <f t="shared" si="14"/>
        <v>0</v>
      </c>
      <c r="HO13" s="39">
        <f t="shared" si="14"/>
        <v>0</v>
      </c>
      <c r="HP13" s="39">
        <f t="shared" si="14"/>
        <v>0</v>
      </c>
      <c r="HQ13" s="39">
        <f t="shared" si="14"/>
        <v>0</v>
      </c>
      <c r="HR13" s="425">
        <v>47</v>
      </c>
      <c r="HS13" s="425" t="s">
        <v>876</v>
      </c>
      <c r="HT13" s="425">
        <v>8</v>
      </c>
      <c r="HU13" s="425" t="s">
        <v>874</v>
      </c>
      <c r="HV13" s="429">
        <v>0.24</v>
      </c>
      <c r="HW13" s="429">
        <v>0.6</v>
      </c>
      <c r="HX13" s="429">
        <v>0.16</v>
      </c>
      <c r="HY13" s="429">
        <v>0</v>
      </c>
      <c r="HZ13" s="425" t="s">
        <v>283</v>
      </c>
      <c r="IA13" s="425" t="s">
        <v>283</v>
      </c>
      <c r="IB13" s="425" t="s">
        <v>283</v>
      </c>
      <c r="IC13" s="425" t="s">
        <v>283</v>
      </c>
      <c r="ID13" s="425" t="s">
        <v>283</v>
      </c>
      <c r="IE13" s="425" t="s">
        <v>283</v>
      </c>
      <c r="IF13" s="425" t="s">
        <v>283</v>
      </c>
      <c r="IG13" s="425" t="s">
        <v>283</v>
      </c>
      <c r="IH13" s="425" t="s">
        <v>283</v>
      </c>
      <c r="II13" s="425" t="s">
        <v>283</v>
      </c>
      <c r="IJ13" s="425" t="s">
        <v>283</v>
      </c>
      <c r="IK13" s="425" t="s">
        <v>283</v>
      </c>
      <c r="IL13" s="425" t="s">
        <v>283</v>
      </c>
      <c r="IM13" s="425" t="s">
        <v>283</v>
      </c>
      <c r="IN13" s="425" t="s">
        <v>283</v>
      </c>
      <c r="IO13" s="425" t="s">
        <v>283</v>
      </c>
      <c r="IP13" s="425" t="s">
        <v>283</v>
      </c>
      <c r="IQ13" s="425" t="s">
        <v>283</v>
      </c>
      <c r="IR13" s="425" t="s">
        <v>283</v>
      </c>
      <c r="IS13" s="425" t="s">
        <v>283</v>
      </c>
      <c r="IT13" s="425" t="s">
        <v>283</v>
      </c>
      <c r="IU13" s="425" t="s">
        <v>283</v>
      </c>
      <c r="IV13" s="425" t="s">
        <v>283</v>
      </c>
      <c r="IW13" s="425" t="s">
        <v>283</v>
      </c>
      <c r="IX13" s="425" t="s">
        <v>283</v>
      </c>
      <c r="IY13" s="425" t="s">
        <v>283</v>
      </c>
      <c r="IZ13" s="525">
        <v>47</v>
      </c>
      <c r="JA13" s="525" t="s">
        <v>876</v>
      </c>
      <c r="JB13" s="525">
        <v>8</v>
      </c>
      <c r="JC13" s="525" t="s">
        <v>874</v>
      </c>
      <c r="JD13" s="490">
        <v>0.26</v>
      </c>
      <c r="JE13" s="490">
        <v>0.6</v>
      </c>
      <c r="JF13" s="490">
        <v>0.15</v>
      </c>
      <c r="JG13" s="490">
        <v>0</v>
      </c>
      <c r="JH13" s="525" t="s">
        <v>283</v>
      </c>
      <c r="JI13" s="525" t="s">
        <v>283</v>
      </c>
      <c r="JJ13" s="525" t="s">
        <v>283</v>
      </c>
      <c r="JK13" s="525" t="s">
        <v>283</v>
      </c>
      <c r="JL13" s="525" t="s">
        <v>283</v>
      </c>
      <c r="JM13" s="525" t="s">
        <v>283</v>
      </c>
      <c r="JN13" s="525" t="s">
        <v>283</v>
      </c>
      <c r="JO13" s="525" t="s">
        <v>283</v>
      </c>
      <c r="JP13" s="525" t="s">
        <v>283</v>
      </c>
      <c r="JQ13" s="525" t="s">
        <v>283</v>
      </c>
      <c r="JR13" s="525" t="s">
        <v>283</v>
      </c>
      <c r="JS13" s="525" t="s">
        <v>283</v>
      </c>
      <c r="JT13" s="525" t="s">
        <v>283</v>
      </c>
      <c r="JU13" s="525" t="s">
        <v>283</v>
      </c>
      <c r="JV13" s="525" t="s">
        <v>283</v>
      </c>
      <c r="JW13" s="525" t="s">
        <v>283</v>
      </c>
      <c r="JX13" s="525" t="s">
        <v>283</v>
      </c>
      <c r="JY13" s="525" t="s">
        <v>283</v>
      </c>
      <c r="JZ13" s="525" t="s">
        <v>283</v>
      </c>
      <c r="KA13" s="525" t="s">
        <v>283</v>
      </c>
      <c r="KB13" s="525" t="s">
        <v>283</v>
      </c>
      <c r="KC13" s="525" t="s">
        <v>283</v>
      </c>
      <c r="KD13" s="525" t="s">
        <v>283</v>
      </c>
      <c r="KE13" s="525" t="s">
        <v>283</v>
      </c>
      <c r="KF13" s="525" t="s">
        <v>283</v>
      </c>
      <c r="KG13" s="525" t="s">
        <v>283</v>
      </c>
    </row>
    <row r="14" spans="1:293" ht="24.95" customHeight="1" x14ac:dyDescent="0.2">
      <c r="A14" s="6" t="s">
        <v>14</v>
      </c>
      <c r="B14" s="6"/>
      <c r="C14" s="6"/>
      <c r="D14" s="21">
        <v>55</v>
      </c>
      <c r="E14" s="21">
        <v>8</v>
      </c>
      <c r="F14" s="65">
        <v>0.03</v>
      </c>
      <c r="G14" s="65">
        <v>0.5</v>
      </c>
      <c r="H14" s="65">
        <v>0.46</v>
      </c>
      <c r="I14" s="65">
        <v>0.01</v>
      </c>
      <c r="J14" s="39">
        <f>AVERAGEIFS(J$36:J$171,$B$36:$B$171,"=no oficial")</f>
        <v>0.3648051948051948</v>
      </c>
      <c r="K14" s="39">
        <f>AVERAGEIFS(K$36:K$171,$B$36:$B$171,"=no oficial")</f>
        <v>0.3403896103896103</v>
      </c>
      <c r="L14" s="39">
        <f>AVERAGEIFS(L$36:L$171,$B$36:$B$171,"=no oficial")</f>
        <v>0.71649350649350629</v>
      </c>
      <c r="M14" s="39">
        <f>AVERAGEIFS(M$36:M$171,$B$36:$B$171,"=no oficial")</f>
        <v>0.19623376623376623</v>
      </c>
      <c r="N14" s="39">
        <f t="shared" ref="N14:AG14" si="15">AVERAGEIFS(N$36:N$171,$B$36:$B$171,"=no oficial")</f>
        <v>0.27636363636363642</v>
      </c>
      <c r="O14" s="39">
        <f t="shared" si="15"/>
        <v>0.65129870129870138</v>
      </c>
      <c r="P14" s="39">
        <f t="shared" si="15"/>
        <v>0.33</v>
      </c>
      <c r="Q14" s="39">
        <f t="shared" si="15"/>
        <v>0.38753246753246756</v>
      </c>
      <c r="R14" s="39">
        <f t="shared" si="15"/>
        <v>0.50376623376623386</v>
      </c>
      <c r="S14" s="39">
        <f t="shared" si="15"/>
        <v>0.57545454545454544</v>
      </c>
      <c r="T14" s="39">
        <f t="shared" si="15"/>
        <v>0.44857142857142845</v>
      </c>
      <c r="U14" s="39">
        <f t="shared" si="15"/>
        <v>0.57454545454545447</v>
      </c>
      <c r="V14" s="39">
        <f t="shared" si="15"/>
        <v>6.545454545454546E-2</v>
      </c>
      <c r="W14" s="39">
        <f t="shared" si="15"/>
        <v>0.13740259740259744</v>
      </c>
      <c r="X14" s="39">
        <f t="shared" si="15"/>
        <v>0.48350649350649355</v>
      </c>
      <c r="Y14" s="39">
        <f t="shared" si="15"/>
        <v>0.47207792207792221</v>
      </c>
      <c r="Z14" s="39">
        <f t="shared" si="15"/>
        <v>0.72838709677419344</v>
      </c>
      <c r="AA14" s="39">
        <f t="shared" si="15"/>
        <v>9.6103896103896108E-2</v>
      </c>
      <c r="AB14" s="39">
        <f t="shared" si="15"/>
        <v>0.43506493506493515</v>
      </c>
      <c r="AC14" s="39">
        <f t="shared" si="15"/>
        <v>0.2397402597402597</v>
      </c>
      <c r="AD14" s="39">
        <f t="shared" si="15"/>
        <v>0.4309090909090908</v>
      </c>
      <c r="AE14" s="39">
        <f t="shared" si="15"/>
        <v>0.39779220779220775</v>
      </c>
      <c r="AF14" s="39">
        <f t="shared" si="15"/>
        <v>0.48142857142857154</v>
      </c>
      <c r="AG14" s="39">
        <f t="shared" si="15"/>
        <v>0.49675324675324684</v>
      </c>
      <c r="AH14" s="21">
        <v>54</v>
      </c>
      <c r="AI14" s="21">
        <v>8</v>
      </c>
      <c r="AJ14" s="57">
        <v>0.06</v>
      </c>
      <c r="AK14" s="57">
        <v>0.49</v>
      </c>
      <c r="AL14" s="57">
        <v>0.44</v>
      </c>
      <c r="AM14" s="57">
        <v>0.02</v>
      </c>
      <c r="AN14" s="39">
        <f>AVERAGEIFS(AN$36:AN$171,$B$36:$B$171,"=no oficial")</f>
        <v>0.25857142857142862</v>
      </c>
      <c r="AO14" s="39">
        <f t="shared" ref="AO14:BL14" si="16">AVERAGEIFS(AO$36:AO$171,$B$36:$B$171,"=no oficial")</f>
        <v>0.43701298701298702</v>
      </c>
      <c r="AP14" s="39">
        <f t="shared" si="16"/>
        <v>0.55272727272727273</v>
      </c>
      <c r="AQ14" s="39">
        <f t="shared" si="16"/>
        <v>0.35428571428571426</v>
      </c>
      <c r="AR14" s="39">
        <f t="shared" si="16"/>
        <v>0.53701298701298694</v>
      </c>
      <c r="AS14" s="39">
        <f t="shared" si="16"/>
        <v>0.49974025974025971</v>
      </c>
      <c r="AT14" s="39">
        <f t="shared" si="16"/>
        <v>0.4870129870129869</v>
      </c>
      <c r="AU14" s="39">
        <f t="shared" si="16"/>
        <v>0.49766233766233747</v>
      </c>
      <c r="AV14" s="39">
        <f t="shared" si="16"/>
        <v>0.57597402597402614</v>
      </c>
      <c r="AW14" s="39">
        <f t="shared" si="16"/>
        <v>0.46855263157894755</v>
      </c>
      <c r="AX14" s="39">
        <f t="shared" si="16"/>
        <v>0.52657894736842115</v>
      </c>
      <c r="AY14" s="39">
        <f t="shared" si="16"/>
        <v>0.30298701298701297</v>
      </c>
      <c r="AZ14" s="39">
        <f t="shared" si="16"/>
        <v>0.27402597402597417</v>
      </c>
      <c r="BA14" s="39">
        <f t="shared" si="16"/>
        <v>0.45727272727272744</v>
      </c>
      <c r="BB14" s="39">
        <f t="shared" si="16"/>
        <v>0.63467532467532461</v>
      </c>
      <c r="BC14" s="39">
        <f t="shared" si="16"/>
        <v>0.62337662337662347</v>
      </c>
      <c r="BD14" s="39">
        <f t="shared" si="16"/>
        <v>0.39519480519480521</v>
      </c>
      <c r="BE14" s="39">
        <f t="shared" si="16"/>
        <v>0.54792207792207792</v>
      </c>
      <c r="BF14" s="39">
        <f t="shared" si="16"/>
        <v>0.60921052631578954</v>
      </c>
      <c r="BG14" s="39">
        <f t="shared" si="16"/>
        <v>0.47246753246753248</v>
      </c>
      <c r="BH14" s="39">
        <f t="shared" si="16"/>
        <v>0.41662337662337662</v>
      </c>
      <c r="BI14" s="39">
        <f t="shared" si="16"/>
        <v>0.39181818181818173</v>
      </c>
      <c r="BJ14" s="39">
        <f t="shared" si="16"/>
        <v>0.34779220779220782</v>
      </c>
      <c r="BK14" s="39">
        <f t="shared" si="16"/>
        <v>0.41857142857142854</v>
      </c>
      <c r="BL14" s="39">
        <f t="shared" si="16"/>
        <v>0.44578947368421057</v>
      </c>
      <c r="BM14" s="21">
        <v>53</v>
      </c>
      <c r="BN14" s="21">
        <v>9</v>
      </c>
      <c r="BO14" s="65">
        <v>0.08</v>
      </c>
      <c r="BP14" s="65">
        <v>0.53</v>
      </c>
      <c r="BQ14" s="65">
        <v>0.38</v>
      </c>
      <c r="BR14" s="65">
        <v>0.02</v>
      </c>
      <c r="BS14" s="39">
        <f>AVERAGEIFS(BS$36:BS$171,$B$36:$B$171,"=no oficial")</f>
        <v>0.32217948717948713</v>
      </c>
      <c r="BT14" s="39">
        <f t="shared" ref="BT14:CR14" si="17">AVERAGEIFS(BT$36:BT$171,$B$36:$B$171,"=no oficial")</f>
        <v>0.55285714285714305</v>
      </c>
      <c r="BU14" s="39">
        <f t="shared" si="17"/>
        <v>0.617792207792208</v>
      </c>
      <c r="BV14" s="39">
        <f t="shared" si="17"/>
        <v>0.2976923076923077</v>
      </c>
      <c r="BW14" s="39">
        <f t="shared" si="17"/>
        <v>0.61897435897435893</v>
      </c>
      <c r="BX14" s="39">
        <f t="shared" si="17"/>
        <v>0.34269230769230763</v>
      </c>
      <c r="BY14" s="39">
        <f t="shared" si="17"/>
        <v>0.4187179487179486</v>
      </c>
      <c r="BZ14" s="39">
        <f t="shared" si="17"/>
        <v>0.50333333333333341</v>
      </c>
      <c r="CA14" s="39">
        <f t="shared" si="17"/>
        <v>0.43666666666666654</v>
      </c>
      <c r="CB14" s="39">
        <f t="shared" si="17"/>
        <v>0.3349999999999998</v>
      </c>
      <c r="CC14" s="39">
        <f t="shared" si="17"/>
        <v>0.17717948717948714</v>
      </c>
      <c r="CD14" s="39">
        <f t="shared" si="17"/>
        <v>0.38756410256410251</v>
      </c>
      <c r="CE14" s="39">
        <f t="shared" si="17"/>
        <v>0.3125641025641025</v>
      </c>
      <c r="CF14" s="39">
        <f t="shared" si="17"/>
        <v>0.58358974358974358</v>
      </c>
      <c r="CG14" s="39">
        <f t="shared" si="17"/>
        <v>0.57358974358974357</v>
      </c>
      <c r="CH14" s="39">
        <f t="shared" si="17"/>
        <v>0.42730769230769255</v>
      </c>
      <c r="CI14" s="39">
        <f t="shared" si="17"/>
        <v>0.55282051282051292</v>
      </c>
      <c r="CJ14" s="39">
        <f t="shared" si="17"/>
        <v>0.33923076923076917</v>
      </c>
      <c r="CK14" s="39">
        <f t="shared" si="17"/>
        <v>0.66153846153846174</v>
      </c>
      <c r="CL14" s="39">
        <f t="shared" si="17"/>
        <v>0.28576923076923078</v>
      </c>
      <c r="CM14" s="39">
        <f t="shared" si="17"/>
        <v>0.41730769230769238</v>
      </c>
      <c r="CN14" s="39">
        <f t="shared" si="17"/>
        <v>0.43474358974358979</v>
      </c>
      <c r="CO14" s="39">
        <f t="shared" si="17"/>
        <v>0.42320512820512818</v>
      </c>
      <c r="CP14" s="39">
        <f t="shared" si="17"/>
        <v>0.32282051282051272</v>
      </c>
      <c r="CQ14" s="39">
        <f t="shared" si="17"/>
        <v>0.52871794871794842</v>
      </c>
      <c r="CR14" s="39">
        <f t="shared" si="17"/>
        <v>0.51423076923076927</v>
      </c>
      <c r="CS14" s="21">
        <v>52</v>
      </c>
      <c r="CT14" s="21">
        <v>9</v>
      </c>
      <c r="CU14" s="39">
        <v>0.1</v>
      </c>
      <c r="CV14" s="39">
        <v>0.56999999999999995</v>
      </c>
      <c r="CW14" s="39">
        <v>0.31</v>
      </c>
      <c r="CX14" s="39">
        <v>0.02</v>
      </c>
      <c r="CY14" s="39">
        <f>AVERAGEIFS(CY$36:CY$171,$B$36:$B$171,"=no oficial")</f>
        <v>0.48437500000000017</v>
      </c>
      <c r="CZ14" s="39">
        <f t="shared" ref="CZ14:DW14" si="18">AVERAGEIFS(CZ$36:CZ$171,$B$36:$B$171,"=no oficial")</f>
        <v>0.28337499999999999</v>
      </c>
      <c r="DA14" s="39">
        <f t="shared" si="18"/>
        <v>0.54449999999999976</v>
      </c>
      <c r="DB14" s="39">
        <f t="shared" si="18"/>
        <v>0.34624999999999984</v>
      </c>
      <c r="DC14" s="39">
        <f t="shared" si="18"/>
        <v>0.42424999999999996</v>
      </c>
      <c r="DD14" s="39">
        <f t="shared" si="18"/>
        <v>0.61137499999999989</v>
      </c>
      <c r="DE14" s="39">
        <f t="shared" si="18"/>
        <v>0.43624999999999992</v>
      </c>
      <c r="DF14" s="39">
        <f t="shared" si="18"/>
        <v>0.52600000000000002</v>
      </c>
      <c r="DG14" s="39">
        <f t="shared" si="18"/>
        <v>0.41637500000000005</v>
      </c>
      <c r="DH14" s="39">
        <f t="shared" si="18"/>
        <v>0.35575000000000001</v>
      </c>
      <c r="DI14" s="39">
        <f t="shared" si="18"/>
        <v>0.49762500000000004</v>
      </c>
      <c r="DJ14" s="39">
        <f t="shared" si="18"/>
        <v>0.50537499999999991</v>
      </c>
      <c r="DK14" s="39">
        <f t="shared" si="18"/>
        <v>0.35712499999999997</v>
      </c>
      <c r="DL14" s="39">
        <f t="shared" si="18"/>
        <v>0.33278481012658223</v>
      </c>
      <c r="DM14" s="39">
        <f t="shared" si="18"/>
        <v>0.49862500000000037</v>
      </c>
      <c r="DN14" s="39">
        <f t="shared" si="18"/>
        <v>0.47337500000000016</v>
      </c>
      <c r="DO14" s="39">
        <f t="shared" si="18"/>
        <v>0.41549999999999992</v>
      </c>
      <c r="DP14" s="39">
        <f t="shared" si="18"/>
        <v>0.43974999999999997</v>
      </c>
      <c r="DQ14" s="39">
        <f t="shared" si="18"/>
        <v>0.53325</v>
      </c>
      <c r="DR14" s="39">
        <f t="shared" si="18"/>
        <v>0.17262499999999995</v>
      </c>
      <c r="DS14" s="39">
        <f t="shared" si="18"/>
        <v>0.36737500000000012</v>
      </c>
      <c r="DT14" s="39">
        <f t="shared" si="18"/>
        <v>0.56974999999999976</v>
      </c>
      <c r="DU14" s="39">
        <f t="shared" si="18"/>
        <v>0.4713750000000001</v>
      </c>
      <c r="DV14" s="39">
        <f t="shared" si="18"/>
        <v>0.56399999999999983</v>
      </c>
      <c r="DW14" s="39">
        <f t="shared" si="18"/>
        <v>0.31499999999999989</v>
      </c>
      <c r="DX14" s="22">
        <v>51</v>
      </c>
      <c r="DY14" s="22">
        <v>9</v>
      </c>
      <c r="DZ14" s="60">
        <v>0.14000000000000001</v>
      </c>
      <c r="EA14" s="60">
        <v>0.53</v>
      </c>
      <c r="EB14" s="60">
        <v>0.32</v>
      </c>
      <c r="EC14" s="60">
        <v>0.01</v>
      </c>
      <c r="ED14" s="39">
        <f t="shared" ref="ED14:FA14" si="19">AVERAGEIFS(ED$36:ED$171,$B$36:$B$171,"=no oficial")</f>
        <v>0.49505882352941183</v>
      </c>
      <c r="EE14" s="39">
        <f t="shared" si="19"/>
        <v>0.46317647058823519</v>
      </c>
      <c r="EF14" s="39">
        <f t="shared" si="19"/>
        <v>0.46576470588235297</v>
      </c>
      <c r="EG14" s="39">
        <f t="shared" si="19"/>
        <v>0.30964705882352928</v>
      </c>
      <c r="EH14" s="39">
        <f t="shared" si="19"/>
        <v>0.42058823529411754</v>
      </c>
      <c r="EI14" s="39">
        <f t="shared" si="19"/>
        <v>0.47776470588235276</v>
      </c>
      <c r="EJ14" s="39">
        <f t="shared" si="19"/>
        <v>0.55694117647058827</v>
      </c>
      <c r="EK14" s="39">
        <f t="shared" si="19"/>
        <v>0.27905882352941186</v>
      </c>
      <c r="EL14" s="39">
        <f t="shared" si="19"/>
        <v>0.45482352941176468</v>
      </c>
      <c r="EM14" s="39">
        <f t="shared" si="19"/>
        <v>0.63095238095238093</v>
      </c>
      <c r="EN14" s="39">
        <f t="shared" si="19"/>
        <v>0.3990588235294118</v>
      </c>
      <c r="EO14" s="39">
        <f t="shared" si="19"/>
        <v>0.55600000000000016</v>
      </c>
      <c r="EP14" s="39">
        <f t="shared" si="19"/>
        <v>0.38270588235294117</v>
      </c>
      <c r="EQ14" s="39">
        <f t="shared" si="19"/>
        <v>0.28095238095238095</v>
      </c>
      <c r="ER14" s="39">
        <f t="shared" si="19"/>
        <v>0.58376470588235319</v>
      </c>
      <c r="ES14" s="39">
        <f t="shared" si="19"/>
        <v>0.45117647058823512</v>
      </c>
      <c r="ET14" s="39">
        <f t="shared" si="19"/>
        <v>0.30917647058823527</v>
      </c>
      <c r="EU14" s="39">
        <f t="shared" si="19"/>
        <v>0.58988235294117652</v>
      </c>
      <c r="EV14" s="39">
        <f t="shared" si="19"/>
        <v>0.33560975609756083</v>
      </c>
      <c r="EW14" s="39">
        <f t="shared" si="19"/>
        <v>0.32141176470588234</v>
      </c>
      <c r="EX14" s="39">
        <f t="shared" si="19"/>
        <v>0.66604938271604963</v>
      </c>
      <c r="EY14" s="39">
        <f t="shared" si="19"/>
        <v>0.57211764705882351</v>
      </c>
      <c r="EZ14" s="39">
        <f t="shared" si="19"/>
        <v>0.21</v>
      </c>
      <c r="FA14" s="39">
        <f t="shared" si="19"/>
        <v>0.60482352941176443</v>
      </c>
      <c r="FB14" s="245">
        <v>51</v>
      </c>
      <c r="FC14" s="245" t="s">
        <v>874</v>
      </c>
      <c r="FD14" s="245">
        <v>9</v>
      </c>
      <c r="FE14" s="245" t="s">
        <v>874</v>
      </c>
      <c r="FF14" s="263">
        <v>0.1</v>
      </c>
      <c r="FG14" s="263">
        <v>0.56999999999999995</v>
      </c>
      <c r="FH14" s="263">
        <v>0.32</v>
      </c>
      <c r="FI14" s="263">
        <v>0.01</v>
      </c>
      <c r="FJ14" s="39">
        <f>AVERAGEIFS(FJ$36:FJ$171,$B$36:$B$171,"=no oficial")</f>
        <v>0.44035714285714289</v>
      </c>
      <c r="FK14" s="39">
        <f>AVERAGEIFS(FK$36:FK$171,$B$36:$B$171,"=no oficial")</f>
        <v>0.64071428571428568</v>
      </c>
      <c r="FL14" s="39">
        <f>AVERAGEIFS(FL$36:FL$171,$B$36:$B$171,"=no oficial")</f>
        <v>0.482261904761905</v>
      </c>
      <c r="FM14" s="39">
        <f>AVERAGEIFS(FM$36:FM$171,$B$36:$B$171,"=no oficial")</f>
        <v>0.41566265060240964</v>
      </c>
      <c r="FN14" s="39">
        <f t="shared" ref="FN14:GI14" si="20">AVERAGEIFS(FN$36:FN$171,$B$36:$B$171,"=no oficial")</f>
        <v>0.26843373493975908</v>
      </c>
      <c r="FO14" s="39">
        <f t="shared" si="20"/>
        <v>0.30797619047619051</v>
      </c>
      <c r="FP14" s="39">
        <f t="shared" si="20"/>
        <v>0.36464285714285716</v>
      </c>
      <c r="FQ14" s="39">
        <f t="shared" si="20"/>
        <v>0.39880952380952384</v>
      </c>
      <c r="FR14" s="39">
        <f t="shared" si="20"/>
        <v>0.56999999999999973</v>
      </c>
      <c r="FS14" s="39">
        <f t="shared" si="20"/>
        <v>0.50771084337349393</v>
      </c>
      <c r="FT14" s="39">
        <f t="shared" si="20"/>
        <v>0.49166666666666653</v>
      </c>
      <c r="FU14" s="39">
        <f t="shared" si="20"/>
        <v>0.35585365853658529</v>
      </c>
      <c r="FV14" s="39">
        <f t="shared" si="20"/>
        <v>0.58023809523809522</v>
      </c>
      <c r="FW14" s="39">
        <f t="shared" si="20"/>
        <v>0.52654761904761904</v>
      </c>
      <c r="FX14" s="39">
        <f t="shared" si="20"/>
        <v>0.45180722891566266</v>
      </c>
      <c r="FY14" s="39">
        <f t="shared" si="20"/>
        <v>0.35547619047619033</v>
      </c>
      <c r="FZ14" s="39">
        <f t="shared" si="20"/>
        <v>0.39511904761904776</v>
      </c>
      <c r="GA14" s="39">
        <f t="shared" si="20"/>
        <v>0.46590361445783107</v>
      </c>
      <c r="GB14" s="39">
        <f t="shared" si="20"/>
        <v>0.51809523809523805</v>
      </c>
      <c r="GC14" s="39">
        <f t="shared" si="20"/>
        <v>0.43142857142857138</v>
      </c>
      <c r="GD14" s="39">
        <f t="shared" si="20"/>
        <v>0.59059523809523806</v>
      </c>
      <c r="GE14" s="39">
        <f t="shared" si="20"/>
        <v>0.48428571428571437</v>
      </c>
      <c r="GF14" s="39">
        <f t="shared" si="20"/>
        <v>0.43096385542168686</v>
      </c>
      <c r="GG14" s="39">
        <f t="shared" si="20"/>
        <v>0.43904761904761902</v>
      </c>
      <c r="GH14" s="39">
        <f t="shared" si="20"/>
        <v>0.54202380952380969</v>
      </c>
      <c r="GI14" s="39">
        <f t="shared" si="20"/>
        <v>0.26178571428571429</v>
      </c>
      <c r="GJ14" s="317">
        <v>52</v>
      </c>
      <c r="GK14" s="317" t="s">
        <v>874</v>
      </c>
      <c r="GL14" s="317">
        <v>9</v>
      </c>
      <c r="GM14" s="317" t="s">
        <v>874</v>
      </c>
      <c r="GN14" s="293">
        <v>0.12</v>
      </c>
      <c r="GO14" s="293">
        <v>0.5</v>
      </c>
      <c r="GP14" s="293">
        <v>0.36</v>
      </c>
      <c r="GQ14" s="293">
        <v>0.02</v>
      </c>
      <c r="GR14" s="39">
        <f>AVERAGEIFS(GR$36:GR$171,$B$36:$B$171,"=no oficial")</f>
        <v>0.46218390804597709</v>
      </c>
      <c r="GS14" s="39">
        <f t="shared" ref="GS14:HQ14" si="21">AVERAGEIFS(GS$36:GS$171,$B$36:$B$171,"=no oficial")</f>
        <v>0.51206896551724135</v>
      </c>
      <c r="GT14" s="39">
        <f t="shared" si="21"/>
        <v>0.59770114942528774</v>
      </c>
      <c r="GU14" s="39">
        <f t="shared" si="21"/>
        <v>0.21517647058823527</v>
      </c>
      <c r="GV14" s="39">
        <f t="shared" si="21"/>
        <v>0.52873563218390773</v>
      </c>
      <c r="GW14" s="39">
        <f t="shared" si="21"/>
        <v>0.43678160919540249</v>
      </c>
      <c r="GX14" s="39">
        <f t="shared" si="21"/>
        <v>0.45000000000000007</v>
      </c>
      <c r="GY14" s="39" t="e">
        <f t="shared" si="21"/>
        <v>#DIV/0!</v>
      </c>
      <c r="GZ14" s="39">
        <f t="shared" si="21"/>
        <v>0.27965517241379306</v>
      </c>
      <c r="HA14" s="39">
        <f t="shared" si="21"/>
        <v>0.67209302325581433</v>
      </c>
      <c r="HB14" s="39">
        <f t="shared" si="21"/>
        <v>0.44758620689655171</v>
      </c>
      <c r="HC14" s="39">
        <f t="shared" si="21"/>
        <v>0.50252873563218381</v>
      </c>
      <c r="HD14" s="39">
        <f t="shared" si="21"/>
        <v>0.53689655172413786</v>
      </c>
      <c r="HE14" s="39">
        <f t="shared" si="21"/>
        <v>0.44804597701149429</v>
      </c>
      <c r="HF14" s="39">
        <f t="shared" si="21"/>
        <v>0.44827586206896541</v>
      </c>
      <c r="HG14" s="39">
        <f t="shared" si="21"/>
        <v>0.64839080459770082</v>
      </c>
      <c r="HH14" s="39">
        <f t="shared" si="21"/>
        <v>0.37356321839080442</v>
      </c>
      <c r="HI14" s="39">
        <f t="shared" si="21"/>
        <v>0.51942528735632176</v>
      </c>
      <c r="HJ14" s="39">
        <f t="shared" si="21"/>
        <v>0.58091954022988512</v>
      </c>
      <c r="HK14" s="39">
        <f t="shared" si="21"/>
        <v>0.50448275862068959</v>
      </c>
      <c r="HL14" s="39">
        <f t="shared" si="21"/>
        <v>0.38873563218390811</v>
      </c>
      <c r="HM14" s="39">
        <f t="shared" si="21"/>
        <v>0.47793103448275859</v>
      </c>
      <c r="HN14" s="39">
        <f t="shared" si="21"/>
        <v>0.4698850574712643</v>
      </c>
      <c r="HO14" s="39">
        <f t="shared" si="21"/>
        <v>0.40390804597701174</v>
      </c>
      <c r="HP14" s="39" t="e">
        <f t="shared" si="21"/>
        <v>#DIV/0!</v>
      </c>
      <c r="HQ14" s="39">
        <f t="shared" si="21"/>
        <v>0.40505747126436803</v>
      </c>
      <c r="HR14" s="425">
        <v>53</v>
      </c>
      <c r="HS14" s="425" t="s">
        <v>874</v>
      </c>
      <c r="HT14" s="425">
        <v>9</v>
      </c>
      <c r="HU14" s="425" t="s">
        <v>874</v>
      </c>
      <c r="HV14" s="429">
        <v>0.09</v>
      </c>
      <c r="HW14" s="429">
        <v>0.49</v>
      </c>
      <c r="HX14" s="429">
        <v>0.4</v>
      </c>
      <c r="HY14" s="429">
        <v>0.02</v>
      </c>
      <c r="HZ14" s="425" t="s">
        <v>283</v>
      </c>
      <c r="IA14" s="425" t="s">
        <v>283</v>
      </c>
      <c r="IB14" s="425" t="s">
        <v>283</v>
      </c>
      <c r="IC14" s="425" t="s">
        <v>283</v>
      </c>
      <c r="ID14" s="425" t="s">
        <v>283</v>
      </c>
      <c r="IE14" s="425" t="s">
        <v>283</v>
      </c>
      <c r="IF14" s="425" t="s">
        <v>283</v>
      </c>
      <c r="IG14" s="425" t="s">
        <v>283</v>
      </c>
      <c r="IH14" s="425" t="s">
        <v>283</v>
      </c>
      <c r="II14" s="425" t="s">
        <v>283</v>
      </c>
      <c r="IJ14" s="425" t="s">
        <v>283</v>
      </c>
      <c r="IK14" s="425" t="s">
        <v>283</v>
      </c>
      <c r="IL14" s="425" t="s">
        <v>283</v>
      </c>
      <c r="IM14" s="425" t="s">
        <v>283</v>
      </c>
      <c r="IN14" s="425" t="s">
        <v>283</v>
      </c>
      <c r="IO14" s="425" t="s">
        <v>283</v>
      </c>
      <c r="IP14" s="425" t="s">
        <v>283</v>
      </c>
      <c r="IQ14" s="425" t="s">
        <v>283</v>
      </c>
      <c r="IR14" s="425" t="s">
        <v>283</v>
      </c>
      <c r="IS14" s="425" t="s">
        <v>283</v>
      </c>
      <c r="IT14" s="425" t="s">
        <v>283</v>
      </c>
      <c r="IU14" s="425" t="s">
        <v>283</v>
      </c>
      <c r="IV14" s="425" t="s">
        <v>283</v>
      </c>
      <c r="IW14" s="425" t="s">
        <v>283</v>
      </c>
      <c r="IX14" s="425" t="s">
        <v>283</v>
      </c>
      <c r="IY14" s="425" t="s">
        <v>283</v>
      </c>
      <c r="IZ14" s="484">
        <v>54</v>
      </c>
      <c r="JA14" s="484" t="s">
        <v>874</v>
      </c>
      <c r="JB14" s="484">
        <v>9</v>
      </c>
      <c r="JC14" s="484" t="s">
        <v>874</v>
      </c>
      <c r="JD14" s="491">
        <v>0.09</v>
      </c>
      <c r="JE14" s="491">
        <v>0.47</v>
      </c>
      <c r="JF14" s="491">
        <v>0.41</v>
      </c>
      <c r="JG14" s="491">
        <v>0.02</v>
      </c>
      <c r="JH14" s="525" t="s">
        <v>283</v>
      </c>
      <c r="JI14" s="525" t="s">
        <v>283</v>
      </c>
      <c r="JJ14" s="525" t="s">
        <v>283</v>
      </c>
      <c r="JK14" s="525" t="s">
        <v>283</v>
      </c>
      <c r="JL14" s="525" t="s">
        <v>283</v>
      </c>
      <c r="JM14" s="525" t="s">
        <v>283</v>
      </c>
      <c r="JN14" s="525" t="s">
        <v>283</v>
      </c>
      <c r="JO14" s="525" t="s">
        <v>283</v>
      </c>
      <c r="JP14" s="525" t="s">
        <v>283</v>
      </c>
      <c r="JQ14" s="525" t="s">
        <v>283</v>
      </c>
      <c r="JR14" s="525" t="s">
        <v>283</v>
      </c>
      <c r="JS14" s="525" t="s">
        <v>283</v>
      </c>
      <c r="JT14" s="525" t="s">
        <v>283</v>
      </c>
      <c r="JU14" s="525" t="s">
        <v>283</v>
      </c>
      <c r="JV14" s="525" t="s">
        <v>283</v>
      </c>
      <c r="JW14" s="525" t="s">
        <v>283</v>
      </c>
      <c r="JX14" s="525" t="s">
        <v>283</v>
      </c>
      <c r="JY14" s="525" t="s">
        <v>283</v>
      </c>
      <c r="JZ14" s="525" t="s">
        <v>283</v>
      </c>
      <c r="KA14" s="525" t="s">
        <v>283</v>
      </c>
      <c r="KB14" s="525" t="s">
        <v>283</v>
      </c>
      <c r="KC14" s="525" t="s">
        <v>283</v>
      </c>
      <c r="KD14" s="525" t="s">
        <v>283</v>
      </c>
      <c r="KE14" s="525" t="s">
        <v>283</v>
      </c>
      <c r="KF14" s="525" t="s">
        <v>283</v>
      </c>
      <c r="KG14" s="525" t="s">
        <v>283</v>
      </c>
    </row>
    <row r="15" spans="1:293" ht="24.95" customHeight="1" x14ac:dyDescent="0.2">
      <c r="A15" s="6" t="s">
        <v>15</v>
      </c>
      <c r="B15" s="6"/>
      <c r="C15" s="6"/>
      <c r="D15" s="21">
        <v>52</v>
      </c>
      <c r="E15" s="21">
        <v>7</v>
      </c>
      <c r="F15" s="65">
        <v>0.06</v>
      </c>
      <c r="G15" s="65">
        <v>0.63</v>
      </c>
      <c r="H15" s="65">
        <v>0.31</v>
      </c>
      <c r="I15" s="65">
        <v>0</v>
      </c>
      <c r="J15" s="11" t="s">
        <v>283</v>
      </c>
      <c r="K15" s="11" t="s">
        <v>283</v>
      </c>
      <c r="L15" s="11" t="s">
        <v>283</v>
      </c>
      <c r="M15" s="21" t="s">
        <v>283</v>
      </c>
      <c r="N15" s="21" t="s">
        <v>283</v>
      </c>
      <c r="O15" s="21" t="s">
        <v>283</v>
      </c>
      <c r="P15" s="21" t="s">
        <v>283</v>
      </c>
      <c r="Q15" s="21" t="s">
        <v>283</v>
      </c>
      <c r="R15" s="21" t="s">
        <v>283</v>
      </c>
      <c r="S15" s="21" t="s">
        <v>283</v>
      </c>
      <c r="T15" s="21" t="s">
        <v>283</v>
      </c>
      <c r="U15" s="21" t="s">
        <v>283</v>
      </c>
      <c r="V15" s="21" t="s">
        <v>283</v>
      </c>
      <c r="W15" s="21" t="s">
        <v>283</v>
      </c>
      <c r="X15" s="21" t="s">
        <v>283</v>
      </c>
      <c r="Y15" s="21" t="s">
        <v>283</v>
      </c>
      <c r="Z15" s="21" t="s">
        <v>283</v>
      </c>
      <c r="AA15" s="21" t="s">
        <v>283</v>
      </c>
      <c r="AB15" s="21" t="s">
        <v>283</v>
      </c>
      <c r="AC15" s="21" t="s">
        <v>283</v>
      </c>
      <c r="AD15" s="21" t="s">
        <v>283</v>
      </c>
      <c r="AE15" s="21" t="s">
        <v>283</v>
      </c>
      <c r="AF15" s="21" t="s">
        <v>283</v>
      </c>
      <c r="AG15" s="21" t="s">
        <v>283</v>
      </c>
      <c r="AH15" s="21">
        <v>52</v>
      </c>
      <c r="AI15" s="21">
        <v>8</v>
      </c>
      <c r="AJ15" s="57">
        <v>0.09</v>
      </c>
      <c r="AK15" s="57">
        <v>0.57999999999999996</v>
      </c>
      <c r="AL15" s="57">
        <v>0.32</v>
      </c>
      <c r="AM15" s="57">
        <v>0.01</v>
      </c>
      <c r="AN15" s="11" t="s">
        <v>283</v>
      </c>
      <c r="AO15" s="11" t="s">
        <v>283</v>
      </c>
      <c r="AP15" s="11" t="s">
        <v>283</v>
      </c>
      <c r="AQ15" s="11" t="s">
        <v>283</v>
      </c>
      <c r="AR15" s="11" t="s">
        <v>283</v>
      </c>
      <c r="AS15" s="11" t="s">
        <v>283</v>
      </c>
      <c r="AT15" s="11" t="s">
        <v>283</v>
      </c>
      <c r="AU15" s="11" t="s">
        <v>283</v>
      </c>
      <c r="AV15" s="11" t="s">
        <v>283</v>
      </c>
      <c r="AW15" s="11" t="s">
        <v>283</v>
      </c>
      <c r="AX15" s="11" t="s">
        <v>283</v>
      </c>
      <c r="AY15" s="11" t="s">
        <v>283</v>
      </c>
      <c r="AZ15" s="11" t="s">
        <v>283</v>
      </c>
      <c r="BA15" s="11" t="s">
        <v>283</v>
      </c>
      <c r="BB15" s="11" t="s">
        <v>283</v>
      </c>
      <c r="BC15" s="11" t="s">
        <v>283</v>
      </c>
      <c r="BD15" s="11" t="s">
        <v>283</v>
      </c>
      <c r="BE15" s="11" t="s">
        <v>283</v>
      </c>
      <c r="BF15" s="11" t="s">
        <v>283</v>
      </c>
      <c r="BG15" s="11" t="s">
        <v>283</v>
      </c>
      <c r="BH15" s="11" t="s">
        <v>283</v>
      </c>
      <c r="BI15" s="11" t="s">
        <v>283</v>
      </c>
      <c r="BJ15" s="11" t="s">
        <v>283</v>
      </c>
      <c r="BK15" s="11" t="s">
        <v>283</v>
      </c>
      <c r="BL15" s="11" t="s">
        <v>283</v>
      </c>
      <c r="BM15" s="21">
        <v>50</v>
      </c>
      <c r="BN15" s="21">
        <v>8</v>
      </c>
      <c r="BO15" s="65">
        <v>0.15</v>
      </c>
      <c r="BP15" s="65">
        <v>0.6</v>
      </c>
      <c r="BQ15" s="65">
        <v>0.24</v>
      </c>
      <c r="BR15" s="65">
        <v>0</v>
      </c>
      <c r="BS15" s="11" t="s">
        <v>283</v>
      </c>
      <c r="BT15" s="11" t="s">
        <v>283</v>
      </c>
      <c r="BU15" s="11" t="s">
        <v>283</v>
      </c>
      <c r="BV15" s="11" t="s">
        <v>283</v>
      </c>
      <c r="BW15" s="11" t="s">
        <v>283</v>
      </c>
      <c r="BX15" s="11" t="s">
        <v>283</v>
      </c>
      <c r="BY15" s="11" t="s">
        <v>283</v>
      </c>
      <c r="BZ15" s="11" t="s">
        <v>283</v>
      </c>
      <c r="CA15" s="11" t="s">
        <v>283</v>
      </c>
      <c r="CB15" s="11" t="s">
        <v>283</v>
      </c>
      <c r="CC15" s="11" t="s">
        <v>283</v>
      </c>
      <c r="CD15" s="11" t="s">
        <v>283</v>
      </c>
      <c r="CE15" s="11" t="s">
        <v>283</v>
      </c>
      <c r="CF15" s="11" t="s">
        <v>283</v>
      </c>
      <c r="CG15" s="11" t="s">
        <v>283</v>
      </c>
      <c r="CH15" s="11" t="s">
        <v>283</v>
      </c>
      <c r="CI15" s="11" t="s">
        <v>283</v>
      </c>
      <c r="CJ15" s="11" t="s">
        <v>283</v>
      </c>
      <c r="CK15" s="11" t="s">
        <v>283</v>
      </c>
      <c r="CL15" s="11" t="s">
        <v>283</v>
      </c>
      <c r="CM15" s="11" t="s">
        <v>283</v>
      </c>
      <c r="CN15" s="11" t="s">
        <v>283</v>
      </c>
      <c r="CO15" s="11" t="s">
        <v>283</v>
      </c>
      <c r="CP15" s="11" t="s">
        <v>283</v>
      </c>
      <c r="CQ15" s="11" t="s">
        <v>283</v>
      </c>
      <c r="CR15" s="11" t="s">
        <v>283</v>
      </c>
      <c r="CS15" s="21">
        <v>48</v>
      </c>
      <c r="CT15" s="21">
        <v>9</v>
      </c>
      <c r="CU15" s="39">
        <v>0.18</v>
      </c>
      <c r="CV15" s="39">
        <v>0.61</v>
      </c>
      <c r="CW15" s="39">
        <v>0.2</v>
      </c>
      <c r="CX15" s="39">
        <v>0.01</v>
      </c>
      <c r="CY15" s="11" t="s">
        <v>283</v>
      </c>
      <c r="CZ15" s="11" t="s">
        <v>283</v>
      </c>
      <c r="DA15" s="11" t="s">
        <v>283</v>
      </c>
      <c r="DB15" s="11" t="s">
        <v>283</v>
      </c>
      <c r="DC15" s="11" t="s">
        <v>283</v>
      </c>
      <c r="DD15" s="11" t="s">
        <v>283</v>
      </c>
      <c r="DE15" s="11" t="s">
        <v>283</v>
      </c>
      <c r="DF15" s="11" t="s">
        <v>283</v>
      </c>
      <c r="DG15" s="11" t="s">
        <v>283</v>
      </c>
      <c r="DH15" s="11" t="s">
        <v>283</v>
      </c>
      <c r="DI15" s="11" t="s">
        <v>283</v>
      </c>
      <c r="DJ15" s="11" t="s">
        <v>283</v>
      </c>
      <c r="DK15" s="11" t="s">
        <v>283</v>
      </c>
      <c r="DL15" s="11" t="s">
        <v>283</v>
      </c>
      <c r="DM15" s="11" t="s">
        <v>283</v>
      </c>
      <c r="DN15" s="11" t="s">
        <v>283</v>
      </c>
      <c r="DO15" s="11" t="s">
        <v>283</v>
      </c>
      <c r="DP15" s="11" t="s">
        <v>283</v>
      </c>
      <c r="DQ15" s="11" t="s">
        <v>283</v>
      </c>
      <c r="DR15" s="11" t="s">
        <v>283</v>
      </c>
      <c r="DS15" s="11" t="s">
        <v>283</v>
      </c>
      <c r="DT15" s="11" t="s">
        <v>283</v>
      </c>
      <c r="DU15" s="11" t="s">
        <v>283</v>
      </c>
      <c r="DV15" s="11" t="s">
        <v>283</v>
      </c>
      <c r="DW15" s="11" t="s">
        <v>283</v>
      </c>
      <c r="DX15" s="22">
        <v>48</v>
      </c>
      <c r="DY15" s="22">
        <v>9</v>
      </c>
      <c r="DZ15" s="60">
        <v>0.21</v>
      </c>
      <c r="EA15" s="60">
        <v>0.59</v>
      </c>
      <c r="EB15" s="60">
        <v>0.19</v>
      </c>
      <c r="EC15" s="60">
        <v>0</v>
      </c>
      <c r="ED15" s="11" t="s">
        <v>283</v>
      </c>
      <c r="EE15" s="11" t="s">
        <v>283</v>
      </c>
      <c r="EF15" s="11" t="s">
        <v>283</v>
      </c>
      <c r="EG15" s="11" t="s">
        <v>283</v>
      </c>
      <c r="EH15" s="11" t="s">
        <v>283</v>
      </c>
      <c r="EI15" s="11" t="s">
        <v>283</v>
      </c>
      <c r="EJ15" s="11" t="s">
        <v>283</v>
      </c>
      <c r="EK15" s="11" t="s">
        <v>283</v>
      </c>
      <c r="EL15" s="11" t="s">
        <v>283</v>
      </c>
      <c r="EM15" s="11" t="s">
        <v>283</v>
      </c>
      <c r="EN15" s="11" t="s">
        <v>283</v>
      </c>
      <c r="EO15" s="11" t="s">
        <v>283</v>
      </c>
      <c r="EP15" s="11" t="s">
        <v>283</v>
      </c>
      <c r="EQ15" s="11" t="s">
        <v>283</v>
      </c>
      <c r="ER15" s="11" t="s">
        <v>283</v>
      </c>
      <c r="ES15" s="11" t="s">
        <v>283</v>
      </c>
      <c r="ET15" s="11" t="s">
        <v>283</v>
      </c>
      <c r="EU15" s="11" t="s">
        <v>283</v>
      </c>
      <c r="EV15" s="11" t="s">
        <v>283</v>
      </c>
      <c r="EW15" s="11" t="s">
        <v>283</v>
      </c>
      <c r="EX15" s="11" t="s">
        <v>283</v>
      </c>
      <c r="EY15" s="11" t="s">
        <v>283</v>
      </c>
      <c r="EZ15" s="11" t="s">
        <v>283</v>
      </c>
      <c r="FA15" s="11" t="s">
        <v>283</v>
      </c>
      <c r="FB15" s="245">
        <v>47</v>
      </c>
      <c r="FC15" s="245" t="s">
        <v>874</v>
      </c>
      <c r="FD15" s="245">
        <v>8</v>
      </c>
      <c r="FE15" s="245" t="s">
        <v>874</v>
      </c>
      <c r="FF15" s="263">
        <v>0.2</v>
      </c>
      <c r="FG15" s="263">
        <v>0.64</v>
      </c>
      <c r="FH15" s="263">
        <v>0.15</v>
      </c>
      <c r="FI15" s="263">
        <v>0</v>
      </c>
      <c r="FJ15" s="245" t="s">
        <v>283</v>
      </c>
      <c r="FK15" s="245" t="s">
        <v>283</v>
      </c>
      <c r="FL15" s="245" t="s">
        <v>283</v>
      </c>
      <c r="FM15" s="245" t="s">
        <v>283</v>
      </c>
      <c r="FN15" s="245" t="s">
        <v>283</v>
      </c>
      <c r="FO15" s="245" t="s">
        <v>283</v>
      </c>
      <c r="FP15" s="245" t="s">
        <v>283</v>
      </c>
      <c r="FQ15" s="245" t="s">
        <v>283</v>
      </c>
      <c r="FR15" s="245" t="s">
        <v>283</v>
      </c>
      <c r="FS15" s="245" t="s">
        <v>283</v>
      </c>
      <c r="FT15" s="245" t="s">
        <v>283</v>
      </c>
      <c r="FU15" s="245" t="s">
        <v>283</v>
      </c>
      <c r="FV15" s="245" t="s">
        <v>283</v>
      </c>
      <c r="FW15" s="245" t="s">
        <v>283</v>
      </c>
      <c r="FX15" s="245" t="s">
        <v>283</v>
      </c>
      <c r="FY15" s="245" t="s">
        <v>283</v>
      </c>
      <c r="FZ15" s="245" t="s">
        <v>283</v>
      </c>
      <c r="GA15" s="245" t="s">
        <v>283</v>
      </c>
      <c r="GB15" s="245" t="s">
        <v>283</v>
      </c>
      <c r="GC15" s="245" t="s">
        <v>283</v>
      </c>
      <c r="GD15" s="245" t="s">
        <v>283</v>
      </c>
      <c r="GE15" s="245" t="s">
        <v>283</v>
      </c>
      <c r="GF15" s="245" t="s">
        <v>283</v>
      </c>
      <c r="GG15" s="245" t="s">
        <v>283</v>
      </c>
      <c r="GH15" s="245" t="s">
        <v>283</v>
      </c>
      <c r="GI15" s="245" t="s">
        <v>283</v>
      </c>
      <c r="GJ15" s="317">
        <v>48</v>
      </c>
      <c r="GK15" s="317" t="s">
        <v>874</v>
      </c>
      <c r="GL15" s="317">
        <v>9</v>
      </c>
      <c r="GM15" s="317" t="s">
        <v>874</v>
      </c>
      <c r="GN15" s="293">
        <v>0.2</v>
      </c>
      <c r="GO15" s="293">
        <v>0.59</v>
      </c>
      <c r="GP15" s="293">
        <v>0.2</v>
      </c>
      <c r="GQ15" s="293">
        <v>0.01</v>
      </c>
      <c r="GR15" s="317" t="s">
        <v>283</v>
      </c>
      <c r="GS15" s="317" t="s">
        <v>283</v>
      </c>
      <c r="GT15" s="317" t="s">
        <v>283</v>
      </c>
      <c r="GU15" s="317" t="s">
        <v>283</v>
      </c>
      <c r="GV15" s="317" t="s">
        <v>283</v>
      </c>
      <c r="GW15" s="317" t="s">
        <v>283</v>
      </c>
      <c r="GX15" s="317" t="s">
        <v>283</v>
      </c>
      <c r="GY15" s="317" t="s">
        <v>283</v>
      </c>
      <c r="GZ15" s="317" t="s">
        <v>283</v>
      </c>
      <c r="HA15" s="317" t="s">
        <v>283</v>
      </c>
      <c r="HB15" s="317" t="s">
        <v>283</v>
      </c>
      <c r="HC15" s="317" t="s">
        <v>283</v>
      </c>
      <c r="HD15" s="317" t="s">
        <v>283</v>
      </c>
      <c r="HE15" s="317" t="s">
        <v>283</v>
      </c>
      <c r="HF15" s="317" t="s">
        <v>283</v>
      </c>
      <c r="HG15" s="317" t="s">
        <v>283</v>
      </c>
      <c r="HH15" s="317" t="s">
        <v>283</v>
      </c>
      <c r="HI15" s="317" t="s">
        <v>283</v>
      </c>
      <c r="HJ15" s="317" t="s">
        <v>283</v>
      </c>
      <c r="HK15" s="317" t="s">
        <v>283</v>
      </c>
      <c r="HL15" s="317" t="s">
        <v>283</v>
      </c>
      <c r="HM15" s="317" t="s">
        <v>283</v>
      </c>
      <c r="HN15" s="317" t="s">
        <v>283</v>
      </c>
      <c r="HO15" s="317" t="s">
        <v>283</v>
      </c>
      <c r="HP15" s="317" t="s">
        <v>283</v>
      </c>
      <c r="HQ15" s="317" t="s">
        <v>283</v>
      </c>
      <c r="HR15" s="425">
        <v>49</v>
      </c>
      <c r="HS15" s="425" t="s">
        <v>874</v>
      </c>
      <c r="HT15" s="425">
        <v>9</v>
      </c>
      <c r="HU15" s="425" t="s">
        <v>874</v>
      </c>
      <c r="HV15" s="429">
        <v>0.17</v>
      </c>
      <c r="HW15" s="429">
        <v>0.6</v>
      </c>
      <c r="HX15" s="429">
        <v>0.22</v>
      </c>
      <c r="HY15" s="429">
        <v>0.01</v>
      </c>
      <c r="HZ15" s="425" t="s">
        <v>283</v>
      </c>
      <c r="IA15" s="425" t="s">
        <v>283</v>
      </c>
      <c r="IB15" s="425" t="s">
        <v>283</v>
      </c>
      <c r="IC15" s="425" t="s">
        <v>283</v>
      </c>
      <c r="ID15" s="425" t="s">
        <v>283</v>
      </c>
      <c r="IE15" s="425" t="s">
        <v>283</v>
      </c>
      <c r="IF15" s="425" t="s">
        <v>283</v>
      </c>
      <c r="IG15" s="425" t="s">
        <v>283</v>
      </c>
      <c r="IH15" s="425" t="s">
        <v>283</v>
      </c>
      <c r="II15" s="425" t="s">
        <v>283</v>
      </c>
      <c r="IJ15" s="425" t="s">
        <v>283</v>
      </c>
      <c r="IK15" s="425" t="s">
        <v>283</v>
      </c>
      <c r="IL15" s="425" t="s">
        <v>283</v>
      </c>
      <c r="IM15" s="425" t="s">
        <v>283</v>
      </c>
      <c r="IN15" s="425" t="s">
        <v>283</v>
      </c>
      <c r="IO15" s="425" t="s">
        <v>283</v>
      </c>
      <c r="IP15" s="425" t="s">
        <v>283</v>
      </c>
      <c r="IQ15" s="425" t="s">
        <v>283</v>
      </c>
      <c r="IR15" s="425" t="s">
        <v>283</v>
      </c>
      <c r="IS15" s="425" t="s">
        <v>283</v>
      </c>
      <c r="IT15" s="425" t="s">
        <v>283</v>
      </c>
      <c r="IU15" s="425" t="s">
        <v>283</v>
      </c>
      <c r="IV15" s="425" t="s">
        <v>283</v>
      </c>
      <c r="IW15" s="425" t="s">
        <v>283</v>
      </c>
      <c r="IX15" s="425" t="s">
        <v>283</v>
      </c>
      <c r="IY15" s="425" t="s">
        <v>283</v>
      </c>
      <c r="IZ15" s="484">
        <v>49</v>
      </c>
      <c r="JA15" s="484" t="s">
        <v>874</v>
      </c>
      <c r="JB15" s="484">
        <v>9</v>
      </c>
      <c r="JC15" s="484" t="s">
        <v>874</v>
      </c>
      <c r="JD15" s="491">
        <v>0.19</v>
      </c>
      <c r="JE15" s="491">
        <v>0.57999999999999996</v>
      </c>
      <c r="JF15" s="491">
        <v>0.23</v>
      </c>
      <c r="JG15" s="491">
        <v>0</v>
      </c>
      <c r="JH15" s="525" t="s">
        <v>283</v>
      </c>
      <c r="JI15" s="525" t="s">
        <v>283</v>
      </c>
      <c r="JJ15" s="525" t="s">
        <v>283</v>
      </c>
      <c r="JK15" s="525" t="s">
        <v>283</v>
      </c>
      <c r="JL15" s="525" t="s">
        <v>283</v>
      </c>
      <c r="JM15" s="525" t="s">
        <v>283</v>
      </c>
      <c r="JN15" s="525" t="s">
        <v>283</v>
      </c>
      <c r="JO15" s="525" t="s">
        <v>283</v>
      </c>
      <c r="JP15" s="525" t="s">
        <v>283</v>
      </c>
      <c r="JQ15" s="525" t="s">
        <v>283</v>
      </c>
      <c r="JR15" s="525" t="s">
        <v>283</v>
      </c>
      <c r="JS15" s="525" t="s">
        <v>283</v>
      </c>
      <c r="JT15" s="525" t="s">
        <v>283</v>
      </c>
      <c r="JU15" s="525" t="s">
        <v>283</v>
      </c>
      <c r="JV15" s="525" t="s">
        <v>283</v>
      </c>
      <c r="JW15" s="525" t="s">
        <v>283</v>
      </c>
      <c r="JX15" s="525" t="s">
        <v>283</v>
      </c>
      <c r="JY15" s="525" t="s">
        <v>283</v>
      </c>
      <c r="JZ15" s="525" t="s">
        <v>283</v>
      </c>
      <c r="KA15" s="525" t="s">
        <v>283</v>
      </c>
      <c r="KB15" s="525" t="s">
        <v>283</v>
      </c>
      <c r="KC15" s="525" t="s">
        <v>283</v>
      </c>
      <c r="KD15" s="525" t="s">
        <v>283</v>
      </c>
      <c r="KE15" s="525" t="s">
        <v>283</v>
      </c>
      <c r="KF15" s="525" t="s">
        <v>283</v>
      </c>
      <c r="KG15" s="525" t="s">
        <v>283</v>
      </c>
    </row>
    <row r="16" spans="1:293" ht="24.95" customHeight="1" x14ac:dyDescent="0.2">
      <c r="A16" s="6" t="s">
        <v>16</v>
      </c>
      <c r="B16" s="6"/>
      <c r="C16" s="6"/>
      <c r="D16" s="21">
        <v>55</v>
      </c>
      <c r="E16" s="21">
        <v>8</v>
      </c>
      <c r="F16" s="65">
        <v>0.04</v>
      </c>
      <c r="G16" s="65">
        <v>0.51</v>
      </c>
      <c r="H16" s="65">
        <v>0.44</v>
      </c>
      <c r="I16" s="65">
        <v>0.01</v>
      </c>
      <c r="J16" s="11" t="s">
        <v>283</v>
      </c>
      <c r="K16" s="11" t="s">
        <v>283</v>
      </c>
      <c r="L16" s="11" t="s">
        <v>283</v>
      </c>
      <c r="M16" s="21" t="s">
        <v>283</v>
      </c>
      <c r="N16" s="21" t="s">
        <v>283</v>
      </c>
      <c r="O16" s="21" t="s">
        <v>283</v>
      </c>
      <c r="P16" s="21" t="s">
        <v>283</v>
      </c>
      <c r="Q16" s="21" t="s">
        <v>283</v>
      </c>
      <c r="R16" s="21" t="s">
        <v>283</v>
      </c>
      <c r="S16" s="21" t="s">
        <v>283</v>
      </c>
      <c r="T16" s="21" t="s">
        <v>283</v>
      </c>
      <c r="U16" s="21" t="s">
        <v>283</v>
      </c>
      <c r="V16" s="21" t="s">
        <v>283</v>
      </c>
      <c r="W16" s="21" t="s">
        <v>283</v>
      </c>
      <c r="X16" s="21" t="s">
        <v>283</v>
      </c>
      <c r="Y16" s="21" t="s">
        <v>283</v>
      </c>
      <c r="Z16" s="21" t="s">
        <v>283</v>
      </c>
      <c r="AA16" s="21" t="s">
        <v>283</v>
      </c>
      <c r="AB16" s="21" t="s">
        <v>283</v>
      </c>
      <c r="AC16" s="21" t="s">
        <v>283</v>
      </c>
      <c r="AD16" s="21" t="s">
        <v>283</v>
      </c>
      <c r="AE16" s="21" t="s">
        <v>283</v>
      </c>
      <c r="AF16" s="21" t="s">
        <v>283</v>
      </c>
      <c r="AG16" s="21" t="s">
        <v>283</v>
      </c>
      <c r="AH16" s="21">
        <v>54</v>
      </c>
      <c r="AI16" s="21">
        <v>8</v>
      </c>
      <c r="AJ16" s="57">
        <v>0.06</v>
      </c>
      <c r="AK16" s="57">
        <v>0.5</v>
      </c>
      <c r="AL16" s="57">
        <v>0.43</v>
      </c>
      <c r="AM16" s="57">
        <v>0.01</v>
      </c>
      <c r="AN16" s="11" t="s">
        <v>283</v>
      </c>
      <c r="AO16" s="11" t="s">
        <v>283</v>
      </c>
      <c r="AP16" s="11" t="s">
        <v>283</v>
      </c>
      <c r="AQ16" s="11" t="s">
        <v>283</v>
      </c>
      <c r="AR16" s="11" t="s">
        <v>283</v>
      </c>
      <c r="AS16" s="11" t="s">
        <v>283</v>
      </c>
      <c r="AT16" s="11" t="s">
        <v>283</v>
      </c>
      <c r="AU16" s="11" t="s">
        <v>283</v>
      </c>
      <c r="AV16" s="11" t="s">
        <v>283</v>
      </c>
      <c r="AW16" s="11" t="s">
        <v>283</v>
      </c>
      <c r="AX16" s="11" t="s">
        <v>283</v>
      </c>
      <c r="AY16" s="11" t="s">
        <v>283</v>
      </c>
      <c r="AZ16" s="11" t="s">
        <v>283</v>
      </c>
      <c r="BA16" s="11" t="s">
        <v>283</v>
      </c>
      <c r="BB16" s="11" t="s">
        <v>283</v>
      </c>
      <c r="BC16" s="11" t="s">
        <v>283</v>
      </c>
      <c r="BD16" s="11" t="s">
        <v>283</v>
      </c>
      <c r="BE16" s="11" t="s">
        <v>283</v>
      </c>
      <c r="BF16" s="11" t="s">
        <v>283</v>
      </c>
      <c r="BG16" s="11" t="s">
        <v>283</v>
      </c>
      <c r="BH16" s="11" t="s">
        <v>283</v>
      </c>
      <c r="BI16" s="11" t="s">
        <v>283</v>
      </c>
      <c r="BJ16" s="11" t="s">
        <v>283</v>
      </c>
      <c r="BK16" s="11" t="s">
        <v>283</v>
      </c>
      <c r="BL16" s="11" t="s">
        <v>283</v>
      </c>
      <c r="BM16" s="21">
        <v>52</v>
      </c>
      <c r="BN16" s="21">
        <v>9</v>
      </c>
      <c r="BO16" s="65">
        <v>0.09</v>
      </c>
      <c r="BP16" s="65">
        <v>0.55000000000000004</v>
      </c>
      <c r="BQ16" s="65">
        <v>0.35</v>
      </c>
      <c r="BR16" s="65">
        <v>0.01</v>
      </c>
      <c r="BS16" s="11" t="s">
        <v>283</v>
      </c>
      <c r="BT16" s="11" t="s">
        <v>283</v>
      </c>
      <c r="BU16" s="11" t="s">
        <v>283</v>
      </c>
      <c r="BV16" s="11" t="s">
        <v>283</v>
      </c>
      <c r="BW16" s="11" t="s">
        <v>283</v>
      </c>
      <c r="BX16" s="11" t="s">
        <v>283</v>
      </c>
      <c r="BY16" s="11" t="s">
        <v>283</v>
      </c>
      <c r="BZ16" s="11" t="s">
        <v>283</v>
      </c>
      <c r="CA16" s="11" t="s">
        <v>283</v>
      </c>
      <c r="CB16" s="11" t="s">
        <v>283</v>
      </c>
      <c r="CC16" s="11" t="s">
        <v>283</v>
      </c>
      <c r="CD16" s="11" t="s">
        <v>283</v>
      </c>
      <c r="CE16" s="11" t="s">
        <v>283</v>
      </c>
      <c r="CF16" s="11" t="s">
        <v>283</v>
      </c>
      <c r="CG16" s="11" t="s">
        <v>283</v>
      </c>
      <c r="CH16" s="11" t="s">
        <v>283</v>
      </c>
      <c r="CI16" s="11" t="s">
        <v>283</v>
      </c>
      <c r="CJ16" s="11" t="s">
        <v>283</v>
      </c>
      <c r="CK16" s="11" t="s">
        <v>283</v>
      </c>
      <c r="CL16" s="11" t="s">
        <v>283</v>
      </c>
      <c r="CM16" s="11" t="s">
        <v>283</v>
      </c>
      <c r="CN16" s="11" t="s">
        <v>283</v>
      </c>
      <c r="CO16" s="11" t="s">
        <v>283</v>
      </c>
      <c r="CP16" s="11" t="s">
        <v>283</v>
      </c>
      <c r="CQ16" s="11" t="s">
        <v>283</v>
      </c>
      <c r="CR16" s="11" t="s">
        <v>283</v>
      </c>
      <c r="CS16" s="21">
        <v>51</v>
      </c>
      <c r="CT16" s="21">
        <v>9</v>
      </c>
      <c r="CU16" s="39">
        <v>0.11</v>
      </c>
      <c r="CV16" s="39">
        <v>0.59</v>
      </c>
      <c r="CW16" s="39">
        <v>0.28999999999999998</v>
      </c>
      <c r="CX16" s="39">
        <v>0.01</v>
      </c>
      <c r="CY16" s="11" t="s">
        <v>283</v>
      </c>
      <c r="CZ16" s="11" t="s">
        <v>283</v>
      </c>
      <c r="DA16" s="11" t="s">
        <v>283</v>
      </c>
      <c r="DB16" s="11" t="s">
        <v>283</v>
      </c>
      <c r="DC16" s="11" t="s">
        <v>283</v>
      </c>
      <c r="DD16" s="11" t="s">
        <v>283</v>
      </c>
      <c r="DE16" s="11" t="s">
        <v>283</v>
      </c>
      <c r="DF16" s="11" t="s">
        <v>283</v>
      </c>
      <c r="DG16" s="11" t="s">
        <v>283</v>
      </c>
      <c r="DH16" s="11" t="s">
        <v>283</v>
      </c>
      <c r="DI16" s="11" t="s">
        <v>283</v>
      </c>
      <c r="DJ16" s="11" t="s">
        <v>283</v>
      </c>
      <c r="DK16" s="11" t="s">
        <v>283</v>
      </c>
      <c r="DL16" s="11" t="s">
        <v>283</v>
      </c>
      <c r="DM16" s="11" t="s">
        <v>283</v>
      </c>
      <c r="DN16" s="11" t="s">
        <v>283</v>
      </c>
      <c r="DO16" s="11" t="s">
        <v>283</v>
      </c>
      <c r="DP16" s="11" t="s">
        <v>283</v>
      </c>
      <c r="DQ16" s="11" t="s">
        <v>283</v>
      </c>
      <c r="DR16" s="11" t="s">
        <v>283</v>
      </c>
      <c r="DS16" s="11" t="s">
        <v>283</v>
      </c>
      <c r="DT16" s="11" t="s">
        <v>283</v>
      </c>
      <c r="DU16" s="11" t="s">
        <v>283</v>
      </c>
      <c r="DV16" s="11" t="s">
        <v>283</v>
      </c>
      <c r="DW16" s="11" t="s">
        <v>283</v>
      </c>
      <c r="DX16" s="22">
        <v>51</v>
      </c>
      <c r="DY16" s="22">
        <v>9</v>
      </c>
      <c r="DZ16" s="60">
        <v>0.14000000000000001</v>
      </c>
      <c r="EA16" s="60">
        <v>0.54</v>
      </c>
      <c r="EB16" s="60">
        <v>0.3</v>
      </c>
      <c r="EC16" s="60">
        <v>0.01</v>
      </c>
      <c r="ED16" s="11" t="s">
        <v>283</v>
      </c>
      <c r="EE16" s="11" t="s">
        <v>283</v>
      </c>
      <c r="EF16" s="11" t="s">
        <v>283</v>
      </c>
      <c r="EG16" s="11" t="s">
        <v>283</v>
      </c>
      <c r="EH16" s="11" t="s">
        <v>283</v>
      </c>
      <c r="EI16" s="11" t="s">
        <v>283</v>
      </c>
      <c r="EJ16" s="11" t="s">
        <v>283</v>
      </c>
      <c r="EK16" s="11" t="s">
        <v>283</v>
      </c>
      <c r="EL16" s="11" t="s">
        <v>283</v>
      </c>
      <c r="EM16" s="11" t="s">
        <v>283</v>
      </c>
      <c r="EN16" s="11" t="s">
        <v>283</v>
      </c>
      <c r="EO16" s="11" t="s">
        <v>283</v>
      </c>
      <c r="EP16" s="11" t="s">
        <v>283</v>
      </c>
      <c r="EQ16" s="11" t="s">
        <v>283</v>
      </c>
      <c r="ER16" s="11" t="s">
        <v>283</v>
      </c>
      <c r="ES16" s="11" t="s">
        <v>283</v>
      </c>
      <c r="ET16" s="11" t="s">
        <v>283</v>
      </c>
      <c r="EU16" s="11" t="s">
        <v>283</v>
      </c>
      <c r="EV16" s="11" t="s">
        <v>283</v>
      </c>
      <c r="EW16" s="11" t="s">
        <v>283</v>
      </c>
      <c r="EX16" s="11" t="s">
        <v>283</v>
      </c>
      <c r="EY16" s="11" t="s">
        <v>283</v>
      </c>
      <c r="EZ16" s="11" t="s">
        <v>283</v>
      </c>
      <c r="FA16" s="11" t="s">
        <v>283</v>
      </c>
      <c r="FB16" s="245">
        <v>51</v>
      </c>
      <c r="FC16" s="245" t="s">
        <v>874</v>
      </c>
      <c r="FD16" s="245">
        <v>9</v>
      </c>
      <c r="FE16" s="245" t="s">
        <v>874</v>
      </c>
      <c r="FF16" s="263">
        <v>0.12</v>
      </c>
      <c r="FG16" s="263">
        <v>0.59</v>
      </c>
      <c r="FH16" s="263">
        <v>0.28000000000000003</v>
      </c>
      <c r="FI16" s="263">
        <v>0.01</v>
      </c>
      <c r="FJ16" s="245" t="s">
        <v>283</v>
      </c>
      <c r="FK16" s="245" t="s">
        <v>283</v>
      </c>
      <c r="FL16" s="245" t="s">
        <v>283</v>
      </c>
      <c r="FM16" s="245" t="s">
        <v>283</v>
      </c>
      <c r="FN16" s="245" t="s">
        <v>283</v>
      </c>
      <c r="FO16" s="245" t="s">
        <v>283</v>
      </c>
      <c r="FP16" s="245" t="s">
        <v>283</v>
      </c>
      <c r="FQ16" s="245" t="s">
        <v>283</v>
      </c>
      <c r="FR16" s="245" t="s">
        <v>283</v>
      </c>
      <c r="FS16" s="245" t="s">
        <v>283</v>
      </c>
      <c r="FT16" s="245" t="s">
        <v>283</v>
      </c>
      <c r="FU16" s="245" t="s">
        <v>283</v>
      </c>
      <c r="FV16" s="245" t="s">
        <v>283</v>
      </c>
      <c r="FW16" s="245" t="s">
        <v>283</v>
      </c>
      <c r="FX16" s="245" t="s">
        <v>283</v>
      </c>
      <c r="FY16" s="245" t="s">
        <v>283</v>
      </c>
      <c r="FZ16" s="245" t="s">
        <v>283</v>
      </c>
      <c r="GA16" s="245" t="s">
        <v>283</v>
      </c>
      <c r="GB16" s="245" t="s">
        <v>283</v>
      </c>
      <c r="GC16" s="245" t="s">
        <v>283</v>
      </c>
      <c r="GD16" s="245" t="s">
        <v>283</v>
      </c>
      <c r="GE16" s="245" t="s">
        <v>283</v>
      </c>
      <c r="GF16" s="245" t="s">
        <v>283</v>
      </c>
      <c r="GG16" s="245" t="s">
        <v>283</v>
      </c>
      <c r="GH16" s="245" t="s">
        <v>283</v>
      </c>
      <c r="GI16" s="245" t="s">
        <v>283</v>
      </c>
      <c r="GJ16" s="317">
        <v>52</v>
      </c>
      <c r="GK16" s="317" t="s">
        <v>874</v>
      </c>
      <c r="GL16" s="317">
        <v>9</v>
      </c>
      <c r="GM16" s="317" t="s">
        <v>874</v>
      </c>
      <c r="GN16" s="293">
        <v>0.12</v>
      </c>
      <c r="GO16" s="293">
        <v>0.53</v>
      </c>
      <c r="GP16" s="293">
        <v>0.33</v>
      </c>
      <c r="GQ16" s="293">
        <v>0.02</v>
      </c>
      <c r="GR16" s="317" t="s">
        <v>283</v>
      </c>
      <c r="GS16" s="317" t="s">
        <v>283</v>
      </c>
      <c r="GT16" s="317" t="s">
        <v>283</v>
      </c>
      <c r="GU16" s="317" t="s">
        <v>283</v>
      </c>
      <c r="GV16" s="317" t="s">
        <v>283</v>
      </c>
      <c r="GW16" s="317" t="s">
        <v>283</v>
      </c>
      <c r="GX16" s="317" t="s">
        <v>283</v>
      </c>
      <c r="GY16" s="317" t="s">
        <v>283</v>
      </c>
      <c r="GZ16" s="317" t="s">
        <v>283</v>
      </c>
      <c r="HA16" s="317" t="s">
        <v>283</v>
      </c>
      <c r="HB16" s="317" t="s">
        <v>283</v>
      </c>
      <c r="HC16" s="317" t="s">
        <v>283</v>
      </c>
      <c r="HD16" s="317" t="s">
        <v>283</v>
      </c>
      <c r="HE16" s="317" t="s">
        <v>283</v>
      </c>
      <c r="HF16" s="317" t="s">
        <v>283</v>
      </c>
      <c r="HG16" s="317" t="s">
        <v>283</v>
      </c>
      <c r="HH16" s="317" t="s">
        <v>283</v>
      </c>
      <c r="HI16" s="317" t="s">
        <v>283</v>
      </c>
      <c r="HJ16" s="317" t="s">
        <v>283</v>
      </c>
      <c r="HK16" s="317" t="s">
        <v>283</v>
      </c>
      <c r="HL16" s="317" t="s">
        <v>283</v>
      </c>
      <c r="HM16" s="317" t="s">
        <v>283</v>
      </c>
      <c r="HN16" s="317" t="s">
        <v>283</v>
      </c>
      <c r="HO16" s="317" t="s">
        <v>283</v>
      </c>
      <c r="HP16" s="317" t="s">
        <v>283</v>
      </c>
      <c r="HQ16" s="317" t="s">
        <v>283</v>
      </c>
      <c r="HR16" s="425">
        <v>53</v>
      </c>
      <c r="HS16" s="425" t="s">
        <v>874</v>
      </c>
      <c r="HT16" s="425">
        <v>9</v>
      </c>
      <c r="HU16" s="425" t="s">
        <v>874</v>
      </c>
      <c r="HV16" s="429">
        <v>0.1</v>
      </c>
      <c r="HW16" s="429">
        <v>0.51</v>
      </c>
      <c r="HX16" s="429">
        <v>0.37</v>
      </c>
      <c r="HY16" s="429">
        <v>0.02</v>
      </c>
      <c r="HZ16" s="425" t="s">
        <v>283</v>
      </c>
      <c r="IA16" s="425" t="s">
        <v>283</v>
      </c>
      <c r="IB16" s="425" t="s">
        <v>283</v>
      </c>
      <c r="IC16" s="425" t="s">
        <v>283</v>
      </c>
      <c r="ID16" s="425" t="s">
        <v>283</v>
      </c>
      <c r="IE16" s="425" t="s">
        <v>283</v>
      </c>
      <c r="IF16" s="425" t="s">
        <v>283</v>
      </c>
      <c r="IG16" s="425" t="s">
        <v>283</v>
      </c>
      <c r="IH16" s="425" t="s">
        <v>283</v>
      </c>
      <c r="II16" s="425" t="s">
        <v>283</v>
      </c>
      <c r="IJ16" s="425" t="s">
        <v>283</v>
      </c>
      <c r="IK16" s="425" t="s">
        <v>283</v>
      </c>
      <c r="IL16" s="425" t="s">
        <v>283</v>
      </c>
      <c r="IM16" s="425" t="s">
        <v>283</v>
      </c>
      <c r="IN16" s="425" t="s">
        <v>283</v>
      </c>
      <c r="IO16" s="425" t="s">
        <v>283</v>
      </c>
      <c r="IP16" s="425" t="s">
        <v>283</v>
      </c>
      <c r="IQ16" s="425" t="s">
        <v>283</v>
      </c>
      <c r="IR16" s="425" t="s">
        <v>283</v>
      </c>
      <c r="IS16" s="425" t="s">
        <v>283</v>
      </c>
      <c r="IT16" s="425" t="s">
        <v>283</v>
      </c>
      <c r="IU16" s="425" t="s">
        <v>283</v>
      </c>
      <c r="IV16" s="425" t="s">
        <v>283</v>
      </c>
      <c r="IW16" s="425" t="s">
        <v>283</v>
      </c>
      <c r="IX16" s="425" t="s">
        <v>283</v>
      </c>
      <c r="IY16" s="425" t="s">
        <v>283</v>
      </c>
      <c r="IZ16" s="484">
        <v>52</v>
      </c>
      <c r="JA16" s="484" t="s">
        <v>874</v>
      </c>
      <c r="JB16" s="484">
        <v>9</v>
      </c>
      <c r="JC16" s="484" t="s">
        <v>874</v>
      </c>
      <c r="JD16" s="491">
        <v>0.12</v>
      </c>
      <c r="JE16" s="491">
        <v>0.51</v>
      </c>
      <c r="JF16" s="491">
        <v>0.36</v>
      </c>
      <c r="JG16" s="491">
        <v>0.02</v>
      </c>
      <c r="JH16" s="525" t="s">
        <v>283</v>
      </c>
      <c r="JI16" s="525" t="s">
        <v>283</v>
      </c>
      <c r="JJ16" s="525" t="s">
        <v>283</v>
      </c>
      <c r="JK16" s="525" t="s">
        <v>283</v>
      </c>
      <c r="JL16" s="525" t="s">
        <v>283</v>
      </c>
      <c r="JM16" s="525" t="s">
        <v>283</v>
      </c>
      <c r="JN16" s="525" t="s">
        <v>283</v>
      </c>
      <c r="JO16" s="525" t="s">
        <v>283</v>
      </c>
      <c r="JP16" s="525" t="s">
        <v>283</v>
      </c>
      <c r="JQ16" s="525" t="s">
        <v>283</v>
      </c>
      <c r="JR16" s="525" t="s">
        <v>283</v>
      </c>
      <c r="JS16" s="525" t="s">
        <v>283</v>
      </c>
      <c r="JT16" s="525" t="s">
        <v>283</v>
      </c>
      <c r="JU16" s="525" t="s">
        <v>283</v>
      </c>
      <c r="JV16" s="525" t="s">
        <v>283</v>
      </c>
      <c r="JW16" s="525" t="s">
        <v>283</v>
      </c>
      <c r="JX16" s="525" t="s">
        <v>283</v>
      </c>
      <c r="JY16" s="525" t="s">
        <v>283</v>
      </c>
      <c r="JZ16" s="525" t="s">
        <v>283</v>
      </c>
      <c r="KA16" s="525" t="s">
        <v>283</v>
      </c>
      <c r="KB16" s="525" t="s">
        <v>283</v>
      </c>
      <c r="KC16" s="525" t="s">
        <v>283</v>
      </c>
      <c r="KD16" s="525" t="s">
        <v>283</v>
      </c>
      <c r="KE16" s="525" t="s">
        <v>283</v>
      </c>
      <c r="KF16" s="525" t="s">
        <v>283</v>
      </c>
      <c r="KG16" s="525" t="s">
        <v>283</v>
      </c>
    </row>
    <row r="17" spans="1:293" ht="24.95" customHeight="1" x14ac:dyDescent="0.2">
      <c r="A17" s="294" t="s">
        <v>17</v>
      </c>
      <c r="B17" s="294"/>
      <c r="C17" s="294"/>
      <c r="D17" s="318"/>
      <c r="E17" s="318"/>
      <c r="F17" s="327"/>
      <c r="G17" s="327"/>
      <c r="H17" s="327"/>
      <c r="I17" s="327"/>
      <c r="J17" s="317"/>
      <c r="K17" s="317"/>
      <c r="L17" s="317"/>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36"/>
      <c r="AK17" s="336"/>
      <c r="AL17" s="336"/>
      <c r="AM17" s="336"/>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8"/>
      <c r="BN17" s="318"/>
      <c r="BO17" s="327"/>
      <c r="BP17" s="327"/>
      <c r="BQ17" s="327"/>
      <c r="BR17" s="32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8"/>
      <c r="CT17" s="318"/>
      <c r="CU17" s="293"/>
      <c r="CV17" s="293"/>
      <c r="CW17" s="293"/>
      <c r="CX17" s="293"/>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25"/>
      <c r="DY17" s="325"/>
      <c r="DZ17" s="326"/>
      <c r="EA17" s="326"/>
      <c r="EB17" s="326"/>
      <c r="EC17" s="326"/>
      <c r="ED17" s="317"/>
      <c r="EE17" s="317"/>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20"/>
      <c r="FC17" s="338"/>
      <c r="FD17" s="320"/>
      <c r="FE17" s="338"/>
      <c r="FF17" s="328"/>
      <c r="FG17" s="328"/>
      <c r="FH17" s="328"/>
      <c r="FI17" s="328"/>
      <c r="FJ17" s="320"/>
      <c r="FK17" s="320"/>
      <c r="FL17" s="320"/>
      <c r="FM17" s="320"/>
      <c r="FN17" s="320"/>
      <c r="FO17" s="320"/>
      <c r="FP17" s="320"/>
      <c r="FQ17" s="320"/>
      <c r="FR17" s="320"/>
      <c r="FS17" s="320"/>
      <c r="FT17" s="320"/>
      <c r="FU17" s="320"/>
      <c r="FV17" s="320"/>
      <c r="FW17" s="320"/>
      <c r="FX17" s="320"/>
      <c r="FY17" s="320"/>
      <c r="FZ17" s="320"/>
      <c r="GA17" s="320"/>
      <c r="GB17" s="320"/>
      <c r="GC17" s="320"/>
      <c r="GD17" s="320"/>
      <c r="GE17" s="320"/>
      <c r="GF17" s="320"/>
      <c r="GG17" s="320"/>
      <c r="GH17" s="320"/>
      <c r="GI17" s="320"/>
      <c r="GJ17" s="317">
        <v>59</v>
      </c>
      <c r="GK17" s="317" t="s">
        <v>875</v>
      </c>
      <c r="GL17" s="317">
        <v>8</v>
      </c>
      <c r="GM17" s="317" t="s">
        <v>874</v>
      </c>
      <c r="GN17" s="293">
        <v>0</v>
      </c>
      <c r="GO17" s="293">
        <v>0.33</v>
      </c>
      <c r="GP17" s="293">
        <v>0.67</v>
      </c>
      <c r="GQ17" s="293">
        <v>0</v>
      </c>
      <c r="GR17" s="317" t="s">
        <v>283</v>
      </c>
      <c r="GS17" s="317" t="s">
        <v>283</v>
      </c>
      <c r="GT17" s="317" t="s">
        <v>283</v>
      </c>
      <c r="GU17" s="317" t="s">
        <v>283</v>
      </c>
      <c r="GV17" s="317" t="s">
        <v>283</v>
      </c>
      <c r="GW17" s="317" t="s">
        <v>283</v>
      </c>
      <c r="GX17" s="317" t="s">
        <v>283</v>
      </c>
      <c r="GY17" s="317" t="s">
        <v>283</v>
      </c>
      <c r="GZ17" s="317" t="s">
        <v>283</v>
      </c>
      <c r="HA17" s="317" t="s">
        <v>283</v>
      </c>
      <c r="HB17" s="317" t="s">
        <v>283</v>
      </c>
      <c r="HC17" s="317" t="s">
        <v>283</v>
      </c>
      <c r="HD17" s="317" t="s">
        <v>283</v>
      </c>
      <c r="HE17" s="317" t="s">
        <v>283</v>
      </c>
      <c r="HF17" s="317" t="s">
        <v>283</v>
      </c>
      <c r="HG17" s="317" t="s">
        <v>283</v>
      </c>
      <c r="HH17" s="317" t="s">
        <v>283</v>
      </c>
      <c r="HI17" s="317" t="s">
        <v>283</v>
      </c>
      <c r="HJ17" s="317" t="s">
        <v>283</v>
      </c>
      <c r="HK17" s="317" t="s">
        <v>283</v>
      </c>
      <c r="HL17" s="317" t="s">
        <v>283</v>
      </c>
      <c r="HM17" s="317" t="s">
        <v>283</v>
      </c>
      <c r="HN17" s="317" t="s">
        <v>283</v>
      </c>
      <c r="HO17" s="317" t="s">
        <v>283</v>
      </c>
      <c r="HP17" s="317" t="s">
        <v>283</v>
      </c>
      <c r="HQ17" s="317" t="s">
        <v>283</v>
      </c>
      <c r="IZ17" s="484">
        <v>60</v>
      </c>
      <c r="JA17" s="484" t="s">
        <v>875</v>
      </c>
      <c r="JB17" s="484">
        <v>8</v>
      </c>
      <c r="JC17" s="484" t="s">
        <v>874</v>
      </c>
      <c r="JD17" s="491">
        <v>0</v>
      </c>
      <c r="JE17" s="491">
        <v>0.19</v>
      </c>
      <c r="JF17" s="491">
        <v>0.78</v>
      </c>
      <c r="JG17" s="491">
        <v>0.03</v>
      </c>
      <c r="JH17" s="525" t="s">
        <v>283</v>
      </c>
      <c r="JI17" s="525" t="s">
        <v>283</v>
      </c>
      <c r="JJ17" s="525" t="s">
        <v>283</v>
      </c>
      <c r="JK17" s="525" t="s">
        <v>283</v>
      </c>
      <c r="JL17" s="525" t="s">
        <v>283</v>
      </c>
      <c r="JM17" s="525" t="s">
        <v>283</v>
      </c>
      <c r="JN17" s="525" t="s">
        <v>283</v>
      </c>
      <c r="JO17" s="525" t="s">
        <v>283</v>
      </c>
      <c r="JP17" s="525" t="s">
        <v>283</v>
      </c>
      <c r="JQ17" s="525" t="s">
        <v>283</v>
      </c>
      <c r="JR17" s="525" t="s">
        <v>283</v>
      </c>
      <c r="JS17" s="525" t="s">
        <v>283</v>
      </c>
      <c r="JT17" s="525" t="s">
        <v>283</v>
      </c>
      <c r="JU17" s="525" t="s">
        <v>283</v>
      </c>
      <c r="JV17" s="525" t="s">
        <v>283</v>
      </c>
      <c r="JW17" s="525" t="s">
        <v>283</v>
      </c>
      <c r="JX17" s="525" t="s">
        <v>283</v>
      </c>
      <c r="JY17" s="525" t="s">
        <v>283</v>
      </c>
      <c r="JZ17" s="525" t="s">
        <v>283</v>
      </c>
      <c r="KA17" s="525" t="s">
        <v>283</v>
      </c>
      <c r="KB17" s="525" t="s">
        <v>283</v>
      </c>
      <c r="KC17" s="525" t="s">
        <v>283</v>
      </c>
      <c r="KD17" s="525" t="s">
        <v>283</v>
      </c>
      <c r="KE17" s="525" t="s">
        <v>283</v>
      </c>
      <c r="KF17" s="525" t="s">
        <v>283</v>
      </c>
      <c r="KG17" s="525" t="s">
        <v>283</v>
      </c>
    </row>
    <row r="18" spans="1:293" ht="24.95" customHeight="1" x14ac:dyDescent="0.2">
      <c r="A18" s="198" t="s">
        <v>244</v>
      </c>
      <c r="B18" s="6"/>
      <c r="C18" s="6"/>
      <c r="D18" s="129">
        <f>AVERAGEIF($C$36:$C$171,"=1",D$36:D$171)</f>
        <v>53.176470588235297</v>
      </c>
      <c r="E18" s="129">
        <f>AVERAGEIF($C$36:$C$171,"=1",E$36:E$171)</f>
        <v>6.7647058823529411</v>
      </c>
      <c r="F18" s="39">
        <f>AVERAGEIF($C$36:$C$171,"=1",F$36:F$171)</f>
        <v>5.1764705882352963E-2</v>
      </c>
      <c r="G18" s="39">
        <f t="shared" ref="G18:AG18" si="22">AVERAGEIF($C$36:$C$171,"=1",G$36:G$171)</f>
        <v>0.59176470588235297</v>
      </c>
      <c r="H18" s="39">
        <f t="shared" si="22"/>
        <v>0.35235294117647054</v>
      </c>
      <c r="I18" s="39">
        <f t="shared" si="22"/>
        <v>3.529411764705882E-3</v>
      </c>
      <c r="J18" s="39">
        <f t="shared" si="22"/>
        <v>0.41941176470588237</v>
      </c>
      <c r="K18" s="39">
        <f t="shared" si="22"/>
        <v>0.3758823529411765</v>
      </c>
      <c r="L18" s="39">
        <f t="shared" si="22"/>
        <v>0.74470588235294144</v>
      </c>
      <c r="M18" s="39">
        <f t="shared" si="22"/>
        <v>0.23529411764705882</v>
      </c>
      <c r="N18" s="39">
        <f t="shared" si="22"/>
        <v>0.29117647058823526</v>
      </c>
      <c r="O18" s="39">
        <f t="shared" si="22"/>
        <v>0.67647058823529416</v>
      </c>
      <c r="P18" s="39">
        <f t="shared" si="22"/>
        <v>0.35999999999999993</v>
      </c>
      <c r="Q18" s="39">
        <f t="shared" si="22"/>
        <v>0.41764705882352948</v>
      </c>
      <c r="R18" s="39">
        <f t="shared" si="22"/>
        <v>0.54</v>
      </c>
      <c r="S18" s="39">
        <f t="shared" si="22"/>
        <v>0.64058823529411757</v>
      </c>
      <c r="T18" s="39">
        <f t="shared" si="22"/>
        <v>0.45529411764705885</v>
      </c>
      <c r="U18" s="39">
        <f t="shared" si="22"/>
        <v>0.63058823529411767</v>
      </c>
      <c r="V18" s="39">
        <f t="shared" si="22"/>
        <v>7.1176470588235313E-2</v>
      </c>
      <c r="W18" s="39">
        <f t="shared" si="22"/>
        <v>0.14823529411764705</v>
      </c>
      <c r="X18" s="39">
        <f t="shared" si="22"/>
        <v>0.49294117647058816</v>
      </c>
      <c r="Y18" s="39">
        <f t="shared" si="22"/>
        <v>0.51117647058823523</v>
      </c>
      <c r="Z18" s="39">
        <f t="shared" si="22"/>
        <v>0.7857142857142857</v>
      </c>
      <c r="AA18" s="39">
        <f t="shared" si="22"/>
        <v>0.11352941176470589</v>
      </c>
      <c r="AB18" s="39">
        <f t="shared" si="22"/>
        <v>0.45882352941176463</v>
      </c>
      <c r="AC18" s="39">
        <f t="shared" si="22"/>
        <v>0.23705882352941177</v>
      </c>
      <c r="AD18" s="39">
        <f t="shared" si="22"/>
        <v>0.49</v>
      </c>
      <c r="AE18" s="39">
        <f t="shared" si="22"/>
        <v>0.4264705882352941</v>
      </c>
      <c r="AF18" s="39">
        <f t="shared" si="22"/>
        <v>0.52647058823529402</v>
      </c>
      <c r="AG18" s="39">
        <f t="shared" si="22"/>
        <v>0.53705882352941181</v>
      </c>
      <c r="AH18" s="129">
        <f>AVERAGEIF($C$36:$C$171,"=1",AH$36:AH$171)</f>
        <v>52.625</v>
      </c>
      <c r="AI18" s="129">
        <f>AVERAGEIF($C$36:$C$171,"=1",AI$36:AI$171)</f>
        <v>7.375</v>
      </c>
      <c r="AJ18" s="39">
        <f>AVERAGEIF($C$36:$C$171,"=1",AJ$36:AJ$171)</f>
        <v>6.5000000000000016E-2</v>
      </c>
      <c r="AK18" s="39">
        <f t="shared" ref="AK18:BL18" si="23">AVERAGEIF($C$36:$C$171,"=1",AK$36:AK$171)</f>
        <v>0.55312500000000009</v>
      </c>
      <c r="AL18" s="39">
        <f t="shared" si="23"/>
        <v>0.375</v>
      </c>
      <c r="AM18" s="39">
        <f t="shared" si="23"/>
        <v>6.875E-3</v>
      </c>
      <c r="AN18" s="39">
        <f t="shared" si="23"/>
        <v>0.23562500000000003</v>
      </c>
      <c r="AO18" s="39">
        <f t="shared" si="23"/>
        <v>0.43500000000000005</v>
      </c>
      <c r="AP18" s="39">
        <f t="shared" si="23"/>
        <v>0.5824999999999998</v>
      </c>
      <c r="AQ18" s="39">
        <f t="shared" si="23"/>
        <v>0.39687499999999998</v>
      </c>
      <c r="AR18" s="39">
        <f t="shared" si="23"/>
        <v>0.59062500000000007</v>
      </c>
      <c r="AS18" s="39">
        <f t="shared" si="23"/>
        <v>0.52749999999999997</v>
      </c>
      <c r="AT18" s="39">
        <f t="shared" si="23"/>
        <v>0.47874999999999995</v>
      </c>
      <c r="AU18" s="39">
        <f t="shared" si="23"/>
        <v>0.49250000000000005</v>
      </c>
      <c r="AV18" s="39">
        <f t="shared" si="23"/>
        <v>0.58875</v>
      </c>
      <c r="AW18" s="39">
        <f t="shared" si="23"/>
        <v>0.450625</v>
      </c>
      <c r="AX18" s="39">
        <f t="shared" si="23"/>
        <v>0.56937500000000008</v>
      </c>
      <c r="AY18" s="39">
        <f t="shared" si="23"/>
        <v>0.30312500000000003</v>
      </c>
      <c r="AZ18" s="39">
        <f t="shared" si="23"/>
        <v>0.26187499999999997</v>
      </c>
      <c r="BA18" s="39">
        <f t="shared" si="23"/>
        <v>0.47125</v>
      </c>
      <c r="BB18" s="39">
        <f t="shared" si="23"/>
        <v>0.67125000000000001</v>
      </c>
      <c r="BC18" s="39">
        <f t="shared" si="23"/>
        <v>0.645625</v>
      </c>
      <c r="BD18" s="39">
        <f t="shared" si="23"/>
        <v>0.38812499999999989</v>
      </c>
      <c r="BE18" s="39">
        <f t="shared" si="23"/>
        <v>0.50250000000000006</v>
      </c>
      <c r="BF18" s="39">
        <f t="shared" si="23"/>
        <v>0.59187499999999993</v>
      </c>
      <c r="BG18" s="39">
        <f t="shared" si="23"/>
        <v>0.50562499999999999</v>
      </c>
      <c r="BH18" s="39">
        <f t="shared" si="23"/>
        <v>0.41499999999999998</v>
      </c>
      <c r="BI18" s="39">
        <f t="shared" si="23"/>
        <v>0.37812499999999999</v>
      </c>
      <c r="BJ18" s="39">
        <f t="shared" si="23"/>
        <v>0.33124999999999993</v>
      </c>
      <c r="BK18" s="39">
        <f t="shared" si="23"/>
        <v>0.44562499999999999</v>
      </c>
      <c r="BL18" s="39">
        <f t="shared" si="23"/>
        <v>0.44500000000000001</v>
      </c>
      <c r="BM18" s="129">
        <f>AVERAGEIF($C$36:$C$171,"=1",BM$36:BM$171)</f>
        <v>50.764705882352942</v>
      </c>
      <c r="BN18" s="129">
        <f>AVERAGEIF($C$36:$C$171,"=1",BN$36:BN$171)</f>
        <v>7.6470588235294121</v>
      </c>
      <c r="BO18" s="39">
        <f>AVERAGEIF($C$36:$C$171,"=1",BO$36:BO$171)</f>
        <v>9.8235294117647087E-2</v>
      </c>
      <c r="BP18" s="39">
        <f t="shared" ref="BP18:CR18" si="24">AVERAGEIF($C$36:$C$171,"=1",BP$36:BP$171)</f>
        <v>0.61823529411764711</v>
      </c>
      <c r="BQ18" s="39">
        <f t="shared" si="24"/>
        <v>0.27705882352941175</v>
      </c>
      <c r="BR18" s="39">
        <f t="shared" si="24"/>
        <v>8.2352941176470577E-3</v>
      </c>
      <c r="BS18" s="39">
        <f t="shared" si="24"/>
        <v>0.34352941176470592</v>
      </c>
      <c r="BT18" s="39">
        <f t="shared" si="24"/>
        <v>0.51882352941176479</v>
      </c>
      <c r="BU18" s="39">
        <f t="shared" si="24"/>
        <v>0.60588235294117643</v>
      </c>
      <c r="BV18" s="39">
        <f t="shared" si="24"/>
        <v>0.30647058823529411</v>
      </c>
      <c r="BW18" s="39">
        <f t="shared" si="24"/>
        <v>0.62470588235294122</v>
      </c>
      <c r="BX18" s="39">
        <f t="shared" si="24"/>
        <v>0.36058823529411754</v>
      </c>
      <c r="BY18" s="39">
        <f t="shared" si="24"/>
        <v>0.4611764705882353</v>
      </c>
      <c r="BZ18" s="39">
        <f t="shared" si="24"/>
        <v>0.5252941176470588</v>
      </c>
      <c r="CA18" s="39">
        <f t="shared" si="24"/>
        <v>0.42882352941176466</v>
      </c>
      <c r="CB18" s="39">
        <f t="shared" si="24"/>
        <v>0.3582352941176471</v>
      </c>
      <c r="CC18" s="39">
        <f t="shared" si="24"/>
        <v>0.15470588235294117</v>
      </c>
      <c r="CD18" s="39">
        <f t="shared" si="24"/>
        <v>0.39764705882352941</v>
      </c>
      <c r="CE18" s="39">
        <f t="shared" si="24"/>
        <v>0.34882352941176475</v>
      </c>
      <c r="CF18" s="39">
        <f t="shared" si="24"/>
        <v>0.6147058823529411</v>
      </c>
      <c r="CG18" s="39">
        <f t="shared" si="24"/>
        <v>0.60705882352941176</v>
      </c>
      <c r="CH18" s="39">
        <f t="shared" si="24"/>
        <v>0.43823529411764711</v>
      </c>
      <c r="CI18" s="39">
        <f t="shared" si="24"/>
        <v>0.56882352941176473</v>
      </c>
      <c r="CJ18" s="39">
        <f t="shared" si="24"/>
        <v>0.35823529411764704</v>
      </c>
      <c r="CK18" s="39">
        <f t="shared" si="24"/>
        <v>0.68352941176470572</v>
      </c>
      <c r="CL18" s="39">
        <f t="shared" si="24"/>
        <v>0.33058823529411768</v>
      </c>
      <c r="CM18" s="39">
        <f t="shared" si="24"/>
        <v>0.4611764705882353</v>
      </c>
      <c r="CN18" s="39">
        <f t="shared" si="24"/>
        <v>0.4864705882352941</v>
      </c>
      <c r="CO18" s="39">
        <f t="shared" si="24"/>
        <v>0.4341176470588235</v>
      </c>
      <c r="CP18" s="39">
        <f t="shared" si="24"/>
        <v>0.36117647058823527</v>
      </c>
      <c r="CQ18" s="39">
        <f t="shared" si="24"/>
        <v>0.54705882352941182</v>
      </c>
      <c r="CR18" s="39">
        <f t="shared" si="24"/>
        <v>0.53411764705882359</v>
      </c>
      <c r="CS18" s="129">
        <f>AVERAGEIF($C$36:$C$171,"=1",CS$36:CS$171)</f>
        <v>49.470588235294116</v>
      </c>
      <c r="CT18" s="129">
        <f>AVERAGEIF($C$36:$C$171,"=1",CT$36:CT$171)</f>
        <v>8</v>
      </c>
      <c r="CU18" s="39">
        <f>AVERAGEIF($C$36:$C$171,"=1",CU$36:CU$171)</f>
        <v>0.15117647058823527</v>
      </c>
      <c r="CV18" s="39">
        <f t="shared" ref="CV18:DW18" si="25">AVERAGEIF($C$36:$C$171,"=1",CV$36:CV$171)</f>
        <v>0.61882352941176466</v>
      </c>
      <c r="CW18" s="39">
        <f t="shared" si="25"/>
        <v>0.2205882352941177</v>
      </c>
      <c r="CX18" s="39">
        <f t="shared" si="25"/>
        <v>9.9999999999999985E-3</v>
      </c>
      <c r="CY18" s="39">
        <f t="shared" si="25"/>
        <v>0.51941176470588224</v>
      </c>
      <c r="CZ18" s="39">
        <f t="shared" si="25"/>
        <v>0.29941176470588238</v>
      </c>
      <c r="DA18" s="39">
        <f t="shared" si="25"/>
        <v>0.5594117647058825</v>
      </c>
      <c r="DB18" s="39">
        <f t="shared" si="25"/>
        <v>0.3664705882352941</v>
      </c>
      <c r="DC18" s="39">
        <f t="shared" si="25"/>
        <v>0.43882352941176467</v>
      </c>
      <c r="DD18" s="39">
        <f t="shared" si="25"/>
        <v>0.62999999999999989</v>
      </c>
      <c r="DE18" s="39">
        <f t="shared" si="25"/>
        <v>0.50705882352941167</v>
      </c>
      <c r="DF18" s="39">
        <f t="shared" si="25"/>
        <v>0.54588235294117649</v>
      </c>
      <c r="DG18" s="39">
        <f t="shared" si="25"/>
        <v>0.46823529411764714</v>
      </c>
      <c r="DH18" s="39">
        <f t="shared" si="25"/>
        <v>0.38235294117647056</v>
      </c>
      <c r="DI18" s="39">
        <f t="shared" si="25"/>
        <v>0.51941176470588246</v>
      </c>
      <c r="DJ18" s="39">
        <f t="shared" si="25"/>
        <v>0.53647058823529414</v>
      </c>
      <c r="DK18" s="39">
        <f t="shared" si="25"/>
        <v>0.4052941176470588</v>
      </c>
      <c r="DL18" s="39">
        <f t="shared" si="25"/>
        <v>0.35588235294117654</v>
      </c>
      <c r="DM18" s="39">
        <f t="shared" si="25"/>
        <v>0.51941176470588235</v>
      </c>
      <c r="DN18" s="39">
        <f t="shared" si="25"/>
        <v>0.52294117647058824</v>
      </c>
      <c r="DO18" s="39">
        <f t="shared" si="25"/>
        <v>0.45</v>
      </c>
      <c r="DP18" s="39">
        <f t="shared" si="25"/>
        <v>0.43705882352941178</v>
      </c>
      <c r="DQ18" s="39">
        <f t="shared" si="25"/>
        <v>0.5641176470588235</v>
      </c>
      <c r="DR18" s="39">
        <f t="shared" si="25"/>
        <v>0.19117647058823531</v>
      </c>
      <c r="DS18" s="39">
        <f t="shared" si="25"/>
        <v>0.37823529411764711</v>
      </c>
      <c r="DT18" s="39">
        <f t="shared" si="25"/>
        <v>0.57058823529411751</v>
      </c>
      <c r="DU18" s="39">
        <f t="shared" si="25"/>
        <v>0.51529411764705868</v>
      </c>
      <c r="DV18" s="39">
        <f t="shared" si="25"/>
        <v>0.59823529411764709</v>
      </c>
      <c r="DW18" s="39">
        <f t="shared" si="25"/>
        <v>0.33352941176470585</v>
      </c>
      <c r="DX18" s="129">
        <f>AVERAGEIF($C$36:$C$171,"=1",DX$36:DX$171)</f>
        <v>49.588235294117645</v>
      </c>
      <c r="DY18" s="129">
        <f>AVERAGEIF($C$36:$C$171,"=1",DY$36:DY$171)</f>
        <v>8.2941176470588243</v>
      </c>
      <c r="DZ18" s="39">
        <f>AVERAGEIF($C$36:$C$171,"=1",DZ$36:DZ$171)</f>
        <v>0.15411764705882353</v>
      </c>
      <c r="EA18" s="39">
        <f t="shared" ref="EA18:FA18" si="26">AVERAGEIF($C$36:$C$171,"=1",EA$36:EA$171)</f>
        <v>0.5776470588235294</v>
      </c>
      <c r="EB18" s="39">
        <f t="shared" si="26"/>
        <v>0.26352941176470585</v>
      </c>
      <c r="EC18" s="39">
        <f t="shared" si="26"/>
        <v>5.8823529411764705E-3</v>
      </c>
      <c r="ED18" s="39">
        <f t="shared" si="26"/>
        <v>0.48529411764705882</v>
      </c>
      <c r="EE18" s="39">
        <f t="shared" si="26"/>
        <v>0.46764705882352942</v>
      </c>
      <c r="EF18" s="39">
        <f t="shared" si="26"/>
        <v>0.46705882352941186</v>
      </c>
      <c r="EG18" s="39">
        <f t="shared" si="26"/>
        <v>0.37705882352941178</v>
      </c>
      <c r="EH18" s="39">
        <f t="shared" si="26"/>
        <v>0.44823529411764712</v>
      </c>
      <c r="EI18" s="39">
        <f t="shared" si="26"/>
        <v>0.48352941176470593</v>
      </c>
      <c r="EJ18" s="39">
        <f t="shared" si="26"/>
        <v>0.60470588235294109</v>
      </c>
      <c r="EK18" s="39">
        <f t="shared" si="26"/>
        <v>0.26823529411764702</v>
      </c>
      <c r="EL18" s="39">
        <f t="shared" si="26"/>
        <v>0.47352941176470592</v>
      </c>
      <c r="EM18" s="39">
        <f t="shared" si="26"/>
        <v>0.63058823529411756</v>
      </c>
      <c r="EN18" s="39">
        <f t="shared" si="26"/>
        <v>0.41176470588235298</v>
      </c>
      <c r="EO18" s="39">
        <f t="shared" si="26"/>
        <v>0.53823529411764692</v>
      </c>
      <c r="EP18" s="39">
        <f t="shared" si="26"/>
        <v>0.39058823529411762</v>
      </c>
      <c r="EQ18" s="39">
        <f t="shared" si="26"/>
        <v>0.30411764705882355</v>
      </c>
      <c r="ER18" s="39">
        <f t="shared" si="26"/>
        <v>0.58058823529411752</v>
      </c>
      <c r="ES18" s="39">
        <f t="shared" si="26"/>
        <v>0.48705882352941171</v>
      </c>
      <c r="ET18" s="39">
        <f t="shared" si="26"/>
        <v>0.33823529411764713</v>
      </c>
      <c r="EU18" s="39">
        <f t="shared" si="26"/>
        <v>0.62058823529411766</v>
      </c>
      <c r="EV18" s="39">
        <f t="shared" si="26"/>
        <v>0.43647058823529405</v>
      </c>
      <c r="EW18" s="39">
        <f t="shared" si="26"/>
        <v>0.32647058823529412</v>
      </c>
      <c r="EX18" s="39">
        <f t="shared" si="26"/>
        <v>0.63705882352941168</v>
      </c>
      <c r="EY18" s="39">
        <f t="shared" si="26"/>
        <v>0.60529411764705876</v>
      </c>
      <c r="EZ18" s="39">
        <f t="shared" si="26"/>
        <v>0.24764705882352941</v>
      </c>
      <c r="FA18" s="39">
        <f t="shared" si="26"/>
        <v>0.59764705882352942</v>
      </c>
      <c r="FB18" s="129">
        <f>AVERAGEIF($C$36:$C$171,"=1",FB$36:FB$171)</f>
        <v>49.705882352941174</v>
      </c>
      <c r="FD18" s="129">
        <f>AVERAGEIF($C$36:$C$171,"=1",FD$36:FD$171)</f>
        <v>7.7647058823529411</v>
      </c>
      <c r="FF18" s="39">
        <f>AVERAGEIF($C$36:$C$171,"=1",FF$36:FF$171)</f>
        <v>0.13058823529411764</v>
      </c>
      <c r="FG18" s="39">
        <f t="shared" ref="FG18:GI18" si="27">AVERAGEIF($C$36:$C$171,"=1",FG$36:FG$171)</f>
        <v>0.621764705882353</v>
      </c>
      <c r="FH18" s="39">
        <f t="shared" si="27"/>
        <v>0.24176470588235291</v>
      </c>
      <c r="FI18" s="39">
        <f t="shared" si="27"/>
        <v>7.6470588235294122E-3</v>
      </c>
      <c r="FJ18" s="39">
        <f t="shared" si="27"/>
        <v>0.45352941176470585</v>
      </c>
      <c r="FK18" s="39">
        <f t="shared" si="27"/>
        <v>0.6382352941176469</v>
      </c>
      <c r="FL18" s="39">
        <f t="shared" si="27"/>
        <v>0.48176470588235293</v>
      </c>
      <c r="FM18" s="39">
        <f t="shared" si="27"/>
        <v>0.41529411764705892</v>
      </c>
      <c r="FN18" s="39">
        <f t="shared" si="27"/>
        <v>0.25647058823529412</v>
      </c>
      <c r="FO18" s="39">
        <f t="shared" si="27"/>
        <v>0.31529411764705884</v>
      </c>
      <c r="FP18" s="39">
        <f t="shared" si="27"/>
        <v>0.3917647058823529</v>
      </c>
      <c r="FQ18" s="39">
        <f t="shared" si="27"/>
        <v>0.41941176470588237</v>
      </c>
      <c r="FR18" s="39">
        <f t="shared" si="27"/>
        <v>0.57882352941176485</v>
      </c>
      <c r="FS18" s="39">
        <f t="shared" si="27"/>
        <v>0.49705882352941172</v>
      </c>
      <c r="FT18" s="39">
        <f t="shared" si="27"/>
        <v>0.52705882352941169</v>
      </c>
      <c r="FU18" s="39">
        <f t="shared" si="27"/>
        <v>0.38529411764705879</v>
      </c>
      <c r="FV18" s="39">
        <f t="shared" si="27"/>
        <v>0.56588235294117639</v>
      </c>
      <c r="FW18" s="39">
        <f t="shared" si="27"/>
        <v>0.57941176470588229</v>
      </c>
      <c r="FX18" s="39">
        <f t="shared" si="27"/>
        <v>0.50058823529411767</v>
      </c>
      <c r="FY18" s="39">
        <f t="shared" si="27"/>
        <v>0.37764705882352939</v>
      </c>
      <c r="FZ18" s="39">
        <f t="shared" si="27"/>
        <v>0.41647058823529415</v>
      </c>
      <c r="GA18" s="39">
        <f t="shared" si="27"/>
        <v>0.47058823529411759</v>
      </c>
      <c r="GB18" s="39">
        <f t="shared" si="27"/>
        <v>0.54058823529411759</v>
      </c>
      <c r="GC18" s="39">
        <f t="shared" si="27"/>
        <v>0.44823529411764701</v>
      </c>
      <c r="GD18" s="39">
        <f t="shared" si="27"/>
        <v>0.6470588235294118</v>
      </c>
      <c r="GE18" s="39">
        <f t="shared" si="27"/>
        <v>0.52411764705882358</v>
      </c>
      <c r="GF18" s="39">
        <f t="shared" si="27"/>
        <v>0.46647058823529408</v>
      </c>
      <c r="GG18" s="39">
        <f t="shared" si="27"/>
        <v>0.47117647058823536</v>
      </c>
      <c r="GH18" s="39">
        <f t="shared" si="27"/>
        <v>0.58352941176470574</v>
      </c>
      <c r="GI18" s="39">
        <f t="shared" si="27"/>
        <v>0.26705882352941179</v>
      </c>
      <c r="GJ18" s="129">
        <f>AVERAGEIF($C$36:$C$171,"=1",GJ$36:GJ$171)</f>
        <v>50.388888888888886</v>
      </c>
      <c r="GL18" s="129">
        <f>AVERAGEIF($C$36:$C$171,"=1",GL$36:GL$171)</f>
        <v>8.6666666666666661</v>
      </c>
      <c r="GN18" s="344">
        <f>AVERAGEIF($C$36:$C$171,"=1",GN$36:GN$171)</f>
        <v>0.15166666666666667</v>
      </c>
      <c r="GO18" s="344">
        <f t="shared" ref="GO18:HQ18" si="28">AVERAGEIF($C$36:$C$171,"=1",GO$36:GO$171)</f>
        <v>0.55388888888888888</v>
      </c>
      <c r="GP18" s="344">
        <f t="shared" si="28"/>
        <v>0.28666666666666674</v>
      </c>
      <c r="GQ18" s="344">
        <f t="shared" si="28"/>
        <v>7.7777777777777767E-3</v>
      </c>
      <c r="GR18" s="344">
        <f t="shared" si="28"/>
        <v>0.47722222222222233</v>
      </c>
      <c r="GS18" s="344">
        <f t="shared" si="28"/>
        <v>0.54833333333333334</v>
      </c>
      <c r="GT18" s="344">
        <f t="shared" si="28"/>
        <v>0.62277777777777787</v>
      </c>
      <c r="GU18" s="344">
        <f t="shared" si="28"/>
        <v>0.22111111111111115</v>
      </c>
      <c r="GV18" s="344">
        <f t="shared" si="28"/>
        <v>0.55444444444444452</v>
      </c>
      <c r="GW18" s="344">
        <f t="shared" si="28"/>
        <v>0.5099999999999999</v>
      </c>
      <c r="GX18" s="344">
        <f t="shared" si="28"/>
        <v>0.4811111111111111</v>
      </c>
      <c r="GY18" s="317" t="s">
        <v>283</v>
      </c>
      <c r="GZ18" s="344">
        <f t="shared" si="28"/>
        <v>0.32444444444444442</v>
      </c>
      <c r="HA18" s="344">
        <f t="shared" si="28"/>
        <v>0.68777777777777782</v>
      </c>
      <c r="HB18" s="344">
        <f t="shared" si="28"/>
        <v>0.47555555555555556</v>
      </c>
      <c r="HC18" s="344">
        <f t="shared" si="28"/>
        <v>0.50888888888888884</v>
      </c>
      <c r="HD18" s="344">
        <f t="shared" si="28"/>
        <v>0.56777777777777783</v>
      </c>
      <c r="HE18" s="344">
        <f t="shared" si="28"/>
        <v>0.47944444444444451</v>
      </c>
      <c r="HF18" s="344">
        <f t="shared" si="28"/>
        <v>0.4794444444444444</v>
      </c>
      <c r="HG18" s="344">
        <f t="shared" si="28"/>
        <v>0.65777777777777779</v>
      </c>
      <c r="HH18" s="344">
        <f t="shared" si="28"/>
        <v>0.38611111111111113</v>
      </c>
      <c r="HI18" s="344">
        <f t="shared" si="28"/>
        <v>0.5361111111111112</v>
      </c>
      <c r="HJ18" s="344">
        <f t="shared" si="28"/>
        <v>0.59555555555555562</v>
      </c>
      <c r="HK18" s="344">
        <f t="shared" si="28"/>
        <v>0.52444444444444438</v>
      </c>
      <c r="HL18" s="344">
        <f t="shared" si="28"/>
        <v>0.39500000000000002</v>
      </c>
      <c r="HM18" s="344">
        <f t="shared" si="28"/>
        <v>0.49722222222222229</v>
      </c>
      <c r="HN18" s="344">
        <f t="shared" si="28"/>
        <v>0.51555555555555566</v>
      </c>
      <c r="HO18" s="344">
        <f t="shared" si="28"/>
        <v>0.43000000000000005</v>
      </c>
      <c r="HP18" s="317" t="s">
        <v>283</v>
      </c>
      <c r="HQ18" s="344">
        <f t="shared" si="28"/>
        <v>0.41666666666666669</v>
      </c>
      <c r="HR18" s="129">
        <f>AVERAGEIF($C$36:$C$171,"=1",HR$36:HR$171)</f>
        <v>51.411764705882355</v>
      </c>
      <c r="HT18" s="129">
        <f>AVERAGEIF($C$36:$C$171,"=1",HT$36:HT$171)</f>
        <v>8.1764705882352935</v>
      </c>
      <c r="HV18" s="344">
        <f>AVERAGEIF($C$36:$C$171,"=1",HV$36:HV$171)</f>
        <v>0.11352941176470591</v>
      </c>
      <c r="HW18" s="344">
        <f t="shared" ref="HW18:IY18" si="29">AVERAGEIF($C$36:$C$171,"=1",HW$36:HW$171)</f>
        <v>0.57529411764705873</v>
      </c>
      <c r="HX18" s="344">
        <f t="shared" si="29"/>
        <v>0.29647058823529404</v>
      </c>
      <c r="HY18" s="344">
        <f t="shared" si="29"/>
        <v>1.4117647058823528E-2</v>
      </c>
      <c r="HZ18" s="344">
        <f t="shared" si="29"/>
        <v>0.38529411764705879</v>
      </c>
      <c r="IA18" s="344">
        <f t="shared" si="29"/>
        <v>0.52176470588235302</v>
      </c>
      <c r="IB18" s="344">
        <f t="shared" si="29"/>
        <v>0.33882352941176475</v>
      </c>
      <c r="IC18" s="344">
        <f t="shared" si="29"/>
        <v>0.50176470588235289</v>
      </c>
      <c r="ID18" s="344">
        <f t="shared" si="29"/>
        <v>0.61176470588235299</v>
      </c>
      <c r="IE18" s="344">
        <f t="shared" si="29"/>
        <v>0.34058823529411764</v>
      </c>
      <c r="IF18" s="344">
        <f t="shared" si="29"/>
        <v>0.37764705882352934</v>
      </c>
      <c r="IG18" s="344">
        <f t="shared" si="29"/>
        <v>0.57647058823529418</v>
      </c>
      <c r="IH18" s="344">
        <f t="shared" si="29"/>
        <v>0.48882352941176466</v>
      </c>
      <c r="II18" s="344">
        <f t="shared" si="29"/>
        <v>0.2752941176470588</v>
      </c>
      <c r="IJ18" s="344">
        <f t="shared" si="29"/>
        <v>0.25647058823529412</v>
      </c>
      <c r="IK18" s="344">
        <f t="shared" si="29"/>
        <v>0.58882352941176475</v>
      </c>
      <c r="IL18" s="344">
        <f t="shared" si="29"/>
        <v>0.33705882352941174</v>
      </c>
      <c r="IM18" s="344">
        <f t="shared" si="29"/>
        <v>0.57823529411764718</v>
      </c>
      <c r="IN18" s="344">
        <f t="shared" si="29"/>
        <v>0.441764705882353</v>
      </c>
      <c r="IO18" s="344">
        <f t="shared" si="29"/>
        <v>0.52705882352941169</v>
      </c>
      <c r="IP18" s="344">
        <f t="shared" si="29"/>
        <v>0.41764705882352943</v>
      </c>
      <c r="IQ18" s="344">
        <f t="shared" si="29"/>
        <v>0.64235294117647057</v>
      </c>
      <c r="IR18" s="344">
        <f t="shared" si="29"/>
        <v>0.5894117647058823</v>
      </c>
      <c r="IS18" s="344">
        <f t="shared" si="29"/>
        <v>0.52176470588235291</v>
      </c>
      <c r="IT18" s="344">
        <f t="shared" si="29"/>
        <v>0.42176470588235299</v>
      </c>
      <c r="IU18" s="317" t="s">
        <v>283</v>
      </c>
      <c r="IV18" s="344">
        <f t="shared" si="29"/>
        <v>0.61294117647058821</v>
      </c>
      <c r="IW18" s="344">
        <f t="shared" si="29"/>
        <v>0.40411764705882353</v>
      </c>
      <c r="IX18" s="344">
        <f>AVERAGEIF($C$36:$C$171,"=1",IX$36:IX$171)</f>
        <v>0.50470588235294134</v>
      </c>
      <c r="IY18" s="344">
        <f t="shared" si="29"/>
        <v>0.51235294117647068</v>
      </c>
      <c r="IZ18" s="129">
        <f>AVERAGEIF($C$36:$C$171,"=1",IZ$36:IZ$171)</f>
        <v>51.222222222222221</v>
      </c>
      <c r="JA18" s="499"/>
      <c r="JB18" s="129">
        <f>AVERAGEIF($C$36:$C$171,"=1",JB$36:JB$171)</f>
        <v>8.5</v>
      </c>
      <c r="JC18" s="499"/>
      <c r="JD18" s="344">
        <f t="shared" ref="JD18:KG18" si="30">AVERAGEIF($C$36:$C$171,"=1",JD$36:JD$171)</f>
        <v>0.10555555555555557</v>
      </c>
      <c r="JE18" s="344">
        <f t="shared" si="30"/>
        <v>0.56555555555555548</v>
      </c>
      <c r="JF18" s="344">
        <f t="shared" si="30"/>
        <v>0.3216666666666666</v>
      </c>
      <c r="JG18" s="344">
        <f t="shared" si="30"/>
        <v>7.7777777777777784E-3</v>
      </c>
      <c r="JH18" s="344">
        <f t="shared" ref="JH18:KC18" si="31">AVERAGEIF($C$36:$C$171,"=1",JH$36:JH$171)</f>
        <v>0.49722222222222229</v>
      </c>
      <c r="JI18" s="344">
        <f t="shared" si="31"/>
        <v>0.43666666666666676</v>
      </c>
      <c r="JJ18" s="344">
        <f t="shared" si="31"/>
        <v>0.42777777777777781</v>
      </c>
      <c r="JK18" s="344">
        <f t="shared" si="31"/>
        <v>0.46611111111111114</v>
      </c>
      <c r="JL18" s="344">
        <f t="shared" si="31"/>
        <v>0.48999999999999994</v>
      </c>
      <c r="JM18" s="344">
        <f t="shared" si="31"/>
        <v>0.50277777777777777</v>
      </c>
      <c r="JN18" s="344">
        <f t="shared" si="31"/>
        <v>0.42333333333333334</v>
      </c>
      <c r="JO18" s="344">
        <f t="shared" si="31"/>
        <v>0.46722222222222221</v>
      </c>
      <c r="JP18" s="344">
        <f t="shared" si="31"/>
        <v>0.56055555555555558</v>
      </c>
      <c r="JQ18" s="344">
        <f t="shared" si="31"/>
        <v>0.27611111111111108</v>
      </c>
      <c r="JR18" s="344">
        <f t="shared" si="31"/>
        <v>0.59</v>
      </c>
      <c r="JS18" s="344">
        <f t="shared" si="31"/>
        <v>0.56388888888888899</v>
      </c>
      <c r="JT18" s="344">
        <f t="shared" si="31"/>
        <v>0.42388888888888893</v>
      </c>
      <c r="JU18" s="344">
        <f t="shared" si="31"/>
        <v>0.51222222222222225</v>
      </c>
      <c r="JV18" s="344">
        <f t="shared" si="31"/>
        <v>0.47833333333333328</v>
      </c>
      <c r="JW18" s="344">
        <f t="shared" si="31"/>
        <v>0.48333333333333328</v>
      </c>
      <c r="JX18" s="344">
        <f t="shared" si="31"/>
        <v>0.42944444444444435</v>
      </c>
      <c r="JY18" s="344">
        <f t="shared" si="31"/>
        <v>0.47777777777777763</v>
      </c>
      <c r="JZ18" s="344">
        <f t="shared" si="31"/>
        <v>0.44777777777777783</v>
      </c>
      <c r="KA18" s="344">
        <f t="shared" si="31"/>
        <v>0.59833333333333349</v>
      </c>
      <c r="KB18" s="344">
        <f t="shared" si="31"/>
        <v>0.43944444444444447</v>
      </c>
      <c r="KC18" s="344">
        <f t="shared" si="31"/>
        <v>0.62111111111111117</v>
      </c>
      <c r="KD18" s="344">
        <f t="shared" si="30"/>
        <v>0.35222222222222216</v>
      </c>
      <c r="KE18" s="344">
        <f>AVERAGEIF($C$36:$C$171,"=1",KE$36:KE$171)</f>
        <v>0.49666666666666676</v>
      </c>
      <c r="KF18" s="344">
        <f>AVERAGEIF($C$36:$C$171,"=1",KF$36:KF$171)</f>
        <v>0.47722222222222221</v>
      </c>
      <c r="KG18" s="344">
        <f t="shared" si="30"/>
        <v>0.53</v>
      </c>
    </row>
    <row r="19" spans="1:293" ht="24.95" customHeight="1" x14ac:dyDescent="0.2">
      <c r="A19" s="198" t="s">
        <v>245</v>
      </c>
      <c r="B19" s="6"/>
      <c r="C19" s="6"/>
      <c r="D19" s="129">
        <f>AVERAGEIF($C$36:$C$171,"=2",D$36:D$171)</f>
        <v>54.6</v>
      </c>
      <c r="E19" s="129">
        <f>AVERAGEIF($C$36:$C$171,"=2",E$36:E$171)</f>
        <v>6.95</v>
      </c>
      <c r="F19" s="39">
        <f>AVERAGEIF($C$36:$C$171,"=2",F$36:F$171)</f>
        <v>4.4999999999999998E-2</v>
      </c>
      <c r="G19" s="39">
        <f t="shared" ref="G19:AG19" si="32">AVERAGEIF($C$36:$C$171,"=2",G$36:G$171)</f>
        <v>0.50250000000000006</v>
      </c>
      <c r="H19" s="39">
        <f t="shared" si="32"/>
        <v>0.44749999999999995</v>
      </c>
      <c r="I19" s="39">
        <f t="shared" si="32"/>
        <v>7.000000000000001E-3</v>
      </c>
      <c r="J19" s="39">
        <f t="shared" si="32"/>
        <v>0.36849999999999999</v>
      </c>
      <c r="K19" s="39">
        <f t="shared" si="32"/>
        <v>0.29850000000000004</v>
      </c>
      <c r="L19" s="39">
        <f t="shared" si="32"/>
        <v>0.68600000000000017</v>
      </c>
      <c r="M19" s="39">
        <f t="shared" si="32"/>
        <v>0.20300000000000001</v>
      </c>
      <c r="N19" s="39">
        <f t="shared" si="32"/>
        <v>0.29899999999999999</v>
      </c>
      <c r="O19" s="39">
        <f t="shared" si="32"/>
        <v>0.66299999999999992</v>
      </c>
      <c r="P19" s="39">
        <f t="shared" si="32"/>
        <v>0.3135</v>
      </c>
      <c r="Q19" s="39">
        <f t="shared" si="32"/>
        <v>0.3705</v>
      </c>
      <c r="R19" s="39">
        <f t="shared" si="32"/>
        <v>0.5</v>
      </c>
      <c r="S19" s="39">
        <f t="shared" si="32"/>
        <v>0.5555000000000001</v>
      </c>
      <c r="T19" s="39">
        <f t="shared" si="32"/>
        <v>0.47550000000000009</v>
      </c>
      <c r="U19" s="39">
        <f t="shared" si="32"/>
        <v>0.61650000000000005</v>
      </c>
      <c r="V19" s="39">
        <f t="shared" si="32"/>
        <v>7.9000000000000029E-2</v>
      </c>
      <c r="W19" s="39">
        <f t="shared" si="32"/>
        <v>0.15950000000000003</v>
      </c>
      <c r="X19" s="39">
        <f t="shared" si="32"/>
        <v>0.49099999999999994</v>
      </c>
      <c r="Y19" s="39">
        <f t="shared" si="32"/>
        <v>0.48600000000000004</v>
      </c>
      <c r="Z19" s="39">
        <f t="shared" si="32"/>
        <v>0.7142857142857143</v>
      </c>
      <c r="AA19" s="39">
        <f t="shared" si="32"/>
        <v>9.0999999999999998E-2</v>
      </c>
      <c r="AB19" s="39">
        <f t="shared" si="32"/>
        <v>0.42499999999999999</v>
      </c>
      <c r="AC19" s="39">
        <f t="shared" si="32"/>
        <v>0.23449999999999999</v>
      </c>
      <c r="AD19" s="39">
        <f t="shared" si="32"/>
        <v>0.41400000000000003</v>
      </c>
      <c r="AE19" s="39">
        <f t="shared" si="32"/>
        <v>0.40150000000000008</v>
      </c>
      <c r="AF19" s="39">
        <f t="shared" si="32"/>
        <v>0.47549999999999998</v>
      </c>
      <c r="AG19" s="39">
        <f t="shared" si="32"/>
        <v>0.48550000000000004</v>
      </c>
      <c r="AH19" s="129">
        <f>AVERAGEIF($C$36:$C$171,"=2",AH$36:AH$171)</f>
        <v>52.89473684210526</v>
      </c>
      <c r="AI19" s="129">
        <f>AVERAGEIF($C$36:$C$171,"=2",AI$36:AI$171)</f>
        <v>7.2631578947368425</v>
      </c>
      <c r="AJ19" s="39">
        <f>AVERAGEIF($C$36:$C$171,"=2",AJ$36:AJ$171)</f>
        <v>8.473684210526318E-2</v>
      </c>
      <c r="AK19" s="39">
        <f t="shared" ref="AK19:BL19" si="33">AVERAGEIF($C$36:$C$171,"=2",AK$36:AK$171)</f>
        <v>0.4905263157894737</v>
      </c>
      <c r="AL19" s="39">
        <f t="shared" si="33"/>
        <v>0.41315789473684211</v>
      </c>
      <c r="AM19" s="39">
        <f t="shared" si="33"/>
        <v>1.1578947368421053E-2</v>
      </c>
      <c r="AN19" s="39">
        <f t="shared" si="33"/>
        <v>0.301578947368421</v>
      </c>
      <c r="AO19" s="39">
        <f t="shared" si="33"/>
        <v>0.42052631578947369</v>
      </c>
      <c r="AP19" s="39">
        <f t="shared" si="33"/>
        <v>0.55263157894736847</v>
      </c>
      <c r="AQ19" s="39">
        <f t="shared" si="33"/>
        <v>0.35157894736842099</v>
      </c>
      <c r="AR19" s="39">
        <f t="shared" si="33"/>
        <v>0.5363157894736843</v>
      </c>
      <c r="AS19" s="39">
        <f t="shared" si="33"/>
        <v>0.49894736842105275</v>
      </c>
      <c r="AT19" s="39">
        <f t="shared" si="33"/>
        <v>0.4826315789473683</v>
      </c>
      <c r="AU19" s="39">
        <f t="shared" si="33"/>
        <v>0.52789473684210519</v>
      </c>
      <c r="AV19" s="39">
        <f t="shared" si="33"/>
        <v>0.58736842105263154</v>
      </c>
      <c r="AW19" s="39">
        <f t="shared" si="33"/>
        <v>0.4705555555555555</v>
      </c>
      <c r="AX19" s="39">
        <f t="shared" si="33"/>
        <v>0.52999999999999992</v>
      </c>
      <c r="AY19" s="39">
        <f t="shared" si="33"/>
        <v>0.29789473684210532</v>
      </c>
      <c r="AZ19" s="39">
        <f t="shared" si="33"/>
        <v>0.24315789473684207</v>
      </c>
      <c r="BA19" s="39">
        <f t="shared" si="33"/>
        <v>0.48736842105263156</v>
      </c>
      <c r="BB19" s="39">
        <f t="shared" si="33"/>
        <v>0.62105263157894719</v>
      </c>
      <c r="BC19" s="39">
        <f t="shared" si="33"/>
        <v>0.63473684210526315</v>
      </c>
      <c r="BD19" s="39">
        <f t="shared" si="33"/>
        <v>0.41578947368421054</v>
      </c>
      <c r="BE19" s="39">
        <f t="shared" si="33"/>
        <v>0.54894736842105263</v>
      </c>
      <c r="BF19" s="39">
        <f t="shared" si="33"/>
        <v>0.62999999999999989</v>
      </c>
      <c r="BG19" s="39">
        <f t="shared" si="33"/>
        <v>0.45789473684210524</v>
      </c>
      <c r="BH19" s="39">
        <f t="shared" si="33"/>
        <v>0.42842105263157887</v>
      </c>
      <c r="BI19" s="39">
        <f t="shared" si="33"/>
        <v>0.40526315789473683</v>
      </c>
      <c r="BJ19" s="39">
        <f t="shared" si="33"/>
        <v>0.34473684210526306</v>
      </c>
      <c r="BK19" s="39">
        <f t="shared" si="33"/>
        <v>0.43</v>
      </c>
      <c r="BL19" s="39">
        <f t="shared" si="33"/>
        <v>0.45052631578947383</v>
      </c>
      <c r="BM19" s="129">
        <f>AVERAGEIF($C$36:$C$171,"=2",BM$36:BM$171)</f>
        <v>51.684210526315788</v>
      </c>
      <c r="BN19" s="129">
        <f>AVERAGEIF($C$36:$C$171,"=2",BN$36:BN$171)</f>
        <v>8.1578947368421044</v>
      </c>
      <c r="BO19" s="39">
        <f>AVERAGEIF($C$36:$C$171,"=2",BO$36:BO$171)</f>
        <v>0.10473684210526317</v>
      </c>
      <c r="BP19" s="39">
        <f t="shared" ref="BP19:CR19" si="34">AVERAGEIF($C$36:$C$171,"=2",BP$36:BP$171)</f>
        <v>0.55947368421052635</v>
      </c>
      <c r="BQ19" s="39">
        <f t="shared" si="34"/>
        <v>0.3152631578947368</v>
      </c>
      <c r="BR19" s="39">
        <f t="shared" si="34"/>
        <v>1.9473684210526317E-2</v>
      </c>
      <c r="BS19" s="39">
        <f t="shared" si="34"/>
        <v>0.33368421052631581</v>
      </c>
      <c r="BT19" s="39">
        <f t="shared" si="34"/>
        <v>0.53263157894736823</v>
      </c>
      <c r="BU19" s="39">
        <f t="shared" si="34"/>
        <v>0.64684210526315788</v>
      </c>
      <c r="BV19" s="39">
        <f t="shared" si="34"/>
        <v>0.34052631578947362</v>
      </c>
      <c r="BW19" s="39">
        <f t="shared" si="34"/>
        <v>0.62421052631578944</v>
      </c>
      <c r="BX19" s="39">
        <f t="shared" si="34"/>
        <v>0.3657894736842105</v>
      </c>
      <c r="BY19" s="39">
        <f t="shared" si="34"/>
        <v>0.40894736842105261</v>
      </c>
      <c r="BZ19" s="39">
        <f t="shared" si="34"/>
        <v>0.52421052631578946</v>
      </c>
      <c r="CA19" s="39">
        <f t="shared" si="34"/>
        <v>0.42947368421052634</v>
      </c>
      <c r="CB19" s="39">
        <f t="shared" si="34"/>
        <v>0.3521052631578947</v>
      </c>
      <c r="CC19" s="39">
        <f t="shared" si="34"/>
        <v>0.17315789473684209</v>
      </c>
      <c r="CD19" s="39">
        <f t="shared" si="34"/>
        <v>0.40578947368421053</v>
      </c>
      <c r="CE19" s="39">
        <f t="shared" si="34"/>
        <v>0.32526315789473692</v>
      </c>
      <c r="CF19" s="39">
        <f t="shared" si="34"/>
        <v>0.56105263157894736</v>
      </c>
      <c r="CG19" s="39">
        <f t="shared" si="34"/>
        <v>0.584736842105263</v>
      </c>
      <c r="CH19" s="39">
        <f t="shared" si="34"/>
        <v>0.4431578947368422</v>
      </c>
      <c r="CI19" s="39">
        <f t="shared" si="34"/>
        <v>0.57157894736842108</v>
      </c>
      <c r="CJ19" s="39">
        <f t="shared" si="34"/>
        <v>0.37263157894736848</v>
      </c>
      <c r="CK19" s="39">
        <f t="shared" si="34"/>
        <v>0.66368421052631577</v>
      </c>
      <c r="CL19" s="39">
        <f t="shared" si="34"/>
        <v>0.29421052631578948</v>
      </c>
      <c r="CM19" s="39">
        <f t="shared" si="34"/>
        <v>0.4168421052631579</v>
      </c>
      <c r="CN19" s="39">
        <f t="shared" si="34"/>
        <v>0.44894736842105271</v>
      </c>
      <c r="CO19" s="39">
        <f t="shared" si="34"/>
        <v>0.40631578947368419</v>
      </c>
      <c r="CP19" s="39">
        <f t="shared" si="34"/>
        <v>0.32052631578947366</v>
      </c>
      <c r="CQ19" s="39">
        <f t="shared" si="34"/>
        <v>0.526842105263158</v>
      </c>
      <c r="CR19" s="39">
        <f t="shared" si="34"/>
        <v>0.52421052631578935</v>
      </c>
      <c r="CS19" s="129">
        <f>AVERAGEIF($C$36:$C$171,"=2",CS$36:CS$171)</f>
        <v>51.25</v>
      </c>
      <c r="CT19" s="129">
        <f>AVERAGEIF($C$36:$C$171,"=2",CT$36:CT$171)</f>
        <v>8.0500000000000007</v>
      </c>
      <c r="CU19" s="39">
        <f>AVERAGEIF($C$36:$C$171,"=2",CU$36:CU$171)</f>
        <v>0.13300000000000003</v>
      </c>
      <c r="CV19" s="39">
        <f t="shared" ref="CV19:DW19" si="35">AVERAGEIF($C$36:$C$171,"=2",CV$36:CV$171)</f>
        <v>0.55199999999999982</v>
      </c>
      <c r="CW19" s="39">
        <f t="shared" si="35"/>
        <v>0.30299999999999999</v>
      </c>
      <c r="CX19" s="39">
        <f t="shared" si="35"/>
        <v>0.01</v>
      </c>
      <c r="CY19" s="39">
        <f t="shared" si="35"/>
        <v>0.47150000000000009</v>
      </c>
      <c r="CZ19" s="39">
        <f t="shared" si="35"/>
        <v>0.27349999999999997</v>
      </c>
      <c r="DA19" s="39">
        <f t="shared" si="35"/>
        <v>0.53700000000000014</v>
      </c>
      <c r="DB19" s="39">
        <f t="shared" si="35"/>
        <v>0.31599999999999995</v>
      </c>
      <c r="DC19" s="39">
        <f t="shared" si="35"/>
        <v>0.42750000000000005</v>
      </c>
      <c r="DD19" s="39">
        <f t="shared" si="35"/>
        <v>0.60699999999999998</v>
      </c>
      <c r="DE19" s="39">
        <f t="shared" si="35"/>
        <v>0.43149999999999994</v>
      </c>
      <c r="DF19" s="39">
        <f t="shared" si="35"/>
        <v>0.53500000000000003</v>
      </c>
      <c r="DG19" s="39">
        <f t="shared" si="35"/>
        <v>0.40749999999999992</v>
      </c>
      <c r="DH19" s="39">
        <f t="shared" si="35"/>
        <v>0.34949999999999992</v>
      </c>
      <c r="DI19" s="39">
        <f t="shared" si="35"/>
        <v>0.53700000000000003</v>
      </c>
      <c r="DJ19" s="39">
        <f t="shared" si="35"/>
        <v>0.50900000000000001</v>
      </c>
      <c r="DK19" s="39">
        <f t="shared" si="35"/>
        <v>0.36400000000000005</v>
      </c>
      <c r="DL19" s="39">
        <f t="shared" si="35"/>
        <v>0.2485</v>
      </c>
      <c r="DM19" s="39">
        <f t="shared" si="35"/>
        <v>0.49399999999999994</v>
      </c>
      <c r="DN19" s="39">
        <f t="shared" si="35"/>
        <v>0.45850000000000002</v>
      </c>
      <c r="DO19" s="39">
        <f t="shared" si="35"/>
        <v>0.39199999999999996</v>
      </c>
      <c r="DP19" s="39">
        <f t="shared" si="35"/>
        <v>0.44849999999999995</v>
      </c>
      <c r="DQ19" s="39">
        <f t="shared" si="35"/>
        <v>0.52099999999999991</v>
      </c>
      <c r="DR19" s="39">
        <f t="shared" si="35"/>
        <v>0.16799999999999998</v>
      </c>
      <c r="DS19" s="39">
        <f t="shared" si="35"/>
        <v>0.373</v>
      </c>
      <c r="DT19" s="39">
        <f t="shared" si="35"/>
        <v>0.57199999999999995</v>
      </c>
      <c r="DU19" s="39">
        <f t="shared" si="35"/>
        <v>0.50650000000000006</v>
      </c>
      <c r="DV19" s="39">
        <f t="shared" si="35"/>
        <v>0.5515000000000001</v>
      </c>
      <c r="DW19" s="39">
        <f t="shared" si="35"/>
        <v>0.30299999999999994</v>
      </c>
      <c r="DX19" s="129">
        <f>AVERAGEIF($C$36:$C$171,"=2",DX$36:DX$171)</f>
        <v>49.75</v>
      </c>
      <c r="DY19" s="129">
        <f>AVERAGEIF($C$36:$C$171,"=2",DY$36:DY$171)</f>
        <v>7.208333333333333</v>
      </c>
      <c r="DZ19" s="39">
        <f>AVERAGEIF($C$36:$C$171,"=2",DZ$36:DZ$171)</f>
        <v>0.20625000000000007</v>
      </c>
      <c r="EA19" s="39">
        <f t="shared" ref="EA19:FA19" si="36">AVERAGEIF($C$36:$C$171,"=2",EA$36:EA$171)</f>
        <v>0.51833333333333331</v>
      </c>
      <c r="EB19" s="39">
        <f t="shared" si="36"/>
        <v>0.26083333333333336</v>
      </c>
      <c r="EC19" s="39">
        <f t="shared" si="36"/>
        <v>1.4166666666666668E-2</v>
      </c>
      <c r="ED19" s="39">
        <f t="shared" si="36"/>
        <v>0.49625000000000002</v>
      </c>
      <c r="EE19" s="39">
        <f t="shared" si="36"/>
        <v>0.50750000000000017</v>
      </c>
      <c r="EF19" s="39">
        <f t="shared" si="36"/>
        <v>0.46249999999999997</v>
      </c>
      <c r="EG19" s="39">
        <f t="shared" si="36"/>
        <v>0.26250000000000001</v>
      </c>
      <c r="EH19" s="39">
        <f t="shared" si="36"/>
        <v>0.42416666666666664</v>
      </c>
      <c r="EI19" s="39">
        <f t="shared" si="36"/>
        <v>0.41083333333333333</v>
      </c>
      <c r="EJ19" s="39">
        <f t="shared" si="36"/>
        <v>0.55875000000000008</v>
      </c>
      <c r="EK19" s="39">
        <f t="shared" si="36"/>
        <v>0.30916666666666665</v>
      </c>
      <c r="EL19" s="39">
        <f t="shared" si="36"/>
        <v>0.49208333333333337</v>
      </c>
      <c r="EM19" s="39">
        <f t="shared" si="36"/>
        <v>0.65956521739130425</v>
      </c>
      <c r="EN19" s="39">
        <f t="shared" si="36"/>
        <v>0.41541666666666671</v>
      </c>
      <c r="EO19" s="39">
        <f t="shared" si="36"/>
        <v>0.56916666666666649</v>
      </c>
      <c r="EP19" s="39">
        <f t="shared" si="36"/>
        <v>0.42083333333333334</v>
      </c>
      <c r="EQ19" s="39">
        <f t="shared" si="36"/>
        <v>0.32173913043478264</v>
      </c>
      <c r="ER19" s="39">
        <f t="shared" si="36"/>
        <v>0.61458333333333337</v>
      </c>
      <c r="ES19" s="39">
        <f t="shared" si="36"/>
        <v>0.44791666666666669</v>
      </c>
      <c r="ET19" s="39">
        <f t="shared" si="36"/>
        <v>0.32041666666666674</v>
      </c>
      <c r="EU19" s="39">
        <f t="shared" si="36"/>
        <v>0.62708333333333333</v>
      </c>
      <c r="EV19" s="39">
        <f t="shared" si="36"/>
        <v>0.31714285714285717</v>
      </c>
      <c r="EW19" s="39">
        <f t="shared" si="36"/>
        <v>0.32249999999999995</v>
      </c>
      <c r="EX19" s="39">
        <f t="shared" si="36"/>
        <v>0.64818181818181819</v>
      </c>
      <c r="EY19" s="39">
        <f t="shared" si="36"/>
        <v>0.59041666666666659</v>
      </c>
      <c r="EZ19" s="39">
        <f t="shared" si="36"/>
        <v>0.24913043478260868</v>
      </c>
      <c r="FA19" s="39">
        <f t="shared" si="36"/>
        <v>0.60124999999999995</v>
      </c>
      <c r="FB19" s="129">
        <f>AVERAGEIF($C$36:$C$171,"=2",FB$36:FB$171)</f>
        <v>50.18181818181818</v>
      </c>
      <c r="FD19" s="129">
        <f>AVERAGEIF($C$36:$C$171,"=2",FD$36:FD$171)</f>
        <v>7.6818181818181817</v>
      </c>
      <c r="FF19" s="39">
        <f>AVERAGEIF($C$36:$C$171,"=2",FF$36:FF$171)</f>
        <v>0.13272727272727269</v>
      </c>
      <c r="FG19" s="39">
        <f t="shared" ref="FG19:GI19" si="37">AVERAGEIF($C$36:$C$171,"=2",FG$36:FG$171)</f>
        <v>0.58681818181818179</v>
      </c>
      <c r="FH19" s="39">
        <f t="shared" si="37"/>
        <v>0.26954545454545459</v>
      </c>
      <c r="FI19" s="39">
        <f t="shared" si="37"/>
        <v>1.1818181818181818E-2</v>
      </c>
      <c r="FJ19" s="39">
        <f t="shared" si="37"/>
        <v>0.44409090909090909</v>
      </c>
      <c r="FK19" s="39">
        <f t="shared" si="37"/>
        <v>0.63045454545454538</v>
      </c>
      <c r="FL19" s="39">
        <f t="shared" si="37"/>
        <v>0.48681818181818187</v>
      </c>
      <c r="FM19" s="39">
        <f t="shared" si="37"/>
        <v>0.45454545454545447</v>
      </c>
      <c r="FN19" s="39">
        <f t="shared" si="37"/>
        <v>0.27545454545454545</v>
      </c>
      <c r="FO19" s="39">
        <f t="shared" si="37"/>
        <v>0.29227272727272724</v>
      </c>
      <c r="FP19" s="39">
        <f t="shared" si="37"/>
        <v>0.36772727272727274</v>
      </c>
      <c r="FQ19" s="39">
        <f t="shared" si="37"/>
        <v>0.37818181818181812</v>
      </c>
      <c r="FR19" s="39">
        <f t="shared" si="37"/>
        <v>0.5945454545454546</v>
      </c>
      <c r="FS19" s="39">
        <f t="shared" si="37"/>
        <v>0.49636363636363634</v>
      </c>
      <c r="FT19" s="39">
        <f t="shared" si="37"/>
        <v>0.49454545454545468</v>
      </c>
      <c r="FU19" s="39">
        <f t="shared" si="37"/>
        <v>0.3813636363636364</v>
      </c>
      <c r="FV19" s="39">
        <f t="shared" si="37"/>
        <v>0.58045454545454545</v>
      </c>
      <c r="FW19" s="39">
        <f t="shared" si="37"/>
        <v>0.53454545454545455</v>
      </c>
      <c r="FX19" s="39">
        <f t="shared" si="37"/>
        <v>0.48409090909090902</v>
      </c>
      <c r="FY19" s="39">
        <f t="shared" si="37"/>
        <v>0.37409090909090909</v>
      </c>
      <c r="FZ19" s="39">
        <f t="shared" si="37"/>
        <v>0.44045454545454538</v>
      </c>
      <c r="GA19" s="39">
        <f t="shared" si="37"/>
        <v>0.46952380952380957</v>
      </c>
      <c r="GB19" s="39">
        <f t="shared" si="37"/>
        <v>0.48909090909090919</v>
      </c>
      <c r="GC19" s="39">
        <f t="shared" si="37"/>
        <v>0.46045454545454551</v>
      </c>
      <c r="GD19" s="39">
        <f t="shared" si="37"/>
        <v>0.58545454545454556</v>
      </c>
      <c r="GE19" s="39">
        <f t="shared" si="37"/>
        <v>0.4977272727272728</v>
      </c>
      <c r="GF19" s="39">
        <f t="shared" si="37"/>
        <v>0.43954545454545446</v>
      </c>
      <c r="GG19" s="39">
        <f t="shared" si="37"/>
        <v>0.4477272727272727</v>
      </c>
      <c r="GH19" s="39">
        <f t="shared" si="37"/>
        <v>0.55454545454545456</v>
      </c>
      <c r="GI19" s="39">
        <f t="shared" si="37"/>
        <v>0.30500000000000005</v>
      </c>
      <c r="GJ19" s="129">
        <f>AVERAGEIF($C$36:$C$171,"=2",GJ$36:GJ$171)</f>
        <v>51.52</v>
      </c>
      <c r="GL19" s="129">
        <f>AVERAGEIF($C$36:$C$171,"=2",GL$36:GL$171)</f>
        <v>7.88</v>
      </c>
      <c r="GN19" s="344">
        <f>AVERAGEIF($C$36:$C$171,"=2",GN$36:GN$171)</f>
        <v>0.1032</v>
      </c>
      <c r="GO19" s="344">
        <f t="shared" ref="GO19:HQ19" si="38">AVERAGEIF($C$36:$C$171,"=2",GO$36:GO$171)</f>
        <v>0.54000000000000015</v>
      </c>
      <c r="GP19" s="344">
        <f t="shared" si="38"/>
        <v>0.34759999999999996</v>
      </c>
      <c r="GQ19" s="344">
        <f t="shared" si="38"/>
        <v>1.1200000000000002E-2</v>
      </c>
      <c r="GR19" s="344">
        <f t="shared" si="38"/>
        <v>0.48599999999999999</v>
      </c>
      <c r="GS19" s="344">
        <f t="shared" si="38"/>
        <v>0.5252</v>
      </c>
      <c r="GT19" s="344">
        <f t="shared" si="38"/>
        <v>0.624</v>
      </c>
      <c r="GU19" s="344">
        <f t="shared" si="38"/>
        <v>0.18875</v>
      </c>
      <c r="GV19" s="344">
        <f t="shared" si="38"/>
        <v>0.52</v>
      </c>
      <c r="GW19" s="344">
        <f t="shared" si="38"/>
        <v>0.43359999999999999</v>
      </c>
      <c r="GX19" s="344">
        <f t="shared" si="38"/>
        <v>0.44880000000000009</v>
      </c>
      <c r="GY19" s="317" t="s">
        <v>283</v>
      </c>
      <c r="GZ19" s="344">
        <f t="shared" si="38"/>
        <v>0.28160000000000002</v>
      </c>
      <c r="HA19" s="344">
        <f t="shared" si="38"/>
        <v>0.71875</v>
      </c>
      <c r="HB19" s="344">
        <f t="shared" si="38"/>
        <v>0.46000000000000008</v>
      </c>
      <c r="HC19" s="344">
        <f t="shared" si="38"/>
        <v>0.51879999999999993</v>
      </c>
      <c r="HD19" s="344">
        <f t="shared" si="38"/>
        <v>0.54360000000000008</v>
      </c>
      <c r="HE19" s="344">
        <f t="shared" si="38"/>
        <v>0.42959999999999998</v>
      </c>
      <c r="HF19" s="344">
        <f t="shared" si="38"/>
        <v>0.44120000000000004</v>
      </c>
      <c r="HG19" s="344">
        <f t="shared" si="38"/>
        <v>0.63680000000000003</v>
      </c>
      <c r="HH19" s="344">
        <f t="shared" si="38"/>
        <v>0.37880000000000008</v>
      </c>
      <c r="HI19" s="344">
        <f t="shared" si="38"/>
        <v>0.53599999999999992</v>
      </c>
      <c r="HJ19" s="344">
        <f t="shared" si="38"/>
        <v>0.59599999999999997</v>
      </c>
      <c r="HK19" s="344">
        <f t="shared" si="38"/>
        <v>0.51519999999999999</v>
      </c>
      <c r="HL19" s="344">
        <f t="shared" si="38"/>
        <v>0.39560000000000017</v>
      </c>
      <c r="HM19" s="344">
        <f t="shared" si="38"/>
        <v>0.47999999999999993</v>
      </c>
      <c r="HN19" s="344">
        <f t="shared" si="38"/>
        <v>0.48159999999999997</v>
      </c>
      <c r="HO19" s="344">
        <f t="shared" si="38"/>
        <v>0.43600000000000011</v>
      </c>
      <c r="HP19" s="317" t="s">
        <v>283</v>
      </c>
      <c r="HQ19" s="344">
        <f t="shared" si="38"/>
        <v>0.42359999999999998</v>
      </c>
      <c r="HR19" s="129">
        <f>AVERAGEIF($C$36:$C$171,"=2",HR$36:HR$171)</f>
        <v>51.384615384615387</v>
      </c>
      <c r="HT19" s="129">
        <f>AVERAGEIF($C$36:$C$171,"=2",HT$36:HT$171)</f>
        <v>7.8461538461538458</v>
      </c>
      <c r="HV19" s="344">
        <f>AVERAGEIF($C$36:$C$171,"=2",HV$36:HV$171)</f>
        <v>0.13192307692307692</v>
      </c>
      <c r="HW19" s="344">
        <f t="shared" ref="HW19:IZ19" si="39">AVERAGEIF($C$36:$C$171,"=2",HW$36:HW$171)</f>
        <v>0.52423076923076928</v>
      </c>
      <c r="HX19" s="344">
        <f t="shared" si="39"/>
        <v>0.32538461538461544</v>
      </c>
      <c r="HY19" s="344">
        <f t="shared" si="39"/>
        <v>2.0384615384615386E-2</v>
      </c>
      <c r="HZ19" s="344">
        <f t="shared" si="39"/>
        <v>0.35230769230769232</v>
      </c>
      <c r="IA19" s="344">
        <f t="shared" si="39"/>
        <v>0.51846153846153853</v>
      </c>
      <c r="IB19" s="344">
        <f t="shared" si="39"/>
        <v>0.27692307692307688</v>
      </c>
      <c r="IC19" s="344">
        <f t="shared" si="39"/>
        <v>0.48153846153846147</v>
      </c>
      <c r="ID19" s="344">
        <f t="shared" si="39"/>
        <v>0.63115384615384618</v>
      </c>
      <c r="IE19" s="344">
        <f t="shared" si="39"/>
        <v>0.32500000000000007</v>
      </c>
      <c r="IF19" s="344">
        <f t="shared" si="39"/>
        <v>0.43730769230769229</v>
      </c>
      <c r="IG19" s="344">
        <f t="shared" si="39"/>
        <v>0.59846153846153849</v>
      </c>
      <c r="IH19" s="344">
        <f t="shared" si="39"/>
        <v>0.51384615384615395</v>
      </c>
      <c r="II19" s="344">
        <f t="shared" si="39"/>
        <v>0.34840000000000004</v>
      </c>
      <c r="IJ19" s="344">
        <f t="shared" si="39"/>
        <v>0.30461538461538462</v>
      </c>
      <c r="IK19" s="344">
        <f t="shared" si="39"/>
        <v>0.58269230769230773</v>
      </c>
      <c r="IL19" s="344">
        <f t="shared" si="39"/>
        <v>0.33307692307692299</v>
      </c>
      <c r="IM19" s="344">
        <f t="shared" si="39"/>
        <v>0.58538461538461539</v>
      </c>
      <c r="IN19" s="344">
        <f t="shared" si="39"/>
        <v>0.4442307692307691</v>
      </c>
      <c r="IO19" s="344">
        <f t="shared" si="39"/>
        <v>0.53576923076923066</v>
      </c>
      <c r="IP19" s="344">
        <f t="shared" si="39"/>
        <v>0.39269230769230773</v>
      </c>
      <c r="IQ19" s="344">
        <f t="shared" si="39"/>
        <v>0.59923076923076946</v>
      </c>
      <c r="IR19" s="344">
        <f t="shared" si="39"/>
        <v>0.57461538461538453</v>
      </c>
      <c r="IS19" s="344">
        <f t="shared" si="39"/>
        <v>0.54961538461538473</v>
      </c>
      <c r="IT19" s="344">
        <f t="shared" si="39"/>
        <v>0.4234615384615385</v>
      </c>
      <c r="IU19" s="317" t="s">
        <v>283</v>
      </c>
      <c r="IV19" s="344">
        <f t="shared" si="39"/>
        <v>0.61846153846153851</v>
      </c>
      <c r="IW19" s="344">
        <f t="shared" si="39"/>
        <v>0.41499999999999998</v>
      </c>
      <c r="IX19" s="344">
        <f t="shared" si="39"/>
        <v>0.50615384615384618</v>
      </c>
      <c r="IY19" s="344">
        <f t="shared" si="39"/>
        <v>0.50192307692307703</v>
      </c>
      <c r="IZ19" s="129">
        <f t="shared" si="39"/>
        <v>52.375</v>
      </c>
      <c r="JA19" s="499"/>
      <c r="JB19" s="129">
        <f t="shared" ref="JB19" si="40">AVERAGEIF($C$36:$C$171,"=2",JB$36:JB$171)</f>
        <v>8.7916666666666661</v>
      </c>
      <c r="JC19" s="499"/>
      <c r="JD19" s="344">
        <f t="shared" ref="JD19:KG19" si="41">AVERAGEIF($C$36:$C$171,"=2",JD$36:JD$171)</f>
        <v>0.13416666666666666</v>
      </c>
      <c r="JE19" s="344">
        <f t="shared" si="41"/>
        <v>0.46541666666666665</v>
      </c>
      <c r="JF19" s="344">
        <f t="shared" si="41"/>
        <v>0.37791666666666668</v>
      </c>
      <c r="JG19" s="344">
        <f t="shared" si="41"/>
        <v>2.3750000000000004E-2</v>
      </c>
      <c r="JH19" s="344">
        <f t="shared" ref="JH19:KC19" si="42">AVERAGEIF($C$36:$C$171,"=2",JH$36:JH$171)</f>
        <v>0.44</v>
      </c>
      <c r="JI19" s="344">
        <f t="shared" si="42"/>
        <v>0.43916666666666671</v>
      </c>
      <c r="JJ19" s="344">
        <f t="shared" si="42"/>
        <v>0.39208333333333328</v>
      </c>
      <c r="JK19" s="344">
        <f t="shared" si="42"/>
        <v>0.46250000000000013</v>
      </c>
      <c r="JL19" s="344">
        <f t="shared" si="42"/>
        <v>0.47083333333333338</v>
      </c>
      <c r="JM19" s="344">
        <f t="shared" si="42"/>
        <v>0.46041666666666664</v>
      </c>
      <c r="JN19" s="344">
        <f t="shared" si="42"/>
        <v>0.39750000000000002</v>
      </c>
      <c r="JO19" s="344">
        <f t="shared" si="42"/>
        <v>0.46249999999999997</v>
      </c>
      <c r="JP19" s="344">
        <f t="shared" si="42"/>
        <v>0.52041666666666664</v>
      </c>
      <c r="JQ19" s="344">
        <f t="shared" si="42"/>
        <v>0.25624999999999998</v>
      </c>
      <c r="JR19" s="344">
        <f t="shared" si="42"/>
        <v>0.53916666666666668</v>
      </c>
      <c r="JS19" s="344">
        <f t="shared" si="42"/>
        <v>0.51666666666666672</v>
      </c>
      <c r="JT19" s="344">
        <f t="shared" si="42"/>
        <v>0.44125000000000009</v>
      </c>
      <c r="JU19" s="344">
        <f t="shared" si="42"/>
        <v>0.51083333333333336</v>
      </c>
      <c r="JV19" s="344">
        <f t="shared" si="42"/>
        <v>0.47708333333333336</v>
      </c>
      <c r="JW19" s="344">
        <f t="shared" si="42"/>
        <v>0.44541666666666663</v>
      </c>
      <c r="JX19" s="344">
        <f t="shared" si="42"/>
        <v>0.40458333333333329</v>
      </c>
      <c r="JY19" s="344">
        <f t="shared" si="42"/>
        <v>0.46083333333333326</v>
      </c>
      <c r="JZ19" s="344">
        <f t="shared" si="42"/>
        <v>0.44500000000000001</v>
      </c>
      <c r="KA19" s="344">
        <f t="shared" si="42"/>
        <v>0.61666666666666659</v>
      </c>
      <c r="KB19" s="344">
        <f t="shared" si="42"/>
        <v>0.43416666666666665</v>
      </c>
      <c r="KC19" s="344">
        <f t="shared" si="42"/>
        <v>0.60250000000000004</v>
      </c>
      <c r="KD19" s="344">
        <f t="shared" si="41"/>
        <v>0.32583333333333331</v>
      </c>
      <c r="KE19" s="344">
        <f>AVERAGEIF($C$36:$C$171,"=2",KE$36:KE$171)</f>
        <v>0.42583333333333334</v>
      </c>
      <c r="KF19" s="344">
        <f>AVERAGEIF($C$36:$C$171,"=2",KF$36:KF$171)</f>
        <v>0.42375000000000007</v>
      </c>
      <c r="KG19" s="344">
        <f t="shared" si="41"/>
        <v>0.49999999999999994</v>
      </c>
    </row>
    <row r="20" spans="1:293" ht="24.95" customHeight="1" x14ac:dyDescent="0.2">
      <c r="A20" s="198" t="s">
        <v>246</v>
      </c>
      <c r="B20" s="6"/>
      <c r="C20" s="6"/>
      <c r="D20" s="129">
        <f>AVERAGEIF($C$36:$C$171,"=3",D$36:D$171)</f>
        <v>54.833333333333336</v>
      </c>
      <c r="E20" s="129">
        <f>AVERAGEIF($C$36:$C$171,"=3",E$36:E$171)</f>
        <v>7.117647058823529</v>
      </c>
      <c r="F20" s="39">
        <f>AVERAGEIF($C$36:$C$171,"=3",F$36:F$171)</f>
        <v>3.8333333333333344E-2</v>
      </c>
      <c r="G20" s="39">
        <f t="shared" ref="G20:AG20" si="43">AVERAGEIF($C$36:$C$171,"=3",G$36:G$171)</f>
        <v>0.51777777777777767</v>
      </c>
      <c r="H20" s="39">
        <f t="shared" si="43"/>
        <v>0.43777777777777782</v>
      </c>
      <c r="I20" s="39">
        <f t="shared" si="43"/>
        <v>6.6666666666666662E-3</v>
      </c>
      <c r="J20" s="39">
        <f t="shared" si="43"/>
        <v>0.35055555555555551</v>
      </c>
      <c r="K20" s="39">
        <f t="shared" si="43"/>
        <v>0.33666666666666667</v>
      </c>
      <c r="L20" s="39">
        <f t="shared" si="43"/>
        <v>0.71888888888888891</v>
      </c>
      <c r="M20" s="39">
        <f t="shared" si="43"/>
        <v>0.19444444444444445</v>
      </c>
      <c r="N20" s="39">
        <f t="shared" si="43"/>
        <v>0.27333333333333337</v>
      </c>
      <c r="O20" s="39">
        <f t="shared" si="43"/>
        <v>0.6661111111111111</v>
      </c>
      <c r="P20" s="39">
        <f t="shared" si="43"/>
        <v>0.31499999999999995</v>
      </c>
      <c r="Q20" s="39">
        <f t="shared" si="43"/>
        <v>0.39111111111111113</v>
      </c>
      <c r="R20" s="39">
        <f t="shared" si="43"/>
        <v>0.48388888888888881</v>
      </c>
      <c r="S20" s="39">
        <f t="shared" si="43"/>
        <v>0.59055555555555539</v>
      </c>
      <c r="T20" s="39">
        <f t="shared" si="43"/>
        <v>0.44666666666666671</v>
      </c>
      <c r="U20" s="39">
        <f t="shared" si="43"/>
        <v>0.568888888888889</v>
      </c>
      <c r="V20" s="39">
        <f t="shared" si="43"/>
        <v>5.7222222222222223E-2</v>
      </c>
      <c r="W20" s="39">
        <f t="shared" si="43"/>
        <v>0.14166666666666666</v>
      </c>
      <c r="X20" s="39">
        <f t="shared" si="43"/>
        <v>0.48722222222222228</v>
      </c>
      <c r="Y20" s="39">
        <f t="shared" si="43"/>
        <v>0.45222222222222225</v>
      </c>
      <c r="Z20" s="39">
        <f t="shared" si="43"/>
        <v>0.90111111111111108</v>
      </c>
      <c r="AA20" s="39">
        <f t="shared" si="43"/>
        <v>0.1138888888888889</v>
      </c>
      <c r="AB20" s="39">
        <f t="shared" si="43"/>
        <v>0.44444444444444442</v>
      </c>
      <c r="AC20" s="39">
        <f t="shared" si="43"/>
        <v>0.22388888888888894</v>
      </c>
      <c r="AD20" s="39">
        <f t="shared" si="43"/>
        <v>0.43333333333333335</v>
      </c>
      <c r="AE20" s="39">
        <f t="shared" si="43"/>
        <v>0.41000000000000003</v>
      </c>
      <c r="AF20" s="39">
        <f t="shared" si="43"/>
        <v>0.49611111111111111</v>
      </c>
      <c r="AG20" s="39">
        <f t="shared" si="43"/>
        <v>0.45333333333333337</v>
      </c>
      <c r="AH20" s="129">
        <f>AVERAGEIF($C$36:$C$171,"=3",AH$36:AH$171)</f>
        <v>53.157894736842103</v>
      </c>
      <c r="AI20" s="129">
        <f>AVERAGEIF($C$36:$C$171,"=3",AI$36:AI$171)</f>
        <v>7.7222222222222223</v>
      </c>
      <c r="AJ20" s="39">
        <f>AVERAGEIF($C$36:$C$171,"=3",AJ$36:AJ$171)</f>
        <v>5.6315789473684215E-2</v>
      </c>
      <c r="AK20" s="39">
        <f t="shared" ref="AK20:BL20" si="44">AVERAGEIF($C$36:$C$171,"=3",AK$36:AK$171)</f>
        <v>0.55473684210526308</v>
      </c>
      <c r="AL20" s="39">
        <f t="shared" si="44"/>
        <v>0.37421052631578955</v>
      </c>
      <c r="AM20" s="39">
        <f t="shared" si="44"/>
        <v>1.368421052631579E-2</v>
      </c>
      <c r="AN20" s="39">
        <f t="shared" si="44"/>
        <v>0.2742105263157894</v>
      </c>
      <c r="AO20" s="39">
        <f t="shared" si="44"/>
        <v>0.45526315789473676</v>
      </c>
      <c r="AP20" s="39">
        <f t="shared" si="44"/>
        <v>0.55210526315789477</v>
      </c>
      <c r="AQ20" s="39">
        <f t="shared" si="44"/>
        <v>0.36000000000000004</v>
      </c>
      <c r="AR20" s="39">
        <f t="shared" si="44"/>
        <v>0.55263157894736847</v>
      </c>
      <c r="AS20" s="39">
        <f t="shared" si="44"/>
        <v>0.50105263157894742</v>
      </c>
      <c r="AT20" s="39">
        <f t="shared" si="44"/>
        <v>0.5</v>
      </c>
      <c r="AU20" s="39">
        <f t="shared" si="44"/>
        <v>0.50368421052631585</v>
      </c>
      <c r="AV20" s="39">
        <f t="shared" si="44"/>
        <v>0.59105263157894716</v>
      </c>
      <c r="AW20" s="39">
        <f t="shared" si="44"/>
        <v>0.45631578947368429</v>
      </c>
      <c r="AX20" s="39">
        <f t="shared" si="44"/>
        <v>0.52578947368421058</v>
      </c>
      <c r="AY20" s="39">
        <f t="shared" si="44"/>
        <v>0.29526315789473684</v>
      </c>
      <c r="AZ20" s="39">
        <f t="shared" si="44"/>
        <v>0.28157894736842104</v>
      </c>
      <c r="BA20" s="39">
        <f t="shared" si="44"/>
        <v>0.46789473684210531</v>
      </c>
      <c r="BB20" s="39">
        <f t="shared" si="44"/>
        <v>0.65894736842105261</v>
      </c>
      <c r="BC20" s="39">
        <f t="shared" si="44"/>
        <v>0.65105263157894733</v>
      </c>
      <c r="BD20" s="39">
        <f t="shared" si="44"/>
        <v>0.38157894736842102</v>
      </c>
      <c r="BE20" s="39">
        <f t="shared" si="44"/>
        <v>0.5557894736842105</v>
      </c>
      <c r="BF20" s="39">
        <f t="shared" si="44"/>
        <v>0.58526315789473693</v>
      </c>
      <c r="BG20" s="39">
        <f t="shared" si="44"/>
        <v>0.5015789473684209</v>
      </c>
      <c r="BH20" s="39">
        <f t="shared" si="44"/>
        <v>0.41157894736842104</v>
      </c>
      <c r="BI20" s="39">
        <f t="shared" si="44"/>
        <v>0.38947368421052625</v>
      </c>
      <c r="BJ20" s="39">
        <f t="shared" si="44"/>
        <v>0.34052631578947373</v>
      </c>
      <c r="BK20" s="39">
        <f t="shared" si="44"/>
        <v>0.42684210526315797</v>
      </c>
      <c r="BL20" s="39">
        <f t="shared" si="44"/>
        <v>0.47473684210526323</v>
      </c>
      <c r="BM20" s="129">
        <f>AVERAGEIF($C$36:$C$171,"=3",BM$36:BM$171)</f>
        <v>52</v>
      </c>
      <c r="BN20" s="129">
        <f>AVERAGEIF($C$36:$C$171,"=3",BN$36:BN$171)</f>
        <v>8.1111111111111107</v>
      </c>
      <c r="BO20" s="39">
        <f>AVERAGEIF($C$36:$C$171,"=3",BO$36:BO$171)</f>
        <v>9.684210526315791E-2</v>
      </c>
      <c r="BP20" s="39">
        <f t="shared" ref="BP20:CR20" si="45">AVERAGEIF($C$36:$C$171,"=3",BP$36:BP$171)</f>
        <v>0.52263157894736845</v>
      </c>
      <c r="BQ20" s="39">
        <f t="shared" si="45"/>
        <v>0.36842105263157893</v>
      </c>
      <c r="BR20" s="39">
        <f t="shared" si="45"/>
        <v>1.2105263157894739E-2</v>
      </c>
      <c r="BS20" s="39">
        <f t="shared" si="45"/>
        <v>0.33578947368421053</v>
      </c>
      <c r="BT20" s="39">
        <f t="shared" si="45"/>
        <v>0.55842105263157893</v>
      </c>
      <c r="BU20" s="39">
        <f t="shared" si="45"/>
        <v>0.63157894736842113</v>
      </c>
      <c r="BV20" s="39">
        <f t="shared" si="45"/>
        <v>0.28842105263157897</v>
      </c>
      <c r="BW20" s="39">
        <f t="shared" si="45"/>
        <v>0.61842105263157898</v>
      </c>
      <c r="BX20" s="39">
        <f t="shared" si="45"/>
        <v>0.34315789473684211</v>
      </c>
      <c r="BY20" s="39">
        <f t="shared" si="45"/>
        <v>0.40842105263157891</v>
      </c>
      <c r="BZ20" s="39">
        <f t="shared" si="45"/>
        <v>0.49263157894736848</v>
      </c>
      <c r="CA20" s="39">
        <f t="shared" si="45"/>
        <v>0.42052631578947369</v>
      </c>
      <c r="CB20" s="39">
        <f t="shared" si="45"/>
        <v>0.35000000000000003</v>
      </c>
      <c r="CC20" s="39">
        <f t="shared" si="45"/>
        <v>0.19157894736842107</v>
      </c>
      <c r="CD20" s="39">
        <f t="shared" si="45"/>
        <v>0.39578947368421052</v>
      </c>
      <c r="CE20" s="39">
        <f t="shared" si="45"/>
        <v>0.31157894736842101</v>
      </c>
      <c r="CF20" s="39">
        <f t="shared" si="45"/>
        <v>0.57315789473684209</v>
      </c>
      <c r="CG20" s="39">
        <f t="shared" si="45"/>
        <v>0.57473684210526321</v>
      </c>
      <c r="CH20" s="39">
        <f t="shared" si="45"/>
        <v>0.41578947368421049</v>
      </c>
      <c r="CI20" s="39">
        <f t="shared" si="45"/>
        <v>0.5378947368421052</v>
      </c>
      <c r="CJ20" s="39">
        <f t="shared" si="45"/>
        <v>0.35052631578947374</v>
      </c>
      <c r="CK20" s="39">
        <f t="shared" si="45"/>
        <v>0.66368421052631577</v>
      </c>
      <c r="CL20" s="39">
        <f t="shared" si="45"/>
        <v>0.27368421052631581</v>
      </c>
      <c r="CM20" s="39">
        <f t="shared" si="45"/>
        <v>0.41842105263157897</v>
      </c>
      <c r="CN20" s="39">
        <f t="shared" si="45"/>
        <v>0.42263157894736847</v>
      </c>
      <c r="CO20" s="39">
        <f t="shared" si="45"/>
        <v>0.42368421052631583</v>
      </c>
      <c r="CP20" s="39">
        <f t="shared" si="45"/>
        <v>0.33631578947368423</v>
      </c>
      <c r="CQ20" s="39">
        <f t="shared" si="45"/>
        <v>0.52368421052631586</v>
      </c>
      <c r="CR20" s="39">
        <f t="shared" si="45"/>
        <v>0.52789473684210519</v>
      </c>
      <c r="CS20" s="129">
        <f>AVERAGEIF($C$36:$C$171,"=3",CS$36:CS$171)</f>
        <v>50.578947368421055</v>
      </c>
      <c r="CT20" s="129">
        <f>AVERAGEIF($C$36:$C$171,"=3",CT$36:CT$171)</f>
        <v>8</v>
      </c>
      <c r="CU20" s="39">
        <f>AVERAGEIF($C$36:$C$171,"=3",CU$36:CU$171)</f>
        <v>0.10789473684210525</v>
      </c>
      <c r="CV20" s="39">
        <f t="shared" ref="CV20:DW20" si="46">AVERAGEIF($C$36:$C$171,"=3",CV$36:CV$171)</f>
        <v>0.62157894736842101</v>
      </c>
      <c r="CW20" s="39">
        <f t="shared" si="46"/>
        <v>0.26736842105263159</v>
      </c>
      <c r="CX20" s="39">
        <f t="shared" si="46"/>
        <v>3.684210526315789E-3</v>
      </c>
      <c r="CY20" s="39">
        <f t="shared" si="46"/>
        <v>0.49631578947368421</v>
      </c>
      <c r="CZ20" s="39">
        <f t="shared" si="46"/>
        <v>0.29578947368421049</v>
      </c>
      <c r="DA20" s="39">
        <f t="shared" si="46"/>
        <v>0.57578947368421063</v>
      </c>
      <c r="DB20" s="39">
        <f t="shared" si="46"/>
        <v>0.36631578947368426</v>
      </c>
      <c r="DC20" s="39">
        <f t="shared" si="46"/>
        <v>0.4447368421052631</v>
      </c>
      <c r="DD20" s="39">
        <f t="shared" si="46"/>
        <v>0.61</v>
      </c>
      <c r="DE20" s="39">
        <f t="shared" si="46"/>
        <v>0.43684210526315792</v>
      </c>
      <c r="DF20" s="39">
        <f t="shared" si="46"/>
        <v>0.52578947368421058</v>
      </c>
      <c r="DG20" s="39">
        <f t="shared" si="46"/>
        <v>0.43473684210526325</v>
      </c>
      <c r="DH20" s="39">
        <f t="shared" si="46"/>
        <v>0.34315789473684211</v>
      </c>
      <c r="DI20" s="39">
        <f t="shared" si="46"/>
        <v>0.48210526315789481</v>
      </c>
      <c r="DJ20" s="39">
        <f t="shared" si="46"/>
        <v>0.49421052631578949</v>
      </c>
      <c r="DK20" s="39">
        <f t="shared" si="46"/>
        <v>0.35684210526315796</v>
      </c>
      <c r="DL20" s="39">
        <f t="shared" si="46"/>
        <v>0.35263157894736841</v>
      </c>
      <c r="DM20" s="39">
        <f t="shared" si="46"/>
        <v>0.49368421052631584</v>
      </c>
      <c r="DN20" s="39">
        <f t="shared" si="46"/>
        <v>0.4789473684210529</v>
      </c>
      <c r="DO20" s="39">
        <f t="shared" si="46"/>
        <v>0.42526315789473673</v>
      </c>
      <c r="DP20" s="39">
        <f t="shared" si="46"/>
        <v>0.45842105263157901</v>
      </c>
      <c r="DQ20" s="39">
        <f t="shared" si="46"/>
        <v>0.55315789473684229</v>
      </c>
      <c r="DR20" s="39">
        <f t="shared" si="46"/>
        <v>0.17789473684210527</v>
      </c>
      <c r="DS20" s="39">
        <f t="shared" si="46"/>
        <v>0.36684210526315786</v>
      </c>
      <c r="DT20" s="39">
        <f t="shared" si="46"/>
        <v>0.5557894736842105</v>
      </c>
      <c r="DU20" s="39">
        <f t="shared" si="46"/>
        <v>0.50315789473684203</v>
      </c>
      <c r="DV20" s="39">
        <f t="shared" si="46"/>
        <v>0.59105263157894727</v>
      </c>
      <c r="DW20" s="39">
        <f t="shared" si="46"/>
        <v>0.34</v>
      </c>
      <c r="DX20" s="129">
        <f>AVERAGEIF($C$36:$C$171,"=3",DX$36:DX$171)</f>
        <v>50.95</v>
      </c>
      <c r="DY20" s="129">
        <f>AVERAGEIF($C$36:$C$171,"=3",DY$36:DY$171)</f>
        <v>8.5500000000000007</v>
      </c>
      <c r="DZ20" s="39">
        <f>AVERAGEIF($C$36:$C$171,"=3",DZ$36:DZ$171)</f>
        <v>0.14500000000000002</v>
      </c>
      <c r="EA20" s="39">
        <f t="shared" ref="EA20:FA20" si="47">AVERAGEIF($C$36:$C$171,"=3",EA$36:EA$171)</f>
        <v>0.53349999999999997</v>
      </c>
      <c r="EB20" s="39">
        <f t="shared" si="47"/>
        <v>0.3155</v>
      </c>
      <c r="EC20" s="39">
        <f t="shared" si="47"/>
        <v>8.0000000000000002E-3</v>
      </c>
      <c r="ED20" s="39">
        <f t="shared" si="47"/>
        <v>0.47300000000000003</v>
      </c>
      <c r="EE20" s="39">
        <f t="shared" si="47"/>
        <v>0.44550000000000012</v>
      </c>
      <c r="EF20" s="39">
        <f t="shared" si="47"/>
        <v>0.46850000000000014</v>
      </c>
      <c r="EG20" s="39">
        <f t="shared" si="47"/>
        <v>0.3175</v>
      </c>
      <c r="EH20" s="39">
        <f t="shared" si="47"/>
        <v>0.42200000000000004</v>
      </c>
      <c r="EI20" s="39">
        <f t="shared" si="47"/>
        <v>0.47300000000000003</v>
      </c>
      <c r="EJ20" s="39">
        <f t="shared" si="47"/>
        <v>0.55400000000000005</v>
      </c>
      <c r="EK20" s="39">
        <f t="shared" si="47"/>
        <v>0.2525</v>
      </c>
      <c r="EL20" s="39">
        <f t="shared" si="47"/>
        <v>0.44000000000000011</v>
      </c>
      <c r="EM20" s="39">
        <f t="shared" si="47"/>
        <v>0.63349999999999995</v>
      </c>
      <c r="EN20" s="39">
        <f t="shared" si="47"/>
        <v>0.42299999999999993</v>
      </c>
      <c r="EO20" s="39">
        <f t="shared" si="47"/>
        <v>0.56299999999999994</v>
      </c>
      <c r="EP20" s="39">
        <f t="shared" si="47"/>
        <v>0.32799999999999996</v>
      </c>
      <c r="EQ20" s="39">
        <f t="shared" si="47"/>
        <v>0.25149999999999995</v>
      </c>
      <c r="ER20" s="39">
        <f t="shared" si="47"/>
        <v>0.59499999999999997</v>
      </c>
      <c r="ES20" s="39">
        <f t="shared" si="47"/>
        <v>0.4469999999999999</v>
      </c>
      <c r="ET20" s="39">
        <f t="shared" si="47"/>
        <v>0.30199999999999999</v>
      </c>
      <c r="EU20" s="39">
        <f t="shared" si="47"/>
        <v>0.58799999999999997</v>
      </c>
      <c r="EV20" s="39">
        <f t="shared" si="47"/>
        <v>0.37450000000000006</v>
      </c>
      <c r="EW20" s="39">
        <f t="shared" si="47"/>
        <v>0.30250000000000005</v>
      </c>
      <c r="EX20" s="39">
        <f t="shared" si="47"/>
        <v>0.66200000000000003</v>
      </c>
      <c r="EY20" s="39">
        <f t="shared" si="47"/>
        <v>0.56099999999999994</v>
      </c>
      <c r="EZ20" s="39">
        <f t="shared" si="47"/>
        <v>0.2</v>
      </c>
      <c r="FA20" s="39">
        <f t="shared" si="47"/>
        <v>0.59050000000000002</v>
      </c>
      <c r="FB20" s="129">
        <f>AVERAGEIF($C$36:$C$171,"=3",FB$36:FB$171)</f>
        <v>51</v>
      </c>
      <c r="FD20" s="129">
        <f>AVERAGEIF($C$36:$C$171,"=3",FD$36:FD$171)</f>
        <v>7.85</v>
      </c>
      <c r="FF20" s="39">
        <f>AVERAGEIF($C$36:$C$171,"=3",FF$36:FF$171)</f>
        <v>9.9000000000000005E-2</v>
      </c>
      <c r="FG20" s="39">
        <f t="shared" ref="FG20:GI20" si="48">AVERAGEIF($C$36:$C$171,"=3",FG$36:FG$171)</f>
        <v>0.60099999999999998</v>
      </c>
      <c r="FH20" s="39">
        <f t="shared" si="48"/>
        <v>0.28900000000000003</v>
      </c>
      <c r="FI20" s="39">
        <f t="shared" si="48"/>
        <v>1.0000000000000002E-2</v>
      </c>
      <c r="FJ20" s="39">
        <f t="shared" si="48"/>
        <v>0.44699999999999995</v>
      </c>
      <c r="FK20" s="39">
        <f t="shared" si="48"/>
        <v>0.66149999999999998</v>
      </c>
      <c r="FL20" s="39">
        <f t="shared" si="48"/>
        <v>0.47800000000000004</v>
      </c>
      <c r="FM20" s="39">
        <f t="shared" si="48"/>
        <v>0.40499999999999997</v>
      </c>
      <c r="FN20" s="39">
        <f t="shared" si="48"/>
        <v>0.2455</v>
      </c>
      <c r="FO20" s="39">
        <f t="shared" si="48"/>
        <v>0.317</v>
      </c>
      <c r="FP20" s="39">
        <f t="shared" si="48"/>
        <v>0.36150000000000004</v>
      </c>
      <c r="FQ20" s="39">
        <f t="shared" si="48"/>
        <v>0.37999999999999995</v>
      </c>
      <c r="FR20" s="39">
        <f t="shared" si="48"/>
        <v>0.57199999999999995</v>
      </c>
      <c r="FS20" s="39">
        <f t="shared" si="48"/>
        <v>0.51500000000000012</v>
      </c>
      <c r="FT20" s="39">
        <f t="shared" si="48"/>
        <v>0.49099999999999999</v>
      </c>
      <c r="FU20" s="39">
        <f t="shared" si="48"/>
        <v>0.33750000000000002</v>
      </c>
      <c r="FV20" s="39">
        <f t="shared" si="48"/>
        <v>0.5555000000000001</v>
      </c>
      <c r="FW20" s="39">
        <f t="shared" si="48"/>
        <v>0.53950000000000009</v>
      </c>
      <c r="FX20" s="39">
        <f t="shared" si="48"/>
        <v>0.42750000000000005</v>
      </c>
      <c r="FY20" s="39">
        <f t="shared" si="48"/>
        <v>0.33300000000000002</v>
      </c>
      <c r="FZ20" s="39">
        <f t="shared" si="48"/>
        <v>0.40000000000000008</v>
      </c>
      <c r="GA20" s="39">
        <f t="shared" si="48"/>
        <v>0.48799999999999999</v>
      </c>
      <c r="GB20" s="39">
        <f t="shared" si="48"/>
        <v>0.51649999999999996</v>
      </c>
      <c r="GC20" s="39">
        <f t="shared" si="48"/>
        <v>0.4215000000000001</v>
      </c>
      <c r="GD20" s="39">
        <f t="shared" si="48"/>
        <v>0.59349999999999992</v>
      </c>
      <c r="GE20" s="39">
        <f t="shared" si="48"/>
        <v>0.50849999999999995</v>
      </c>
      <c r="GF20" s="39">
        <f t="shared" si="48"/>
        <v>0.441</v>
      </c>
      <c r="GG20" s="39">
        <f t="shared" si="48"/>
        <v>0.4210000000000001</v>
      </c>
      <c r="GH20" s="39">
        <f t="shared" si="48"/>
        <v>0.53850000000000009</v>
      </c>
      <c r="GI20" s="39">
        <f t="shared" si="48"/>
        <v>0.24349999999999997</v>
      </c>
      <c r="GJ20" s="129">
        <f>AVERAGEIF($C$36:$C$171,"=3",GJ$36:GJ$171)</f>
        <v>51.5</v>
      </c>
      <c r="GL20" s="129">
        <f>AVERAGEIF($C$36:$C$171,"=3",GL$36:GL$171)</f>
        <v>8.6818181818181817</v>
      </c>
      <c r="GN20" s="344">
        <f>AVERAGEIF($C$36:$C$171,"=3",GN$36:GN$171)</f>
        <v>0.12363636363636367</v>
      </c>
      <c r="GO20" s="344">
        <f t="shared" ref="GO20:HQ20" si="49">AVERAGEIF($C$36:$C$171,"=3",GO$36:GO$171)</f>
        <v>0.52954545454545443</v>
      </c>
      <c r="GP20" s="344">
        <f t="shared" si="49"/>
        <v>0.32999999999999985</v>
      </c>
      <c r="GQ20" s="344">
        <f t="shared" si="49"/>
        <v>1.7272727272727273E-2</v>
      </c>
      <c r="GR20" s="344">
        <f t="shared" si="49"/>
        <v>0.48227272727272735</v>
      </c>
      <c r="GS20" s="344">
        <f t="shared" si="49"/>
        <v>0.49136363636363628</v>
      </c>
      <c r="GT20" s="344">
        <f t="shared" si="49"/>
        <v>0.59318181818181825</v>
      </c>
      <c r="GU20" s="344">
        <f t="shared" si="49"/>
        <v>0.2195454545454546</v>
      </c>
      <c r="GV20" s="344">
        <f t="shared" si="49"/>
        <v>0.54181818181818187</v>
      </c>
      <c r="GW20" s="344">
        <f t="shared" si="49"/>
        <v>0.46545454545454557</v>
      </c>
      <c r="GX20" s="344">
        <f t="shared" si="49"/>
        <v>0.44500000000000006</v>
      </c>
      <c r="GY20" s="317" t="s">
        <v>283</v>
      </c>
      <c r="GZ20" s="344">
        <f t="shared" si="49"/>
        <v>0.27954545454545454</v>
      </c>
      <c r="HA20" s="344">
        <f t="shared" si="49"/>
        <v>0.66272727272727283</v>
      </c>
      <c r="HB20" s="344">
        <f t="shared" si="49"/>
        <v>0.4413636363636364</v>
      </c>
      <c r="HC20" s="344">
        <f t="shared" si="49"/>
        <v>0.49954545454545463</v>
      </c>
      <c r="HD20" s="344">
        <f t="shared" si="49"/>
        <v>0.54181818181818187</v>
      </c>
      <c r="HE20" s="344">
        <f t="shared" si="49"/>
        <v>0.46045454545454551</v>
      </c>
      <c r="HF20" s="344">
        <f t="shared" si="49"/>
        <v>0.46181818181818185</v>
      </c>
      <c r="HG20" s="344">
        <f t="shared" si="49"/>
        <v>0.65090909090909088</v>
      </c>
      <c r="HH20" s="344">
        <f t="shared" si="49"/>
        <v>0.36318181818181822</v>
      </c>
      <c r="HI20" s="344">
        <f t="shared" si="49"/>
        <v>0.50909090909090915</v>
      </c>
      <c r="HJ20" s="344">
        <f t="shared" si="49"/>
        <v>0.58636363636363653</v>
      </c>
      <c r="HK20" s="344">
        <f t="shared" si="49"/>
        <v>0.52772727272727282</v>
      </c>
      <c r="HL20" s="344">
        <f t="shared" si="49"/>
        <v>0.41727272727272724</v>
      </c>
      <c r="HM20" s="344">
        <f t="shared" si="49"/>
        <v>0.46772727272727271</v>
      </c>
      <c r="HN20" s="344">
        <f t="shared" si="49"/>
        <v>0.47090909090909094</v>
      </c>
      <c r="HO20" s="344">
        <f t="shared" si="49"/>
        <v>0.39954545454545448</v>
      </c>
      <c r="HP20" s="317" t="s">
        <v>283</v>
      </c>
      <c r="HQ20" s="344">
        <f t="shared" si="49"/>
        <v>0.405909090909091</v>
      </c>
      <c r="HR20" s="129">
        <f>AVERAGEIF($C$36:$C$171,"=3",HR$36:HR$171)</f>
        <v>52.272727272727273</v>
      </c>
      <c r="HT20" s="129">
        <f>AVERAGEIF($C$36:$C$171,"=3",HT$36:HT$171)</f>
        <v>8.5</v>
      </c>
      <c r="HV20" s="344">
        <f>AVERAGEIF($C$36:$C$171,"=3",HV$36:HV$171)</f>
        <v>0.1081818181818182</v>
      </c>
      <c r="HW20" s="344">
        <f t="shared" ref="HW20:IZ20" si="50">AVERAGEIF($C$36:$C$171,"=3",HW$36:HW$171)</f>
        <v>0.51272727272727281</v>
      </c>
      <c r="HX20" s="344">
        <f t="shared" si="50"/>
        <v>0.36727272727272736</v>
      </c>
      <c r="HY20" s="344">
        <f t="shared" si="50"/>
        <v>1.3181818181818183E-2</v>
      </c>
      <c r="HZ20" s="344">
        <f t="shared" si="50"/>
        <v>0.35136363636363632</v>
      </c>
      <c r="IA20" s="344">
        <f t="shared" si="50"/>
        <v>0.51</v>
      </c>
      <c r="IB20" s="344">
        <f t="shared" si="50"/>
        <v>0.3318181818181819</v>
      </c>
      <c r="IC20" s="344">
        <f t="shared" si="50"/>
        <v>0.46363636363636368</v>
      </c>
      <c r="ID20" s="344">
        <f t="shared" si="50"/>
        <v>0.6122727272727273</v>
      </c>
      <c r="IE20" s="344">
        <f t="shared" si="50"/>
        <v>0.31227272727272726</v>
      </c>
      <c r="IF20" s="344">
        <f t="shared" si="50"/>
        <v>0.39272727272727276</v>
      </c>
      <c r="IG20" s="344">
        <f t="shared" si="50"/>
        <v>0.52090909090909099</v>
      </c>
      <c r="IH20" s="344">
        <f t="shared" si="50"/>
        <v>0.49318181818181817</v>
      </c>
      <c r="II20" s="344">
        <f t="shared" si="50"/>
        <v>0.31863636363636361</v>
      </c>
      <c r="IJ20" s="344">
        <f t="shared" si="50"/>
        <v>0.25636363636363635</v>
      </c>
      <c r="IK20" s="344">
        <f t="shared" si="50"/>
        <v>0.5586363636363636</v>
      </c>
      <c r="IL20" s="344">
        <f t="shared" si="50"/>
        <v>0.31954545454545452</v>
      </c>
      <c r="IM20" s="344">
        <f t="shared" si="50"/>
        <v>0.55363636363636359</v>
      </c>
      <c r="IN20" s="344">
        <f t="shared" si="50"/>
        <v>0.4222727272727273</v>
      </c>
      <c r="IO20" s="344">
        <f t="shared" si="50"/>
        <v>0.52636363636363648</v>
      </c>
      <c r="IP20" s="344">
        <f t="shared" si="50"/>
        <v>0.39318181818181819</v>
      </c>
      <c r="IQ20" s="344">
        <f t="shared" si="50"/>
        <v>0.64545454545454561</v>
      </c>
      <c r="IR20" s="344">
        <f t="shared" si="50"/>
        <v>0.53545454545454563</v>
      </c>
      <c r="IS20" s="344">
        <f t="shared" si="50"/>
        <v>0.49500000000000011</v>
      </c>
      <c r="IT20" s="344">
        <f t="shared" si="50"/>
        <v>0.40545454545454535</v>
      </c>
      <c r="IU20" s="317" t="s">
        <v>283</v>
      </c>
      <c r="IV20" s="344">
        <f t="shared" si="50"/>
        <v>0.59500000000000008</v>
      </c>
      <c r="IW20" s="344">
        <f t="shared" si="50"/>
        <v>0.40909090909090917</v>
      </c>
      <c r="IX20" s="344">
        <f t="shared" si="50"/>
        <v>0.47545454545454557</v>
      </c>
      <c r="IY20" s="344">
        <f t="shared" si="50"/>
        <v>0.48590909090909079</v>
      </c>
      <c r="IZ20" s="129">
        <f t="shared" si="50"/>
        <v>52.727272727272727</v>
      </c>
      <c r="JA20" s="499"/>
      <c r="JB20" s="129">
        <f t="shared" ref="JB20" si="51">AVERAGEIF($C$36:$C$171,"=3",JB$36:JB$171)</f>
        <v>8.454545454545455</v>
      </c>
      <c r="JC20" s="499"/>
      <c r="JD20" s="344">
        <f t="shared" ref="JD20:KG20" si="52">AVERAGEIF($C$36:$C$171,"=3",JD$36:JD$171)</f>
        <v>0.10363636363636365</v>
      </c>
      <c r="JE20" s="344">
        <f t="shared" si="52"/>
        <v>0.47818181818181826</v>
      </c>
      <c r="JF20" s="344">
        <f t="shared" si="52"/>
        <v>0.39772727272727282</v>
      </c>
      <c r="JG20" s="344">
        <f t="shared" si="52"/>
        <v>1.9545454545454553E-2</v>
      </c>
      <c r="JH20" s="344">
        <f t="shared" ref="JH20:KC20" si="53">AVERAGEIF($C$36:$C$171,"=3",JH$36:JH$171)</f>
        <v>0.41636363636363638</v>
      </c>
      <c r="JI20" s="344">
        <f t="shared" si="53"/>
        <v>0.41090909090909095</v>
      </c>
      <c r="JJ20" s="344">
        <f t="shared" si="53"/>
        <v>0.39136363636363636</v>
      </c>
      <c r="JK20" s="344">
        <f t="shared" si="53"/>
        <v>0.45045454545454561</v>
      </c>
      <c r="JL20" s="344">
        <f t="shared" si="53"/>
        <v>0.44636363636363652</v>
      </c>
      <c r="JM20" s="344">
        <f t="shared" si="53"/>
        <v>0.45954545454545459</v>
      </c>
      <c r="JN20" s="344">
        <f t="shared" si="53"/>
        <v>0.38863636363636367</v>
      </c>
      <c r="JO20" s="344">
        <f t="shared" si="53"/>
        <v>0.45045454545454555</v>
      </c>
      <c r="JP20" s="344">
        <f t="shared" si="53"/>
        <v>0.50863636363636366</v>
      </c>
      <c r="JQ20" s="344">
        <f t="shared" si="53"/>
        <v>0.25954545454545458</v>
      </c>
      <c r="JR20" s="344">
        <f t="shared" si="53"/>
        <v>0.5663636363636364</v>
      </c>
      <c r="JS20" s="344">
        <f t="shared" si="53"/>
        <v>0.48227272727272724</v>
      </c>
      <c r="JT20" s="344">
        <f t="shared" si="53"/>
        <v>0.39590909090909104</v>
      </c>
      <c r="JU20" s="344">
        <f t="shared" si="53"/>
        <v>0.48772727272727273</v>
      </c>
      <c r="JV20" s="344">
        <f t="shared" si="53"/>
        <v>0.46409090909090905</v>
      </c>
      <c r="JW20" s="344">
        <f t="shared" si="53"/>
        <v>0.45772727272727276</v>
      </c>
      <c r="JX20" s="344">
        <f t="shared" si="53"/>
        <v>0.38318181818181818</v>
      </c>
      <c r="JY20" s="344">
        <f t="shared" si="53"/>
        <v>0.46954545454545465</v>
      </c>
      <c r="JZ20" s="344">
        <f t="shared" si="53"/>
        <v>0.4209090909090909</v>
      </c>
      <c r="KA20" s="344">
        <f t="shared" si="53"/>
        <v>0.59681818181818191</v>
      </c>
      <c r="KB20" s="344">
        <f t="shared" si="53"/>
        <v>0.42090909090909095</v>
      </c>
      <c r="KC20" s="344">
        <f t="shared" si="53"/>
        <v>0.63590909090909098</v>
      </c>
      <c r="KD20" s="344">
        <f t="shared" si="52"/>
        <v>0.34454545454545454</v>
      </c>
      <c r="KE20" s="344">
        <f>AVERAGEIF($C$36:$C$171,"=3",KE$36:KE$171)</f>
        <v>0.48090909090909101</v>
      </c>
      <c r="KF20" s="344">
        <f>AVERAGEIF($C$36:$C$171,"=3",KF$36:KF$171)</f>
        <v>0.43727272727272726</v>
      </c>
      <c r="KG20" s="344">
        <f t="shared" si="52"/>
        <v>0.48954545454545451</v>
      </c>
    </row>
    <row r="21" spans="1:293" ht="24.95" customHeight="1" x14ac:dyDescent="0.2">
      <c r="A21" s="198" t="s">
        <v>247</v>
      </c>
      <c r="B21" s="6"/>
      <c r="C21" s="6"/>
      <c r="D21" s="129">
        <f>AVERAGEIF($C$36:$C$171,"=4",D$36:D$171)</f>
        <v>51.142857142857146</v>
      </c>
      <c r="E21" s="129">
        <f>AVERAGEIF($C$36:$C$171,"=4",E$36:E$171)</f>
        <v>6.9285714285714288</v>
      </c>
      <c r="F21" s="39">
        <f>AVERAGEIF($C$36:$C$171,"=4",F$36:F$171)</f>
        <v>0.1207142857142857</v>
      </c>
      <c r="G21" s="39">
        <f t="shared" ref="G21:AG21" si="54">AVERAGEIF($C$36:$C$171,"=4",G$36:G$171)</f>
        <v>0.59642857142857142</v>
      </c>
      <c r="H21" s="39">
        <f t="shared" si="54"/>
        <v>0.28214285714285714</v>
      </c>
      <c r="I21" s="39">
        <f t="shared" si="54"/>
        <v>1.4285714285714286E-3</v>
      </c>
      <c r="J21" s="39">
        <f t="shared" si="54"/>
        <v>0.45214285714285712</v>
      </c>
      <c r="K21" s="39">
        <f t="shared" si="54"/>
        <v>0.45571428571428563</v>
      </c>
      <c r="L21" s="39">
        <f t="shared" si="54"/>
        <v>0.78857142857142848</v>
      </c>
      <c r="M21" s="39">
        <f t="shared" si="54"/>
        <v>0.30785714285714283</v>
      </c>
      <c r="N21" s="39">
        <f t="shared" si="54"/>
        <v>0.33285714285714274</v>
      </c>
      <c r="O21" s="39">
        <f t="shared" si="54"/>
        <v>0.65142857142857147</v>
      </c>
      <c r="P21" s="39">
        <f t="shared" si="54"/>
        <v>0.37142857142857144</v>
      </c>
      <c r="Q21" s="39">
        <f t="shared" si="54"/>
        <v>0.43642857142857144</v>
      </c>
      <c r="R21" s="39">
        <f t="shared" si="54"/>
        <v>0.55785714285714294</v>
      </c>
      <c r="S21" s="39">
        <f t="shared" si="54"/>
        <v>0.57214285714285718</v>
      </c>
      <c r="T21" s="39">
        <f t="shared" si="54"/>
        <v>0.4678571428571428</v>
      </c>
      <c r="U21" s="39">
        <f t="shared" si="54"/>
        <v>0.64714285714285702</v>
      </c>
      <c r="V21" s="39">
        <f t="shared" si="54"/>
        <v>9.6428571428571433E-2</v>
      </c>
      <c r="W21" s="39">
        <f t="shared" si="54"/>
        <v>0.2</v>
      </c>
      <c r="X21" s="39">
        <f t="shared" si="54"/>
        <v>0.56214285714285717</v>
      </c>
      <c r="Y21" s="39">
        <f t="shared" si="54"/>
        <v>0.54642857142857149</v>
      </c>
      <c r="Z21" s="39">
        <f t="shared" si="54"/>
        <v>0.82499999999999996</v>
      </c>
      <c r="AA21" s="39">
        <f t="shared" si="54"/>
        <v>0.13928571428571432</v>
      </c>
      <c r="AB21" s="39">
        <f t="shared" si="54"/>
        <v>0.50071428571428578</v>
      </c>
      <c r="AC21" s="39">
        <f t="shared" si="54"/>
        <v>0.37714285714285711</v>
      </c>
      <c r="AD21" s="39">
        <f t="shared" si="54"/>
        <v>0.49714285714285716</v>
      </c>
      <c r="AE21" s="39">
        <f t="shared" si="54"/>
        <v>0.49714285714285722</v>
      </c>
      <c r="AF21" s="39">
        <f t="shared" si="54"/>
        <v>0.53142857142857136</v>
      </c>
      <c r="AG21" s="39">
        <f t="shared" si="54"/>
        <v>0.55500000000000005</v>
      </c>
      <c r="AH21" s="129">
        <f>AVERAGEIF($C$36:$C$171,"=4",AH$36:AH$171)</f>
        <v>51.2</v>
      </c>
      <c r="AI21" s="129">
        <f>AVERAGEIF($C$36:$C$171,"=4",AI$36:AI$171)</f>
        <v>7</v>
      </c>
      <c r="AJ21" s="39">
        <f>AVERAGEIF($C$36:$C$171,"=4",AJ$36:AJ$171)</f>
        <v>0.114</v>
      </c>
      <c r="AK21" s="39">
        <f t="shared" ref="AK21:BL21" si="55">AVERAGEIF($C$36:$C$171,"=4",AK$36:AK$171)</f>
        <v>0.55266666666666664</v>
      </c>
      <c r="AL21" s="39">
        <f t="shared" si="55"/>
        <v>0.32866666666666672</v>
      </c>
      <c r="AM21" s="39">
        <f t="shared" si="55"/>
        <v>6.000000000000001E-3</v>
      </c>
      <c r="AN21" s="39">
        <f t="shared" si="55"/>
        <v>0.28133333333333338</v>
      </c>
      <c r="AO21" s="39">
        <f t="shared" si="55"/>
        <v>0.4386666666666667</v>
      </c>
      <c r="AP21" s="39">
        <f t="shared" si="55"/>
        <v>0.60599999999999998</v>
      </c>
      <c r="AQ21" s="39">
        <f t="shared" si="55"/>
        <v>0.42333333333333328</v>
      </c>
      <c r="AR21" s="39">
        <f t="shared" si="55"/>
        <v>0.58333333333333337</v>
      </c>
      <c r="AS21" s="39">
        <f t="shared" si="55"/>
        <v>0.52533333333333343</v>
      </c>
      <c r="AT21" s="39">
        <f t="shared" si="55"/>
        <v>0.53600000000000003</v>
      </c>
      <c r="AU21" s="39">
        <f t="shared" si="55"/>
        <v>0.53866666666666652</v>
      </c>
      <c r="AV21" s="39">
        <f t="shared" si="55"/>
        <v>0.61199999999999999</v>
      </c>
      <c r="AW21" s="39">
        <f t="shared" si="55"/>
        <v>0.48533333333333334</v>
      </c>
      <c r="AX21" s="39">
        <f t="shared" si="55"/>
        <v>0.59928571428571431</v>
      </c>
      <c r="AY21" s="39">
        <f t="shared" si="55"/>
        <v>0.35866666666666674</v>
      </c>
      <c r="AZ21" s="39">
        <f t="shared" si="55"/>
        <v>0.33800000000000002</v>
      </c>
      <c r="BA21" s="39">
        <f t="shared" si="55"/>
        <v>0.48866666666666675</v>
      </c>
      <c r="BB21" s="39">
        <f t="shared" si="55"/>
        <v>0.63200000000000001</v>
      </c>
      <c r="BC21" s="39">
        <f t="shared" si="55"/>
        <v>0.60733333333333328</v>
      </c>
      <c r="BD21" s="39">
        <f t="shared" si="55"/>
        <v>0.44533333333333325</v>
      </c>
      <c r="BE21" s="39">
        <f t="shared" si="55"/>
        <v>0.55666666666666675</v>
      </c>
      <c r="BF21" s="39">
        <f t="shared" si="55"/>
        <v>0.61142857142857143</v>
      </c>
      <c r="BG21" s="39">
        <f t="shared" si="55"/>
        <v>0.47866666666666663</v>
      </c>
      <c r="BH21" s="39">
        <f t="shared" si="55"/>
        <v>0.45266666666666666</v>
      </c>
      <c r="BI21" s="39">
        <f t="shared" si="55"/>
        <v>0.42200000000000004</v>
      </c>
      <c r="BJ21" s="39">
        <f t="shared" si="55"/>
        <v>0.42199999999999993</v>
      </c>
      <c r="BK21" s="39">
        <f t="shared" si="55"/>
        <v>0.45933333333333332</v>
      </c>
      <c r="BL21" s="39">
        <f t="shared" si="55"/>
        <v>0.52071428571428569</v>
      </c>
      <c r="BM21" s="129">
        <f>AVERAGEIF($C$36:$C$171,"=4",BM$36:BM$171)</f>
        <v>49.266666666666666</v>
      </c>
      <c r="BN21" s="129">
        <f>AVERAGEIF($C$36:$C$171,"=4",BN$36:BN$171)</f>
        <v>7.4</v>
      </c>
      <c r="BO21" s="39">
        <f>AVERAGEIF($C$36:$C$171,"=4",BO$36:BO$171)</f>
        <v>0.17666666666666667</v>
      </c>
      <c r="BP21" s="39">
        <f t="shared" ref="BP21:CR21" si="56">AVERAGEIF($C$36:$C$171,"=4",BP$36:BP$171)</f>
        <v>0.57533333333333325</v>
      </c>
      <c r="BQ21" s="39">
        <f t="shared" si="56"/>
        <v>0.24800000000000003</v>
      </c>
      <c r="BR21" s="39">
        <f t="shared" si="56"/>
        <v>2E-3</v>
      </c>
      <c r="BS21" s="39">
        <f t="shared" si="56"/>
        <v>0.35866666666666658</v>
      </c>
      <c r="BT21" s="39">
        <f t="shared" si="56"/>
        <v>0.64400000000000013</v>
      </c>
      <c r="BU21" s="39">
        <f t="shared" si="56"/>
        <v>0.68399999999999983</v>
      </c>
      <c r="BV21" s="39">
        <f t="shared" si="56"/>
        <v>0.36799999999999999</v>
      </c>
      <c r="BW21" s="39">
        <f t="shared" si="56"/>
        <v>0.67800000000000005</v>
      </c>
      <c r="BX21" s="39">
        <f t="shared" si="56"/>
        <v>0.42799999999999999</v>
      </c>
      <c r="BY21" s="39">
        <f t="shared" si="56"/>
        <v>0.48333333333333339</v>
      </c>
      <c r="BZ21" s="39">
        <f t="shared" si="56"/>
        <v>0.55666666666666664</v>
      </c>
      <c r="CA21" s="39">
        <f t="shared" si="56"/>
        <v>0.52533333333333332</v>
      </c>
      <c r="CB21" s="39">
        <f t="shared" si="56"/>
        <v>0.41066666666666668</v>
      </c>
      <c r="CC21" s="39">
        <f t="shared" si="56"/>
        <v>0.23000000000000004</v>
      </c>
      <c r="CD21" s="39">
        <f t="shared" si="56"/>
        <v>0.46</v>
      </c>
      <c r="CE21" s="39">
        <f t="shared" si="56"/>
        <v>0.33933333333333332</v>
      </c>
      <c r="CF21" s="39">
        <f t="shared" si="56"/>
        <v>0.6066666666666668</v>
      </c>
      <c r="CG21" s="39">
        <f t="shared" si="56"/>
        <v>0.60199999999999998</v>
      </c>
      <c r="CH21" s="39">
        <f t="shared" si="56"/>
        <v>0.48399999999999999</v>
      </c>
      <c r="CI21" s="39">
        <f t="shared" si="56"/>
        <v>0.62199999999999989</v>
      </c>
      <c r="CJ21" s="39">
        <f t="shared" si="56"/>
        <v>0.32466666666666666</v>
      </c>
      <c r="CK21" s="39">
        <f t="shared" si="56"/>
        <v>0.7446666666666667</v>
      </c>
      <c r="CL21" s="39">
        <f t="shared" si="56"/>
        <v>0.35933333333333339</v>
      </c>
      <c r="CM21" s="39">
        <f t="shared" si="56"/>
        <v>0.47800000000000009</v>
      </c>
      <c r="CN21" s="39">
        <f t="shared" si="56"/>
        <v>0.47666666666666668</v>
      </c>
      <c r="CO21" s="39">
        <f t="shared" si="56"/>
        <v>0.52133333333333332</v>
      </c>
      <c r="CP21" s="39">
        <f t="shared" si="56"/>
        <v>0.38600000000000001</v>
      </c>
      <c r="CQ21" s="39">
        <f t="shared" si="56"/>
        <v>0.53400000000000003</v>
      </c>
      <c r="CR21" s="39">
        <f t="shared" si="56"/>
        <v>0.55066666666666664</v>
      </c>
      <c r="CS21" s="129">
        <f>AVERAGEIF($C$36:$C$171,"=4",CS$36:CS$171)</f>
        <v>47.714285714285715</v>
      </c>
      <c r="CT21" s="129">
        <f>AVERAGEIF($C$36:$C$171,"=4",CT$36:CT$171)</f>
        <v>7.7142857142857144</v>
      </c>
      <c r="CU21" s="39">
        <f>AVERAGEIF($C$36:$C$171,"=4",CU$36:CU$171)</f>
        <v>0.19285714285714287</v>
      </c>
      <c r="CV21" s="39">
        <f t="shared" ref="CV21:DW21" si="57">AVERAGEIF($C$36:$C$171,"=4",CV$36:CV$171)</f>
        <v>0.63642857142857145</v>
      </c>
      <c r="CW21" s="39">
        <f t="shared" si="57"/>
        <v>0.16928571428571429</v>
      </c>
      <c r="CX21" s="39">
        <f t="shared" si="57"/>
        <v>2.142857142857143E-3</v>
      </c>
      <c r="CY21" s="39">
        <f t="shared" si="57"/>
        <v>0.54214285714285715</v>
      </c>
      <c r="CZ21" s="39">
        <f t="shared" si="57"/>
        <v>0.3378571428571428</v>
      </c>
      <c r="DA21" s="39">
        <f t="shared" si="57"/>
        <v>0.59285714285714286</v>
      </c>
      <c r="DB21" s="39">
        <f t="shared" si="57"/>
        <v>0.40928571428571425</v>
      </c>
      <c r="DC21" s="39">
        <f t="shared" si="57"/>
        <v>0.45571428571428568</v>
      </c>
      <c r="DD21" s="39">
        <f t="shared" si="57"/>
        <v>0.63142857142857156</v>
      </c>
      <c r="DE21" s="39">
        <f t="shared" si="57"/>
        <v>0.49142857142857138</v>
      </c>
      <c r="DF21" s="39">
        <f t="shared" si="57"/>
        <v>0.57928571428571429</v>
      </c>
      <c r="DG21" s="39">
        <f t="shared" si="57"/>
        <v>0.4707142857142857</v>
      </c>
      <c r="DH21" s="39">
        <f t="shared" si="57"/>
        <v>0.39071428571428568</v>
      </c>
      <c r="DI21" s="39">
        <f t="shared" si="57"/>
        <v>0.55285714285714282</v>
      </c>
      <c r="DJ21" s="39">
        <f t="shared" si="57"/>
        <v>0.5742857142857144</v>
      </c>
      <c r="DK21" s="39">
        <f t="shared" si="57"/>
        <v>0.41214285714285709</v>
      </c>
      <c r="DL21" s="39">
        <f t="shared" si="57"/>
        <v>0.43071428571428572</v>
      </c>
      <c r="DM21" s="39">
        <f t="shared" si="57"/>
        <v>0.53999999999999992</v>
      </c>
      <c r="DN21" s="39">
        <f t="shared" si="57"/>
        <v>0.52214285714285713</v>
      </c>
      <c r="DO21" s="39">
        <f t="shared" si="57"/>
        <v>0.48214285714285715</v>
      </c>
      <c r="DP21" s="39">
        <f t="shared" si="57"/>
        <v>0.50071428571428567</v>
      </c>
      <c r="DQ21" s="39">
        <f t="shared" si="57"/>
        <v>0.57714285714285718</v>
      </c>
      <c r="DR21" s="39">
        <f t="shared" si="57"/>
        <v>0.23357142857142857</v>
      </c>
      <c r="DS21" s="39">
        <f t="shared" si="57"/>
        <v>0.42</v>
      </c>
      <c r="DT21" s="39">
        <f t="shared" si="57"/>
        <v>0.5892857142857143</v>
      </c>
      <c r="DU21" s="39">
        <f t="shared" si="57"/>
        <v>0.48285714285714293</v>
      </c>
      <c r="DV21" s="39">
        <f t="shared" si="57"/>
        <v>0.63071428571428567</v>
      </c>
      <c r="DW21" s="39">
        <f t="shared" si="57"/>
        <v>0.37642857142857145</v>
      </c>
      <c r="DX21" s="129">
        <f>AVERAGEIF($C$36:$C$171,"=4",DX$36:DX$171)</f>
        <v>47</v>
      </c>
      <c r="DY21" s="129">
        <f>AVERAGEIF($C$36:$C$171,"=4",DY$36:DY$171)</f>
        <v>8.2307692307692299</v>
      </c>
      <c r="DZ21" s="39">
        <f>AVERAGEIF($C$36:$C$171,"=4",DZ$36:DZ$171)</f>
        <v>0.23846153846153847</v>
      </c>
      <c r="EA21" s="39">
        <f t="shared" ref="EA21:FA21" si="58">AVERAGEIF($C$36:$C$171,"=4",EA$36:EA$171)</f>
        <v>0.57000000000000006</v>
      </c>
      <c r="EB21" s="39">
        <f t="shared" si="58"/>
        <v>0.18923076923076923</v>
      </c>
      <c r="EC21" s="39">
        <f t="shared" si="58"/>
        <v>2.3076923076923075E-3</v>
      </c>
      <c r="ED21" s="39">
        <f t="shared" si="58"/>
        <v>0.5507692307692309</v>
      </c>
      <c r="EE21" s="39">
        <f t="shared" si="58"/>
        <v>0.48307692307692301</v>
      </c>
      <c r="EF21" s="39">
        <f t="shared" si="58"/>
        <v>0.51</v>
      </c>
      <c r="EG21" s="39">
        <f t="shared" si="58"/>
        <v>0.39846153846153842</v>
      </c>
      <c r="EH21" s="39">
        <f t="shared" si="58"/>
        <v>0.48230769230769227</v>
      </c>
      <c r="EI21" s="39">
        <f t="shared" si="58"/>
        <v>0.58846153846153837</v>
      </c>
      <c r="EJ21" s="39">
        <f t="shared" si="58"/>
        <v>0.58923076923076934</v>
      </c>
      <c r="EK21" s="39">
        <f t="shared" si="58"/>
        <v>0.30923076923076925</v>
      </c>
      <c r="EL21" s="39">
        <f t="shared" si="58"/>
        <v>0.51615384615384619</v>
      </c>
      <c r="EM21" s="39">
        <f t="shared" si="58"/>
        <v>0.70000000000000007</v>
      </c>
      <c r="EN21" s="39">
        <f t="shared" si="58"/>
        <v>0.51230769230769224</v>
      </c>
      <c r="EO21" s="39">
        <f t="shared" si="58"/>
        <v>0.62461538461538457</v>
      </c>
      <c r="EP21" s="39">
        <f t="shared" si="58"/>
        <v>0.42846153846153856</v>
      </c>
      <c r="EQ21" s="39">
        <f t="shared" si="58"/>
        <v>0.37538461538461537</v>
      </c>
      <c r="ER21" s="39">
        <f t="shared" si="58"/>
        <v>0.62076923076923074</v>
      </c>
      <c r="ES21" s="39">
        <f t="shared" si="58"/>
        <v>0.50846153846153852</v>
      </c>
      <c r="ET21" s="39">
        <f t="shared" si="58"/>
        <v>0.39076923076923087</v>
      </c>
      <c r="EU21" s="39">
        <f t="shared" si="58"/>
        <v>0.65538461538461534</v>
      </c>
      <c r="EV21" s="39">
        <f t="shared" si="58"/>
        <v>0.42</v>
      </c>
      <c r="EW21" s="39">
        <f t="shared" si="58"/>
        <v>0.38230769230769229</v>
      </c>
      <c r="EX21" s="39">
        <f t="shared" si="58"/>
        <v>0.72846153846153838</v>
      </c>
      <c r="EY21" s="39">
        <f t="shared" si="58"/>
        <v>0.61846153846153851</v>
      </c>
      <c r="EZ21" s="39">
        <f t="shared" si="58"/>
        <v>0.26615384615384613</v>
      </c>
      <c r="FA21" s="39">
        <f t="shared" si="58"/>
        <v>0.6576923076923078</v>
      </c>
      <c r="FB21" s="129">
        <f>AVERAGEIF($C$36:$C$171,"=4",FB$36:FB$171)</f>
        <v>47.571428571428569</v>
      </c>
      <c r="FD21" s="129">
        <f>AVERAGEIF($C$36:$C$171,"=4",FD$36:FD$171)</f>
        <v>7.0714285714285712</v>
      </c>
      <c r="FF21" s="39">
        <f>AVERAGEIF($C$36:$C$171,"=4",FF$36:FF$171)</f>
        <v>0.19714285714285712</v>
      </c>
      <c r="FG21" s="39">
        <f t="shared" ref="FG21:GI21" si="59">AVERAGEIF($C$36:$C$171,"=4",FG$36:FG$171)</f>
        <v>0.64071428571428579</v>
      </c>
      <c r="FH21" s="39">
        <f t="shared" si="59"/>
        <v>0.16</v>
      </c>
      <c r="FI21" s="39">
        <f t="shared" si="59"/>
        <v>2.142857142857143E-3</v>
      </c>
      <c r="FJ21" s="39">
        <f t="shared" si="59"/>
        <v>0.55214285714285716</v>
      </c>
      <c r="FK21" s="39">
        <f t="shared" si="59"/>
        <v>0.68071428571428572</v>
      </c>
      <c r="FL21" s="39">
        <f t="shared" si="59"/>
        <v>0.54785714285714282</v>
      </c>
      <c r="FM21" s="39">
        <f t="shared" si="59"/>
        <v>0.53071428571428581</v>
      </c>
      <c r="FN21" s="39">
        <f t="shared" si="59"/>
        <v>0.34769230769230774</v>
      </c>
      <c r="FO21" s="39">
        <f t="shared" si="59"/>
        <v>0.39857142857142858</v>
      </c>
      <c r="FP21" s="39">
        <f t="shared" si="59"/>
        <v>0.45785714285714291</v>
      </c>
      <c r="FQ21" s="39">
        <f t="shared" si="59"/>
        <v>0.44785714285714295</v>
      </c>
      <c r="FR21" s="39">
        <f t="shared" si="59"/>
        <v>0.5971428571428572</v>
      </c>
      <c r="FS21" s="39">
        <f t="shared" si="59"/>
        <v>0.58857142857142863</v>
      </c>
      <c r="FT21" s="39">
        <f t="shared" si="59"/>
        <v>0.55642857142857138</v>
      </c>
      <c r="FU21" s="39">
        <f t="shared" si="59"/>
        <v>0.44461538461538458</v>
      </c>
      <c r="FV21" s="39">
        <f t="shared" si="59"/>
        <v>0.66642857142857159</v>
      </c>
      <c r="FW21" s="39">
        <f t="shared" si="59"/>
        <v>0.58285714285714285</v>
      </c>
      <c r="FX21" s="39">
        <f t="shared" si="59"/>
        <v>0.52785714285714291</v>
      </c>
      <c r="FY21" s="39">
        <f t="shared" si="59"/>
        <v>0.37928571428571439</v>
      </c>
      <c r="FZ21" s="39">
        <f t="shared" si="59"/>
        <v>0.42428571428571427</v>
      </c>
      <c r="GA21" s="39">
        <f t="shared" si="59"/>
        <v>0.50928571428571434</v>
      </c>
      <c r="GB21" s="39">
        <f t="shared" si="59"/>
        <v>0.61857142857142855</v>
      </c>
      <c r="GC21" s="39">
        <f t="shared" si="59"/>
        <v>0.48214285714285721</v>
      </c>
      <c r="GD21" s="39">
        <f t="shared" si="59"/>
        <v>0.64857142857142858</v>
      </c>
      <c r="GE21" s="39">
        <f t="shared" si="59"/>
        <v>0.52071428571428569</v>
      </c>
      <c r="GF21" s="39">
        <f t="shared" si="59"/>
        <v>0.51076923076923064</v>
      </c>
      <c r="GG21" s="39">
        <f t="shared" si="59"/>
        <v>0.52785714285714291</v>
      </c>
      <c r="GH21" s="39">
        <f t="shared" si="59"/>
        <v>0.57999999999999996</v>
      </c>
      <c r="GI21" s="39">
        <f t="shared" si="59"/>
        <v>0.29928571428571427</v>
      </c>
      <c r="GJ21" s="129">
        <f>AVERAGEIF($C$36:$C$171,"=4",GJ$36:GJ$171)</f>
        <v>48.5</v>
      </c>
      <c r="GL21" s="129">
        <f>AVERAGEIF($C$36:$C$171,"=4",GL$36:GL$171)</f>
        <v>8.5</v>
      </c>
      <c r="GN21" s="344">
        <f>AVERAGEIF($C$36:$C$171,"=4",GN$36:GN$171)</f>
        <v>0.21857142857142856</v>
      </c>
      <c r="GO21" s="344">
        <f t="shared" ref="GO21:HQ21" si="60">AVERAGEIF($C$36:$C$171,"=4",GO$36:GO$171)</f>
        <v>0.55928571428571439</v>
      </c>
      <c r="GP21" s="344">
        <f t="shared" si="60"/>
        <v>0.20999999999999996</v>
      </c>
      <c r="GQ21" s="344">
        <f t="shared" si="60"/>
        <v>1.2857142857142857E-2</v>
      </c>
      <c r="GR21" s="344">
        <f t="shared" si="60"/>
        <v>0.52500000000000002</v>
      </c>
      <c r="GS21" s="344">
        <f t="shared" si="60"/>
        <v>0.6000000000000002</v>
      </c>
      <c r="GT21" s="344">
        <f t="shared" si="60"/>
        <v>0.64928571428571424</v>
      </c>
      <c r="GU21" s="344">
        <f t="shared" si="60"/>
        <v>0.31214285714285711</v>
      </c>
      <c r="GV21" s="344">
        <f t="shared" si="60"/>
        <v>0.60928571428571421</v>
      </c>
      <c r="GW21" s="344">
        <f t="shared" si="60"/>
        <v>0.50428571428571434</v>
      </c>
      <c r="GX21" s="344">
        <f t="shared" si="60"/>
        <v>0.51357142857142857</v>
      </c>
      <c r="GY21" s="317" t="s">
        <v>283</v>
      </c>
      <c r="GZ21" s="344">
        <f t="shared" si="60"/>
        <v>0.3521428571428572</v>
      </c>
      <c r="HA21" s="344">
        <f t="shared" si="60"/>
        <v>0.63285714285714278</v>
      </c>
      <c r="HB21" s="344">
        <f t="shared" si="60"/>
        <v>0.50214285714285711</v>
      </c>
      <c r="HC21" s="344">
        <f t="shared" si="60"/>
        <v>0.55500000000000005</v>
      </c>
      <c r="HD21" s="344">
        <f t="shared" si="60"/>
        <v>0.59785714285714264</v>
      </c>
      <c r="HE21" s="344">
        <f t="shared" si="60"/>
        <v>0.49357142857142872</v>
      </c>
      <c r="HF21" s="344">
        <f t="shared" si="60"/>
        <v>0.51642857142857146</v>
      </c>
      <c r="HG21" s="344">
        <f t="shared" si="60"/>
        <v>0.67071428571428571</v>
      </c>
      <c r="HH21" s="344">
        <f t="shared" si="60"/>
        <v>0.44071428571428573</v>
      </c>
      <c r="HI21" s="344">
        <f t="shared" si="60"/>
        <v>0.59857142857142853</v>
      </c>
      <c r="HJ21" s="344">
        <f t="shared" si="60"/>
        <v>0.61357142857142855</v>
      </c>
      <c r="HK21" s="344">
        <f t="shared" si="60"/>
        <v>0.52214285714285724</v>
      </c>
      <c r="HL21" s="344">
        <f t="shared" si="60"/>
        <v>0.45285714285714285</v>
      </c>
      <c r="HM21" s="344">
        <f t="shared" si="60"/>
        <v>0.51928571428571424</v>
      </c>
      <c r="HN21" s="344">
        <f t="shared" si="60"/>
        <v>0.4835714285714286</v>
      </c>
      <c r="HO21" s="344">
        <f t="shared" si="60"/>
        <v>0.45571428571428579</v>
      </c>
      <c r="HP21" s="317" t="s">
        <v>283</v>
      </c>
      <c r="HQ21" s="344">
        <f t="shared" si="60"/>
        <v>0.45642857142857141</v>
      </c>
      <c r="HR21" s="129">
        <f>AVERAGEIF($C$36:$C$171,"=4",HR$36:HR$171)</f>
        <v>48</v>
      </c>
      <c r="HT21" s="129">
        <f>AVERAGEIF($C$36:$C$171,"=4",HT$36:HT$171)</f>
        <v>8.3333333333333339</v>
      </c>
      <c r="HV21" s="344">
        <f>AVERAGEIF($C$36:$C$171,"=4",HV$36:HV$171)</f>
        <v>0.21399999999999997</v>
      </c>
      <c r="HW21" s="344">
        <f t="shared" ref="HW21:IZ21" si="61">AVERAGEIF($C$36:$C$171,"=4",HW$36:HW$171)</f>
        <v>0.57000000000000006</v>
      </c>
      <c r="HX21" s="344">
        <f t="shared" si="61"/>
        <v>0.21133333333333332</v>
      </c>
      <c r="HY21" s="344">
        <f t="shared" si="61"/>
        <v>5.3333333333333332E-3</v>
      </c>
      <c r="HZ21" s="344">
        <f t="shared" si="61"/>
        <v>0.45133333333333325</v>
      </c>
      <c r="IA21" s="344">
        <f t="shared" si="61"/>
        <v>0.58533333333333337</v>
      </c>
      <c r="IB21" s="344">
        <f t="shared" si="61"/>
        <v>0.39666666666666667</v>
      </c>
      <c r="IC21" s="344">
        <f t="shared" si="61"/>
        <v>0.56199999999999994</v>
      </c>
      <c r="ID21" s="344">
        <f t="shared" si="61"/>
        <v>0.66066666666666662</v>
      </c>
      <c r="IE21" s="344">
        <f t="shared" si="61"/>
        <v>0.4326666666666667</v>
      </c>
      <c r="IF21" s="344">
        <f t="shared" si="61"/>
        <v>0.47600000000000003</v>
      </c>
      <c r="IG21" s="344">
        <f t="shared" si="61"/>
        <v>0.56533333333333335</v>
      </c>
      <c r="IH21" s="344">
        <f t="shared" si="61"/>
        <v>0.59466666666666657</v>
      </c>
      <c r="II21" s="344">
        <f t="shared" si="61"/>
        <v>0.43133333333333324</v>
      </c>
      <c r="IJ21" s="344">
        <f t="shared" si="61"/>
        <v>0.33999999999999997</v>
      </c>
      <c r="IK21" s="344">
        <f t="shared" si="61"/>
        <v>0.60266666666666657</v>
      </c>
      <c r="IL21" s="344">
        <f t="shared" si="61"/>
        <v>0.35799999999999993</v>
      </c>
      <c r="IM21" s="344">
        <f t="shared" si="61"/>
        <v>0.61199999999999999</v>
      </c>
      <c r="IN21" s="344">
        <f t="shared" si="61"/>
        <v>0.52533333333333332</v>
      </c>
      <c r="IO21" s="344">
        <f t="shared" si="61"/>
        <v>0.59266666666666679</v>
      </c>
      <c r="IP21" s="344">
        <f t="shared" si="61"/>
        <v>0.5</v>
      </c>
      <c r="IQ21" s="344">
        <f t="shared" si="61"/>
        <v>0.67266666666666652</v>
      </c>
      <c r="IR21" s="344">
        <f t="shared" si="61"/>
        <v>0.60866666666666658</v>
      </c>
      <c r="IS21" s="344">
        <f t="shared" si="61"/>
        <v>0.58133333333333337</v>
      </c>
      <c r="IT21" s="344">
        <f t="shared" si="61"/>
        <v>0.49800000000000011</v>
      </c>
      <c r="IU21" s="317" t="s">
        <v>283</v>
      </c>
      <c r="IV21" s="344">
        <f t="shared" si="61"/>
        <v>0.66333333333333344</v>
      </c>
      <c r="IW21" s="344">
        <f t="shared" si="61"/>
        <v>0.44800000000000001</v>
      </c>
      <c r="IX21" s="344">
        <f t="shared" si="61"/>
        <v>0.56133333333333335</v>
      </c>
      <c r="IY21" s="344">
        <f t="shared" si="61"/>
        <v>0.53866666666666663</v>
      </c>
      <c r="IZ21" s="129">
        <f t="shared" si="61"/>
        <v>49.615384615384613</v>
      </c>
      <c r="JA21" s="499"/>
      <c r="JB21" s="129">
        <f t="shared" ref="JB21" si="62">AVERAGEIF($C$36:$C$171,"=4",JB$36:JB$171)</f>
        <v>8.6923076923076916</v>
      </c>
      <c r="JC21" s="499"/>
      <c r="JD21" s="344">
        <f t="shared" ref="JD21:KG21" si="63">AVERAGEIF($C$36:$C$171,"=4",JD$36:JD$171)</f>
        <v>0.17846153846153845</v>
      </c>
      <c r="JE21" s="344">
        <f t="shared" si="63"/>
        <v>0.55307692307692313</v>
      </c>
      <c r="JF21" s="344">
        <f t="shared" si="63"/>
        <v>0.26076923076923075</v>
      </c>
      <c r="JG21" s="344">
        <f t="shared" si="63"/>
        <v>0.01</v>
      </c>
      <c r="JH21" s="344">
        <f t="shared" ref="JH21:KC21" si="64">AVERAGEIF($C$36:$C$171,"=4",JH$36:JH$171)</f>
        <v>0.50846153846153841</v>
      </c>
      <c r="JI21" s="344">
        <f t="shared" si="64"/>
        <v>0.48923076923076919</v>
      </c>
      <c r="JJ21" s="344">
        <f t="shared" si="64"/>
        <v>0.46923076923076928</v>
      </c>
      <c r="JK21" s="344">
        <f t="shared" si="64"/>
        <v>0.51923076923076927</v>
      </c>
      <c r="JL21" s="344">
        <f t="shared" si="64"/>
        <v>0.53230769230769237</v>
      </c>
      <c r="JM21" s="344">
        <f t="shared" si="64"/>
        <v>0.53076923076923077</v>
      </c>
      <c r="JN21" s="344">
        <f t="shared" si="64"/>
        <v>0.46384615384615391</v>
      </c>
      <c r="JO21" s="344">
        <f t="shared" si="64"/>
        <v>0.49384615384615377</v>
      </c>
      <c r="JP21" s="344">
        <f t="shared" si="64"/>
        <v>0.57153846153846155</v>
      </c>
      <c r="JQ21" s="344">
        <f t="shared" si="64"/>
        <v>0.29076923076923078</v>
      </c>
      <c r="JR21" s="344">
        <f t="shared" si="64"/>
        <v>0.63153846153846149</v>
      </c>
      <c r="JS21" s="344">
        <f t="shared" si="64"/>
        <v>0.59769230769230763</v>
      </c>
      <c r="JT21" s="344">
        <f t="shared" si="64"/>
        <v>0.48384615384615376</v>
      </c>
      <c r="JU21" s="344">
        <f t="shared" si="64"/>
        <v>0.57461538461538464</v>
      </c>
      <c r="JV21" s="344">
        <f t="shared" si="64"/>
        <v>0.52615384615384619</v>
      </c>
      <c r="JW21" s="344">
        <f t="shared" si="64"/>
        <v>0.47307692307692306</v>
      </c>
      <c r="JX21" s="344">
        <f t="shared" si="64"/>
        <v>0.49076923076923074</v>
      </c>
      <c r="JY21" s="344">
        <f t="shared" si="64"/>
        <v>0.49384615384615382</v>
      </c>
      <c r="JZ21" s="344">
        <f t="shared" si="64"/>
        <v>0.44615384615384607</v>
      </c>
      <c r="KA21" s="344">
        <f t="shared" si="64"/>
        <v>0.60307692307692307</v>
      </c>
      <c r="KB21" s="344">
        <f t="shared" si="64"/>
        <v>0.50769230769230766</v>
      </c>
      <c r="KC21" s="344">
        <f t="shared" si="64"/>
        <v>0.65076923076923088</v>
      </c>
      <c r="KD21" s="344">
        <f t="shared" si="63"/>
        <v>0.38230769230769235</v>
      </c>
      <c r="KE21" s="344">
        <f>AVERAGEIF($C$36:$C$171,"=4",KE$36:KE$171)</f>
        <v>0.49461538461538468</v>
      </c>
      <c r="KF21" s="344">
        <f>AVERAGEIF($C$36:$C$171,"=4",KF$36:KF$171)</f>
        <v>0.46230769230769236</v>
      </c>
      <c r="KG21" s="344">
        <f t="shared" si="63"/>
        <v>0.56153846153846154</v>
      </c>
    </row>
    <row r="22" spans="1:293" ht="24.95" customHeight="1" x14ac:dyDescent="0.2">
      <c r="A22" s="198" t="s">
        <v>248</v>
      </c>
      <c r="B22" s="6"/>
      <c r="C22" s="6"/>
      <c r="D22" s="129">
        <f>AVERAGEIF($C$36:$C$171,"=5",D$36:D$171)</f>
        <v>56.235294117647058</v>
      </c>
      <c r="E22" s="129">
        <f>AVERAGEIF($C$36:$C$171,"=5",E$36:E$171)</f>
        <v>6.6470588235294121</v>
      </c>
      <c r="F22" s="39">
        <f>AVERAGEIF($C$36:$C$171,"=5",F$36:F$171)</f>
        <v>1.8235294117647058E-2</v>
      </c>
      <c r="G22" s="39">
        <f t="shared" ref="G22:AG22" si="65">AVERAGEIF($C$36:$C$171,"=5",G$36:G$171)</f>
        <v>0.46352941176470591</v>
      </c>
      <c r="H22" s="39">
        <f t="shared" si="65"/>
        <v>0.50117647058823522</v>
      </c>
      <c r="I22" s="39">
        <f t="shared" si="65"/>
        <v>1.4705882352941176E-2</v>
      </c>
      <c r="J22" s="39">
        <f t="shared" si="65"/>
        <v>0.29941176470588232</v>
      </c>
      <c r="K22" s="39">
        <f t="shared" si="65"/>
        <v>0.32058823529411762</v>
      </c>
      <c r="L22" s="39">
        <f t="shared" si="65"/>
        <v>0.69176470588235284</v>
      </c>
      <c r="M22" s="39">
        <f t="shared" si="65"/>
        <v>0.15941176470588236</v>
      </c>
      <c r="N22" s="39">
        <f t="shared" si="65"/>
        <v>0.24058823529411769</v>
      </c>
      <c r="O22" s="39">
        <f t="shared" si="65"/>
        <v>0.65058823529411769</v>
      </c>
      <c r="P22" s="39">
        <f t="shared" si="65"/>
        <v>0.30470588235294116</v>
      </c>
      <c r="Q22" s="39">
        <f t="shared" si="65"/>
        <v>0.37176470588235294</v>
      </c>
      <c r="R22" s="39">
        <f t="shared" si="65"/>
        <v>0.50588235294117645</v>
      </c>
      <c r="S22" s="39">
        <f t="shared" si="65"/>
        <v>0.56058823529411761</v>
      </c>
      <c r="T22" s="39">
        <f t="shared" si="65"/>
        <v>0.42588235294117643</v>
      </c>
      <c r="U22" s="39">
        <f t="shared" si="65"/>
        <v>0.52647058823529413</v>
      </c>
      <c r="V22" s="39">
        <f t="shared" si="65"/>
        <v>4.5882352941176464E-2</v>
      </c>
      <c r="W22" s="39">
        <f t="shared" si="65"/>
        <v>0.12176470588235296</v>
      </c>
      <c r="X22" s="39">
        <f t="shared" si="65"/>
        <v>0.45294117647058824</v>
      </c>
      <c r="Y22" s="39">
        <f t="shared" si="65"/>
        <v>0.45882352941176469</v>
      </c>
      <c r="Z22" s="39">
        <f t="shared" si="65"/>
        <v>0.70454545454545459</v>
      </c>
      <c r="AA22" s="39">
        <f t="shared" si="65"/>
        <v>8.1176470588235294E-2</v>
      </c>
      <c r="AB22" s="39">
        <f t="shared" si="65"/>
        <v>0.41941176470588237</v>
      </c>
      <c r="AC22" s="39">
        <f t="shared" si="65"/>
        <v>0.18941176470588234</v>
      </c>
      <c r="AD22" s="39">
        <f t="shared" si="65"/>
        <v>0.38823529411764707</v>
      </c>
      <c r="AE22" s="39">
        <f t="shared" si="65"/>
        <v>0.32588235294117651</v>
      </c>
      <c r="AF22" s="39">
        <f t="shared" si="65"/>
        <v>0.48235294117647065</v>
      </c>
      <c r="AG22" s="39">
        <f t="shared" si="65"/>
        <v>0.47352941176470592</v>
      </c>
      <c r="AH22" s="129">
        <f>AVERAGEIF($C$36:$C$171,"=5",AH$36:AH$171)</f>
        <v>55</v>
      </c>
      <c r="AI22" s="129">
        <f>AVERAGEIF($C$36:$C$171,"=5",AI$36:AI$171)</f>
        <v>7.7058823529411766</v>
      </c>
      <c r="AJ22" s="39">
        <f>AVERAGEIF($C$36:$C$171,"=5",AJ$36:AJ$171)</f>
        <v>6.2941176470588237E-2</v>
      </c>
      <c r="AK22" s="39">
        <f t="shared" ref="AK22:BL22" si="66">AVERAGEIF($C$36:$C$171,"=5",AK$36:AK$171)</f>
        <v>0.43588235294117644</v>
      </c>
      <c r="AL22" s="39">
        <f t="shared" si="66"/>
        <v>0.49176470588235288</v>
      </c>
      <c r="AM22" s="39">
        <f t="shared" si="66"/>
        <v>0.01</v>
      </c>
      <c r="AN22" s="39">
        <f t="shared" si="66"/>
        <v>0.23117647058823532</v>
      </c>
      <c r="AO22" s="39">
        <f t="shared" si="66"/>
        <v>0.44176470588235295</v>
      </c>
      <c r="AP22" s="39">
        <f t="shared" si="66"/>
        <v>0.501764705882353</v>
      </c>
      <c r="AQ22" s="39">
        <f t="shared" si="66"/>
        <v>0.308235294117647</v>
      </c>
      <c r="AR22" s="39">
        <f t="shared" si="66"/>
        <v>0.49235294117647066</v>
      </c>
      <c r="AS22" s="39">
        <f t="shared" si="66"/>
        <v>0.45588235294117646</v>
      </c>
      <c r="AT22" s="39">
        <f t="shared" si="66"/>
        <v>0.46294117647058824</v>
      </c>
      <c r="AU22" s="39">
        <f t="shared" si="66"/>
        <v>0.43588235294117655</v>
      </c>
      <c r="AV22" s="39">
        <f t="shared" si="66"/>
        <v>0.53823529411764692</v>
      </c>
      <c r="AW22" s="39">
        <f t="shared" si="66"/>
        <v>0.4552941176470589</v>
      </c>
      <c r="AX22" s="39">
        <f t="shared" si="66"/>
        <v>0.4864705882352941</v>
      </c>
      <c r="AY22" s="39">
        <f t="shared" si="66"/>
        <v>0.26411764705882357</v>
      </c>
      <c r="AZ22" s="39">
        <f t="shared" si="66"/>
        <v>0.21176470588235297</v>
      </c>
      <c r="BA22" s="39">
        <f t="shared" si="66"/>
        <v>0.4088235294117647</v>
      </c>
      <c r="BB22" s="39">
        <f t="shared" si="66"/>
        <v>0.60117647058823531</v>
      </c>
      <c r="BC22" s="39">
        <f t="shared" si="66"/>
        <v>0.60588235294117643</v>
      </c>
      <c r="BD22" s="39">
        <f t="shared" si="66"/>
        <v>0.37882352941176478</v>
      </c>
      <c r="BE22" s="39">
        <f t="shared" si="66"/>
        <v>0.54470588235294126</v>
      </c>
      <c r="BF22" s="39">
        <f t="shared" si="66"/>
        <v>0.53882352941176459</v>
      </c>
      <c r="BG22" s="39">
        <f t="shared" si="66"/>
        <v>0.45117647058823523</v>
      </c>
      <c r="BH22" s="39">
        <f t="shared" si="66"/>
        <v>0.4035294117647058</v>
      </c>
      <c r="BI22" s="39">
        <f t="shared" si="66"/>
        <v>0.36176470588235299</v>
      </c>
      <c r="BJ22" s="39">
        <f t="shared" si="66"/>
        <v>0.30882352941176472</v>
      </c>
      <c r="BK22" s="39">
        <f t="shared" si="66"/>
        <v>0.3758823529411765</v>
      </c>
      <c r="BL22" s="39">
        <f t="shared" si="66"/>
        <v>0.43882352941176478</v>
      </c>
      <c r="BM22" s="129">
        <f>AVERAGEIF($C$36:$C$171,"=5",BM$36:BM$171)</f>
        <v>53.611111111111114</v>
      </c>
      <c r="BN22" s="129">
        <f>AVERAGEIF($C$36:$C$171,"=5",BN$36:BN$171)</f>
        <v>7.8888888888888893</v>
      </c>
      <c r="BO22" s="39">
        <f>AVERAGEIF($C$36:$C$171,"=5",BO$36:BO$171)</f>
        <v>6.8333333333333343E-2</v>
      </c>
      <c r="BP22" s="39">
        <f t="shared" ref="BP22:CR22" si="67">AVERAGEIF($C$36:$C$171,"=5",BP$36:BP$171)</f>
        <v>0.54222222222222216</v>
      </c>
      <c r="BQ22" s="39">
        <f t="shared" si="67"/>
        <v>0.36666666666666664</v>
      </c>
      <c r="BR22" s="39">
        <f t="shared" si="67"/>
        <v>2.388888888888889E-2</v>
      </c>
      <c r="BS22" s="39">
        <f t="shared" si="67"/>
        <v>0.27777777777777773</v>
      </c>
      <c r="BT22" s="39">
        <f t="shared" si="67"/>
        <v>0.58882352941176475</v>
      </c>
      <c r="BU22" s="39">
        <f t="shared" si="67"/>
        <v>0.59294117647058808</v>
      </c>
      <c r="BV22" s="39">
        <f t="shared" si="67"/>
        <v>0.30666666666666664</v>
      </c>
      <c r="BW22" s="39">
        <f t="shared" si="67"/>
        <v>0.60555555555555562</v>
      </c>
      <c r="BX22" s="39">
        <f t="shared" si="67"/>
        <v>0.30166666666666664</v>
      </c>
      <c r="BY22" s="39">
        <f t="shared" si="67"/>
        <v>0.38500000000000001</v>
      </c>
      <c r="BZ22" s="39">
        <f t="shared" si="67"/>
        <v>0.46333333333333354</v>
      </c>
      <c r="CA22" s="39">
        <f t="shared" si="67"/>
        <v>0.42666666666666664</v>
      </c>
      <c r="CB22" s="39">
        <f t="shared" si="67"/>
        <v>0.30166666666666675</v>
      </c>
      <c r="CC22" s="39">
        <f t="shared" si="67"/>
        <v>0.19055555555555556</v>
      </c>
      <c r="CD22" s="39">
        <f t="shared" si="67"/>
        <v>0.34666666666666662</v>
      </c>
      <c r="CE22" s="39">
        <f t="shared" si="67"/>
        <v>0.29611111111111105</v>
      </c>
      <c r="CF22" s="39">
        <f t="shared" si="67"/>
        <v>0.59111111111111114</v>
      </c>
      <c r="CG22" s="39">
        <f t="shared" si="67"/>
        <v>0.54388888888888898</v>
      </c>
      <c r="CH22" s="39">
        <f t="shared" si="67"/>
        <v>0.4055555555555555</v>
      </c>
      <c r="CI22" s="39">
        <f t="shared" si="67"/>
        <v>0.50500000000000012</v>
      </c>
      <c r="CJ22" s="39">
        <f t="shared" si="67"/>
        <v>0.33111111111111113</v>
      </c>
      <c r="CK22" s="39">
        <f t="shared" si="67"/>
        <v>0.6166666666666667</v>
      </c>
      <c r="CL22" s="39">
        <f t="shared" si="67"/>
        <v>0.23166666666666672</v>
      </c>
      <c r="CM22" s="39">
        <f t="shared" si="67"/>
        <v>0.39055555555555554</v>
      </c>
      <c r="CN22" s="39">
        <f t="shared" si="67"/>
        <v>0.38388888888888889</v>
      </c>
      <c r="CO22" s="39">
        <f t="shared" si="67"/>
        <v>0.39222222222222214</v>
      </c>
      <c r="CP22" s="39">
        <f t="shared" si="67"/>
        <v>0.28888888888888892</v>
      </c>
      <c r="CQ22" s="39">
        <f t="shared" si="67"/>
        <v>0.51055555555555565</v>
      </c>
      <c r="CR22" s="39">
        <f t="shared" si="67"/>
        <v>0.47833333333333339</v>
      </c>
      <c r="CS22" s="129">
        <f>AVERAGEIF($C$36:$C$171,"=5",CS$36:CS$171)</f>
        <v>52.157894736842103</v>
      </c>
      <c r="CT22" s="129">
        <f>AVERAGEIF($C$36:$C$171,"=5",CT$36:CT$171)</f>
        <v>8.2631578947368425</v>
      </c>
      <c r="CU22" s="39">
        <f>AVERAGEIF($C$36:$C$171,"=5",CU$36:CU$171)</f>
        <v>0.10210526315789475</v>
      </c>
      <c r="CV22" s="39">
        <f t="shared" ref="CV22:DW22" si="68">AVERAGEIF($C$36:$C$171,"=5",CV$36:CV$171)</f>
        <v>0.526842105263158</v>
      </c>
      <c r="CW22" s="39">
        <f t="shared" si="68"/>
        <v>0.34894736842105267</v>
      </c>
      <c r="CX22" s="39">
        <f t="shared" si="68"/>
        <v>2.3684210526315787E-2</v>
      </c>
      <c r="CY22" s="39">
        <f t="shared" si="68"/>
        <v>0.45105263157894737</v>
      </c>
      <c r="CZ22" s="39">
        <f t="shared" si="68"/>
        <v>0.25210526315789478</v>
      </c>
      <c r="DA22" s="39">
        <f t="shared" si="68"/>
        <v>0.52368421052631586</v>
      </c>
      <c r="DB22" s="39">
        <f t="shared" si="68"/>
        <v>0.31210526315789483</v>
      </c>
      <c r="DC22" s="39">
        <f t="shared" si="68"/>
        <v>0.40684210526315789</v>
      </c>
      <c r="DD22" s="39">
        <f t="shared" si="68"/>
        <v>0.60894736842105257</v>
      </c>
      <c r="DE22" s="39">
        <f t="shared" si="68"/>
        <v>0.41315789473684206</v>
      </c>
      <c r="DF22" s="39">
        <f t="shared" si="68"/>
        <v>0.50368421052631596</v>
      </c>
      <c r="DG22" s="39">
        <f t="shared" si="68"/>
        <v>0.41631578947368419</v>
      </c>
      <c r="DH22" s="39">
        <f t="shared" si="68"/>
        <v>0.33789473684210525</v>
      </c>
      <c r="DI22" s="39">
        <f t="shared" si="68"/>
        <v>0.49105263157894735</v>
      </c>
      <c r="DJ22" s="39">
        <f t="shared" si="68"/>
        <v>0.43789473684210528</v>
      </c>
      <c r="DK22" s="39">
        <f t="shared" si="68"/>
        <v>0.27789473684210531</v>
      </c>
      <c r="DL22" s="39">
        <f t="shared" si="68"/>
        <v>0.33210526315789474</v>
      </c>
      <c r="DM22" s="39">
        <f t="shared" si="68"/>
        <v>0.48736842105263156</v>
      </c>
      <c r="DN22" s="39">
        <f t="shared" si="68"/>
        <v>0.44736842105263169</v>
      </c>
      <c r="DO22" s="39">
        <f t="shared" si="68"/>
        <v>0.37789473684210523</v>
      </c>
      <c r="DP22" s="39">
        <f t="shared" si="68"/>
        <v>0.39736842105263159</v>
      </c>
      <c r="DQ22" s="39">
        <f t="shared" si="68"/>
        <v>0.52315789473684216</v>
      </c>
      <c r="DR22" s="39">
        <f t="shared" si="68"/>
        <v>0.19000000000000003</v>
      </c>
      <c r="DS22" s="39">
        <f t="shared" si="68"/>
        <v>0.36526315789473685</v>
      </c>
      <c r="DT22" s="39">
        <f t="shared" si="68"/>
        <v>0.57736842105263142</v>
      </c>
      <c r="DU22" s="39">
        <f t="shared" si="68"/>
        <v>0.42052631578947369</v>
      </c>
      <c r="DV22" s="39">
        <f t="shared" si="68"/>
        <v>0.54736842105263162</v>
      </c>
      <c r="DW22" s="39">
        <f t="shared" si="68"/>
        <v>0.30526315789473679</v>
      </c>
      <c r="DX22" s="129">
        <f>AVERAGEIF($C$36:$C$171,"=5",DX$36:DX$171)</f>
        <v>52.777777777777779</v>
      </c>
      <c r="DY22" s="129">
        <f>AVERAGEIF($C$36:$C$171,"=5",DY$36:DY$171)</f>
        <v>7.7222222222222223</v>
      </c>
      <c r="DZ22" s="39">
        <f>AVERAGEIF($C$36:$C$171,"=5",DZ$36:DZ$171)</f>
        <v>8.8333333333333347E-2</v>
      </c>
      <c r="EA22" s="39">
        <f t="shared" ref="EA22:FA22" si="69">AVERAGEIF($C$36:$C$171,"=5",EA$36:EA$171)</f>
        <v>0.50388888888888883</v>
      </c>
      <c r="EB22" s="39">
        <f t="shared" si="69"/>
        <v>0.40055555555555561</v>
      </c>
      <c r="EC22" s="39">
        <f t="shared" si="69"/>
        <v>8.3333333333333332E-3</v>
      </c>
      <c r="ED22" s="39">
        <f t="shared" si="69"/>
        <v>0.45722222222222225</v>
      </c>
      <c r="EE22" s="39">
        <f t="shared" si="69"/>
        <v>0.4211111111111111</v>
      </c>
      <c r="EF22" s="39">
        <f t="shared" si="69"/>
        <v>0.45500000000000007</v>
      </c>
      <c r="EG22" s="39">
        <f t="shared" si="69"/>
        <v>0.24555555555555555</v>
      </c>
      <c r="EH22" s="39">
        <f t="shared" si="69"/>
        <v>0.33888888888888885</v>
      </c>
      <c r="EI22" s="39">
        <f t="shared" si="69"/>
        <v>0.46722222222222221</v>
      </c>
      <c r="EJ22" s="39">
        <f t="shared" si="69"/>
        <v>0.52888888888888874</v>
      </c>
      <c r="EK22" s="39">
        <f t="shared" si="69"/>
        <v>0.22833333333333336</v>
      </c>
      <c r="EL22" s="39">
        <f t="shared" si="69"/>
        <v>0.37222222222222218</v>
      </c>
      <c r="EM22" s="39">
        <f t="shared" si="69"/>
        <v>0.5872222222222222</v>
      </c>
      <c r="EN22" s="39">
        <f t="shared" si="69"/>
        <v>0.3600000000000001</v>
      </c>
      <c r="EO22" s="39">
        <f t="shared" si="69"/>
        <v>0.53555555555555578</v>
      </c>
      <c r="EP22" s="39">
        <f t="shared" si="69"/>
        <v>0.35055555555555551</v>
      </c>
      <c r="EQ22" s="39">
        <f t="shared" si="69"/>
        <v>0.18722222222222226</v>
      </c>
      <c r="ER22" s="39">
        <f t="shared" si="69"/>
        <v>0.54999999999999993</v>
      </c>
      <c r="ES22" s="39">
        <f t="shared" si="69"/>
        <v>0.40055555555555561</v>
      </c>
      <c r="ET22" s="39">
        <f t="shared" si="69"/>
        <v>0.26277777777777783</v>
      </c>
      <c r="EU22" s="39">
        <f t="shared" si="69"/>
        <v>0.53055555555555545</v>
      </c>
      <c r="EV22" s="39">
        <f t="shared" si="69"/>
        <v>0.27</v>
      </c>
      <c r="EW22" s="39">
        <f t="shared" si="69"/>
        <v>0.28111111111111114</v>
      </c>
      <c r="EX22" s="39">
        <f t="shared" si="69"/>
        <v>0.66388888888888886</v>
      </c>
      <c r="EY22" s="39">
        <f t="shared" si="69"/>
        <v>0.51111111111111107</v>
      </c>
      <c r="EZ22" s="39">
        <f t="shared" si="69"/>
        <v>0.17444444444444446</v>
      </c>
      <c r="FA22" s="39">
        <f t="shared" si="69"/>
        <v>0.56333333333333335</v>
      </c>
      <c r="FB22" s="129">
        <f>AVERAGEIF($C$36:$C$171,"=5",FB$36:FB$171)</f>
        <v>52.277777777777779</v>
      </c>
      <c r="FD22" s="129">
        <f>AVERAGEIF($C$36:$C$171,"=5",FD$36:FD$171)</f>
        <v>8</v>
      </c>
      <c r="FF22" s="39">
        <f>AVERAGEIF($C$36:$C$171,"=5",FF$36:FF$171)</f>
        <v>8.111111111111112E-2</v>
      </c>
      <c r="FG22" s="39">
        <f t="shared" ref="FG22:GI22" si="70">AVERAGEIF($C$36:$C$171,"=5",FG$36:FG$171)</f>
        <v>0.56222222222222207</v>
      </c>
      <c r="FH22" s="39">
        <f t="shared" si="70"/>
        <v>0.34944444444444445</v>
      </c>
      <c r="FI22" s="39">
        <f t="shared" si="70"/>
        <v>1.0555555555555556E-2</v>
      </c>
      <c r="FJ22" s="39">
        <f t="shared" si="70"/>
        <v>0.40166666666666667</v>
      </c>
      <c r="FK22" s="39">
        <f t="shared" si="70"/>
        <v>0.63055555555555565</v>
      </c>
      <c r="FL22" s="39">
        <f t="shared" si="70"/>
        <v>0.44944444444444442</v>
      </c>
      <c r="FM22" s="39">
        <f t="shared" si="70"/>
        <v>0.40333333333333338</v>
      </c>
      <c r="FN22" s="39">
        <f t="shared" si="70"/>
        <v>0.24388888888888893</v>
      </c>
      <c r="FO22" s="39">
        <f t="shared" si="70"/>
        <v>0.27888888888888891</v>
      </c>
      <c r="FP22" s="39">
        <f t="shared" si="70"/>
        <v>0.3444444444444445</v>
      </c>
      <c r="FQ22" s="39">
        <f t="shared" si="70"/>
        <v>0.36388888888888893</v>
      </c>
      <c r="FR22" s="39">
        <f t="shared" si="70"/>
        <v>0.54444444444444451</v>
      </c>
      <c r="FS22" s="39">
        <f t="shared" si="70"/>
        <v>0.47611111111111115</v>
      </c>
      <c r="FT22" s="39">
        <f t="shared" si="70"/>
        <v>0.45444444444444443</v>
      </c>
      <c r="FU22" s="39">
        <f t="shared" si="70"/>
        <v>0.32</v>
      </c>
      <c r="FV22" s="39">
        <f t="shared" si="70"/>
        <v>0.54888888888888887</v>
      </c>
      <c r="FW22" s="39">
        <f t="shared" si="70"/>
        <v>0.51333333333333331</v>
      </c>
      <c r="FX22" s="39">
        <f t="shared" si="70"/>
        <v>0.41833333333333333</v>
      </c>
      <c r="FY22" s="39">
        <f t="shared" si="70"/>
        <v>0.3288888888888889</v>
      </c>
      <c r="FZ22" s="39">
        <f t="shared" si="70"/>
        <v>0.35166666666666668</v>
      </c>
      <c r="GA22" s="39">
        <f t="shared" si="70"/>
        <v>0.46222222222222226</v>
      </c>
      <c r="GB22" s="39">
        <f t="shared" si="70"/>
        <v>0.48388888888888892</v>
      </c>
      <c r="GC22" s="39">
        <f t="shared" si="70"/>
        <v>0.40111111111111114</v>
      </c>
      <c r="GD22" s="39">
        <f t="shared" si="70"/>
        <v>0.55555555555555558</v>
      </c>
      <c r="GE22" s="39">
        <f t="shared" si="70"/>
        <v>0.46722222222222221</v>
      </c>
      <c r="GF22" s="39">
        <f t="shared" si="70"/>
        <v>0.39944444444444449</v>
      </c>
      <c r="GG22" s="39">
        <f t="shared" si="70"/>
        <v>0.40055555555555561</v>
      </c>
      <c r="GH22" s="39">
        <f t="shared" si="70"/>
        <v>0.52444444444444438</v>
      </c>
      <c r="GI22" s="39">
        <f t="shared" si="70"/>
        <v>0.26555555555555554</v>
      </c>
      <c r="GJ22" s="129">
        <f>AVERAGEIF($C$36:$C$171,"=5",GJ$36:GJ$171)</f>
        <v>53.705882352941174</v>
      </c>
      <c r="GL22" s="129">
        <f>AVERAGEIF($C$36:$C$171,"=5",GL$36:GL$171)</f>
        <v>8.117647058823529</v>
      </c>
      <c r="GN22" s="344">
        <f>AVERAGEIF($C$36:$C$171,"=5",GN$36:GN$171)</f>
        <v>6.7058823529411768E-2</v>
      </c>
      <c r="GO22" s="344">
        <f t="shared" ref="GO22:HQ22" si="71">AVERAGEIF($C$36:$C$171,"=5",GO$36:GO$171)</f>
        <v>0.51</v>
      </c>
      <c r="GP22" s="344">
        <f t="shared" si="71"/>
        <v>0.40176470588235297</v>
      </c>
      <c r="GQ22" s="344">
        <f t="shared" si="71"/>
        <v>2.1176470588235293E-2</v>
      </c>
      <c r="GR22" s="344">
        <f t="shared" si="71"/>
        <v>0.42176470588235293</v>
      </c>
      <c r="GS22" s="344">
        <f t="shared" si="71"/>
        <v>0.46117647058823535</v>
      </c>
      <c r="GT22" s="344">
        <f t="shared" si="71"/>
        <v>0.56588235294117639</v>
      </c>
      <c r="GU22" s="344">
        <f t="shared" si="71"/>
        <v>0.18705882352941178</v>
      </c>
      <c r="GV22" s="344">
        <f t="shared" si="71"/>
        <v>0.49352941176470594</v>
      </c>
      <c r="GW22" s="344">
        <f t="shared" si="71"/>
        <v>0.3623529411764706</v>
      </c>
      <c r="GX22" s="344">
        <f t="shared" si="71"/>
        <v>0.39999999999999997</v>
      </c>
      <c r="GY22" s="317" t="s">
        <v>283</v>
      </c>
      <c r="GZ22" s="344">
        <f t="shared" si="71"/>
        <v>0.26411764705882357</v>
      </c>
      <c r="HA22" s="344">
        <f t="shared" si="71"/>
        <v>0.6100000000000001</v>
      </c>
      <c r="HB22" s="344">
        <f t="shared" si="71"/>
        <v>0.39588235294117646</v>
      </c>
      <c r="HC22" s="344">
        <f t="shared" si="71"/>
        <v>0.50117647058823522</v>
      </c>
      <c r="HD22" s="344">
        <f t="shared" si="71"/>
        <v>0.49705882352941172</v>
      </c>
      <c r="HE22" s="344">
        <f t="shared" si="71"/>
        <v>0.41235294117647064</v>
      </c>
      <c r="HF22" s="344">
        <f t="shared" si="71"/>
        <v>0.42352941176470582</v>
      </c>
      <c r="HG22" s="344">
        <f t="shared" si="71"/>
        <v>0.64705882352941191</v>
      </c>
      <c r="HH22" s="344">
        <f t="shared" si="71"/>
        <v>0.33588235294117652</v>
      </c>
      <c r="HI22" s="344">
        <f t="shared" si="71"/>
        <v>0.46058823529411774</v>
      </c>
      <c r="HJ22" s="344">
        <f t="shared" si="71"/>
        <v>0.54117647058823526</v>
      </c>
      <c r="HK22" s="344">
        <f t="shared" si="71"/>
        <v>0.46764705882352947</v>
      </c>
      <c r="HL22" s="344">
        <f t="shared" si="71"/>
        <v>0.32705882352941179</v>
      </c>
      <c r="HM22" s="344">
        <f t="shared" si="71"/>
        <v>0.45235294117647068</v>
      </c>
      <c r="HN22" s="344">
        <f t="shared" si="71"/>
        <v>0.42470588235294121</v>
      </c>
      <c r="HO22" s="344">
        <f t="shared" si="71"/>
        <v>0.3605882352941176</v>
      </c>
      <c r="HP22" s="317" t="s">
        <v>283</v>
      </c>
      <c r="HQ22" s="344">
        <f t="shared" si="71"/>
        <v>0.34529411764705875</v>
      </c>
      <c r="HR22" s="129">
        <f>AVERAGEIF($C$36:$C$171,"=5",HR$36:HR$171)</f>
        <v>54.588235294117645</v>
      </c>
      <c r="HT22" s="129">
        <f>AVERAGEIF($C$36:$C$171,"=5",HT$36:HT$171)</f>
        <v>8.235294117647058</v>
      </c>
      <c r="HV22" s="344">
        <f>AVERAGEIF($C$36:$C$171,"=5",HV$36:HV$171)</f>
        <v>5.8823529411764705E-2</v>
      </c>
      <c r="HW22" s="344">
        <f t="shared" ref="HW22:IZ22" si="72">AVERAGEIF($C$36:$C$171,"=5",HW$36:HW$171)</f>
        <v>0.48058823529411776</v>
      </c>
      <c r="HX22" s="344">
        <f t="shared" si="72"/>
        <v>0.42411764705882354</v>
      </c>
      <c r="HY22" s="344">
        <f t="shared" si="72"/>
        <v>3.411764705882353E-2</v>
      </c>
      <c r="HZ22" s="344">
        <f t="shared" si="72"/>
        <v>0.33470588235294113</v>
      </c>
      <c r="IA22" s="344">
        <f t="shared" si="72"/>
        <v>0.46117647058823524</v>
      </c>
      <c r="IB22" s="344">
        <f t="shared" si="72"/>
        <v>0.30176470588235299</v>
      </c>
      <c r="IC22" s="344">
        <f t="shared" si="72"/>
        <v>0.44470588235294117</v>
      </c>
      <c r="ID22" s="344">
        <f t="shared" si="72"/>
        <v>0.59176470588235297</v>
      </c>
      <c r="IE22" s="344">
        <f t="shared" si="72"/>
        <v>0.27470588235294119</v>
      </c>
      <c r="IF22" s="344">
        <f t="shared" si="72"/>
        <v>0.34411764705882358</v>
      </c>
      <c r="IG22" s="344">
        <f t="shared" si="72"/>
        <v>0.48235294117647054</v>
      </c>
      <c r="IH22" s="344">
        <f t="shared" si="72"/>
        <v>0.46</v>
      </c>
      <c r="II22" s="344">
        <f t="shared" si="72"/>
        <v>0.21882352941176472</v>
      </c>
      <c r="IJ22" s="344">
        <f t="shared" si="72"/>
        <v>0.20588235294117646</v>
      </c>
      <c r="IK22" s="344">
        <f t="shared" si="72"/>
        <v>0.51823529411764724</v>
      </c>
      <c r="IL22" s="344">
        <f t="shared" si="72"/>
        <v>0.29176470588235298</v>
      </c>
      <c r="IM22" s="344">
        <f t="shared" si="72"/>
        <v>0.55117647058823527</v>
      </c>
      <c r="IN22" s="344">
        <f t="shared" si="72"/>
        <v>0.36058823529411765</v>
      </c>
      <c r="IO22" s="344">
        <f t="shared" si="72"/>
        <v>0.48058823529411765</v>
      </c>
      <c r="IP22" s="344">
        <f t="shared" si="72"/>
        <v>0.31941176470588234</v>
      </c>
      <c r="IQ22" s="344">
        <f t="shared" si="72"/>
        <v>0.60764705882352965</v>
      </c>
      <c r="IR22" s="344">
        <f t="shared" si="72"/>
        <v>0.47941176470588237</v>
      </c>
      <c r="IS22" s="344">
        <f t="shared" si="72"/>
        <v>0.46117647058823524</v>
      </c>
      <c r="IT22" s="344">
        <f t="shared" si="72"/>
        <v>0.37058823529411766</v>
      </c>
      <c r="IU22" s="317" t="s">
        <v>283</v>
      </c>
      <c r="IV22" s="344">
        <f t="shared" si="72"/>
        <v>0.56058823529411783</v>
      </c>
      <c r="IW22" s="344">
        <f t="shared" si="72"/>
        <v>0.35705882352941176</v>
      </c>
      <c r="IX22" s="344">
        <f t="shared" si="72"/>
        <v>0.40117647058823536</v>
      </c>
      <c r="IY22" s="344">
        <f t="shared" si="72"/>
        <v>0.41470588235294115</v>
      </c>
      <c r="IZ22" s="129">
        <f t="shared" si="72"/>
        <v>52.833333333333336</v>
      </c>
      <c r="JA22" s="499"/>
      <c r="JB22" s="129">
        <f t="shared" ref="JB22" si="73">AVERAGEIF($C$36:$C$171,"=5",JB$36:JB$171)</f>
        <v>8.7222222222222214</v>
      </c>
      <c r="JC22" s="499"/>
      <c r="JD22" s="344">
        <f t="shared" ref="JD22:KG22" si="74">AVERAGEIF($C$36:$C$171,"=5",JD$36:JD$171)</f>
        <v>9.555555555555556E-2</v>
      </c>
      <c r="JE22" s="344">
        <f t="shared" si="74"/>
        <v>0.495</v>
      </c>
      <c r="JF22" s="344">
        <f t="shared" si="74"/>
        <v>0.38166666666666665</v>
      </c>
      <c r="JG22" s="344">
        <f t="shared" si="74"/>
        <v>2.8333333333333335E-2</v>
      </c>
      <c r="JH22" s="344">
        <f t="shared" ref="JH22:KC22" si="75">AVERAGEIF($C$36:$C$171,"=5",JH$36:JH$171)</f>
        <v>0.42611111111111116</v>
      </c>
      <c r="JI22" s="344">
        <f t="shared" si="75"/>
        <v>0.43611111111111112</v>
      </c>
      <c r="JJ22" s="344">
        <f t="shared" si="75"/>
        <v>0.38444444444444448</v>
      </c>
      <c r="JK22" s="344">
        <f t="shared" si="75"/>
        <v>0.44833333333333336</v>
      </c>
      <c r="JL22" s="344">
        <f t="shared" si="75"/>
        <v>0.46000000000000008</v>
      </c>
      <c r="JM22" s="344">
        <f t="shared" si="75"/>
        <v>0.45666666666666672</v>
      </c>
      <c r="JN22" s="344">
        <f t="shared" si="75"/>
        <v>0.40611111111111109</v>
      </c>
      <c r="JO22" s="344">
        <f t="shared" si="75"/>
        <v>0.43722222222222229</v>
      </c>
      <c r="JP22" s="344">
        <f t="shared" si="75"/>
        <v>0.5361111111111112</v>
      </c>
      <c r="JQ22" s="344">
        <f t="shared" si="75"/>
        <v>0.25388888888888889</v>
      </c>
      <c r="JR22" s="344">
        <f t="shared" si="75"/>
        <v>0.52</v>
      </c>
      <c r="JS22" s="344">
        <f t="shared" si="75"/>
        <v>0.49444444444444446</v>
      </c>
      <c r="JT22" s="344">
        <f t="shared" si="75"/>
        <v>0.39555555555555549</v>
      </c>
      <c r="JU22" s="344">
        <f t="shared" si="75"/>
        <v>0.4794444444444444</v>
      </c>
      <c r="JV22" s="344">
        <f t="shared" si="75"/>
        <v>0.47111111111111115</v>
      </c>
      <c r="JW22" s="344">
        <f t="shared" si="75"/>
        <v>0.44611111111111107</v>
      </c>
      <c r="JX22" s="344">
        <f t="shared" si="75"/>
        <v>0.38611111111111118</v>
      </c>
      <c r="JY22" s="344">
        <f t="shared" si="75"/>
        <v>0.45888888888888907</v>
      </c>
      <c r="JZ22" s="344">
        <f t="shared" si="75"/>
        <v>0.4433333333333333</v>
      </c>
      <c r="KA22" s="344">
        <f t="shared" si="75"/>
        <v>0.55833333333333324</v>
      </c>
      <c r="KB22" s="344">
        <f t="shared" si="75"/>
        <v>0.45111111111111107</v>
      </c>
      <c r="KC22" s="344">
        <f t="shared" si="75"/>
        <v>0.63833333333333331</v>
      </c>
      <c r="KD22" s="344">
        <f t="shared" si="74"/>
        <v>0.34277777777777779</v>
      </c>
      <c r="KE22" s="344">
        <f>AVERAGEIF($C$36:$C$171,"=5",KE$36:KE$171)</f>
        <v>0.50444444444444447</v>
      </c>
      <c r="KF22" s="344">
        <f>AVERAGEIF($C$36:$C$171,"=5",KF$36:KF$171)</f>
        <v>0.448888888888889</v>
      </c>
      <c r="KG22" s="344">
        <f t="shared" si="74"/>
        <v>0.49444444444444446</v>
      </c>
    </row>
    <row r="23" spans="1:293" ht="24.95" customHeight="1" x14ac:dyDescent="0.2">
      <c r="A23" s="198" t="s">
        <v>249</v>
      </c>
      <c r="B23" s="6"/>
      <c r="C23" s="6"/>
      <c r="D23" s="129">
        <f>AVERAGEIF($C$36:$C$171,"=6",D$36:D$171)</f>
        <v>55.06666666666667</v>
      </c>
      <c r="E23" s="129">
        <f>AVERAGEIF($C$36:$C$171,"=6",E$36:E$171)</f>
        <v>5.8</v>
      </c>
      <c r="F23" s="39">
        <f>AVERAGEIF($C$36:$C$171,"=6",F$36:F$171)</f>
        <v>1.6666666666666666E-2</v>
      </c>
      <c r="G23" s="39">
        <f t="shared" ref="G23:AG23" si="76">AVERAGEIF($C$36:$C$171,"=6",G$36:G$171)</f>
        <v>0.52333333333333332</v>
      </c>
      <c r="H23" s="39">
        <f t="shared" si="76"/>
        <v>0.45466666666666661</v>
      </c>
      <c r="I23" s="39">
        <f t="shared" si="76"/>
        <v>3.3333333333333335E-3</v>
      </c>
      <c r="J23" s="39">
        <f t="shared" si="76"/>
        <v>0.39400000000000002</v>
      </c>
      <c r="K23" s="39">
        <f t="shared" si="76"/>
        <v>0.38466666666666666</v>
      </c>
      <c r="L23" s="39">
        <f t="shared" si="76"/>
        <v>0.72733333333333339</v>
      </c>
      <c r="M23" s="39">
        <f t="shared" si="76"/>
        <v>0.16466666666666666</v>
      </c>
      <c r="N23" s="39">
        <f t="shared" si="76"/>
        <v>0.27799999999999997</v>
      </c>
      <c r="O23" s="39">
        <f t="shared" si="76"/>
        <v>0.59866666666666668</v>
      </c>
      <c r="P23" s="39">
        <f t="shared" si="76"/>
        <v>0.34866666666666662</v>
      </c>
      <c r="Q23" s="39">
        <f t="shared" si="76"/>
        <v>0.40400000000000003</v>
      </c>
      <c r="R23" s="39">
        <f t="shared" si="76"/>
        <v>0.5013333333333333</v>
      </c>
      <c r="S23" s="39">
        <f t="shared" si="76"/>
        <v>0.56799999999999995</v>
      </c>
      <c r="T23" s="39">
        <f t="shared" si="76"/>
        <v>0.45200000000000001</v>
      </c>
      <c r="U23" s="39">
        <f t="shared" si="76"/>
        <v>0.5079999999999999</v>
      </c>
      <c r="V23" s="39">
        <f t="shared" si="76"/>
        <v>6.2000000000000013E-2</v>
      </c>
      <c r="W23" s="39">
        <f t="shared" si="76"/>
        <v>0.11133333333333333</v>
      </c>
      <c r="X23" s="39">
        <f t="shared" si="76"/>
        <v>0.46800000000000003</v>
      </c>
      <c r="Y23" s="39">
        <f t="shared" si="76"/>
        <v>0.42066666666666663</v>
      </c>
      <c r="Z23" s="39">
        <f t="shared" si="76"/>
        <v>0.62</v>
      </c>
      <c r="AA23" s="39">
        <f t="shared" si="76"/>
        <v>8.2666666666666666E-2</v>
      </c>
      <c r="AB23" s="39">
        <f t="shared" si="76"/>
        <v>0.39599999999999996</v>
      </c>
      <c r="AC23" s="39">
        <f t="shared" si="76"/>
        <v>0.252</v>
      </c>
      <c r="AD23" s="39">
        <f t="shared" si="76"/>
        <v>0.41133333333333333</v>
      </c>
      <c r="AE23" s="39">
        <f t="shared" si="76"/>
        <v>0.41066666666666668</v>
      </c>
      <c r="AF23" s="39">
        <f t="shared" si="76"/>
        <v>0.49533333333333346</v>
      </c>
      <c r="AG23" s="39">
        <f t="shared" si="76"/>
        <v>0.49866666666666681</v>
      </c>
      <c r="AH23" s="129">
        <f>AVERAGEIF($C$36:$C$171,"=6",AH$36:AH$171)</f>
        <v>52.06666666666667</v>
      </c>
      <c r="AI23" s="129">
        <f>AVERAGEIF($C$36:$C$171,"=6",AI$36:AI$171)</f>
        <v>7.9333333333333336</v>
      </c>
      <c r="AJ23" s="39">
        <f>AVERAGEIF($C$36:$C$171,"=6",AJ$36:AJ$171)</f>
        <v>0.10733333333333334</v>
      </c>
      <c r="AK23" s="39">
        <f t="shared" ref="AK23:BL23" si="77">AVERAGEIF($C$36:$C$171,"=6",AK$36:AK$171)</f>
        <v>0.52999999999999992</v>
      </c>
      <c r="AL23" s="39">
        <f t="shared" si="77"/>
        <v>0.35399999999999998</v>
      </c>
      <c r="AM23" s="39">
        <f t="shared" si="77"/>
        <v>9.3333333333333341E-3</v>
      </c>
      <c r="AN23" s="39">
        <f t="shared" si="77"/>
        <v>0.28000000000000003</v>
      </c>
      <c r="AO23" s="39">
        <f t="shared" si="77"/>
        <v>0.48066666666666674</v>
      </c>
      <c r="AP23" s="39">
        <f t="shared" si="77"/>
        <v>0.58466666666666667</v>
      </c>
      <c r="AQ23" s="39">
        <f t="shared" si="77"/>
        <v>0.37333333333333329</v>
      </c>
      <c r="AR23" s="39">
        <f t="shared" si="77"/>
        <v>0.50600000000000001</v>
      </c>
      <c r="AS23" s="39">
        <f t="shared" si="77"/>
        <v>0.52600000000000002</v>
      </c>
      <c r="AT23" s="39">
        <f t="shared" si="77"/>
        <v>0.51600000000000013</v>
      </c>
      <c r="AU23" s="39">
        <f t="shared" si="77"/>
        <v>0.52933333333333332</v>
      </c>
      <c r="AV23" s="39">
        <f t="shared" si="77"/>
        <v>0.60333333333333339</v>
      </c>
      <c r="AW23" s="39">
        <f t="shared" si="77"/>
        <v>0.53333333333333333</v>
      </c>
      <c r="AX23" s="39">
        <f t="shared" si="77"/>
        <v>0.53999999999999992</v>
      </c>
      <c r="AY23" s="39">
        <f t="shared" si="77"/>
        <v>0.33466666666666672</v>
      </c>
      <c r="AZ23" s="39">
        <f t="shared" si="77"/>
        <v>0.34400000000000008</v>
      </c>
      <c r="BA23" s="39">
        <f t="shared" si="77"/>
        <v>0.4820000000000001</v>
      </c>
      <c r="BB23" s="39">
        <f t="shared" si="77"/>
        <v>0.66799999999999982</v>
      </c>
      <c r="BC23" s="39">
        <f t="shared" si="77"/>
        <v>0.63266666666666671</v>
      </c>
      <c r="BD23" s="39">
        <f t="shared" si="77"/>
        <v>0.39933333333333343</v>
      </c>
      <c r="BE23" s="39">
        <f t="shared" si="77"/>
        <v>0.57133333333333336</v>
      </c>
      <c r="BF23" s="39">
        <f t="shared" si="77"/>
        <v>0.67666666666666664</v>
      </c>
      <c r="BG23" s="39">
        <f t="shared" si="77"/>
        <v>0.49399999999999999</v>
      </c>
      <c r="BH23" s="39">
        <f t="shared" si="77"/>
        <v>0.42600000000000005</v>
      </c>
      <c r="BI23" s="39">
        <f t="shared" si="77"/>
        <v>0.42800000000000005</v>
      </c>
      <c r="BJ23" s="39">
        <f t="shared" si="77"/>
        <v>0.37199999999999994</v>
      </c>
      <c r="BK23" s="39">
        <f t="shared" si="77"/>
        <v>0.43866666666666665</v>
      </c>
      <c r="BL23" s="39">
        <f t="shared" si="77"/>
        <v>0.40333333333333332</v>
      </c>
      <c r="BM23" s="129">
        <f>AVERAGEIF($C$36:$C$171,"=6",BM$36:BM$171)</f>
        <v>51</v>
      </c>
      <c r="BN23" s="129">
        <f>AVERAGEIF($C$36:$C$171,"=6",BN$36:BN$171)</f>
        <v>8.4285714285714288</v>
      </c>
      <c r="BO23" s="39">
        <f>AVERAGEIF($C$36:$C$171,"=6",BO$36:BO$171)</f>
        <v>9.2142857142857151E-2</v>
      </c>
      <c r="BP23" s="39">
        <f t="shared" ref="BP23:CR23" si="78">AVERAGEIF($C$36:$C$171,"=6",BP$36:BP$171)</f>
        <v>0.61142857142857143</v>
      </c>
      <c r="BQ23" s="39">
        <f t="shared" si="78"/>
        <v>0.29214285714285715</v>
      </c>
      <c r="BR23" s="39">
        <f t="shared" si="78"/>
        <v>6.4285714285714285E-3</v>
      </c>
      <c r="BS23" s="39">
        <f t="shared" si="78"/>
        <v>0.33714285714285719</v>
      </c>
      <c r="BT23" s="39">
        <f t="shared" si="78"/>
        <v>0.51</v>
      </c>
      <c r="BU23" s="39">
        <f t="shared" si="78"/>
        <v>0.62142857142857155</v>
      </c>
      <c r="BV23" s="39">
        <f t="shared" si="78"/>
        <v>0.28785714285714287</v>
      </c>
      <c r="BW23" s="39">
        <f t="shared" si="78"/>
        <v>0.61071428571428577</v>
      </c>
      <c r="BX23" s="39">
        <f t="shared" si="78"/>
        <v>0.3264285714285714</v>
      </c>
      <c r="BY23" s="39">
        <f t="shared" si="78"/>
        <v>0.42357142857142854</v>
      </c>
      <c r="BZ23" s="39">
        <f t="shared" si="78"/>
        <v>0.52071428571428569</v>
      </c>
      <c r="CA23" s="39">
        <f t="shared" si="78"/>
        <v>0.47357142857142859</v>
      </c>
      <c r="CB23" s="39">
        <f t="shared" si="78"/>
        <v>0.32357142857142851</v>
      </c>
      <c r="CC23" s="39">
        <f t="shared" si="78"/>
        <v>0.20142857142857143</v>
      </c>
      <c r="CD23" s="39">
        <f t="shared" si="78"/>
        <v>0.42785714285714288</v>
      </c>
      <c r="CE23" s="39">
        <f t="shared" si="78"/>
        <v>0.34285714285714286</v>
      </c>
      <c r="CF23" s="39">
        <f t="shared" si="78"/>
        <v>0.61428571428571421</v>
      </c>
      <c r="CG23" s="39">
        <f t="shared" si="78"/>
        <v>0.59142857142857153</v>
      </c>
      <c r="CH23" s="39">
        <f t="shared" si="78"/>
        <v>0.45285714285714285</v>
      </c>
      <c r="CI23" s="39">
        <f t="shared" si="78"/>
        <v>0.57714285714285718</v>
      </c>
      <c r="CJ23" s="39">
        <f t="shared" si="78"/>
        <v>0.32857142857142857</v>
      </c>
      <c r="CK23" s="39">
        <f t="shared" si="78"/>
        <v>0.66714285714285726</v>
      </c>
      <c r="CL23" s="39">
        <f t="shared" si="78"/>
        <v>0.31928571428571428</v>
      </c>
      <c r="CM23" s="39">
        <f t="shared" si="78"/>
        <v>0.44214285714285717</v>
      </c>
      <c r="CN23" s="39">
        <f t="shared" si="78"/>
        <v>0.4707142857142857</v>
      </c>
      <c r="CO23" s="39">
        <f t="shared" si="78"/>
        <v>0.42785714285714288</v>
      </c>
      <c r="CP23" s="39">
        <f t="shared" si="78"/>
        <v>0.35142857142857142</v>
      </c>
      <c r="CQ23" s="39">
        <f t="shared" si="78"/>
        <v>0.56857142857142862</v>
      </c>
      <c r="CR23" s="39">
        <f t="shared" si="78"/>
        <v>0.57928571428571429</v>
      </c>
      <c r="CS23" s="129">
        <f>AVERAGEIF($C$36:$C$171,"=6",CS$36:CS$171)</f>
        <v>50.333333333333336</v>
      </c>
      <c r="CT23" s="129">
        <f>AVERAGEIF($C$36:$C$171,"=6",CT$36:CT$171)</f>
        <v>8.1333333333333329</v>
      </c>
      <c r="CU23" s="39">
        <f>AVERAGEIF($C$36:$C$171,"=6",CU$36:CU$171)</f>
        <v>0.12066666666666669</v>
      </c>
      <c r="CV23" s="39">
        <f t="shared" ref="CV23:DW23" si="79">AVERAGEIF($C$36:$C$171,"=6",CV$36:CV$171)</f>
        <v>0.6293333333333333</v>
      </c>
      <c r="CW23" s="39">
        <f t="shared" si="79"/>
        <v>0.22800000000000001</v>
      </c>
      <c r="CX23" s="39">
        <f t="shared" si="79"/>
        <v>2.4E-2</v>
      </c>
      <c r="CY23" s="39">
        <f t="shared" si="79"/>
        <v>0.49466666666666664</v>
      </c>
      <c r="CZ23" s="39">
        <f t="shared" si="79"/>
        <v>0.30933333333333335</v>
      </c>
      <c r="DA23" s="39">
        <f t="shared" si="79"/>
        <v>0.55466666666666664</v>
      </c>
      <c r="DB23" s="39">
        <f t="shared" si="79"/>
        <v>0.38466666666666671</v>
      </c>
      <c r="DC23" s="39">
        <f t="shared" si="79"/>
        <v>0.44866666666666666</v>
      </c>
      <c r="DD23" s="39">
        <f t="shared" si="79"/>
        <v>0.6226666666666667</v>
      </c>
      <c r="DE23" s="39">
        <f t="shared" si="79"/>
        <v>0.43333333333333335</v>
      </c>
      <c r="DF23" s="39">
        <f t="shared" si="79"/>
        <v>0.52733333333333332</v>
      </c>
      <c r="DG23" s="39">
        <f t="shared" si="79"/>
        <v>0.38400000000000001</v>
      </c>
      <c r="DH23" s="39">
        <f t="shared" si="79"/>
        <v>0.39799999999999996</v>
      </c>
      <c r="DI23" s="39">
        <f t="shared" si="79"/>
        <v>0.48800000000000004</v>
      </c>
      <c r="DJ23" s="39">
        <f t="shared" si="79"/>
        <v>0.53933333333333333</v>
      </c>
      <c r="DK23" s="39">
        <f t="shared" si="79"/>
        <v>0.41</v>
      </c>
      <c r="DL23" s="39">
        <f t="shared" si="79"/>
        <v>0.40142857142857141</v>
      </c>
      <c r="DM23" s="39">
        <f t="shared" si="79"/>
        <v>0.52399999999999991</v>
      </c>
      <c r="DN23" s="39">
        <f t="shared" si="79"/>
        <v>0.47533333333333327</v>
      </c>
      <c r="DO23" s="39">
        <f t="shared" si="79"/>
        <v>0.45066666666666666</v>
      </c>
      <c r="DP23" s="39">
        <f t="shared" si="79"/>
        <v>0.45866666666666672</v>
      </c>
      <c r="DQ23" s="39">
        <f t="shared" si="79"/>
        <v>0.54333333333333333</v>
      </c>
      <c r="DR23" s="39">
        <f t="shared" si="79"/>
        <v>0.15266666666666667</v>
      </c>
      <c r="DS23" s="39">
        <f t="shared" si="79"/>
        <v>0.35733333333333334</v>
      </c>
      <c r="DT23" s="39">
        <f t="shared" si="79"/>
        <v>0.59466666666666668</v>
      </c>
      <c r="DU23" s="39">
        <f t="shared" si="79"/>
        <v>0.51466666666666672</v>
      </c>
      <c r="DV23" s="39">
        <f t="shared" si="79"/>
        <v>0.54266666666666674</v>
      </c>
      <c r="DW23" s="39">
        <f t="shared" si="79"/>
        <v>0.318</v>
      </c>
      <c r="DX23" s="129">
        <f>AVERAGEIF($C$36:$C$171,"=6",DX$36:DX$171)</f>
        <v>49.235294117647058</v>
      </c>
      <c r="DY23" s="129">
        <f>AVERAGEIF($C$36:$C$171,"=6",DY$36:DY$171)</f>
        <v>7.8235294117647056</v>
      </c>
      <c r="DZ23" s="39">
        <f>AVERAGEIF($C$36:$C$171,"=6",DZ$36:DZ$171)</f>
        <v>0.15999999999999998</v>
      </c>
      <c r="EA23" s="39">
        <f t="shared" ref="EA23:FA23" si="80">AVERAGEIF($C$36:$C$171,"=6",EA$36:EA$171)</f>
        <v>0.58411764705882352</v>
      </c>
      <c r="EB23" s="39">
        <f t="shared" si="80"/>
        <v>0.25294117647058817</v>
      </c>
      <c r="EC23" s="39">
        <f t="shared" si="80"/>
        <v>4.1176470588235288E-3</v>
      </c>
      <c r="ED23" s="39">
        <f t="shared" si="80"/>
        <v>0.53117647058823514</v>
      </c>
      <c r="EE23" s="39">
        <f t="shared" si="80"/>
        <v>0.46000000000000008</v>
      </c>
      <c r="EF23" s="39">
        <f t="shared" si="80"/>
        <v>0.51764705882352946</v>
      </c>
      <c r="EG23" s="39">
        <f t="shared" si="80"/>
        <v>0.39529411764705874</v>
      </c>
      <c r="EH23" s="39">
        <f t="shared" si="80"/>
        <v>0.47529411764705881</v>
      </c>
      <c r="EI23" s="39">
        <f t="shared" si="80"/>
        <v>0.56999999999999995</v>
      </c>
      <c r="EJ23" s="39">
        <f t="shared" si="80"/>
        <v>0.56823529411764706</v>
      </c>
      <c r="EK23" s="39">
        <f t="shared" si="80"/>
        <v>0.34352941176470592</v>
      </c>
      <c r="EL23" s="39">
        <f t="shared" si="80"/>
        <v>0.47000000000000003</v>
      </c>
      <c r="EM23" s="39">
        <f t="shared" si="80"/>
        <v>0.63764705882352946</v>
      </c>
      <c r="EN23" s="39">
        <f t="shared" si="80"/>
        <v>0.42823529411764705</v>
      </c>
      <c r="EO23" s="39">
        <f t="shared" si="80"/>
        <v>0.55882352941176472</v>
      </c>
      <c r="EP23" s="39">
        <f t="shared" si="80"/>
        <v>0.41176470588235298</v>
      </c>
      <c r="EQ23" s="39">
        <f t="shared" si="80"/>
        <v>0.32470588235294118</v>
      </c>
      <c r="ER23" s="39">
        <f t="shared" si="80"/>
        <v>0.58882352941176475</v>
      </c>
      <c r="ES23" s="39">
        <f t="shared" si="80"/>
        <v>0.48882352941176471</v>
      </c>
      <c r="ET23" s="39">
        <f t="shared" si="80"/>
        <v>0.3258823529411764</v>
      </c>
      <c r="EU23" s="39">
        <f t="shared" si="80"/>
        <v>0.56647058823529406</v>
      </c>
      <c r="EV23" s="39">
        <f t="shared" si="80"/>
        <v>0.3505882352941177</v>
      </c>
      <c r="EW23" s="39">
        <f t="shared" si="80"/>
        <v>0.36352941176470588</v>
      </c>
      <c r="EX23" s="39">
        <f t="shared" si="80"/>
        <v>0.68666666666666665</v>
      </c>
      <c r="EY23" s="39">
        <f t="shared" si="80"/>
        <v>0.60058823529411764</v>
      </c>
      <c r="EZ23" s="39">
        <f t="shared" si="80"/>
        <v>0.19625000000000004</v>
      </c>
      <c r="FA23" s="39">
        <f t="shared" si="80"/>
        <v>0.6652941176470587</v>
      </c>
      <c r="FB23" s="129">
        <f>AVERAGEIF($C$36:$C$171,"=6",FB$36:FB$171)</f>
        <v>49.235294117647058</v>
      </c>
      <c r="FD23" s="129">
        <f>AVERAGEIF($C$36:$C$171,"=6",FD$36:FD$171)</f>
        <v>6.882352941176471</v>
      </c>
      <c r="FF23" s="39">
        <f>AVERAGEIF($C$36:$C$171,"=6",FF$36:FF$171)</f>
        <v>0.17705882352941174</v>
      </c>
      <c r="FG23" s="39">
        <f t="shared" ref="FG23:GI23" si="81">AVERAGEIF($C$36:$C$171,"=6",FG$36:FG$171)</f>
        <v>0.58647058823529419</v>
      </c>
      <c r="FH23" s="39">
        <f t="shared" si="81"/>
        <v>0.22882352941176468</v>
      </c>
      <c r="FI23" s="39">
        <f t="shared" si="81"/>
        <v>8.2352941176470594E-3</v>
      </c>
      <c r="FJ23" s="39">
        <f t="shared" si="81"/>
        <v>0.45882352941176469</v>
      </c>
      <c r="FK23" s="39">
        <f t="shared" si="81"/>
        <v>0.67411764705882349</v>
      </c>
      <c r="FL23" s="39">
        <f t="shared" si="81"/>
        <v>0.52176470588235291</v>
      </c>
      <c r="FM23" s="39">
        <f t="shared" si="81"/>
        <v>0.37375000000000003</v>
      </c>
      <c r="FN23" s="39">
        <f t="shared" si="81"/>
        <v>0.34058823529411758</v>
      </c>
      <c r="FO23" s="39">
        <f t="shared" si="81"/>
        <v>0.3488235294117647</v>
      </c>
      <c r="FP23" s="39">
        <f t="shared" si="81"/>
        <v>0.37294117647058822</v>
      </c>
      <c r="FQ23" s="39">
        <f t="shared" si="81"/>
        <v>0.46176470588235291</v>
      </c>
      <c r="FR23" s="39">
        <f t="shared" si="81"/>
        <v>0.59823529411764709</v>
      </c>
      <c r="FS23" s="39">
        <f t="shared" si="81"/>
        <v>0.53750000000000009</v>
      </c>
      <c r="FT23" s="39">
        <f t="shared" si="81"/>
        <v>0.51058823529411779</v>
      </c>
      <c r="FU23" s="39">
        <f t="shared" si="81"/>
        <v>0.38124999999999998</v>
      </c>
      <c r="FV23" s="39">
        <f t="shared" si="81"/>
        <v>0.67117647058823515</v>
      </c>
      <c r="FW23" s="39">
        <f t="shared" si="81"/>
        <v>0.5135294117647059</v>
      </c>
      <c r="FX23" s="39">
        <f t="shared" si="81"/>
        <v>0.455625</v>
      </c>
      <c r="FY23" s="39">
        <f t="shared" si="81"/>
        <v>0.40352941176470597</v>
      </c>
      <c r="FZ23" s="39">
        <f t="shared" si="81"/>
        <v>0.40529411764705886</v>
      </c>
      <c r="GA23" s="39">
        <f t="shared" si="81"/>
        <v>0.48529411764705882</v>
      </c>
      <c r="GB23" s="39">
        <f t="shared" si="81"/>
        <v>0.55411764705882349</v>
      </c>
      <c r="GC23" s="39">
        <f t="shared" si="81"/>
        <v>0.45823529411764707</v>
      </c>
      <c r="GD23" s="39">
        <f t="shared" si="81"/>
        <v>0.57058823529411784</v>
      </c>
      <c r="GE23" s="39">
        <f t="shared" si="81"/>
        <v>0.52058823529411757</v>
      </c>
      <c r="GF23" s="39">
        <f t="shared" si="81"/>
        <v>0.45882352941176463</v>
      </c>
      <c r="GG23" s="39">
        <f t="shared" si="81"/>
        <v>0.47411764705882353</v>
      </c>
      <c r="GH23" s="39">
        <f t="shared" si="81"/>
        <v>0.55470588235294116</v>
      </c>
      <c r="GI23" s="39">
        <f t="shared" si="81"/>
        <v>0.26529411764705879</v>
      </c>
      <c r="GJ23" s="129">
        <f>AVERAGEIF($C$36:$C$171,"=6",GJ$36:GJ$171)</f>
        <v>49.736842105263158</v>
      </c>
      <c r="GL23" s="129">
        <f>AVERAGEIF($C$36:$C$171,"=6",GL$36:GL$171)</f>
        <v>8.5789473684210531</v>
      </c>
      <c r="GN23" s="344">
        <f>AVERAGEIF($C$36:$C$171,"=6",GN$36:GN$171)</f>
        <v>0.20263157894736844</v>
      </c>
      <c r="GO23" s="344">
        <f t="shared" ref="GO23:HQ23" si="82">AVERAGEIF($C$36:$C$171,"=6",GO$36:GO$171)</f>
        <v>0.53263157894736846</v>
      </c>
      <c r="GP23" s="344">
        <f t="shared" si="82"/>
        <v>0.25052631578947371</v>
      </c>
      <c r="GQ23" s="344">
        <f t="shared" si="82"/>
        <v>1.4210526315789474E-2</v>
      </c>
      <c r="GR23" s="344">
        <f t="shared" si="82"/>
        <v>0.45842105263157901</v>
      </c>
      <c r="GS23" s="344">
        <f t="shared" si="82"/>
        <v>0.55210526315789477</v>
      </c>
      <c r="GT23" s="344">
        <f t="shared" si="82"/>
        <v>0.60736842105263167</v>
      </c>
      <c r="GU23" s="344">
        <f t="shared" si="82"/>
        <v>0.28166666666666668</v>
      </c>
      <c r="GV23" s="344">
        <f t="shared" si="82"/>
        <v>0.55421052631578938</v>
      </c>
      <c r="GW23" s="344">
        <f t="shared" si="82"/>
        <v>0.4768421052631579</v>
      </c>
      <c r="GX23" s="344">
        <f t="shared" si="82"/>
        <v>0.49842105263157899</v>
      </c>
      <c r="GY23" s="317" t="s">
        <v>283</v>
      </c>
      <c r="GZ23" s="344">
        <f t="shared" si="82"/>
        <v>0.33263157894736844</v>
      </c>
      <c r="HA23" s="344">
        <f t="shared" si="82"/>
        <v>0.68052631578947365</v>
      </c>
      <c r="HB23" s="344">
        <f t="shared" si="82"/>
        <v>0.48999999999999994</v>
      </c>
      <c r="HC23" s="344">
        <f t="shared" si="82"/>
        <v>0.51</v>
      </c>
      <c r="HD23" s="344">
        <f t="shared" si="82"/>
        <v>0.57789473684210524</v>
      </c>
      <c r="HE23" s="344">
        <f t="shared" si="82"/>
        <v>0.49210526315789471</v>
      </c>
      <c r="HF23" s="344">
        <f t="shared" si="82"/>
        <v>0.4826315789473683</v>
      </c>
      <c r="HG23" s="344">
        <f t="shared" si="82"/>
        <v>0.67631578947368409</v>
      </c>
      <c r="HH23" s="344">
        <f t="shared" si="82"/>
        <v>0.4200000000000001</v>
      </c>
      <c r="HI23" s="344">
        <f t="shared" si="82"/>
        <v>0.54947368421052634</v>
      </c>
      <c r="HJ23" s="344">
        <f t="shared" si="82"/>
        <v>0.59842105263157896</v>
      </c>
      <c r="HK23" s="344">
        <f t="shared" si="82"/>
        <v>0.51368421052631574</v>
      </c>
      <c r="HL23" s="344">
        <f t="shared" si="82"/>
        <v>0.4489473684210526</v>
      </c>
      <c r="HM23" s="344">
        <f t="shared" si="82"/>
        <v>0.50842105263157888</v>
      </c>
      <c r="HN23" s="344">
        <f t="shared" si="82"/>
        <v>0.49947368421052635</v>
      </c>
      <c r="HO23" s="344">
        <f t="shared" si="82"/>
        <v>0.43421052631578949</v>
      </c>
      <c r="HP23" s="317" t="s">
        <v>283</v>
      </c>
      <c r="HQ23" s="344">
        <f t="shared" si="82"/>
        <v>0.43789473684210528</v>
      </c>
      <c r="HR23" s="129">
        <f>AVERAGEIF($C$36:$C$171,"=6",HR$36:HR$171)</f>
        <v>50.9</v>
      </c>
      <c r="HT23" s="129">
        <f>AVERAGEIF($C$36:$C$171,"=6",HT$36:HT$171)</f>
        <v>8.3000000000000007</v>
      </c>
      <c r="HV23" s="344">
        <f>AVERAGEIF($C$36:$C$171,"=6",HV$36:HV$171)</f>
        <v>0.16599999999999998</v>
      </c>
      <c r="HW23" s="344">
        <f t="shared" ref="HW23:IZ23" si="83">AVERAGEIF($C$36:$C$171,"=6",HW$36:HW$171)</f>
        <v>0.50299999999999989</v>
      </c>
      <c r="HX23" s="344">
        <f t="shared" si="83"/>
        <v>0.32100000000000006</v>
      </c>
      <c r="HY23" s="344">
        <f t="shared" si="83"/>
        <v>1.0499999999999999E-2</v>
      </c>
      <c r="HZ23" s="344">
        <f t="shared" si="83"/>
        <v>0.3705</v>
      </c>
      <c r="IA23" s="344">
        <f t="shared" si="83"/>
        <v>0.51849999999999985</v>
      </c>
      <c r="IB23" s="344">
        <f t="shared" si="83"/>
        <v>0.36299999999999999</v>
      </c>
      <c r="IC23" s="344">
        <f t="shared" si="83"/>
        <v>0.49050000000000005</v>
      </c>
      <c r="ID23" s="344">
        <f t="shared" si="83"/>
        <v>0.61349999999999993</v>
      </c>
      <c r="IE23" s="344">
        <f t="shared" si="83"/>
        <v>0.32650000000000001</v>
      </c>
      <c r="IF23" s="344">
        <f t="shared" si="83"/>
        <v>0.41799999999999998</v>
      </c>
      <c r="IG23" s="344">
        <f t="shared" si="83"/>
        <v>0.54050000000000009</v>
      </c>
      <c r="IH23" s="344">
        <f t="shared" si="83"/>
        <v>0.49349999999999994</v>
      </c>
      <c r="II23" s="344">
        <f t="shared" si="83"/>
        <v>0.32631578947368423</v>
      </c>
      <c r="IJ23" s="344">
        <f t="shared" si="83"/>
        <v>0.30250000000000005</v>
      </c>
      <c r="IK23" s="344">
        <f t="shared" si="83"/>
        <v>0.59950000000000003</v>
      </c>
      <c r="IL23" s="344">
        <f t="shared" si="83"/>
        <v>0.3775</v>
      </c>
      <c r="IM23" s="344">
        <f t="shared" si="83"/>
        <v>0.626</v>
      </c>
      <c r="IN23" s="344">
        <f t="shared" si="83"/>
        <v>0.45650000000000002</v>
      </c>
      <c r="IO23" s="344">
        <f t="shared" si="83"/>
        <v>0.53249999999999975</v>
      </c>
      <c r="IP23" s="344">
        <f t="shared" si="83"/>
        <v>0.41349999999999998</v>
      </c>
      <c r="IQ23" s="344">
        <f t="shared" si="83"/>
        <v>0.61449999999999994</v>
      </c>
      <c r="IR23" s="344">
        <f t="shared" si="83"/>
        <v>0.57900000000000007</v>
      </c>
      <c r="IS23" s="344">
        <f t="shared" si="83"/>
        <v>0.53894736842105251</v>
      </c>
      <c r="IT23" s="344">
        <f t="shared" si="83"/>
        <v>0.43049999999999999</v>
      </c>
      <c r="IU23" s="317" t="s">
        <v>283</v>
      </c>
      <c r="IV23" s="344">
        <f t="shared" si="83"/>
        <v>0.6090000000000001</v>
      </c>
      <c r="IW23" s="344">
        <f t="shared" si="83"/>
        <v>0.42299999999999988</v>
      </c>
      <c r="IX23" s="344">
        <f t="shared" si="83"/>
        <v>0.52700000000000002</v>
      </c>
      <c r="IY23" s="344">
        <f t="shared" si="83"/>
        <v>0.54500000000000015</v>
      </c>
      <c r="IZ23" s="129">
        <f t="shared" si="83"/>
        <v>51.055555555555557</v>
      </c>
      <c r="JA23" s="499"/>
      <c r="JB23" s="129">
        <f t="shared" ref="JB23" si="84">AVERAGEIF($C$36:$C$171,"=6",JB$36:JB$171)</f>
        <v>9.1666666666666661</v>
      </c>
      <c r="JC23" s="499"/>
      <c r="JD23" s="344">
        <f t="shared" ref="JD23:KG23" si="85">AVERAGEIF($C$36:$C$171,"=6",JD$36:JD$171)</f>
        <v>0.15833333333333333</v>
      </c>
      <c r="JE23" s="344">
        <f t="shared" si="85"/>
        <v>0.49833333333333335</v>
      </c>
      <c r="JF23" s="344">
        <f t="shared" si="85"/>
        <v>0.32944444444444443</v>
      </c>
      <c r="JG23" s="344">
        <f t="shared" si="85"/>
        <v>1.5555555555555557E-2</v>
      </c>
      <c r="JH23" s="344">
        <f t="shared" ref="JH23:KC23" si="86">AVERAGEIF($C$36:$C$171,"=6",JH$36:JH$171)</f>
        <v>0.47888888888888892</v>
      </c>
      <c r="JI23" s="344">
        <f t="shared" si="86"/>
        <v>0.44277777777777783</v>
      </c>
      <c r="JJ23" s="344">
        <f t="shared" si="86"/>
        <v>0.42388888888888893</v>
      </c>
      <c r="JK23" s="344">
        <f t="shared" si="86"/>
        <v>0.47500000000000003</v>
      </c>
      <c r="JL23" s="344">
        <f t="shared" si="86"/>
        <v>0.45277777777777778</v>
      </c>
      <c r="JM23" s="344">
        <f t="shared" si="86"/>
        <v>0.4933333333333334</v>
      </c>
      <c r="JN23" s="344">
        <f t="shared" si="86"/>
        <v>0.39555555555555549</v>
      </c>
      <c r="JO23" s="344">
        <f t="shared" si="86"/>
        <v>0.46777777777777768</v>
      </c>
      <c r="JP23" s="344">
        <f t="shared" si="86"/>
        <v>0.57388888888888889</v>
      </c>
      <c r="JQ23" s="344">
        <f t="shared" si="86"/>
        <v>0.30277777777777776</v>
      </c>
      <c r="JR23" s="344">
        <f t="shared" si="86"/>
        <v>0.56500000000000017</v>
      </c>
      <c r="JS23" s="344">
        <f t="shared" si="86"/>
        <v>0.54666666666666663</v>
      </c>
      <c r="JT23" s="344">
        <f t="shared" si="86"/>
        <v>0.46499999999999997</v>
      </c>
      <c r="JU23" s="344">
        <f t="shared" si="86"/>
        <v>0.50444444444444447</v>
      </c>
      <c r="JV23" s="344">
        <f t="shared" si="86"/>
        <v>0.50111111111111095</v>
      </c>
      <c r="JW23" s="344">
        <f t="shared" si="86"/>
        <v>0.49388888888888882</v>
      </c>
      <c r="JX23" s="344">
        <f t="shared" si="86"/>
        <v>0.41666666666666669</v>
      </c>
      <c r="JY23" s="344">
        <f t="shared" si="86"/>
        <v>0.51444444444444448</v>
      </c>
      <c r="JZ23" s="344">
        <f t="shared" si="86"/>
        <v>0.49777777777777793</v>
      </c>
      <c r="KA23" s="344">
        <f t="shared" si="86"/>
        <v>0.54666666666666675</v>
      </c>
      <c r="KB23" s="344">
        <f t="shared" si="86"/>
        <v>0.48277777777777775</v>
      </c>
      <c r="KC23" s="344">
        <f t="shared" si="86"/>
        <v>0.66444444444444428</v>
      </c>
      <c r="KD23" s="344">
        <f t="shared" si="85"/>
        <v>0.36444444444444435</v>
      </c>
      <c r="KE23" s="344">
        <f>AVERAGEIF($C$36:$C$171,"=6",KE$36:KE$171)</f>
        <v>0.51333333333333331</v>
      </c>
      <c r="KF23" s="344">
        <f>AVERAGEIF($C$36:$C$171,"=6",KF$36:KF$171)</f>
        <v>0.47111111111111115</v>
      </c>
      <c r="KG23" s="344">
        <f t="shared" si="85"/>
        <v>0.54500000000000004</v>
      </c>
    </row>
    <row r="24" spans="1:293" ht="24.95" customHeight="1" x14ac:dyDescent="0.2">
      <c r="A24" s="6" t="s">
        <v>895</v>
      </c>
      <c r="B24" s="301"/>
      <c r="C24" s="301"/>
      <c r="D24" s="129">
        <f>AVERAGEIFS(D$36:D$171,$C$36:$C$171,"=1", $B$36:$B$171,"OFICIAL")</f>
        <v>54</v>
      </c>
      <c r="E24" s="129">
        <f>AVERAGEIFS(E$36:E$171,$C$36:$C$171,"=1", $B$36:$B$171,"OFICIAL")</f>
        <v>7.25</v>
      </c>
      <c r="F24" s="39">
        <f>AVERAGEIFS(F$36:F$171,$C$36:$C$171,"=1", $B$36:$B$171,"OFICIAL")</f>
        <v>4.7500000000000001E-2</v>
      </c>
      <c r="G24" s="39">
        <f t="shared" ref="G24:AG24" si="87">AVERAGEIFS(G$36:G$171,$C$36:$C$171,"=1", $B$36:$B$171,"OFICIAL")</f>
        <v>0.55000000000000004</v>
      </c>
      <c r="H24" s="39">
        <f t="shared" si="87"/>
        <v>0.39249999999999996</v>
      </c>
      <c r="I24" s="39">
        <f t="shared" si="87"/>
        <v>5.0000000000000001E-3</v>
      </c>
      <c r="J24" s="39">
        <f t="shared" si="87"/>
        <v>0.42499999999999999</v>
      </c>
      <c r="K24" s="39">
        <f t="shared" si="87"/>
        <v>0.3775</v>
      </c>
      <c r="L24" s="39">
        <f t="shared" si="87"/>
        <v>0.74749999999999994</v>
      </c>
      <c r="M24" s="39">
        <f t="shared" si="87"/>
        <v>0.22999999999999998</v>
      </c>
      <c r="N24" s="39">
        <f t="shared" si="87"/>
        <v>0.28500000000000003</v>
      </c>
      <c r="O24" s="39">
        <f t="shared" si="87"/>
        <v>0.65999999999999992</v>
      </c>
      <c r="P24" s="39">
        <f t="shared" si="87"/>
        <v>0.34750000000000003</v>
      </c>
      <c r="Q24" s="39">
        <f t="shared" si="87"/>
        <v>0.42249999999999999</v>
      </c>
      <c r="R24" s="39">
        <f t="shared" si="87"/>
        <v>0.50749999999999995</v>
      </c>
      <c r="S24" s="39">
        <f t="shared" si="87"/>
        <v>0.625</v>
      </c>
      <c r="T24" s="39">
        <f t="shared" si="87"/>
        <v>0.44750000000000001</v>
      </c>
      <c r="U24" s="39">
        <f t="shared" si="87"/>
        <v>0.57999999999999996</v>
      </c>
      <c r="V24" s="39">
        <f t="shared" si="87"/>
        <v>6.7500000000000004E-2</v>
      </c>
      <c r="W24" s="39">
        <f t="shared" si="87"/>
        <v>0.1525</v>
      </c>
      <c r="X24" s="39">
        <f t="shared" si="87"/>
        <v>0.46749999999999997</v>
      </c>
      <c r="Y24" s="39">
        <f t="shared" si="87"/>
        <v>0.51</v>
      </c>
      <c r="Z24" s="39">
        <f t="shared" si="87"/>
        <v>0.83333333333333337</v>
      </c>
      <c r="AA24" s="39">
        <f t="shared" si="87"/>
        <v>0.12</v>
      </c>
      <c r="AB24" s="39">
        <f t="shared" si="87"/>
        <v>0.46499999999999997</v>
      </c>
      <c r="AC24" s="39">
        <f t="shared" si="87"/>
        <v>0.2525</v>
      </c>
      <c r="AD24" s="39">
        <f t="shared" si="87"/>
        <v>0.46749999999999997</v>
      </c>
      <c r="AE24" s="39">
        <f t="shared" si="87"/>
        <v>0.41749999999999998</v>
      </c>
      <c r="AF24" s="39">
        <f t="shared" si="87"/>
        <v>0.53249999999999997</v>
      </c>
      <c r="AG24" s="39">
        <f t="shared" si="87"/>
        <v>0.52249999999999996</v>
      </c>
      <c r="AH24" s="129">
        <f>AVERAGEIFS(AH$36:AH$171,$C$36:$C$171,"=1", $B$36:$B$171,"OFICIAL")</f>
        <v>53</v>
      </c>
      <c r="AI24" s="129">
        <f>AVERAGEIFS(AI$36:AI$171,$C$36:$C$171,"=1", $B$36:$B$171,"OFICIAL")</f>
        <v>7.25</v>
      </c>
      <c r="AJ24" s="39">
        <f>AVERAGEIFS(AJ$36:AJ$171,$C$36:$C$171,"=1", $B$36:$B$171,"OFICIAL")</f>
        <v>5.7500000000000002E-2</v>
      </c>
      <c r="AK24" s="39">
        <f t="shared" ref="AK24:BL24" si="88">AVERAGEIFS(AK$36:AK$171,$C$36:$C$171,"=1", $B$36:$B$171,"OFICIAL")</f>
        <v>0.55249999999999999</v>
      </c>
      <c r="AL24" s="39">
        <f t="shared" si="88"/>
        <v>0.38500000000000001</v>
      </c>
      <c r="AM24" s="39">
        <f t="shared" si="88"/>
        <v>5.0000000000000001E-3</v>
      </c>
      <c r="AN24" s="39">
        <f t="shared" si="88"/>
        <v>0.2525</v>
      </c>
      <c r="AO24" s="39">
        <f t="shared" si="88"/>
        <v>0.4375</v>
      </c>
      <c r="AP24" s="39">
        <f t="shared" si="88"/>
        <v>0.56499999999999995</v>
      </c>
      <c r="AQ24" s="39">
        <f t="shared" si="88"/>
        <v>0.375</v>
      </c>
      <c r="AR24" s="39">
        <f t="shared" si="88"/>
        <v>0.56500000000000006</v>
      </c>
      <c r="AS24" s="39">
        <f t="shared" si="88"/>
        <v>0.52</v>
      </c>
      <c r="AT24" s="39">
        <f t="shared" si="88"/>
        <v>0.48499999999999999</v>
      </c>
      <c r="AU24" s="39">
        <f t="shared" si="88"/>
        <v>0.48249999999999998</v>
      </c>
      <c r="AV24" s="39">
        <f t="shared" si="88"/>
        <v>0.60750000000000004</v>
      </c>
      <c r="AW24" s="39">
        <f t="shared" si="88"/>
        <v>0.46249999999999997</v>
      </c>
      <c r="AX24" s="39">
        <f t="shared" si="88"/>
        <v>0.53749999999999998</v>
      </c>
      <c r="AY24" s="39">
        <f t="shared" si="88"/>
        <v>0.27999999999999997</v>
      </c>
      <c r="AZ24" s="39">
        <f t="shared" si="88"/>
        <v>0.24000000000000002</v>
      </c>
      <c r="BA24" s="39">
        <f t="shared" si="88"/>
        <v>0.48749999999999999</v>
      </c>
      <c r="BB24" s="39">
        <f t="shared" si="88"/>
        <v>0.65249999999999997</v>
      </c>
      <c r="BC24" s="39">
        <f t="shared" si="88"/>
        <v>0.64500000000000002</v>
      </c>
      <c r="BD24" s="39">
        <f t="shared" si="88"/>
        <v>0.4</v>
      </c>
      <c r="BE24" s="39">
        <f t="shared" si="88"/>
        <v>0.47499999999999998</v>
      </c>
      <c r="BF24" s="39">
        <f t="shared" si="88"/>
        <v>0.59250000000000003</v>
      </c>
      <c r="BG24" s="39">
        <f t="shared" si="88"/>
        <v>0.48499999999999999</v>
      </c>
      <c r="BH24" s="39">
        <f t="shared" si="88"/>
        <v>0.41500000000000004</v>
      </c>
      <c r="BI24" s="39">
        <f t="shared" si="88"/>
        <v>0.3725</v>
      </c>
      <c r="BJ24" s="39">
        <f t="shared" si="88"/>
        <v>0.33749999999999997</v>
      </c>
      <c r="BK24" s="39">
        <f t="shared" si="88"/>
        <v>0.44750000000000001</v>
      </c>
      <c r="BL24" s="39">
        <f t="shared" si="88"/>
        <v>0.47</v>
      </c>
      <c r="BM24" s="129">
        <f>AVERAGEIFS(BM$36:BM$171,$C$36:$C$171,"=1", $B$36:$B$171,"OFICIAL")</f>
        <v>50.5</v>
      </c>
      <c r="BN24" s="129">
        <f>AVERAGEIFS(BN$36:BN$171,$C$36:$C$171,"=1", $B$36:$B$171,"OFICIAL")</f>
        <v>8</v>
      </c>
      <c r="BO24" s="39">
        <f>AVERAGEIFS(BO$36:BO$171,$C$36:$C$171,"=1", $B$36:$B$171,"OFICIAL")</f>
        <v>9.7500000000000003E-2</v>
      </c>
      <c r="BP24" s="39">
        <f t="shared" ref="BP24:CR24" si="89">AVERAGEIFS(BP$36:BP$171,$C$36:$C$171,"=1", $B$36:$B$171,"OFICIAL")</f>
        <v>0.63</v>
      </c>
      <c r="BQ24" s="39">
        <f t="shared" si="89"/>
        <v>0.26500000000000001</v>
      </c>
      <c r="BR24" s="39">
        <f t="shared" si="89"/>
        <v>0.01</v>
      </c>
      <c r="BS24" s="39">
        <f t="shared" si="89"/>
        <v>0.3175</v>
      </c>
      <c r="BT24" s="39">
        <f t="shared" si="89"/>
        <v>0.54499999999999993</v>
      </c>
      <c r="BU24" s="39">
        <f t="shared" si="89"/>
        <v>0.68500000000000005</v>
      </c>
      <c r="BV24" s="39">
        <f t="shared" si="89"/>
        <v>0.32999999999999996</v>
      </c>
      <c r="BW24" s="39">
        <f t="shared" si="89"/>
        <v>0.63</v>
      </c>
      <c r="BX24" s="39">
        <f t="shared" si="89"/>
        <v>0.34750000000000003</v>
      </c>
      <c r="BY24" s="39">
        <f t="shared" si="89"/>
        <v>0.45499999999999996</v>
      </c>
      <c r="BZ24" s="39">
        <f t="shared" si="89"/>
        <v>0.52</v>
      </c>
      <c r="CA24" s="39">
        <f t="shared" si="89"/>
        <v>0.44999999999999996</v>
      </c>
      <c r="CB24" s="39">
        <f t="shared" si="89"/>
        <v>0.35749999999999998</v>
      </c>
      <c r="CC24" s="39">
        <f t="shared" si="89"/>
        <v>0.1925</v>
      </c>
      <c r="CD24" s="39">
        <f t="shared" si="89"/>
        <v>0.44249999999999995</v>
      </c>
      <c r="CE24" s="39">
        <f t="shared" si="89"/>
        <v>0.34749999999999998</v>
      </c>
      <c r="CF24" s="39">
        <f t="shared" si="89"/>
        <v>0.61250000000000004</v>
      </c>
      <c r="CG24" s="39">
        <f t="shared" si="89"/>
        <v>0.59</v>
      </c>
      <c r="CH24" s="39">
        <f t="shared" si="89"/>
        <v>0.46250000000000002</v>
      </c>
      <c r="CI24" s="39">
        <f t="shared" si="89"/>
        <v>0.5625</v>
      </c>
      <c r="CJ24" s="39">
        <f t="shared" si="89"/>
        <v>0.33</v>
      </c>
      <c r="CK24" s="39">
        <f t="shared" si="89"/>
        <v>0.67500000000000004</v>
      </c>
      <c r="CL24" s="39">
        <f t="shared" si="89"/>
        <v>0.31</v>
      </c>
      <c r="CM24" s="39">
        <f t="shared" si="89"/>
        <v>0.45749999999999996</v>
      </c>
      <c r="CN24" s="39">
        <f t="shared" si="89"/>
        <v>0.44499999999999995</v>
      </c>
      <c r="CO24" s="39">
        <f t="shared" si="89"/>
        <v>0.44750000000000001</v>
      </c>
      <c r="CP24" s="39">
        <f t="shared" si="89"/>
        <v>0.36000000000000004</v>
      </c>
      <c r="CQ24" s="39">
        <f t="shared" si="89"/>
        <v>0.51750000000000007</v>
      </c>
      <c r="CR24" s="39">
        <f t="shared" si="89"/>
        <v>0.56499999999999995</v>
      </c>
      <c r="CS24" s="129">
        <f>AVERAGEIFS(CS$36:CS$171,$C$36:$C$171,"=1", $B$36:$B$171,"OFICIAL")</f>
        <v>49.5</v>
      </c>
      <c r="CT24" s="129">
        <f>AVERAGEIFS(CT$36:CT$171,$C$36:$C$171,"=1", $B$36:$B$171,"OFICIAL")</f>
        <v>8.75</v>
      </c>
      <c r="CU24" s="39">
        <f>AVERAGEIFS(CU$36:CU$171,$C$36:$C$171,"=1", $B$36:$B$171,"OFICIAL")</f>
        <v>0.16499999999999998</v>
      </c>
      <c r="CV24" s="39">
        <f t="shared" ref="CV24:DW24" si="90">AVERAGEIFS(CV$36:CV$171,$C$36:$C$171,"=1", $B$36:$B$171,"OFICIAL")</f>
        <v>0.57250000000000001</v>
      </c>
      <c r="CW24" s="39">
        <f t="shared" si="90"/>
        <v>0.25</v>
      </c>
      <c r="CX24" s="39">
        <f t="shared" si="90"/>
        <v>0.01</v>
      </c>
      <c r="CY24" s="39">
        <f t="shared" si="90"/>
        <v>0.51249999999999996</v>
      </c>
      <c r="CZ24" s="39">
        <f t="shared" si="90"/>
        <v>0.3175</v>
      </c>
      <c r="DA24" s="39">
        <f t="shared" si="90"/>
        <v>0.58750000000000002</v>
      </c>
      <c r="DB24" s="39">
        <f t="shared" si="90"/>
        <v>0.36000000000000004</v>
      </c>
      <c r="DC24" s="39">
        <f t="shared" si="90"/>
        <v>0.44499999999999995</v>
      </c>
      <c r="DD24" s="39">
        <f t="shared" si="90"/>
        <v>0.64500000000000002</v>
      </c>
      <c r="DE24" s="39">
        <f t="shared" si="90"/>
        <v>0.48499999999999999</v>
      </c>
      <c r="DF24" s="39">
        <f t="shared" si="90"/>
        <v>0.56499999999999995</v>
      </c>
      <c r="DG24" s="39">
        <f t="shared" si="90"/>
        <v>0.43999999999999995</v>
      </c>
      <c r="DH24" s="39">
        <f t="shared" si="90"/>
        <v>0.38250000000000001</v>
      </c>
      <c r="DI24" s="39">
        <f t="shared" si="90"/>
        <v>0.52</v>
      </c>
      <c r="DJ24" s="39">
        <f t="shared" si="90"/>
        <v>0.49750000000000005</v>
      </c>
      <c r="DK24" s="39">
        <f t="shared" si="90"/>
        <v>0.38</v>
      </c>
      <c r="DL24" s="39">
        <f t="shared" si="90"/>
        <v>0.32</v>
      </c>
      <c r="DM24" s="39">
        <f t="shared" si="90"/>
        <v>0.54</v>
      </c>
      <c r="DN24" s="39">
        <f t="shared" si="90"/>
        <v>0.47</v>
      </c>
      <c r="DO24" s="39">
        <f t="shared" si="90"/>
        <v>0.45250000000000001</v>
      </c>
      <c r="DP24" s="39">
        <f t="shared" si="90"/>
        <v>0.42500000000000004</v>
      </c>
      <c r="DQ24" s="39">
        <f t="shared" si="90"/>
        <v>0.55749999999999988</v>
      </c>
      <c r="DR24" s="39">
        <f t="shared" si="90"/>
        <v>0.21249999999999999</v>
      </c>
      <c r="DS24" s="39">
        <f t="shared" si="90"/>
        <v>0.39500000000000002</v>
      </c>
      <c r="DT24" s="39">
        <f t="shared" si="90"/>
        <v>0.58250000000000002</v>
      </c>
      <c r="DU24" s="39">
        <f t="shared" si="90"/>
        <v>0.49249999999999999</v>
      </c>
      <c r="DV24" s="39">
        <f t="shared" si="90"/>
        <v>0.59000000000000008</v>
      </c>
      <c r="DW24" s="39">
        <f t="shared" si="90"/>
        <v>0.36</v>
      </c>
      <c r="DX24" s="129">
        <f>AVERAGEIFS(DX$36:DX$171,$C$36:$C$171,"=1", $B$36:$B$171,"OFICIAL")</f>
        <v>49</v>
      </c>
      <c r="DY24" s="129">
        <f>AVERAGEIFS(DY$36:DY$171,$C$36:$C$171,"=1", $B$36:$B$171,"OFICIAL")</f>
        <v>8.25</v>
      </c>
      <c r="DZ24" s="39">
        <f>AVERAGEIFS(DZ$36:DZ$171,$C$36:$C$171,"=1", $B$36:$B$171,"OFICIAL")</f>
        <v>0.16750000000000001</v>
      </c>
      <c r="EA24" s="39">
        <f t="shared" ref="EA24:FA24" si="91">AVERAGEIFS(EA$36:EA$171,$C$36:$C$171,"=1", $B$36:$B$171,"OFICIAL")</f>
        <v>0.57750000000000012</v>
      </c>
      <c r="EB24" s="39">
        <f t="shared" si="91"/>
        <v>0.2525</v>
      </c>
      <c r="EC24" s="39">
        <f t="shared" si="91"/>
        <v>5.0000000000000001E-3</v>
      </c>
      <c r="ED24" s="39">
        <f t="shared" si="91"/>
        <v>0.51750000000000007</v>
      </c>
      <c r="EE24" s="39">
        <f t="shared" si="91"/>
        <v>0.47</v>
      </c>
      <c r="EF24" s="39">
        <f t="shared" si="91"/>
        <v>0.50249999999999995</v>
      </c>
      <c r="EG24" s="39">
        <f t="shared" si="91"/>
        <v>0.35499999999999998</v>
      </c>
      <c r="EH24" s="39">
        <f t="shared" si="91"/>
        <v>0.41749999999999998</v>
      </c>
      <c r="EI24" s="39">
        <f t="shared" si="91"/>
        <v>0.49</v>
      </c>
      <c r="EJ24" s="39">
        <f t="shared" si="91"/>
        <v>0.57500000000000007</v>
      </c>
      <c r="EK24" s="39">
        <f t="shared" si="91"/>
        <v>0.28999999999999998</v>
      </c>
      <c r="EL24" s="39">
        <f t="shared" si="91"/>
        <v>0.47249999999999998</v>
      </c>
      <c r="EM24" s="39">
        <f t="shared" si="91"/>
        <v>0.66999999999999993</v>
      </c>
      <c r="EN24" s="39">
        <f t="shared" si="91"/>
        <v>0.45750000000000002</v>
      </c>
      <c r="EO24" s="39">
        <f t="shared" si="91"/>
        <v>0.54499999999999993</v>
      </c>
      <c r="EP24" s="39">
        <f t="shared" si="91"/>
        <v>0.39</v>
      </c>
      <c r="EQ24" s="39">
        <f t="shared" si="91"/>
        <v>0.30499999999999999</v>
      </c>
      <c r="ER24" s="39">
        <f t="shared" si="91"/>
        <v>0.58499999999999996</v>
      </c>
      <c r="ES24" s="39">
        <f t="shared" si="91"/>
        <v>0.45499999999999996</v>
      </c>
      <c r="ET24" s="39">
        <f t="shared" si="91"/>
        <v>0.34749999999999998</v>
      </c>
      <c r="EU24" s="39">
        <f t="shared" si="91"/>
        <v>0.6</v>
      </c>
      <c r="EV24" s="39">
        <f t="shared" si="91"/>
        <v>0.42500000000000004</v>
      </c>
      <c r="EW24" s="39">
        <f t="shared" si="91"/>
        <v>0.33500000000000002</v>
      </c>
      <c r="EX24" s="39">
        <f t="shared" si="91"/>
        <v>0.69</v>
      </c>
      <c r="EY24" s="39">
        <f t="shared" si="91"/>
        <v>0.60750000000000004</v>
      </c>
      <c r="EZ24" s="39">
        <f t="shared" si="91"/>
        <v>0.255</v>
      </c>
      <c r="FA24" s="39">
        <f t="shared" si="91"/>
        <v>0.63</v>
      </c>
      <c r="FB24" s="129">
        <f>AVERAGEIFS(FB$36:FB$171,$C$36:$C$171,"=1", $B$36:$B$171,"OFICIAL")</f>
        <v>48.75</v>
      </c>
      <c r="FD24" s="129">
        <f>AVERAGEIFS(FD$36:FD$171,$C$36:$C$171,"=1", $B$36:$B$171,"OFICIAL")</f>
        <v>8</v>
      </c>
      <c r="FF24" s="39">
        <f>AVERAGEIFS(FF$36:FF$171,$C$36:$C$171,"=1", $B$36:$B$171,"OFICIAL")</f>
        <v>0.16250000000000001</v>
      </c>
      <c r="FG24" s="39">
        <f t="shared" ref="FG24:GI24" si="92">AVERAGEIFS(FG$36:FG$171,$C$36:$C$171,"=1", $B$36:$B$171,"OFICIAL")</f>
        <v>0.63749999999999996</v>
      </c>
      <c r="FH24" s="39">
        <f t="shared" si="92"/>
        <v>0.19750000000000001</v>
      </c>
      <c r="FI24" s="39">
        <f t="shared" si="92"/>
        <v>7.4999999999999997E-3</v>
      </c>
      <c r="FJ24" s="39">
        <f t="shared" si="92"/>
        <v>0.49</v>
      </c>
      <c r="FK24" s="39">
        <f t="shared" si="92"/>
        <v>0.69249999999999989</v>
      </c>
      <c r="FL24" s="39">
        <f t="shared" si="92"/>
        <v>0.505</v>
      </c>
      <c r="FM24" s="39">
        <f t="shared" si="92"/>
        <v>0.46499999999999997</v>
      </c>
      <c r="FN24" s="39">
        <f t="shared" si="92"/>
        <v>0.3075</v>
      </c>
      <c r="FO24" s="39">
        <f t="shared" si="92"/>
        <v>0.3725</v>
      </c>
      <c r="FP24" s="39">
        <f t="shared" si="92"/>
        <v>0.44249999999999995</v>
      </c>
      <c r="FQ24" s="39">
        <f t="shared" si="92"/>
        <v>0.40749999999999997</v>
      </c>
      <c r="FR24" s="39">
        <f t="shared" si="92"/>
        <v>0.59499999999999997</v>
      </c>
      <c r="FS24" s="39">
        <f t="shared" si="92"/>
        <v>0.52750000000000008</v>
      </c>
      <c r="FT24" s="39">
        <f t="shared" si="92"/>
        <v>0.52</v>
      </c>
      <c r="FU24" s="39">
        <f t="shared" si="92"/>
        <v>0.42249999999999999</v>
      </c>
      <c r="FV24" s="39">
        <f t="shared" si="92"/>
        <v>0.61499999999999999</v>
      </c>
      <c r="FW24" s="39">
        <f t="shared" si="92"/>
        <v>0.60250000000000004</v>
      </c>
      <c r="FX24" s="39">
        <f t="shared" si="92"/>
        <v>0.51249999999999996</v>
      </c>
      <c r="FY24" s="39">
        <f t="shared" si="92"/>
        <v>0.38500000000000001</v>
      </c>
      <c r="FZ24" s="39">
        <f t="shared" si="92"/>
        <v>0.42499999999999993</v>
      </c>
      <c r="GA24" s="39">
        <f t="shared" si="92"/>
        <v>0.48749999999999999</v>
      </c>
      <c r="GB24" s="39">
        <f t="shared" si="92"/>
        <v>0.53749999999999998</v>
      </c>
      <c r="GC24" s="39">
        <f t="shared" si="92"/>
        <v>0.45999999999999996</v>
      </c>
      <c r="GD24" s="39">
        <f t="shared" si="92"/>
        <v>0.61250000000000004</v>
      </c>
      <c r="GE24" s="39">
        <f t="shared" si="92"/>
        <v>0.57250000000000001</v>
      </c>
      <c r="GF24" s="39">
        <f t="shared" si="92"/>
        <v>0.51249999999999996</v>
      </c>
      <c r="GG24" s="39">
        <f t="shared" si="92"/>
        <v>0.5</v>
      </c>
      <c r="GH24" s="39">
        <f t="shared" si="92"/>
        <v>0.59499999999999997</v>
      </c>
      <c r="GI24" s="39">
        <f t="shared" si="92"/>
        <v>0.3075</v>
      </c>
      <c r="GJ24" s="129">
        <f>AVERAGEIFS(GJ$36:GJ$171,$C$36:$C$171,"=1", $B$36:$B$171,"OFICIAL")</f>
        <v>49.2</v>
      </c>
      <c r="GL24" s="129">
        <f>AVERAGEIFS(GL$36:GL$171,$C$36:$C$171,"=1", $B$36:$B$171,"OFICIAL")</f>
        <v>8.6</v>
      </c>
      <c r="GN24" s="344">
        <f>AVERAGEIFS(GN$36:GN$171,$C$36:$C$171,"=1", $B$36:$B$171,"OFICIAL")</f>
        <v>0.16</v>
      </c>
      <c r="GO24" s="344">
        <f t="shared" ref="GO24:HQ24" si="93">AVERAGEIFS(GO$36:GO$171,$C$36:$C$171,"=1", $B$36:$B$171,"OFICIAL")</f>
        <v>0.61399999999999999</v>
      </c>
      <c r="GP24" s="344">
        <f t="shared" si="93"/>
        <v>0.22200000000000003</v>
      </c>
      <c r="GQ24" s="344">
        <f t="shared" si="93"/>
        <v>4.0000000000000001E-3</v>
      </c>
      <c r="GR24" s="344">
        <f t="shared" si="93"/>
        <v>0.53</v>
      </c>
      <c r="GS24" s="344">
        <f t="shared" si="93"/>
        <v>0.58399999999999996</v>
      </c>
      <c r="GT24" s="344">
        <f t="shared" si="93"/>
        <v>0.63400000000000001</v>
      </c>
      <c r="GU24" s="344">
        <f t="shared" si="93"/>
        <v>0.27200000000000002</v>
      </c>
      <c r="GV24" s="344">
        <f t="shared" si="93"/>
        <v>0.57800000000000007</v>
      </c>
      <c r="GW24" s="344">
        <f t="shared" si="93"/>
        <v>0.48799999999999999</v>
      </c>
      <c r="GX24" s="344">
        <f t="shared" si="93"/>
        <v>0.49199999999999999</v>
      </c>
      <c r="GY24" s="317" t="s">
        <v>283</v>
      </c>
      <c r="GZ24" s="344">
        <f t="shared" si="93"/>
        <v>0.39400000000000002</v>
      </c>
      <c r="HA24" s="344">
        <f t="shared" si="93"/>
        <v>0.71400000000000008</v>
      </c>
      <c r="HB24" s="344">
        <f t="shared" si="93"/>
        <v>0.49399999999999994</v>
      </c>
      <c r="HC24" s="344">
        <f t="shared" si="93"/>
        <v>0.50600000000000001</v>
      </c>
      <c r="HD24" s="344">
        <f t="shared" si="93"/>
        <v>0.58800000000000008</v>
      </c>
      <c r="HE24" s="344">
        <f t="shared" si="93"/>
        <v>0.51</v>
      </c>
      <c r="HF24" s="344">
        <f t="shared" si="93"/>
        <v>0.51400000000000001</v>
      </c>
      <c r="HG24" s="344">
        <f t="shared" si="93"/>
        <v>0.66799999999999993</v>
      </c>
      <c r="HH24" s="344">
        <f t="shared" si="93"/>
        <v>0.41</v>
      </c>
      <c r="HI24" s="344">
        <f t="shared" si="93"/>
        <v>0.54400000000000004</v>
      </c>
      <c r="HJ24" s="344">
        <f t="shared" si="93"/>
        <v>0.61599999999999999</v>
      </c>
      <c r="HK24" s="344">
        <f t="shared" si="93"/>
        <v>0.55000000000000004</v>
      </c>
      <c r="HL24" s="344">
        <f t="shared" si="93"/>
        <v>0.46200000000000002</v>
      </c>
      <c r="HM24" s="344">
        <f t="shared" si="93"/>
        <v>0.51400000000000001</v>
      </c>
      <c r="HN24" s="344">
        <f t="shared" si="93"/>
        <v>0.52600000000000002</v>
      </c>
      <c r="HO24" s="344">
        <f t="shared" si="93"/>
        <v>0.48399999999999999</v>
      </c>
      <c r="HP24" s="317" t="s">
        <v>283</v>
      </c>
      <c r="HQ24" s="344">
        <f t="shared" si="93"/>
        <v>0.42799999999999994</v>
      </c>
      <c r="HR24" s="129">
        <f>AVERAGEIFS(HR$36:HR$171,$C$36:$C$171,"=1", $B$36:$B$171,"OFICIAL")</f>
        <v>50</v>
      </c>
      <c r="HT24" s="129">
        <f>AVERAGEIFS(HT$36:HT$171,$C$36:$C$171,"=1", $B$36:$B$171,"OFICIAL")</f>
        <v>8</v>
      </c>
      <c r="HV24" s="344">
        <f>AVERAGEIFS(HV$36:HV$171,$C$36:$C$171,"=1", $B$36:$B$171,"OFICIAL")</f>
        <v>0.13399999999999998</v>
      </c>
      <c r="HW24" s="344">
        <f t="shared" ref="HW24:IZ24" si="94">AVERAGEIFS(HW$36:HW$171,$C$36:$C$171,"=1", $B$36:$B$171,"OFICIAL")</f>
        <v>0.624</v>
      </c>
      <c r="HX24" s="344">
        <f t="shared" si="94"/>
        <v>0.22999999999999998</v>
      </c>
      <c r="HY24" s="344">
        <f t="shared" si="94"/>
        <v>8.0000000000000002E-3</v>
      </c>
      <c r="HZ24" s="344">
        <f t="shared" si="94"/>
        <v>0.42400000000000004</v>
      </c>
      <c r="IA24" s="344">
        <f t="shared" si="94"/>
        <v>0.53800000000000003</v>
      </c>
      <c r="IB24" s="344">
        <f t="shared" si="94"/>
        <v>0.36000000000000004</v>
      </c>
      <c r="IC24" s="344">
        <f t="shared" si="94"/>
        <v>0.49800000000000005</v>
      </c>
      <c r="ID24" s="344">
        <f t="shared" si="94"/>
        <v>0.64799999999999991</v>
      </c>
      <c r="IE24" s="344">
        <f t="shared" si="94"/>
        <v>0.38200000000000001</v>
      </c>
      <c r="IF24" s="344">
        <f t="shared" si="94"/>
        <v>0.41200000000000003</v>
      </c>
      <c r="IG24" s="344">
        <f t="shared" si="94"/>
        <v>0.57400000000000007</v>
      </c>
      <c r="IH24" s="344">
        <f t="shared" si="94"/>
        <v>0.52</v>
      </c>
      <c r="II24" s="344">
        <f t="shared" si="94"/>
        <v>0.36</v>
      </c>
      <c r="IJ24" s="344">
        <f t="shared" si="94"/>
        <v>0.28799999999999998</v>
      </c>
      <c r="IK24" s="344">
        <f t="shared" si="94"/>
        <v>0.61</v>
      </c>
      <c r="IL24" s="344">
        <f t="shared" si="94"/>
        <v>0.32799999999999996</v>
      </c>
      <c r="IM24" s="344">
        <f t="shared" si="94"/>
        <v>0.59800000000000009</v>
      </c>
      <c r="IN24" s="344">
        <f t="shared" si="94"/>
        <v>0.48200000000000004</v>
      </c>
      <c r="IO24" s="344">
        <f t="shared" si="94"/>
        <v>0.55000000000000004</v>
      </c>
      <c r="IP24" s="344">
        <f t="shared" si="94"/>
        <v>0.46200000000000002</v>
      </c>
      <c r="IQ24" s="344">
        <f t="shared" si="94"/>
        <v>0.65999999999999992</v>
      </c>
      <c r="IR24" s="344">
        <f t="shared" si="94"/>
        <v>0.61</v>
      </c>
      <c r="IS24" s="344">
        <f t="shared" si="94"/>
        <v>0.51800000000000002</v>
      </c>
      <c r="IT24" s="344">
        <f t="shared" si="94"/>
        <v>0.45400000000000001</v>
      </c>
      <c r="IU24" s="317" t="s">
        <v>283</v>
      </c>
      <c r="IV24" s="344">
        <f t="shared" si="94"/>
        <v>0.62799999999999989</v>
      </c>
      <c r="IW24" s="344">
        <f t="shared" si="94"/>
        <v>0.42799999999999994</v>
      </c>
      <c r="IX24" s="344">
        <f t="shared" si="94"/>
        <v>0.53599999999999992</v>
      </c>
      <c r="IY24" s="344">
        <f t="shared" si="94"/>
        <v>0.54</v>
      </c>
      <c r="IZ24" s="494">
        <f t="shared" si="94"/>
        <v>50.4</v>
      </c>
      <c r="JA24" s="499"/>
      <c r="JB24" s="302">
        <f>AVERAGEIFS(JB$36:JB$171,$C$36:$C$171,"=1", $B$36:$B$171,"OFICIAL")</f>
        <v>8.6</v>
      </c>
      <c r="JC24" s="499"/>
      <c r="JD24" s="345">
        <f t="shared" ref="JD24:KG24" si="95">AVERAGEIFS(JD$36:JD$171,$C$36:$C$171,"=1", $B$36:$B$171,"OFICIAL")</f>
        <v>0.13400000000000001</v>
      </c>
      <c r="JE24" s="345">
        <f t="shared" si="95"/>
        <v>0.56799999999999995</v>
      </c>
      <c r="JF24" s="345">
        <f t="shared" si="95"/>
        <v>0.29400000000000004</v>
      </c>
      <c r="JG24" s="345">
        <f t="shared" si="95"/>
        <v>4.0000000000000001E-3</v>
      </c>
      <c r="JH24" s="345">
        <f t="shared" ref="JH24:KC24" si="96">AVERAGEIFS(JH$36:JH$171,$C$36:$C$171,"=1", $B$36:$B$171,"OFICIAL")</f>
        <v>0.49799999999999994</v>
      </c>
      <c r="JI24" s="345">
        <f t="shared" si="96"/>
        <v>0.46200000000000002</v>
      </c>
      <c r="JJ24" s="345">
        <f t="shared" si="96"/>
        <v>0.43599999999999994</v>
      </c>
      <c r="JK24" s="345">
        <f t="shared" si="96"/>
        <v>0.47199999999999998</v>
      </c>
      <c r="JL24" s="345">
        <f t="shared" si="96"/>
        <v>0.50600000000000001</v>
      </c>
      <c r="JM24" s="345">
        <f t="shared" si="96"/>
        <v>0.50600000000000001</v>
      </c>
      <c r="JN24" s="345">
        <f t="shared" si="96"/>
        <v>0.44799999999999995</v>
      </c>
      <c r="JO24" s="345">
        <f t="shared" si="96"/>
        <v>0.47800000000000004</v>
      </c>
      <c r="JP24" s="345">
        <f t="shared" si="96"/>
        <v>0.58200000000000007</v>
      </c>
      <c r="JQ24" s="345">
        <f t="shared" si="96"/>
        <v>0.28199999999999997</v>
      </c>
      <c r="JR24" s="345">
        <f t="shared" si="96"/>
        <v>0.61</v>
      </c>
      <c r="JS24" s="345">
        <f t="shared" si="96"/>
        <v>0.56600000000000006</v>
      </c>
      <c r="JT24" s="345">
        <f t="shared" si="96"/>
        <v>0.42800000000000005</v>
      </c>
      <c r="JU24" s="345">
        <f t="shared" si="96"/>
        <v>0.52600000000000002</v>
      </c>
      <c r="JV24" s="345">
        <f t="shared" si="96"/>
        <v>0.48599999999999993</v>
      </c>
      <c r="JW24" s="345">
        <f t="shared" si="96"/>
        <v>0.48399999999999999</v>
      </c>
      <c r="JX24" s="345">
        <f t="shared" si="96"/>
        <v>0.44399999999999995</v>
      </c>
      <c r="JY24" s="345">
        <f t="shared" si="96"/>
        <v>0.5</v>
      </c>
      <c r="JZ24" s="345">
        <f t="shared" si="96"/>
        <v>0.48200000000000004</v>
      </c>
      <c r="KA24" s="345">
        <f t="shared" si="96"/>
        <v>0.626</v>
      </c>
      <c r="KB24" s="345">
        <f t="shared" si="96"/>
        <v>0.5079999999999999</v>
      </c>
      <c r="KC24" s="345">
        <f t="shared" si="96"/>
        <v>0.66800000000000004</v>
      </c>
      <c r="KD24" s="345">
        <f t="shared" si="95"/>
        <v>0.37200000000000005</v>
      </c>
      <c r="KE24" s="345">
        <f>AVERAGEIFS(KE$36:KE$171,$C$36:$C$171,"=1", $B$36:$B$171,"OFICIAL")</f>
        <v>0.5119999999999999</v>
      </c>
      <c r="KF24" s="345">
        <f>AVERAGEIFS(KF$36:KF$171,$C$36:$C$171,"=1", $B$36:$B$171,"OFICIAL")</f>
        <v>0.45800000000000002</v>
      </c>
      <c r="KG24" s="345">
        <f t="shared" si="95"/>
        <v>0.55400000000000005</v>
      </c>
    </row>
    <row r="25" spans="1:293" ht="24.95" customHeight="1" x14ac:dyDescent="0.2">
      <c r="A25" s="6" t="s">
        <v>896</v>
      </c>
      <c r="B25" s="301"/>
      <c r="C25" s="301"/>
      <c r="D25" s="129">
        <f>AVERAGEIFS(D$36:D$171,$C$36:$C$171,"=2", $B$36:$B$171,"OFICIAL")</f>
        <v>54</v>
      </c>
      <c r="E25" s="129">
        <f>AVERAGEIFS(E$36:E$171,$C$36:$C$171,"=2", $B$36:$B$171,"OFICIAL")</f>
        <v>7.5</v>
      </c>
      <c r="F25" s="39">
        <f>AVERAGEIFS(F$36:F$171,$C$36:$C$171,"=2", $B$36:$B$171,"OFICIAL")</f>
        <v>0.05</v>
      </c>
      <c r="G25" s="39">
        <f t="shared" ref="G25:AG25" si="97">AVERAGEIFS(G$36:G$171,$C$36:$C$171,"=2", $B$36:$B$171,"OFICIAL")</f>
        <v>0.56499999999999995</v>
      </c>
      <c r="H25" s="39">
        <f t="shared" si="97"/>
        <v>0.38</v>
      </c>
      <c r="I25" s="39">
        <f t="shared" si="97"/>
        <v>5.0000000000000001E-3</v>
      </c>
      <c r="J25" s="39">
        <f t="shared" si="97"/>
        <v>0.41000000000000003</v>
      </c>
      <c r="K25" s="39">
        <f t="shared" si="97"/>
        <v>0.39500000000000002</v>
      </c>
      <c r="L25" s="39">
        <f t="shared" si="97"/>
        <v>0.69500000000000006</v>
      </c>
      <c r="M25" s="39">
        <f t="shared" si="97"/>
        <v>0.2</v>
      </c>
      <c r="N25" s="39">
        <f t="shared" si="97"/>
        <v>0.27500000000000002</v>
      </c>
      <c r="O25" s="39">
        <f t="shared" si="97"/>
        <v>0.59499999999999997</v>
      </c>
      <c r="P25" s="39">
        <f t="shared" si="97"/>
        <v>0.31</v>
      </c>
      <c r="Q25" s="39">
        <f t="shared" si="97"/>
        <v>0.36499999999999999</v>
      </c>
      <c r="R25" s="39">
        <f t="shared" si="97"/>
        <v>0.55499999999999994</v>
      </c>
      <c r="S25" s="39">
        <f t="shared" si="97"/>
        <v>0.55499999999999994</v>
      </c>
      <c r="T25" s="39">
        <f t="shared" si="97"/>
        <v>0.435</v>
      </c>
      <c r="U25" s="39">
        <f t="shared" si="97"/>
        <v>0.56999999999999995</v>
      </c>
      <c r="V25" s="39">
        <f t="shared" si="97"/>
        <v>7.0000000000000007E-2</v>
      </c>
      <c r="W25" s="39">
        <f t="shared" si="97"/>
        <v>0.16</v>
      </c>
      <c r="X25" s="39">
        <f t="shared" si="97"/>
        <v>0.48</v>
      </c>
      <c r="Y25" s="39">
        <f t="shared" si="97"/>
        <v>0.495</v>
      </c>
      <c r="Z25" s="39">
        <f t="shared" si="97"/>
        <v>0.875</v>
      </c>
      <c r="AA25" s="39">
        <f t="shared" si="97"/>
        <v>7.5000000000000011E-2</v>
      </c>
      <c r="AB25" s="39">
        <f t="shared" si="97"/>
        <v>0.42000000000000004</v>
      </c>
      <c r="AC25" s="39">
        <f t="shared" si="97"/>
        <v>0.20500000000000002</v>
      </c>
      <c r="AD25" s="39">
        <f t="shared" si="97"/>
        <v>0.41500000000000004</v>
      </c>
      <c r="AE25" s="39">
        <f t="shared" si="97"/>
        <v>0.47</v>
      </c>
      <c r="AF25" s="39">
        <f t="shared" si="97"/>
        <v>0.56000000000000005</v>
      </c>
      <c r="AG25" s="39">
        <f t="shared" si="97"/>
        <v>0.45500000000000002</v>
      </c>
      <c r="AH25" s="129">
        <f>AVERAGEIFS(AH$36:AH$171,$C$36:$C$171,"=2", $B$36:$B$171,"OFICIAL")</f>
        <v>53.5</v>
      </c>
      <c r="AI25" s="129">
        <f>AVERAGEIFS(AI$36:AI$171,$C$36:$C$171,"=2", $B$36:$B$171,"OFICIAL")</f>
        <v>8</v>
      </c>
      <c r="AJ25" s="39">
        <f>AVERAGEIFS(AJ$36:AJ$171,$C$36:$C$171,"=2", $B$36:$B$171,"OFICIAL")</f>
        <v>6.0000000000000005E-2</v>
      </c>
      <c r="AK25" s="39">
        <f t="shared" ref="AK25:BL25" si="98">AVERAGEIFS(AK$36:AK$171,$C$36:$C$171,"=2", $B$36:$B$171,"OFICIAL")</f>
        <v>0.54</v>
      </c>
      <c r="AL25" s="39">
        <f t="shared" si="98"/>
        <v>0.39</v>
      </c>
      <c r="AM25" s="39">
        <f t="shared" si="98"/>
        <v>0.01</v>
      </c>
      <c r="AN25" s="39">
        <f t="shared" si="98"/>
        <v>0.255</v>
      </c>
      <c r="AO25" s="39">
        <f t="shared" si="98"/>
        <v>0.45</v>
      </c>
      <c r="AP25" s="39">
        <f t="shared" si="98"/>
        <v>0.56499999999999995</v>
      </c>
      <c r="AQ25" s="39">
        <f t="shared" si="98"/>
        <v>0.37</v>
      </c>
      <c r="AR25" s="39">
        <f t="shared" si="98"/>
        <v>0.54</v>
      </c>
      <c r="AS25" s="39">
        <f t="shared" si="98"/>
        <v>0.48499999999999999</v>
      </c>
      <c r="AT25" s="39">
        <f t="shared" si="98"/>
        <v>0.5</v>
      </c>
      <c r="AU25" s="39">
        <f t="shared" si="98"/>
        <v>0.495</v>
      </c>
      <c r="AV25" s="39">
        <f t="shared" si="98"/>
        <v>0.56999999999999995</v>
      </c>
      <c r="AW25" s="39">
        <f t="shared" si="98"/>
        <v>0.43000000000000005</v>
      </c>
      <c r="AX25" s="39">
        <f t="shared" si="98"/>
        <v>0.54499999999999993</v>
      </c>
      <c r="AY25" s="39">
        <f t="shared" si="98"/>
        <v>0.27500000000000002</v>
      </c>
      <c r="AZ25" s="39">
        <f t="shared" si="98"/>
        <v>0.26500000000000001</v>
      </c>
      <c r="BA25" s="39">
        <f t="shared" si="98"/>
        <v>0.495</v>
      </c>
      <c r="BB25" s="39">
        <f t="shared" si="98"/>
        <v>0.625</v>
      </c>
      <c r="BC25" s="39">
        <f t="shared" si="98"/>
        <v>0.61</v>
      </c>
      <c r="BD25" s="39">
        <f t="shared" si="98"/>
        <v>0.375</v>
      </c>
      <c r="BE25" s="39">
        <f t="shared" si="98"/>
        <v>0.5</v>
      </c>
      <c r="BF25" s="39">
        <f t="shared" si="98"/>
        <v>0.625</v>
      </c>
      <c r="BG25" s="39">
        <f t="shared" si="98"/>
        <v>0.46499999999999997</v>
      </c>
      <c r="BH25" s="39">
        <f t="shared" si="98"/>
        <v>0.41500000000000004</v>
      </c>
      <c r="BI25" s="39">
        <f t="shared" si="98"/>
        <v>0.37</v>
      </c>
      <c r="BJ25" s="39">
        <f t="shared" si="98"/>
        <v>0.36499999999999999</v>
      </c>
      <c r="BK25" s="39">
        <f t="shared" si="98"/>
        <v>0.41499999999999998</v>
      </c>
      <c r="BL25" s="39">
        <f t="shared" si="98"/>
        <v>0.435</v>
      </c>
      <c r="BM25" s="129">
        <f>AVERAGEIFS(BM$36:BM$171,$C$36:$C$171,"=2", $B$36:$B$171,"OFICIAL")</f>
        <v>51</v>
      </c>
      <c r="BN25" s="129">
        <f>AVERAGEIFS(BN$36:BN$171,$C$36:$C$171,"=2", $B$36:$B$171,"OFICIAL")</f>
        <v>9</v>
      </c>
      <c r="BO25" s="39">
        <f>AVERAGEIFS(BO$36:BO$171,$C$36:$C$171,"=2", $B$36:$B$171,"OFICIAL")</f>
        <v>0.15000000000000002</v>
      </c>
      <c r="BP25" s="39">
        <f t="shared" ref="BP25:CR25" si="99">AVERAGEIFS(BP$36:BP$171,$C$36:$C$171,"=2", $B$36:$B$171,"OFICIAL")</f>
        <v>0.55000000000000004</v>
      </c>
      <c r="BQ25" s="39">
        <f t="shared" si="99"/>
        <v>0.30000000000000004</v>
      </c>
      <c r="BR25" s="39">
        <f t="shared" si="99"/>
        <v>0</v>
      </c>
      <c r="BS25" s="39">
        <f t="shared" si="99"/>
        <v>0.38500000000000001</v>
      </c>
      <c r="BT25" s="39">
        <f t="shared" si="99"/>
        <v>0.46499999999999997</v>
      </c>
      <c r="BU25" s="39">
        <f t="shared" si="99"/>
        <v>0.64</v>
      </c>
      <c r="BV25" s="39">
        <f t="shared" si="99"/>
        <v>0.315</v>
      </c>
      <c r="BW25" s="39">
        <f t="shared" si="99"/>
        <v>0.64500000000000002</v>
      </c>
      <c r="BX25" s="39">
        <f t="shared" si="99"/>
        <v>0.37</v>
      </c>
      <c r="BY25" s="39">
        <f t="shared" si="99"/>
        <v>0.45499999999999996</v>
      </c>
      <c r="BZ25" s="39">
        <f t="shared" si="99"/>
        <v>0.53</v>
      </c>
      <c r="CA25" s="39">
        <f t="shared" si="99"/>
        <v>0.47</v>
      </c>
      <c r="CB25" s="39">
        <f t="shared" si="99"/>
        <v>0.33499999999999996</v>
      </c>
      <c r="CC25" s="39">
        <f t="shared" si="99"/>
        <v>0.23500000000000001</v>
      </c>
      <c r="CD25" s="39">
        <f t="shared" si="99"/>
        <v>0.41000000000000003</v>
      </c>
      <c r="CE25" s="39">
        <f t="shared" si="99"/>
        <v>0.32499999999999996</v>
      </c>
      <c r="CF25" s="39">
        <f t="shared" si="99"/>
        <v>0.6</v>
      </c>
      <c r="CG25" s="39">
        <f t="shared" si="99"/>
        <v>0.58499999999999996</v>
      </c>
      <c r="CH25" s="39">
        <f t="shared" si="99"/>
        <v>0.435</v>
      </c>
      <c r="CI25" s="39">
        <f t="shared" si="99"/>
        <v>0.57000000000000006</v>
      </c>
      <c r="CJ25" s="39">
        <f t="shared" si="99"/>
        <v>0.34499999999999997</v>
      </c>
      <c r="CK25" s="39">
        <f t="shared" si="99"/>
        <v>0.65</v>
      </c>
      <c r="CL25" s="39">
        <f t="shared" si="99"/>
        <v>0.315</v>
      </c>
      <c r="CM25" s="39">
        <f t="shared" si="99"/>
        <v>0.45499999999999996</v>
      </c>
      <c r="CN25" s="39">
        <f t="shared" si="99"/>
        <v>0.435</v>
      </c>
      <c r="CO25" s="39">
        <f t="shared" si="99"/>
        <v>0.44500000000000001</v>
      </c>
      <c r="CP25" s="39">
        <f t="shared" si="99"/>
        <v>0.375</v>
      </c>
      <c r="CQ25" s="39">
        <f t="shared" si="99"/>
        <v>0.55499999999999994</v>
      </c>
      <c r="CR25" s="39">
        <f t="shared" si="99"/>
        <v>0.55000000000000004</v>
      </c>
      <c r="CS25" s="129">
        <f>AVERAGEIFS(CS$36:CS$171,$C$36:$C$171,"=2", $B$36:$B$171,"OFICIAL")</f>
        <v>49</v>
      </c>
      <c r="CT25" s="129">
        <f>AVERAGEIFS(CT$36:CT$171,$C$36:$C$171,"=2", $B$36:$B$171,"OFICIAL")</f>
        <v>9</v>
      </c>
      <c r="CU25" s="39">
        <f>AVERAGEIFS(CU$36:CU$171,$C$36:$C$171,"=2", $B$36:$B$171,"OFICIAL")</f>
        <v>0.155</v>
      </c>
      <c r="CV25" s="39">
        <f t="shared" ref="CV25:DW25" si="100">AVERAGEIFS(CV$36:CV$171,$C$36:$C$171,"=2", $B$36:$B$171,"OFICIAL")</f>
        <v>0.60499999999999998</v>
      </c>
      <c r="CW25" s="39">
        <f t="shared" si="100"/>
        <v>0.23499999999999999</v>
      </c>
      <c r="CX25" s="39">
        <f t="shared" si="100"/>
        <v>5.0000000000000001E-3</v>
      </c>
      <c r="CY25" s="39">
        <f t="shared" si="100"/>
        <v>0.53</v>
      </c>
      <c r="CZ25" s="39">
        <f t="shared" si="100"/>
        <v>0.32</v>
      </c>
      <c r="DA25" s="39">
        <f t="shared" si="100"/>
        <v>0.56000000000000005</v>
      </c>
      <c r="DB25" s="39">
        <f t="shared" si="100"/>
        <v>0.35499999999999998</v>
      </c>
      <c r="DC25" s="39">
        <f t="shared" si="100"/>
        <v>0.48499999999999999</v>
      </c>
      <c r="DD25" s="39">
        <f t="shared" si="100"/>
        <v>0.63</v>
      </c>
      <c r="DE25" s="39">
        <f t="shared" si="100"/>
        <v>0.48499999999999999</v>
      </c>
      <c r="DF25" s="39">
        <f t="shared" si="100"/>
        <v>0.54</v>
      </c>
      <c r="DG25" s="39">
        <f t="shared" si="100"/>
        <v>0.45499999999999996</v>
      </c>
      <c r="DH25" s="39">
        <f t="shared" si="100"/>
        <v>0.38</v>
      </c>
      <c r="DI25" s="39">
        <f t="shared" si="100"/>
        <v>0.53</v>
      </c>
      <c r="DJ25" s="39">
        <f t="shared" si="100"/>
        <v>0.53</v>
      </c>
      <c r="DK25" s="39">
        <f t="shared" si="100"/>
        <v>0.34499999999999997</v>
      </c>
      <c r="DL25" s="39">
        <f t="shared" si="100"/>
        <v>0.34499999999999997</v>
      </c>
      <c r="DM25" s="39">
        <f t="shared" si="100"/>
        <v>0.52500000000000002</v>
      </c>
      <c r="DN25" s="39">
        <f t="shared" si="100"/>
        <v>0.52</v>
      </c>
      <c r="DO25" s="39">
        <f t="shared" si="100"/>
        <v>0.435</v>
      </c>
      <c r="DP25" s="39">
        <f t="shared" si="100"/>
        <v>0.46499999999999997</v>
      </c>
      <c r="DQ25" s="39">
        <f t="shared" si="100"/>
        <v>0.56000000000000005</v>
      </c>
      <c r="DR25" s="39">
        <f t="shared" si="100"/>
        <v>0.20500000000000002</v>
      </c>
      <c r="DS25" s="39">
        <f t="shared" si="100"/>
        <v>0.39</v>
      </c>
      <c r="DT25" s="39">
        <f t="shared" si="100"/>
        <v>0.55499999999999994</v>
      </c>
      <c r="DU25" s="39">
        <f t="shared" si="100"/>
        <v>0.51</v>
      </c>
      <c r="DV25" s="39">
        <f t="shared" si="100"/>
        <v>0.61</v>
      </c>
      <c r="DW25" s="39">
        <f t="shared" si="100"/>
        <v>0.34499999999999997</v>
      </c>
      <c r="DX25" s="129">
        <f>AVERAGEIFS(DX$36:DX$171,$C$36:$C$171,"=2", $B$36:$B$171,"OFICIAL")</f>
        <v>49</v>
      </c>
      <c r="DY25" s="129">
        <f>AVERAGEIFS(DY$36:DY$171,$C$36:$C$171,"=2", $B$36:$B$171,"OFICIAL")</f>
        <v>8.5</v>
      </c>
      <c r="DZ25" s="39">
        <f>AVERAGEIFS(DZ$36:DZ$171,$C$36:$C$171,"=2", $B$36:$B$171,"OFICIAL")</f>
        <v>0.16999999999999998</v>
      </c>
      <c r="EA25" s="39">
        <f t="shared" ref="EA25:FA25" si="101">AVERAGEIFS(EA$36:EA$171,$C$36:$C$171,"=2", $B$36:$B$171,"OFICIAL")</f>
        <v>0.57000000000000006</v>
      </c>
      <c r="EB25" s="39">
        <f t="shared" si="101"/>
        <v>0.245</v>
      </c>
      <c r="EC25" s="39">
        <f t="shared" si="101"/>
        <v>1.4999999999999999E-2</v>
      </c>
      <c r="ED25" s="39">
        <f t="shared" si="101"/>
        <v>0.505</v>
      </c>
      <c r="EE25" s="39">
        <f t="shared" si="101"/>
        <v>0.45</v>
      </c>
      <c r="EF25" s="39">
        <f t="shared" si="101"/>
        <v>0.53499999999999992</v>
      </c>
      <c r="EG25" s="39">
        <f t="shared" si="101"/>
        <v>0.30500000000000005</v>
      </c>
      <c r="EH25" s="39">
        <f t="shared" si="101"/>
        <v>0.44999999999999996</v>
      </c>
      <c r="EI25" s="39">
        <f t="shared" si="101"/>
        <v>0.5</v>
      </c>
      <c r="EJ25" s="39">
        <f t="shared" si="101"/>
        <v>0.57499999999999996</v>
      </c>
      <c r="EK25" s="39">
        <f t="shared" si="101"/>
        <v>0.30000000000000004</v>
      </c>
      <c r="EL25" s="39">
        <f t="shared" si="101"/>
        <v>0.46499999999999997</v>
      </c>
      <c r="EM25" s="39">
        <f t="shared" si="101"/>
        <v>0.64</v>
      </c>
      <c r="EN25" s="39">
        <f t="shared" si="101"/>
        <v>0.46499999999999997</v>
      </c>
      <c r="EO25" s="39">
        <f t="shared" si="101"/>
        <v>0.57999999999999996</v>
      </c>
      <c r="EP25" s="39">
        <f t="shared" si="101"/>
        <v>0.41500000000000004</v>
      </c>
      <c r="EQ25" s="39">
        <f t="shared" si="101"/>
        <v>0.26</v>
      </c>
      <c r="ER25" s="39">
        <f t="shared" si="101"/>
        <v>0.61499999999999999</v>
      </c>
      <c r="ES25" s="39">
        <f t="shared" si="101"/>
        <v>0.47499999999999998</v>
      </c>
      <c r="ET25" s="39">
        <f t="shared" si="101"/>
        <v>0.34499999999999997</v>
      </c>
      <c r="EU25" s="39">
        <f t="shared" si="101"/>
        <v>0.61499999999999999</v>
      </c>
      <c r="EV25" s="39">
        <f t="shared" si="101"/>
        <v>0.4</v>
      </c>
      <c r="EW25" s="39">
        <f t="shared" si="101"/>
        <v>0.33</v>
      </c>
      <c r="EX25" s="39">
        <f t="shared" si="101"/>
        <v>0.745</v>
      </c>
      <c r="EY25" s="39">
        <f t="shared" si="101"/>
        <v>0.59</v>
      </c>
      <c r="EZ25" s="39">
        <f t="shared" si="101"/>
        <v>0.25</v>
      </c>
      <c r="FA25" s="39">
        <f t="shared" si="101"/>
        <v>0.59499999999999997</v>
      </c>
      <c r="FB25" s="129">
        <f>AVERAGEIFS(FB$36:FB$171,$C$36:$C$171,"=2", $B$36:$B$171,"OFICIAL")</f>
        <v>49</v>
      </c>
      <c r="FD25" s="129">
        <f>AVERAGEIFS(FD$36:FD$171,$C$36:$C$171,"=2", $B$36:$B$171,"OFICIAL")</f>
        <v>7.5</v>
      </c>
      <c r="FF25" s="39">
        <f>AVERAGEIFS(FF$36:FF$171,$C$36:$C$171,"=2", $B$36:$B$171,"OFICIAL")</f>
        <v>0.155</v>
      </c>
      <c r="FG25" s="39">
        <f t="shared" ref="FG25:GI25" si="102">AVERAGEIFS(FG$36:FG$171,$C$36:$C$171,"=2", $B$36:$B$171,"OFICIAL")</f>
        <v>0.63500000000000001</v>
      </c>
      <c r="FH25" s="39">
        <f t="shared" si="102"/>
        <v>0.215</v>
      </c>
      <c r="FI25" s="39">
        <f t="shared" si="102"/>
        <v>0</v>
      </c>
      <c r="FJ25" s="39">
        <f t="shared" si="102"/>
        <v>0.48</v>
      </c>
      <c r="FK25" s="39">
        <f t="shared" si="102"/>
        <v>0.67</v>
      </c>
      <c r="FL25" s="39">
        <f t="shared" si="102"/>
        <v>0.495</v>
      </c>
      <c r="FM25" s="39">
        <f t="shared" si="102"/>
        <v>0.46499999999999997</v>
      </c>
      <c r="FN25" s="39">
        <f t="shared" si="102"/>
        <v>0.26</v>
      </c>
      <c r="FO25" s="39">
        <f t="shared" si="102"/>
        <v>0.36</v>
      </c>
      <c r="FP25" s="39">
        <f t="shared" si="102"/>
        <v>0.42</v>
      </c>
      <c r="FQ25" s="39">
        <f t="shared" si="102"/>
        <v>0.40500000000000003</v>
      </c>
      <c r="FR25" s="39">
        <f t="shared" si="102"/>
        <v>0.61499999999999999</v>
      </c>
      <c r="FS25" s="39">
        <f t="shared" si="102"/>
        <v>0.52</v>
      </c>
      <c r="FT25" s="39">
        <f t="shared" si="102"/>
        <v>0.505</v>
      </c>
      <c r="FU25" s="39">
        <f t="shared" si="102"/>
        <v>0.43</v>
      </c>
      <c r="FV25" s="39">
        <f t="shared" si="102"/>
        <v>0.64999999999999991</v>
      </c>
      <c r="FW25" s="39">
        <f t="shared" si="102"/>
        <v>0.57999999999999996</v>
      </c>
      <c r="FX25" s="39">
        <f t="shared" si="102"/>
        <v>0.495</v>
      </c>
      <c r="FY25" s="39">
        <f t="shared" si="102"/>
        <v>0.375</v>
      </c>
      <c r="FZ25" s="39">
        <f t="shared" si="102"/>
        <v>0.41499999999999998</v>
      </c>
      <c r="GA25" s="39">
        <f t="shared" si="102"/>
        <v>0.52500000000000002</v>
      </c>
      <c r="GB25" s="39">
        <f t="shared" si="102"/>
        <v>0.55499999999999994</v>
      </c>
      <c r="GC25" s="39">
        <f t="shared" si="102"/>
        <v>0.48499999999999999</v>
      </c>
      <c r="GD25" s="39">
        <f t="shared" si="102"/>
        <v>0.625</v>
      </c>
      <c r="GE25" s="39">
        <f t="shared" si="102"/>
        <v>0.59</v>
      </c>
      <c r="GF25" s="39">
        <f t="shared" si="102"/>
        <v>0.5</v>
      </c>
      <c r="GG25" s="39">
        <f t="shared" si="102"/>
        <v>0.45</v>
      </c>
      <c r="GH25" s="39">
        <f t="shared" si="102"/>
        <v>0.59499999999999997</v>
      </c>
      <c r="GI25" s="39">
        <f t="shared" si="102"/>
        <v>0.30500000000000005</v>
      </c>
      <c r="GJ25" s="129">
        <f>AVERAGEIFS(GJ$36:GJ$171,$C$36:$C$171,"=2", $B$36:$B$171,"OFICIAL")</f>
        <v>49.75</v>
      </c>
      <c r="GL25" s="129">
        <f>AVERAGEIFS(GL$36:GL$171,$C$36:$C$171,"=2", $B$36:$B$171,"OFICIAL")</f>
        <v>8</v>
      </c>
      <c r="GN25" s="344">
        <f>AVERAGEIFS(GN$36:GN$171,$C$36:$C$171,"=2", $B$36:$B$171,"OFICIAL")</f>
        <v>0.13750000000000001</v>
      </c>
      <c r="GO25" s="344">
        <f t="shared" ref="GO25:HQ25" si="103">AVERAGEIFS(GO$36:GO$171,$C$36:$C$171,"=2", $B$36:$B$171,"OFICIAL")</f>
        <v>0.62249999999999994</v>
      </c>
      <c r="GP25" s="344">
        <f t="shared" si="103"/>
        <v>0.24000000000000002</v>
      </c>
      <c r="GQ25" s="344">
        <f t="shared" si="103"/>
        <v>2.5000000000000001E-3</v>
      </c>
      <c r="GR25" s="344">
        <f t="shared" si="103"/>
        <v>0.50249999999999995</v>
      </c>
      <c r="GS25" s="344">
        <f t="shared" si="103"/>
        <v>0.53249999999999997</v>
      </c>
      <c r="GT25" s="344">
        <f t="shared" si="103"/>
        <v>0.65249999999999997</v>
      </c>
      <c r="GU25" s="344">
        <f t="shared" si="103"/>
        <v>0.2225</v>
      </c>
      <c r="GV25" s="344">
        <f t="shared" si="103"/>
        <v>0.59250000000000003</v>
      </c>
      <c r="GW25" s="344">
        <f t="shared" si="103"/>
        <v>0.52500000000000002</v>
      </c>
      <c r="GX25" s="344">
        <f t="shared" si="103"/>
        <v>0.47249999999999998</v>
      </c>
      <c r="GY25" s="317" t="s">
        <v>283</v>
      </c>
      <c r="GZ25" s="344">
        <f t="shared" si="103"/>
        <v>0.36</v>
      </c>
      <c r="HA25" s="344">
        <f t="shared" si="103"/>
        <v>0.71749999999999992</v>
      </c>
      <c r="HB25" s="344">
        <f t="shared" si="103"/>
        <v>0.47249999999999998</v>
      </c>
      <c r="HC25" s="344">
        <f t="shared" si="103"/>
        <v>0.5625</v>
      </c>
      <c r="HD25" s="344">
        <f t="shared" si="103"/>
        <v>0.61250000000000004</v>
      </c>
      <c r="HE25" s="344">
        <f t="shared" si="103"/>
        <v>0.45999999999999996</v>
      </c>
      <c r="HF25" s="344">
        <f t="shared" si="103"/>
        <v>0.505</v>
      </c>
      <c r="HG25" s="344">
        <f t="shared" si="103"/>
        <v>0.67749999999999999</v>
      </c>
      <c r="HH25" s="344">
        <f t="shared" si="103"/>
        <v>0.40499999999999997</v>
      </c>
      <c r="HI25" s="344">
        <f t="shared" si="103"/>
        <v>0.55500000000000005</v>
      </c>
      <c r="HJ25" s="344">
        <f t="shared" si="103"/>
        <v>0.63249999999999995</v>
      </c>
      <c r="HK25" s="344">
        <f t="shared" si="103"/>
        <v>0.49250000000000005</v>
      </c>
      <c r="HL25" s="344">
        <f t="shared" si="103"/>
        <v>0.435</v>
      </c>
      <c r="HM25" s="344">
        <f t="shared" si="103"/>
        <v>0.48749999999999999</v>
      </c>
      <c r="HN25" s="344">
        <f t="shared" si="103"/>
        <v>0.47749999999999998</v>
      </c>
      <c r="HO25" s="344">
        <f t="shared" si="103"/>
        <v>0.45750000000000002</v>
      </c>
      <c r="HP25" s="317" t="s">
        <v>283</v>
      </c>
      <c r="HQ25" s="344">
        <f t="shared" si="103"/>
        <v>0.47</v>
      </c>
      <c r="HR25" s="129">
        <f>AVERAGEIFS(HR$36:HR$171,$C$36:$C$171,"=2", $B$36:$B$171,"OFICIAL")</f>
        <v>49.75</v>
      </c>
      <c r="HT25" s="129">
        <f>AVERAGEIFS(HT$36:HT$171,$C$36:$C$171,"=2", $B$36:$B$171,"OFICIAL")</f>
        <v>8.5</v>
      </c>
      <c r="HV25" s="344">
        <f>AVERAGEIFS(HV$36:HV$171,$C$36:$C$171,"=2", $B$36:$B$171,"OFICIAL")</f>
        <v>0.13</v>
      </c>
      <c r="HW25" s="344">
        <f t="shared" ref="HW25:IZ25" si="104">AVERAGEIFS(HW$36:HW$171,$C$36:$C$171,"=2", $B$36:$B$171,"OFICIAL")</f>
        <v>0.61250000000000004</v>
      </c>
      <c r="HX25" s="344">
        <f t="shared" si="104"/>
        <v>0.255</v>
      </c>
      <c r="HY25" s="344">
        <f t="shared" si="104"/>
        <v>0.01</v>
      </c>
      <c r="HZ25" s="344">
        <f t="shared" si="104"/>
        <v>0.40249999999999997</v>
      </c>
      <c r="IA25" s="344">
        <f t="shared" si="104"/>
        <v>0.5575</v>
      </c>
      <c r="IB25" s="344">
        <f t="shared" si="104"/>
        <v>0.39500000000000002</v>
      </c>
      <c r="IC25" s="344">
        <f t="shared" si="104"/>
        <v>0.5575</v>
      </c>
      <c r="ID25" s="344">
        <f t="shared" si="104"/>
        <v>0.64</v>
      </c>
      <c r="IE25" s="344">
        <f t="shared" si="104"/>
        <v>0.35750000000000004</v>
      </c>
      <c r="IF25" s="344">
        <f t="shared" si="104"/>
        <v>0.40749999999999997</v>
      </c>
      <c r="IG25" s="344">
        <f t="shared" si="104"/>
        <v>0.56000000000000005</v>
      </c>
      <c r="IH25" s="344">
        <f t="shared" si="104"/>
        <v>0.55000000000000004</v>
      </c>
      <c r="II25" s="344">
        <f t="shared" si="104"/>
        <v>0.375</v>
      </c>
      <c r="IJ25" s="344">
        <f t="shared" si="104"/>
        <v>0.34250000000000003</v>
      </c>
      <c r="IK25" s="344">
        <f t="shared" si="104"/>
        <v>0.60749999999999993</v>
      </c>
      <c r="IL25" s="344">
        <f t="shared" si="104"/>
        <v>0.375</v>
      </c>
      <c r="IM25" s="344">
        <f t="shared" si="104"/>
        <v>0.59499999999999997</v>
      </c>
      <c r="IN25" s="344">
        <f t="shared" si="104"/>
        <v>0.46499999999999997</v>
      </c>
      <c r="IO25" s="344">
        <f t="shared" si="104"/>
        <v>0.53</v>
      </c>
      <c r="IP25" s="344">
        <f t="shared" si="104"/>
        <v>0.41749999999999998</v>
      </c>
      <c r="IQ25" s="344">
        <f t="shared" si="104"/>
        <v>0.65</v>
      </c>
      <c r="IR25" s="344">
        <f t="shared" si="104"/>
        <v>0.59000000000000008</v>
      </c>
      <c r="IS25" s="344">
        <f t="shared" si="104"/>
        <v>0.54500000000000004</v>
      </c>
      <c r="IT25" s="344">
        <f t="shared" si="104"/>
        <v>0.46499999999999997</v>
      </c>
      <c r="IU25" s="317" t="s">
        <v>283</v>
      </c>
      <c r="IV25" s="344">
        <f t="shared" si="104"/>
        <v>0.63249999999999995</v>
      </c>
      <c r="IW25" s="344">
        <f t="shared" si="104"/>
        <v>0.42</v>
      </c>
      <c r="IX25" s="344">
        <f t="shared" si="104"/>
        <v>0.5</v>
      </c>
      <c r="IY25" s="344">
        <f t="shared" si="104"/>
        <v>0.54</v>
      </c>
      <c r="IZ25" s="494">
        <f t="shared" si="104"/>
        <v>51</v>
      </c>
      <c r="JA25" s="499"/>
      <c r="JB25" s="302">
        <f>AVERAGEIFS(JB$36:JB$171,$C$36:$C$171,"=2", $B$36:$B$171,"OFICIAL")</f>
        <v>9</v>
      </c>
      <c r="JC25" s="499"/>
      <c r="JD25" s="345">
        <f t="shared" ref="JD25:KG25" si="105">AVERAGEIFS(JD$36:JD$171,$C$36:$C$171,"=2", $B$36:$B$171,"OFICIAL")</f>
        <v>0.13750000000000001</v>
      </c>
      <c r="JE25" s="345">
        <f t="shared" si="105"/>
        <v>0.55249999999999999</v>
      </c>
      <c r="JF25" s="345">
        <f t="shared" si="105"/>
        <v>0.29749999999999999</v>
      </c>
      <c r="JG25" s="345">
        <f t="shared" si="105"/>
        <v>1.2500000000000001E-2</v>
      </c>
      <c r="JH25" s="345">
        <f t="shared" ref="JH25:KC25" si="106">AVERAGEIFS(JH$36:JH$171,$C$36:$C$171,"=2", $B$36:$B$171,"OFICIAL")</f>
        <v>0.47249999999999998</v>
      </c>
      <c r="JI25" s="345">
        <f t="shared" si="106"/>
        <v>0.45749999999999996</v>
      </c>
      <c r="JJ25" s="345">
        <f t="shared" si="106"/>
        <v>0.42749999999999999</v>
      </c>
      <c r="JK25" s="345">
        <f t="shared" si="106"/>
        <v>0.48249999999999998</v>
      </c>
      <c r="JL25" s="345">
        <f t="shared" si="106"/>
        <v>0.51249999999999996</v>
      </c>
      <c r="JM25" s="345">
        <f t="shared" si="106"/>
        <v>0.52</v>
      </c>
      <c r="JN25" s="345">
        <f t="shared" si="106"/>
        <v>0.40249999999999997</v>
      </c>
      <c r="JO25" s="345">
        <f t="shared" si="106"/>
        <v>0.48749999999999999</v>
      </c>
      <c r="JP25" s="345">
        <f t="shared" si="106"/>
        <v>0.55249999999999999</v>
      </c>
      <c r="JQ25" s="345">
        <f t="shared" si="106"/>
        <v>0.29749999999999999</v>
      </c>
      <c r="JR25" s="345">
        <f t="shared" si="106"/>
        <v>0.62</v>
      </c>
      <c r="JS25" s="345">
        <f t="shared" si="106"/>
        <v>0.54249999999999998</v>
      </c>
      <c r="JT25" s="345">
        <f t="shared" si="106"/>
        <v>0.41749999999999998</v>
      </c>
      <c r="JU25" s="345">
        <f t="shared" si="106"/>
        <v>0.52249999999999996</v>
      </c>
      <c r="JV25" s="345">
        <f t="shared" si="106"/>
        <v>0.495</v>
      </c>
      <c r="JW25" s="345">
        <f t="shared" si="106"/>
        <v>0.47499999999999998</v>
      </c>
      <c r="JX25" s="345">
        <f t="shared" si="106"/>
        <v>0.41500000000000004</v>
      </c>
      <c r="JY25" s="345">
        <f t="shared" si="106"/>
        <v>0.51500000000000001</v>
      </c>
      <c r="JZ25" s="345">
        <f t="shared" si="106"/>
        <v>0.45249999999999996</v>
      </c>
      <c r="KA25" s="345">
        <f t="shared" si="106"/>
        <v>0.58250000000000002</v>
      </c>
      <c r="KB25" s="345">
        <f t="shared" si="106"/>
        <v>0.46749999999999997</v>
      </c>
      <c r="KC25" s="345">
        <f t="shared" si="106"/>
        <v>0.66749999999999998</v>
      </c>
      <c r="KD25" s="345">
        <f t="shared" si="105"/>
        <v>0.33750000000000002</v>
      </c>
      <c r="KE25" s="345">
        <f>AVERAGEIFS(KE$36:KE$171,$C$36:$C$171,"=2", $B$36:$B$171,"OFICIAL")</f>
        <v>0.47249999999999998</v>
      </c>
      <c r="KF25" s="345">
        <f>AVERAGEIFS(KF$36:KF$171,$C$36:$C$171,"=2", $B$36:$B$171,"OFICIAL")</f>
        <v>0.44750000000000001</v>
      </c>
      <c r="KG25" s="345">
        <f t="shared" si="105"/>
        <v>0.495</v>
      </c>
    </row>
    <row r="26" spans="1:293" ht="24.95" customHeight="1" x14ac:dyDescent="0.2">
      <c r="A26" s="6" t="s">
        <v>897</v>
      </c>
      <c r="B26" s="301"/>
      <c r="C26" s="301"/>
      <c r="D26" s="129">
        <f>AVERAGEIFS(D$36:D$171,$C$36:$C$171,"=3", $B$36:$B$171,"OFICIAL")</f>
        <v>53.2</v>
      </c>
      <c r="E26" s="129">
        <f>AVERAGEIFS(E$36:E$171,$C$36:$C$171,"=3", $B$36:$B$171,"OFICIAL")</f>
        <v>7.25</v>
      </c>
      <c r="F26" s="39">
        <f>AVERAGEIFS(F$36:F$171,$C$36:$C$171,"=3", $B$36:$B$171,"OFICIAL")</f>
        <v>5.6000000000000008E-2</v>
      </c>
      <c r="G26" s="39">
        <f t="shared" ref="G26:AG26" si="107">AVERAGEIFS(G$36:G$171,$C$36:$C$171,"=3", $B$36:$B$171,"OFICIAL")</f>
        <v>0.60200000000000009</v>
      </c>
      <c r="H26" s="39">
        <f t="shared" si="107"/>
        <v>0.33999999999999997</v>
      </c>
      <c r="I26" s="39">
        <f t="shared" si="107"/>
        <v>4.0000000000000001E-3</v>
      </c>
      <c r="J26" s="39">
        <f t="shared" si="107"/>
        <v>0.46799999999999997</v>
      </c>
      <c r="K26" s="39">
        <f t="shared" si="107"/>
        <v>0.39800000000000002</v>
      </c>
      <c r="L26" s="39">
        <f t="shared" si="107"/>
        <v>0.72599999999999998</v>
      </c>
      <c r="M26" s="39">
        <f t="shared" si="107"/>
        <v>0.254</v>
      </c>
      <c r="N26" s="39">
        <f t="shared" si="107"/>
        <v>0.30599999999999999</v>
      </c>
      <c r="O26" s="39">
        <f t="shared" si="107"/>
        <v>0.72</v>
      </c>
      <c r="P26" s="39">
        <f t="shared" si="107"/>
        <v>0.34399999999999997</v>
      </c>
      <c r="Q26" s="39">
        <f t="shared" si="107"/>
        <v>0.41000000000000003</v>
      </c>
      <c r="R26" s="39">
        <f t="shared" si="107"/>
        <v>0.51400000000000001</v>
      </c>
      <c r="S26" s="39">
        <f t="shared" si="107"/>
        <v>0.6</v>
      </c>
      <c r="T26" s="39">
        <f t="shared" si="107"/>
        <v>0.44400000000000006</v>
      </c>
      <c r="U26" s="39">
        <f t="shared" si="107"/>
        <v>0.60799999999999998</v>
      </c>
      <c r="V26" s="39">
        <f t="shared" si="107"/>
        <v>7.400000000000001E-2</v>
      </c>
      <c r="W26" s="39">
        <f t="shared" si="107"/>
        <v>0.20200000000000004</v>
      </c>
      <c r="X26" s="39">
        <f t="shared" si="107"/>
        <v>0.52800000000000002</v>
      </c>
      <c r="Y26" s="39">
        <f t="shared" si="107"/>
        <v>0.45999999999999996</v>
      </c>
      <c r="Z26" s="39">
        <f t="shared" si="107"/>
        <v>0.82200000000000006</v>
      </c>
      <c r="AA26" s="39">
        <f t="shared" si="107"/>
        <v>0.16800000000000001</v>
      </c>
      <c r="AB26" s="39">
        <f t="shared" si="107"/>
        <v>0.49400000000000005</v>
      </c>
      <c r="AC26" s="39">
        <f t="shared" si="107"/>
        <v>0.26400000000000001</v>
      </c>
      <c r="AD26" s="39">
        <f t="shared" si="107"/>
        <v>0.438</v>
      </c>
      <c r="AE26" s="39">
        <f t="shared" si="107"/>
        <v>0.46400000000000008</v>
      </c>
      <c r="AF26" s="39">
        <f t="shared" si="107"/>
        <v>0.55399999999999994</v>
      </c>
      <c r="AG26" s="39">
        <f t="shared" si="107"/>
        <v>0.45800000000000002</v>
      </c>
      <c r="AH26" s="129">
        <f>AVERAGEIFS(AH$36:AH$171,$C$36:$C$171,"=3", $B$36:$B$171,"OFICIAL")</f>
        <v>51.8</v>
      </c>
      <c r="AI26" s="129">
        <f>AVERAGEIFS(AI$36:AI$171,$C$36:$C$171,"=3", $B$36:$B$171,"OFICIAL")</f>
        <v>8</v>
      </c>
      <c r="AJ26" s="39">
        <f>AVERAGEIFS(AJ$36:AJ$171,$C$36:$C$171,"=3", $B$36:$B$171,"OFICIAL")</f>
        <v>8.6000000000000007E-2</v>
      </c>
      <c r="AK26" s="39">
        <f t="shared" ref="AK26:BL26" si="108">AVERAGEIFS(AK$36:AK$171,$C$36:$C$171,"=3", $B$36:$B$171,"OFICIAL")</f>
        <v>0.54600000000000004</v>
      </c>
      <c r="AL26" s="39">
        <f t="shared" si="108"/>
        <v>0.36400000000000005</v>
      </c>
      <c r="AM26" s="39">
        <f t="shared" si="108"/>
        <v>4.0000000000000001E-3</v>
      </c>
      <c r="AN26" s="39">
        <f t="shared" si="108"/>
        <v>0.30600000000000005</v>
      </c>
      <c r="AO26" s="39">
        <f t="shared" si="108"/>
        <v>0.46799999999999997</v>
      </c>
      <c r="AP26" s="39">
        <f t="shared" si="108"/>
        <v>0.60199999999999998</v>
      </c>
      <c r="AQ26" s="39">
        <f t="shared" si="108"/>
        <v>0.41600000000000004</v>
      </c>
      <c r="AR26" s="39">
        <f t="shared" si="108"/>
        <v>0.54600000000000004</v>
      </c>
      <c r="AS26" s="39">
        <f t="shared" si="108"/>
        <v>0.54</v>
      </c>
      <c r="AT26" s="39">
        <f t="shared" si="108"/>
        <v>0.52400000000000002</v>
      </c>
      <c r="AU26" s="39">
        <f t="shared" si="108"/>
        <v>0.53600000000000003</v>
      </c>
      <c r="AV26" s="39">
        <f t="shared" si="108"/>
        <v>0.622</v>
      </c>
      <c r="AW26" s="39">
        <f t="shared" si="108"/>
        <v>0.48</v>
      </c>
      <c r="AX26" s="39">
        <f t="shared" si="108"/>
        <v>0.59399999999999997</v>
      </c>
      <c r="AY26" s="39">
        <f t="shared" si="108"/>
        <v>0.33599999999999997</v>
      </c>
      <c r="AZ26" s="39">
        <f t="shared" si="108"/>
        <v>0.29600000000000004</v>
      </c>
      <c r="BA26" s="39">
        <f t="shared" si="108"/>
        <v>0.5</v>
      </c>
      <c r="BB26" s="39">
        <f t="shared" si="108"/>
        <v>0.66600000000000004</v>
      </c>
      <c r="BC26" s="39">
        <f t="shared" si="108"/>
        <v>0.64200000000000002</v>
      </c>
      <c r="BD26" s="39">
        <f t="shared" si="108"/>
        <v>0.41799999999999998</v>
      </c>
      <c r="BE26" s="39">
        <f t="shared" si="108"/>
        <v>0.57599999999999996</v>
      </c>
      <c r="BF26" s="39">
        <f t="shared" si="108"/>
        <v>0.56999999999999995</v>
      </c>
      <c r="BG26" s="39">
        <f t="shared" si="108"/>
        <v>0.51</v>
      </c>
      <c r="BH26" s="39">
        <f t="shared" si="108"/>
        <v>0.45400000000000001</v>
      </c>
      <c r="BI26" s="39">
        <f t="shared" si="108"/>
        <v>0.40800000000000003</v>
      </c>
      <c r="BJ26" s="39">
        <f t="shared" si="108"/>
        <v>0.35399999999999998</v>
      </c>
      <c r="BK26" s="39">
        <f t="shared" si="108"/>
        <v>0.45800000000000002</v>
      </c>
      <c r="BL26" s="39">
        <f t="shared" si="108"/>
        <v>0.47599999999999998</v>
      </c>
      <c r="BM26" s="129">
        <f>AVERAGEIFS(BM$36:BM$171,$C$36:$C$171,"=3", $B$36:$B$171,"OFICIAL")</f>
        <v>50.8</v>
      </c>
      <c r="BN26" s="129">
        <f>AVERAGEIFS(BN$36:BN$171,$C$36:$C$171,"=3", $B$36:$B$171,"OFICIAL")</f>
        <v>8.25</v>
      </c>
      <c r="BO26" s="39">
        <f>AVERAGEIFS(BO$36:BO$171,$C$36:$C$171,"=3", $B$36:$B$171,"OFICIAL")</f>
        <v>0.122</v>
      </c>
      <c r="BP26" s="39">
        <f t="shared" ref="BP26:CR26" si="109">AVERAGEIFS(BP$36:BP$171,$C$36:$C$171,"=3", $B$36:$B$171,"OFICIAL")</f>
        <v>0.57200000000000006</v>
      </c>
      <c r="BQ26" s="39">
        <f t="shared" si="109"/>
        <v>0.3</v>
      </c>
      <c r="BR26" s="39">
        <f t="shared" si="109"/>
        <v>4.0000000000000001E-3</v>
      </c>
      <c r="BS26" s="39">
        <f t="shared" si="109"/>
        <v>0.35</v>
      </c>
      <c r="BT26" s="39">
        <f t="shared" si="109"/>
        <v>0.56000000000000005</v>
      </c>
      <c r="BU26" s="39">
        <f t="shared" si="109"/>
        <v>0.64200000000000002</v>
      </c>
      <c r="BV26" s="39">
        <f t="shared" si="109"/>
        <v>0.35199999999999998</v>
      </c>
      <c r="BW26" s="39">
        <f t="shared" si="109"/>
        <v>0.63400000000000001</v>
      </c>
      <c r="BX26" s="39">
        <f t="shared" si="109"/>
        <v>0.39799999999999996</v>
      </c>
      <c r="BY26" s="39">
        <f t="shared" si="109"/>
        <v>0.41000000000000003</v>
      </c>
      <c r="BZ26" s="39">
        <f t="shared" si="109"/>
        <v>0.52800000000000002</v>
      </c>
      <c r="CA26" s="39">
        <f t="shared" si="109"/>
        <v>0.45999999999999996</v>
      </c>
      <c r="CB26" s="39">
        <f t="shared" si="109"/>
        <v>0.35799999999999998</v>
      </c>
      <c r="CC26" s="39">
        <f t="shared" si="109"/>
        <v>0.20400000000000001</v>
      </c>
      <c r="CD26" s="39">
        <f t="shared" si="109"/>
        <v>0.442</v>
      </c>
      <c r="CE26" s="39">
        <f t="shared" si="109"/>
        <v>0.34799999999999998</v>
      </c>
      <c r="CF26" s="39">
        <f t="shared" si="109"/>
        <v>0.59399999999999997</v>
      </c>
      <c r="CG26" s="39">
        <f t="shared" si="109"/>
        <v>0.60799999999999998</v>
      </c>
      <c r="CH26" s="39">
        <f t="shared" si="109"/>
        <v>0.46600000000000003</v>
      </c>
      <c r="CI26" s="39">
        <f t="shared" si="109"/>
        <v>0.56600000000000006</v>
      </c>
      <c r="CJ26" s="39">
        <f t="shared" si="109"/>
        <v>0.376</v>
      </c>
      <c r="CK26" s="39">
        <f t="shared" si="109"/>
        <v>0.69599999999999995</v>
      </c>
      <c r="CL26" s="39">
        <f t="shared" si="109"/>
        <v>0.32</v>
      </c>
      <c r="CM26" s="39">
        <f t="shared" si="109"/>
        <v>0.45999999999999996</v>
      </c>
      <c r="CN26" s="39">
        <f t="shared" si="109"/>
        <v>0.48</v>
      </c>
      <c r="CO26" s="39">
        <f t="shared" si="109"/>
        <v>0.44799999999999995</v>
      </c>
      <c r="CP26" s="39">
        <f t="shared" si="109"/>
        <v>0.35399999999999998</v>
      </c>
      <c r="CQ26" s="39">
        <f t="shared" si="109"/>
        <v>0.51600000000000001</v>
      </c>
      <c r="CR26" s="39">
        <f t="shared" si="109"/>
        <v>0.57199999999999995</v>
      </c>
      <c r="CS26" s="129">
        <f>AVERAGEIFS(CS$36:CS$171,$C$36:$C$171,"=3", $B$36:$B$171,"OFICIAL")</f>
        <v>49</v>
      </c>
      <c r="CT26" s="129">
        <f>AVERAGEIFS(CT$36:CT$171,$C$36:$C$171,"=3", $B$36:$B$171,"OFICIAL")</f>
        <v>8.25</v>
      </c>
      <c r="CU26" s="39">
        <f>AVERAGEIFS(CU$36:CU$171,$C$36:$C$171,"=3", $B$36:$B$171,"OFICIAL")</f>
        <v>0.16199999999999998</v>
      </c>
      <c r="CV26" s="39">
        <f t="shared" ref="CV26:DW26" si="110">AVERAGEIFS(CV$36:CV$171,$C$36:$C$171,"=3", $B$36:$B$171,"OFICIAL")</f>
        <v>0.61399999999999988</v>
      </c>
      <c r="CW26" s="39">
        <f t="shared" si="110"/>
        <v>0.22199999999999998</v>
      </c>
      <c r="CX26" s="39">
        <f t="shared" si="110"/>
        <v>2E-3</v>
      </c>
      <c r="CY26" s="39">
        <f t="shared" si="110"/>
        <v>0.51600000000000001</v>
      </c>
      <c r="CZ26" s="39">
        <f t="shared" si="110"/>
        <v>0.30399999999999999</v>
      </c>
      <c r="DA26" s="39">
        <f t="shared" si="110"/>
        <v>0.61</v>
      </c>
      <c r="DB26" s="39">
        <f t="shared" si="110"/>
        <v>0.38200000000000001</v>
      </c>
      <c r="DC26" s="39">
        <f t="shared" si="110"/>
        <v>0.47799999999999992</v>
      </c>
      <c r="DD26" s="39">
        <f t="shared" si="110"/>
        <v>0.64</v>
      </c>
      <c r="DE26" s="39">
        <f t="shared" si="110"/>
        <v>0.46600000000000003</v>
      </c>
      <c r="DF26" s="39">
        <f t="shared" si="110"/>
        <v>0.56200000000000006</v>
      </c>
      <c r="DG26" s="39">
        <f t="shared" si="110"/>
        <v>0.48</v>
      </c>
      <c r="DH26" s="39">
        <f t="shared" si="110"/>
        <v>0.38400000000000001</v>
      </c>
      <c r="DI26" s="39">
        <f t="shared" si="110"/>
        <v>0.55400000000000005</v>
      </c>
      <c r="DJ26" s="39">
        <f t="shared" si="110"/>
        <v>0.52800000000000002</v>
      </c>
      <c r="DK26" s="39">
        <f t="shared" si="110"/>
        <v>0.4</v>
      </c>
      <c r="DL26" s="39">
        <f t="shared" si="110"/>
        <v>0.36799999999999999</v>
      </c>
      <c r="DM26" s="39">
        <f t="shared" si="110"/>
        <v>0.50800000000000001</v>
      </c>
      <c r="DN26" s="39">
        <f t="shared" si="110"/>
        <v>0.51200000000000001</v>
      </c>
      <c r="DO26" s="39">
        <f t="shared" si="110"/>
        <v>0.44800000000000006</v>
      </c>
      <c r="DP26" s="39">
        <f t="shared" si="110"/>
        <v>0.46799999999999997</v>
      </c>
      <c r="DQ26" s="39">
        <f t="shared" si="110"/>
        <v>0.59399999999999997</v>
      </c>
      <c r="DR26" s="39">
        <f t="shared" si="110"/>
        <v>0.21400000000000002</v>
      </c>
      <c r="DS26" s="39">
        <f t="shared" si="110"/>
        <v>0.41600000000000004</v>
      </c>
      <c r="DT26" s="39">
        <f t="shared" si="110"/>
        <v>0.6</v>
      </c>
      <c r="DU26" s="39">
        <f t="shared" si="110"/>
        <v>0.54799999999999993</v>
      </c>
      <c r="DV26" s="39">
        <f t="shared" si="110"/>
        <v>0.61599999999999999</v>
      </c>
      <c r="DW26" s="39">
        <f t="shared" si="110"/>
        <v>0.38200000000000001</v>
      </c>
      <c r="DX26" s="129">
        <f>AVERAGEIFS(DX$36:DX$171,$C$36:$C$171,"=3", $B$36:$B$171,"OFICIAL")</f>
        <v>49.6</v>
      </c>
      <c r="DY26" s="129">
        <f>AVERAGEIFS(DY$36:DY$171,$C$36:$C$171,"=3", $B$36:$B$171,"OFICIAL")</f>
        <v>8.8000000000000007</v>
      </c>
      <c r="DZ26" s="39">
        <f>AVERAGEIFS(DZ$36:DZ$171,$C$36:$C$171,"=3", $B$36:$B$171,"OFICIAL")</f>
        <v>0.156</v>
      </c>
      <c r="EA26" s="39">
        <f t="shared" ref="EA26:FA26" si="111">AVERAGEIFS(EA$36:EA$171,$C$36:$C$171,"=3", $B$36:$B$171,"OFICIAL")</f>
        <v>0.57400000000000007</v>
      </c>
      <c r="EB26" s="39">
        <f t="shared" si="111"/>
        <v>0.26800000000000002</v>
      </c>
      <c r="EC26" s="39">
        <f t="shared" si="111"/>
        <v>2E-3</v>
      </c>
      <c r="ED26" s="39">
        <f t="shared" si="111"/>
        <v>0.47400000000000003</v>
      </c>
      <c r="EE26" s="39">
        <f t="shared" si="111"/>
        <v>0.44799999999999995</v>
      </c>
      <c r="EF26" s="39">
        <f t="shared" si="111"/>
        <v>0.48799999999999999</v>
      </c>
      <c r="EG26" s="39">
        <f t="shared" si="111"/>
        <v>0.33999999999999997</v>
      </c>
      <c r="EH26" s="39">
        <f t="shared" si="111"/>
        <v>0.42599999999999999</v>
      </c>
      <c r="EI26" s="39">
        <f t="shared" si="111"/>
        <v>0.502</v>
      </c>
      <c r="EJ26" s="39">
        <f t="shared" si="111"/>
        <v>0.58200000000000007</v>
      </c>
      <c r="EK26" s="39">
        <f t="shared" si="111"/>
        <v>0.27800000000000002</v>
      </c>
      <c r="EL26" s="39">
        <f t="shared" si="111"/>
        <v>0.46799999999999997</v>
      </c>
      <c r="EM26" s="39">
        <f t="shared" si="111"/>
        <v>0.67799999999999994</v>
      </c>
      <c r="EN26" s="39">
        <f t="shared" si="111"/>
        <v>0.47400000000000003</v>
      </c>
      <c r="EO26" s="39">
        <f t="shared" si="111"/>
        <v>0.58200000000000007</v>
      </c>
      <c r="EP26" s="39">
        <f t="shared" si="111"/>
        <v>0.36599999999999999</v>
      </c>
      <c r="EQ26" s="39">
        <f t="shared" si="111"/>
        <v>0.29799999999999999</v>
      </c>
      <c r="ER26" s="39">
        <f t="shared" si="111"/>
        <v>0.62200000000000011</v>
      </c>
      <c r="ES26" s="39">
        <f t="shared" si="111"/>
        <v>0.45599999999999996</v>
      </c>
      <c r="ET26" s="39">
        <f t="shared" si="111"/>
        <v>0.34200000000000003</v>
      </c>
      <c r="EU26" s="39">
        <f t="shared" si="111"/>
        <v>0.58400000000000007</v>
      </c>
      <c r="EV26" s="39">
        <f t="shared" si="111"/>
        <v>0.43200000000000005</v>
      </c>
      <c r="EW26" s="39">
        <f t="shared" si="111"/>
        <v>0.33600000000000002</v>
      </c>
      <c r="EX26" s="39">
        <f t="shared" si="111"/>
        <v>0.62</v>
      </c>
      <c r="EY26" s="39">
        <f t="shared" si="111"/>
        <v>0.57799999999999996</v>
      </c>
      <c r="EZ26" s="39">
        <f t="shared" si="111"/>
        <v>0.29599999999999999</v>
      </c>
      <c r="FA26" s="39">
        <f t="shared" si="111"/>
        <v>0.6</v>
      </c>
      <c r="FB26" s="129">
        <f>AVERAGEIFS(FB$36:FB$171,$C$36:$C$171,"=3", $B$36:$B$171,"OFICIAL")</f>
        <v>49</v>
      </c>
      <c r="FD26" s="129">
        <f>AVERAGEIFS(FD$36:FD$171,$C$36:$C$171,"=3", $B$36:$B$171,"OFICIAL")</f>
        <v>8</v>
      </c>
      <c r="FF26" s="39">
        <f>AVERAGEIFS(FF$36:FF$171,$C$36:$C$171,"=3", $B$36:$B$171,"OFICIAL")</f>
        <v>0.14200000000000002</v>
      </c>
      <c r="FG26" s="39">
        <f t="shared" ref="FG26:GI26" si="112">AVERAGEIFS(FG$36:FG$171,$C$36:$C$171,"=3", $B$36:$B$171,"OFICIAL")</f>
        <v>0.65</v>
      </c>
      <c r="FH26" s="39">
        <f t="shared" si="112"/>
        <v>0.20200000000000001</v>
      </c>
      <c r="FI26" s="39">
        <f t="shared" si="112"/>
        <v>6.0000000000000001E-3</v>
      </c>
      <c r="FJ26" s="39">
        <f t="shared" si="112"/>
        <v>0.47599999999999998</v>
      </c>
      <c r="FK26" s="39">
        <f t="shared" si="112"/>
        <v>0.66800000000000004</v>
      </c>
      <c r="FL26" s="39">
        <f t="shared" si="112"/>
        <v>0.52600000000000002</v>
      </c>
      <c r="FM26" s="39">
        <f t="shared" si="112"/>
        <v>0.42400000000000004</v>
      </c>
      <c r="FN26" s="39">
        <f t="shared" si="112"/>
        <v>0.30000000000000004</v>
      </c>
      <c r="FO26" s="39">
        <f t="shared" si="112"/>
        <v>0.34799999999999998</v>
      </c>
      <c r="FP26" s="39">
        <f t="shared" si="112"/>
        <v>0.40800000000000003</v>
      </c>
      <c r="FQ26" s="39">
        <f t="shared" si="112"/>
        <v>0.42599999999999999</v>
      </c>
      <c r="FR26" s="39">
        <f t="shared" si="112"/>
        <v>0.6120000000000001</v>
      </c>
      <c r="FS26" s="39">
        <f t="shared" si="112"/>
        <v>0.52400000000000002</v>
      </c>
      <c r="FT26" s="39">
        <f t="shared" si="112"/>
        <v>0.54600000000000004</v>
      </c>
      <c r="FU26" s="39">
        <f t="shared" si="112"/>
        <v>0.39200000000000002</v>
      </c>
      <c r="FV26" s="39">
        <f t="shared" si="112"/>
        <v>0.60399999999999998</v>
      </c>
      <c r="FW26" s="39">
        <f t="shared" si="112"/>
        <v>0.56799999999999995</v>
      </c>
      <c r="FX26" s="39">
        <f t="shared" si="112"/>
        <v>0.50800000000000001</v>
      </c>
      <c r="FY26" s="39">
        <f t="shared" si="112"/>
        <v>0.376</v>
      </c>
      <c r="FZ26" s="39">
        <f t="shared" si="112"/>
        <v>0.46200000000000002</v>
      </c>
      <c r="GA26" s="39">
        <f t="shared" si="112"/>
        <v>0.53800000000000003</v>
      </c>
      <c r="GB26" s="39">
        <f t="shared" si="112"/>
        <v>0.55200000000000005</v>
      </c>
      <c r="GC26" s="39">
        <f t="shared" si="112"/>
        <v>0.48200000000000004</v>
      </c>
      <c r="GD26" s="39">
        <f t="shared" si="112"/>
        <v>0.60599999999999998</v>
      </c>
      <c r="GE26" s="39">
        <f t="shared" si="112"/>
        <v>0.53600000000000014</v>
      </c>
      <c r="GF26" s="39">
        <f t="shared" si="112"/>
        <v>0.5</v>
      </c>
      <c r="GG26" s="39">
        <f t="shared" si="112"/>
        <v>0.49399999999999994</v>
      </c>
      <c r="GH26" s="39">
        <f t="shared" si="112"/>
        <v>0.56000000000000005</v>
      </c>
      <c r="GI26" s="39">
        <f t="shared" si="112"/>
        <v>0.30600000000000005</v>
      </c>
      <c r="GJ26" s="129">
        <f>AVERAGEIFS(GJ$36:GJ$171,$C$36:$C$171,"=3", $B$36:$B$171,"OFICIAL")</f>
        <v>49.833333333333336</v>
      </c>
      <c r="GL26" s="129">
        <f>AVERAGEIFS(GL$36:GL$171,$C$36:$C$171,"=3", $B$36:$B$171,"OFICIAL")</f>
        <v>8.8333333333333339</v>
      </c>
      <c r="GN26" s="344">
        <f>AVERAGEIFS(GN$36:GN$171,$C$36:$C$171,"=3", $B$36:$B$171,"OFICIAL")</f>
        <v>0.17166666666666663</v>
      </c>
      <c r="GO26" s="344">
        <f t="shared" ref="GO26:HQ26" si="113">AVERAGEIFS(GO$36:GO$171,$C$36:$C$171,"=3", $B$36:$B$171,"OFICIAL")</f>
        <v>0.56000000000000005</v>
      </c>
      <c r="GP26" s="344">
        <f t="shared" si="113"/>
        <v>0.255</v>
      </c>
      <c r="GQ26" s="344">
        <f t="shared" si="113"/>
        <v>1.3333333333333334E-2</v>
      </c>
      <c r="GR26" s="344">
        <f t="shared" si="113"/>
        <v>0.48833333333333345</v>
      </c>
      <c r="GS26" s="344">
        <f t="shared" si="113"/>
        <v>0.54999999999999993</v>
      </c>
      <c r="GT26" s="344">
        <f t="shared" si="113"/>
        <v>0.62666666666666659</v>
      </c>
      <c r="GU26" s="344">
        <f t="shared" si="113"/>
        <v>0.26166666666666666</v>
      </c>
      <c r="GV26" s="344">
        <f t="shared" si="113"/>
        <v>0.57666666666666666</v>
      </c>
      <c r="GW26" s="344">
        <f t="shared" si="113"/>
        <v>0.52</v>
      </c>
      <c r="GX26" s="344">
        <f t="shared" si="113"/>
        <v>0.47833333333333333</v>
      </c>
      <c r="GY26" s="317" t="s">
        <v>283</v>
      </c>
      <c r="GZ26" s="344">
        <f t="shared" si="113"/>
        <v>0.36499999999999999</v>
      </c>
      <c r="HA26" s="344">
        <f t="shared" si="113"/>
        <v>0.69</v>
      </c>
      <c r="HB26" s="344">
        <f t="shared" si="113"/>
        <v>0.47499999999999992</v>
      </c>
      <c r="HC26" s="344">
        <f t="shared" si="113"/>
        <v>0.54500000000000004</v>
      </c>
      <c r="HD26" s="344">
        <f t="shared" si="113"/>
        <v>0.58833333333333326</v>
      </c>
      <c r="HE26" s="344">
        <f t="shared" si="113"/>
        <v>0.47</v>
      </c>
      <c r="HF26" s="344">
        <f t="shared" si="113"/>
        <v>0.49833333333333329</v>
      </c>
      <c r="HG26" s="344">
        <f t="shared" si="113"/>
        <v>0.66499999999999992</v>
      </c>
      <c r="HH26" s="344">
        <f t="shared" si="113"/>
        <v>0.39666666666666667</v>
      </c>
      <c r="HI26" s="344">
        <f t="shared" si="113"/>
        <v>0.52833333333333332</v>
      </c>
      <c r="HJ26" s="344">
        <f t="shared" si="113"/>
        <v>0.59</v>
      </c>
      <c r="HK26" s="344">
        <f t="shared" si="113"/>
        <v>0.52500000000000002</v>
      </c>
      <c r="HL26" s="344">
        <f t="shared" si="113"/>
        <v>0.44666666666666671</v>
      </c>
      <c r="HM26" s="344">
        <f t="shared" si="113"/>
        <v>0.49500000000000005</v>
      </c>
      <c r="HN26" s="344">
        <f t="shared" si="113"/>
        <v>0.49500000000000005</v>
      </c>
      <c r="HO26" s="344">
        <f t="shared" si="113"/>
        <v>0.46333333333333337</v>
      </c>
      <c r="HP26" s="317" t="s">
        <v>283</v>
      </c>
      <c r="HQ26" s="344">
        <f t="shared" si="113"/>
        <v>0.41500000000000004</v>
      </c>
      <c r="HR26" s="129">
        <f>AVERAGEIFS(HR$36:HR$171,$C$36:$C$171,"=3", $B$36:$B$171,"OFICIAL")</f>
        <v>50.5</v>
      </c>
      <c r="HT26" s="129">
        <f>AVERAGEIFS(HT$36:HT$171,$C$36:$C$171,"=3", $B$36:$B$171,"OFICIAL")</f>
        <v>8.5</v>
      </c>
      <c r="HV26" s="344">
        <f>AVERAGEIFS(HV$36:HV$171,$C$36:$C$171,"=3", $B$36:$B$171,"OFICIAL")</f>
        <v>0.14166666666666666</v>
      </c>
      <c r="HW26" s="344">
        <f t="shared" ref="HW26:IZ26" si="114">AVERAGEIFS(HW$36:HW$171,$C$36:$C$171,"=3", $B$36:$B$171,"OFICIAL")</f>
        <v>0.54166666666666663</v>
      </c>
      <c r="HX26" s="344">
        <f t="shared" si="114"/>
        <v>0.30666666666666664</v>
      </c>
      <c r="HY26" s="344">
        <f t="shared" si="114"/>
        <v>0.01</v>
      </c>
      <c r="HZ26" s="344">
        <f t="shared" si="114"/>
        <v>0.41</v>
      </c>
      <c r="IA26" s="344">
        <f t="shared" si="114"/>
        <v>0.53500000000000003</v>
      </c>
      <c r="IB26" s="344">
        <f t="shared" si="114"/>
        <v>0.34833333333333338</v>
      </c>
      <c r="IC26" s="344">
        <f t="shared" si="114"/>
        <v>0.49666666666666665</v>
      </c>
      <c r="ID26" s="344">
        <f t="shared" si="114"/>
        <v>0.63666666666666671</v>
      </c>
      <c r="IE26" s="344">
        <f t="shared" si="114"/>
        <v>0.35500000000000004</v>
      </c>
      <c r="IF26" s="344">
        <f t="shared" si="114"/>
        <v>0.40166666666666662</v>
      </c>
      <c r="IG26" s="344">
        <f t="shared" si="114"/>
        <v>0.54500000000000004</v>
      </c>
      <c r="IH26" s="344">
        <f t="shared" si="114"/>
        <v>0.51833333333333331</v>
      </c>
      <c r="II26" s="344">
        <f t="shared" si="114"/>
        <v>0.32333333333333336</v>
      </c>
      <c r="IJ26" s="344">
        <f t="shared" si="114"/>
        <v>0.29000000000000004</v>
      </c>
      <c r="IK26" s="344">
        <f t="shared" si="114"/>
        <v>0.59333333333333338</v>
      </c>
      <c r="IL26" s="344">
        <f t="shared" si="114"/>
        <v>0.35833333333333339</v>
      </c>
      <c r="IM26" s="344">
        <f t="shared" si="114"/>
        <v>0.57333333333333336</v>
      </c>
      <c r="IN26" s="344">
        <f t="shared" si="114"/>
        <v>0.47000000000000003</v>
      </c>
      <c r="IO26" s="344">
        <f t="shared" si="114"/>
        <v>0.54833333333333334</v>
      </c>
      <c r="IP26" s="344">
        <f t="shared" si="114"/>
        <v>0.4466666666666666</v>
      </c>
      <c r="IQ26" s="344">
        <f t="shared" si="114"/>
        <v>0.66500000000000004</v>
      </c>
      <c r="IR26" s="344">
        <f t="shared" si="114"/>
        <v>0.53500000000000003</v>
      </c>
      <c r="IS26" s="344">
        <f t="shared" si="114"/>
        <v>0.53499999999999992</v>
      </c>
      <c r="IT26" s="344">
        <f t="shared" si="114"/>
        <v>0.44666666666666671</v>
      </c>
      <c r="IU26" s="317" t="s">
        <v>283</v>
      </c>
      <c r="IV26" s="344">
        <f t="shared" si="114"/>
        <v>0.6283333333333333</v>
      </c>
      <c r="IW26" s="344">
        <f t="shared" si="114"/>
        <v>0.43</v>
      </c>
      <c r="IX26" s="344">
        <f t="shared" si="114"/>
        <v>0.51166666666666671</v>
      </c>
      <c r="IY26" s="344">
        <f t="shared" si="114"/>
        <v>0.53</v>
      </c>
      <c r="IZ26" s="494">
        <f t="shared" si="114"/>
        <v>51</v>
      </c>
      <c r="JA26" s="499"/>
      <c r="JB26" s="302">
        <f>AVERAGEIFS(JB$36:JB$171,$C$36:$C$171,"=3", $B$36:$B$171,"OFICIAL")</f>
        <v>8.8333333333333339</v>
      </c>
      <c r="JC26" s="499"/>
      <c r="JD26" s="345">
        <f t="shared" ref="JD26:KG26" si="115">AVERAGEIFS(JD$36:JD$171,$C$36:$C$171,"=3", $B$36:$B$171,"OFICIAL")</f>
        <v>0.12833333333333333</v>
      </c>
      <c r="JE26" s="345">
        <f t="shared" si="115"/>
        <v>0.54333333333333333</v>
      </c>
      <c r="JF26" s="345">
        <f t="shared" si="115"/>
        <v>0.31</v>
      </c>
      <c r="JG26" s="345">
        <f t="shared" si="115"/>
        <v>1.8333333333333337E-2</v>
      </c>
      <c r="JH26" s="345">
        <f t="shared" ref="JH26:KC26" si="116">AVERAGEIFS(JH$36:JH$171,$C$36:$C$171,"=3", $B$36:$B$171,"OFICIAL")</f>
        <v>0.47500000000000003</v>
      </c>
      <c r="JI26" s="345">
        <f t="shared" si="116"/>
        <v>0.46333333333333332</v>
      </c>
      <c r="JJ26" s="345">
        <f t="shared" si="116"/>
        <v>0.42333333333333334</v>
      </c>
      <c r="JK26" s="345">
        <f t="shared" si="116"/>
        <v>0.47833333333333333</v>
      </c>
      <c r="JL26" s="345">
        <f t="shared" si="116"/>
        <v>0.49333333333333335</v>
      </c>
      <c r="JM26" s="345">
        <f t="shared" si="116"/>
        <v>0.49333333333333335</v>
      </c>
      <c r="JN26" s="345">
        <f t="shared" si="116"/>
        <v>0.42666666666666669</v>
      </c>
      <c r="JO26" s="345">
        <f t="shared" si="116"/>
        <v>0.48000000000000004</v>
      </c>
      <c r="JP26" s="345">
        <f t="shared" si="116"/>
        <v>0.54333333333333333</v>
      </c>
      <c r="JQ26" s="345">
        <f t="shared" si="116"/>
        <v>0.29333333333333339</v>
      </c>
      <c r="JR26" s="345">
        <f t="shared" si="116"/>
        <v>0.59</v>
      </c>
      <c r="JS26" s="345">
        <f t="shared" si="116"/>
        <v>0.51666666666666661</v>
      </c>
      <c r="JT26" s="345">
        <f t="shared" si="116"/>
        <v>0.44833333333333342</v>
      </c>
      <c r="JU26" s="345">
        <f t="shared" si="116"/>
        <v>0.52166666666666661</v>
      </c>
      <c r="JV26" s="345">
        <f t="shared" si="116"/>
        <v>0.49500000000000011</v>
      </c>
      <c r="JW26" s="345">
        <f t="shared" si="116"/>
        <v>0.47333333333333338</v>
      </c>
      <c r="JX26" s="345">
        <f t="shared" si="116"/>
        <v>0.4316666666666667</v>
      </c>
      <c r="JY26" s="345">
        <f t="shared" si="116"/>
        <v>0.49499999999999994</v>
      </c>
      <c r="JZ26" s="345">
        <f t="shared" si="116"/>
        <v>0.45833333333333331</v>
      </c>
      <c r="KA26" s="345">
        <f t="shared" si="116"/>
        <v>0.61499999999999999</v>
      </c>
      <c r="KB26" s="345">
        <f t="shared" si="116"/>
        <v>0.46833333333333327</v>
      </c>
      <c r="KC26" s="345">
        <f t="shared" si="116"/>
        <v>0.67</v>
      </c>
      <c r="KD26" s="345">
        <f t="shared" si="115"/>
        <v>0.37999999999999995</v>
      </c>
      <c r="KE26" s="345">
        <f>AVERAGEIFS(KE$36:KE$171,$C$36:$C$171,"=3", $B$36:$B$171,"OFICIAL")</f>
        <v>0.51000000000000012</v>
      </c>
      <c r="KF26" s="345">
        <f>AVERAGEIFS(KF$36:KF$171,$C$36:$C$171,"=3", $B$36:$B$171,"OFICIAL")</f>
        <v>0.45500000000000002</v>
      </c>
      <c r="KG26" s="345">
        <f t="shared" si="115"/>
        <v>0.52</v>
      </c>
    </row>
    <row r="27" spans="1:293" ht="24.95" customHeight="1" x14ac:dyDescent="0.2">
      <c r="A27" s="6" t="s">
        <v>898</v>
      </c>
      <c r="B27" s="301"/>
      <c r="C27" s="301"/>
      <c r="D27" s="129">
        <f>AVERAGEIFS(D$36:D$171,$C$36:$C$171,"=4", $B$36:$B$171,"OFICIAL")</f>
        <v>50.5</v>
      </c>
      <c r="E27" s="129">
        <f>AVERAGEIFS(E$36:E$171,$C$36:$C$171,"=4", $B$36:$B$171,"OFICIAL")</f>
        <v>7.166666666666667</v>
      </c>
      <c r="F27" s="39">
        <f>AVERAGEIFS(F$36:F$171,$C$36:$C$171,"=4", $B$36:$B$171,"OFICIAL")</f>
        <v>0.10333333333333335</v>
      </c>
      <c r="G27" s="39">
        <f t="shared" ref="G27:AG27" si="117">AVERAGEIFS(G$36:G$171,$C$36:$C$171,"=4", $B$36:$B$171,"OFICIAL")</f>
        <v>0.66666666666666663</v>
      </c>
      <c r="H27" s="39">
        <f t="shared" si="117"/>
        <v>0.22666666666666666</v>
      </c>
      <c r="I27" s="39">
        <f t="shared" si="117"/>
        <v>3.3333333333333335E-3</v>
      </c>
      <c r="J27" s="39">
        <f t="shared" si="117"/>
        <v>0.42499999999999999</v>
      </c>
      <c r="K27" s="39">
        <f t="shared" si="117"/>
        <v>0.44999999999999996</v>
      </c>
      <c r="L27" s="39">
        <f t="shared" si="117"/>
        <v>0.81166666666666665</v>
      </c>
      <c r="M27" s="39">
        <f t="shared" si="117"/>
        <v>0.30499999999999999</v>
      </c>
      <c r="N27" s="39">
        <f t="shared" si="117"/>
        <v>0.36000000000000004</v>
      </c>
      <c r="O27" s="39">
        <f t="shared" si="117"/>
        <v>0.70166666666666666</v>
      </c>
      <c r="P27" s="39">
        <f t="shared" si="117"/>
        <v>0.36666666666666664</v>
      </c>
      <c r="Q27" s="39">
        <f t="shared" si="117"/>
        <v>0.5</v>
      </c>
      <c r="R27" s="39">
        <f t="shared" si="117"/>
        <v>0.59833333333333327</v>
      </c>
      <c r="S27" s="39">
        <f t="shared" si="117"/>
        <v>0.61166666666666658</v>
      </c>
      <c r="T27" s="39">
        <f t="shared" si="117"/>
        <v>0.53833333333333322</v>
      </c>
      <c r="U27" s="39">
        <f t="shared" si="117"/>
        <v>0.65666666666666662</v>
      </c>
      <c r="V27" s="39">
        <f t="shared" si="117"/>
        <v>0.11499999999999999</v>
      </c>
      <c r="W27" s="39">
        <f t="shared" si="117"/>
        <v>0.19333333333333336</v>
      </c>
      <c r="X27" s="39">
        <f t="shared" si="117"/>
        <v>0.55333333333333334</v>
      </c>
      <c r="Y27" s="39">
        <f t="shared" si="117"/>
        <v>0.5033333333333333</v>
      </c>
      <c r="Z27" s="39">
        <f t="shared" si="117"/>
        <v>0.9</v>
      </c>
      <c r="AA27" s="39">
        <f t="shared" si="117"/>
        <v>0.11333333333333334</v>
      </c>
      <c r="AB27" s="39">
        <f t="shared" si="117"/>
        <v>0.47666666666666674</v>
      </c>
      <c r="AC27" s="39">
        <f t="shared" si="117"/>
        <v>0.35499999999999998</v>
      </c>
      <c r="AD27" s="39">
        <f t="shared" si="117"/>
        <v>0.49333333333333335</v>
      </c>
      <c r="AE27" s="39">
        <f t="shared" si="117"/>
        <v>0.49</v>
      </c>
      <c r="AF27" s="39">
        <f t="shared" si="117"/>
        <v>0.57999999999999996</v>
      </c>
      <c r="AG27" s="39">
        <f t="shared" si="117"/>
        <v>0.55833333333333335</v>
      </c>
      <c r="AH27" s="129">
        <f>AVERAGEIFS(AH$36:AH$171,$C$36:$C$171,"=4", $B$36:$B$171,"OFICIAL")</f>
        <v>49.833333333333336</v>
      </c>
      <c r="AI27" s="129">
        <f>AVERAGEIFS(AI$36:AI$171,$C$36:$C$171,"=4", $B$36:$B$171,"OFICIAL")</f>
        <v>7.833333333333333</v>
      </c>
      <c r="AJ27" s="39">
        <f>AVERAGEIFS(AJ$36:AJ$171,$C$36:$C$171,"=4", $B$36:$B$171,"OFICIAL")</f>
        <v>0.125</v>
      </c>
      <c r="AK27" s="39">
        <f t="shared" ref="AK27:BL27" si="118">AVERAGEIFS(AK$36:AK$171,$C$36:$C$171,"=4", $B$36:$B$171,"OFICIAL")</f>
        <v>0.65</v>
      </c>
      <c r="AL27" s="39">
        <f t="shared" si="118"/>
        <v>0.21666666666666667</v>
      </c>
      <c r="AM27" s="39">
        <f t="shared" si="118"/>
        <v>0.01</v>
      </c>
      <c r="AN27" s="39">
        <f t="shared" si="118"/>
        <v>0.34833333333333338</v>
      </c>
      <c r="AO27" s="39">
        <f t="shared" si="118"/>
        <v>0.50000000000000011</v>
      </c>
      <c r="AP27" s="39">
        <f t="shared" si="118"/>
        <v>0.60666666666666658</v>
      </c>
      <c r="AQ27" s="39">
        <f t="shared" si="118"/>
        <v>0.47166666666666668</v>
      </c>
      <c r="AR27" s="39">
        <f t="shared" si="118"/>
        <v>0.60166666666666668</v>
      </c>
      <c r="AS27" s="39">
        <f t="shared" si="118"/>
        <v>0.54333333333333333</v>
      </c>
      <c r="AT27" s="39">
        <f t="shared" si="118"/>
        <v>0.54666666666666663</v>
      </c>
      <c r="AU27" s="39">
        <f t="shared" si="118"/>
        <v>0.55166666666666664</v>
      </c>
      <c r="AV27" s="39">
        <f t="shared" si="118"/>
        <v>0.63</v>
      </c>
      <c r="AW27" s="39">
        <f t="shared" si="118"/>
        <v>0.54333333333333333</v>
      </c>
      <c r="AX27" s="39">
        <f t="shared" si="118"/>
        <v>0.6283333333333333</v>
      </c>
      <c r="AY27" s="39">
        <f t="shared" si="118"/>
        <v>0.375</v>
      </c>
      <c r="AZ27" s="39">
        <f t="shared" si="118"/>
        <v>0.31</v>
      </c>
      <c r="BA27" s="39">
        <f t="shared" si="118"/>
        <v>0.52166666666666672</v>
      </c>
      <c r="BB27" s="39">
        <f t="shared" si="118"/>
        <v>0.67833333333333334</v>
      </c>
      <c r="BC27" s="39">
        <f t="shared" si="118"/>
        <v>0.68</v>
      </c>
      <c r="BD27" s="39">
        <f t="shared" si="118"/>
        <v>0.47333333333333338</v>
      </c>
      <c r="BE27" s="39">
        <f t="shared" si="118"/>
        <v>0.59166666666666667</v>
      </c>
      <c r="BF27" s="39">
        <f t="shared" si="118"/>
        <v>0.61166666666666669</v>
      </c>
      <c r="BG27" s="39">
        <f t="shared" si="118"/>
        <v>0.54666666666666675</v>
      </c>
      <c r="BH27" s="39">
        <f t="shared" si="118"/>
        <v>0.48166666666666663</v>
      </c>
      <c r="BI27" s="39">
        <f t="shared" si="118"/>
        <v>0.45666666666666661</v>
      </c>
      <c r="BJ27" s="39">
        <f t="shared" si="118"/>
        <v>0.39500000000000002</v>
      </c>
      <c r="BK27" s="39">
        <f t="shared" si="118"/>
        <v>0.49500000000000005</v>
      </c>
      <c r="BL27" s="39">
        <f t="shared" si="118"/>
        <v>0.59833333333333327</v>
      </c>
      <c r="BM27" s="129">
        <f>AVERAGEIFS(BM$36:BM$171,$C$36:$C$171,"=4", $B$36:$B$171,"OFICIAL")</f>
        <v>46.5</v>
      </c>
      <c r="BN27" s="129">
        <f>AVERAGEIFS(BN$36:BN$171,$C$36:$C$171,"=4", $B$36:$B$171,"OFICIAL")</f>
        <v>8</v>
      </c>
      <c r="BO27" s="39">
        <f>AVERAGEIFS(BO$36:BO$171,$C$36:$C$171,"=4", $B$36:$B$171,"OFICIAL")</f>
        <v>0.24666666666666667</v>
      </c>
      <c r="BP27" s="39">
        <f t="shared" ref="BP27:CR27" si="119">AVERAGEIFS(BP$36:BP$171,$C$36:$C$171,"=4", $B$36:$B$171,"OFICIAL")</f>
        <v>0.60833333333333339</v>
      </c>
      <c r="BQ27" s="39">
        <f t="shared" si="119"/>
        <v>0.1466666666666667</v>
      </c>
      <c r="BR27" s="39">
        <f t="shared" si="119"/>
        <v>1.6666666666666668E-3</v>
      </c>
      <c r="BS27" s="39">
        <f t="shared" si="119"/>
        <v>0.40666666666666668</v>
      </c>
      <c r="BT27" s="39">
        <f t="shared" si="119"/>
        <v>0.6150000000000001</v>
      </c>
      <c r="BU27" s="39">
        <f t="shared" si="119"/>
        <v>0.70166666666666666</v>
      </c>
      <c r="BV27" s="39">
        <f t="shared" si="119"/>
        <v>0.48666666666666664</v>
      </c>
      <c r="BW27" s="39">
        <f t="shared" si="119"/>
        <v>0.68</v>
      </c>
      <c r="BX27" s="39">
        <f t="shared" si="119"/>
        <v>0.46666666666666662</v>
      </c>
      <c r="BY27" s="39">
        <f t="shared" si="119"/>
        <v>0.5</v>
      </c>
      <c r="BZ27" s="39">
        <f t="shared" si="119"/>
        <v>0.58499999999999996</v>
      </c>
      <c r="CA27" s="39">
        <f t="shared" si="119"/>
        <v>0.53333333333333333</v>
      </c>
      <c r="CB27" s="39">
        <f t="shared" si="119"/>
        <v>0.48000000000000004</v>
      </c>
      <c r="CC27" s="39">
        <f t="shared" si="119"/>
        <v>0.30833333333333335</v>
      </c>
      <c r="CD27" s="39">
        <f t="shared" si="119"/>
        <v>0.51500000000000001</v>
      </c>
      <c r="CE27" s="39">
        <f t="shared" si="119"/>
        <v>0.4366666666666667</v>
      </c>
      <c r="CF27" s="39">
        <f t="shared" si="119"/>
        <v>0.63166666666666671</v>
      </c>
      <c r="CG27" s="39">
        <f t="shared" si="119"/>
        <v>0.66333333333333322</v>
      </c>
      <c r="CH27" s="39">
        <f t="shared" si="119"/>
        <v>0.52833333333333332</v>
      </c>
      <c r="CI27" s="39">
        <f t="shared" si="119"/>
        <v>0.66666666666666663</v>
      </c>
      <c r="CJ27" s="39">
        <f t="shared" si="119"/>
        <v>0.41833333333333328</v>
      </c>
      <c r="CK27" s="39">
        <f t="shared" si="119"/>
        <v>0.74500000000000011</v>
      </c>
      <c r="CL27" s="39">
        <f t="shared" si="119"/>
        <v>0.42833333333333329</v>
      </c>
      <c r="CM27" s="39">
        <f t="shared" si="119"/>
        <v>0.55500000000000005</v>
      </c>
      <c r="CN27" s="39">
        <f t="shared" si="119"/>
        <v>0.53666666666666663</v>
      </c>
      <c r="CO27" s="39">
        <f t="shared" si="119"/>
        <v>0.48833333333333334</v>
      </c>
      <c r="CP27" s="39">
        <f t="shared" si="119"/>
        <v>0.45333333333333331</v>
      </c>
      <c r="CQ27" s="39">
        <f t="shared" si="119"/>
        <v>0.58500000000000008</v>
      </c>
      <c r="CR27" s="39">
        <f t="shared" si="119"/>
        <v>0.61166666666666669</v>
      </c>
      <c r="CS27" s="129">
        <f>AVERAGEIFS(CS$36:CS$171,$C$36:$C$171,"=4", $B$36:$B$171,"OFICIAL")</f>
        <v>45.5</v>
      </c>
      <c r="CT27" s="129">
        <f>AVERAGEIFS(CT$36:CT$171,$C$36:$C$171,"=4", $B$36:$B$171,"OFICIAL")</f>
        <v>8.3333333333333339</v>
      </c>
      <c r="CU27" s="39">
        <f>AVERAGEIFS(CU$36:CU$171,$C$36:$C$171,"=4", $B$36:$B$171,"OFICIAL")</f>
        <v>0.27166666666666667</v>
      </c>
      <c r="CV27" s="39">
        <f t="shared" ref="CV27:DW27" si="120">AVERAGEIFS(CV$36:CV$171,$C$36:$C$171,"=4", $B$36:$B$171,"OFICIAL")</f>
        <v>0.61833333333333329</v>
      </c>
      <c r="CW27" s="39">
        <f t="shared" si="120"/>
        <v>0.11000000000000003</v>
      </c>
      <c r="CX27" s="39">
        <f t="shared" si="120"/>
        <v>1.6666666666666668E-3</v>
      </c>
      <c r="CY27" s="39">
        <f t="shared" si="120"/>
        <v>0.58333333333333337</v>
      </c>
      <c r="CZ27" s="39">
        <f t="shared" si="120"/>
        <v>0.37166666666666665</v>
      </c>
      <c r="DA27" s="39">
        <f t="shared" si="120"/>
        <v>0.61</v>
      </c>
      <c r="DB27" s="39">
        <f t="shared" si="120"/>
        <v>0.45</v>
      </c>
      <c r="DC27" s="39">
        <f t="shared" si="120"/>
        <v>0.5116666666666666</v>
      </c>
      <c r="DD27" s="39">
        <f t="shared" si="120"/>
        <v>0.64333333333333342</v>
      </c>
      <c r="DE27" s="39">
        <f t="shared" si="120"/>
        <v>0.53833333333333322</v>
      </c>
      <c r="DF27" s="39">
        <f t="shared" si="120"/>
        <v>0.60333333333333339</v>
      </c>
      <c r="DG27" s="39">
        <f t="shared" si="120"/>
        <v>0.52</v>
      </c>
      <c r="DH27" s="39">
        <f t="shared" si="120"/>
        <v>0.43</v>
      </c>
      <c r="DI27" s="39">
        <f t="shared" si="120"/>
        <v>0.63</v>
      </c>
      <c r="DJ27" s="39">
        <f t="shared" si="120"/>
        <v>0.57499999999999996</v>
      </c>
      <c r="DK27" s="39">
        <f t="shared" si="120"/>
        <v>0.45833333333333331</v>
      </c>
      <c r="DL27" s="39">
        <f t="shared" si="120"/>
        <v>0.47666666666666663</v>
      </c>
      <c r="DM27" s="39">
        <f t="shared" si="120"/>
        <v>0.59333333333333338</v>
      </c>
      <c r="DN27" s="39">
        <f t="shared" si="120"/>
        <v>0.54833333333333345</v>
      </c>
      <c r="DO27" s="39">
        <f t="shared" si="120"/>
        <v>0.49666666666666665</v>
      </c>
      <c r="DP27" s="39">
        <f t="shared" si="120"/>
        <v>0.52333333333333343</v>
      </c>
      <c r="DQ27" s="39">
        <f t="shared" si="120"/>
        <v>0.60666666666666658</v>
      </c>
      <c r="DR27" s="39">
        <f t="shared" si="120"/>
        <v>0.2583333333333333</v>
      </c>
      <c r="DS27" s="39">
        <f t="shared" si="120"/>
        <v>0.42333333333333334</v>
      </c>
      <c r="DT27" s="39">
        <f t="shared" si="120"/>
        <v>0.62</v>
      </c>
      <c r="DU27" s="39">
        <f t="shared" si="120"/>
        <v>0.59166666666666667</v>
      </c>
      <c r="DV27" s="39">
        <f t="shared" si="120"/>
        <v>0.65666666666666662</v>
      </c>
      <c r="DW27" s="39">
        <f t="shared" si="120"/>
        <v>0.39333333333333331</v>
      </c>
      <c r="DX27" s="129">
        <f>AVERAGEIFS(DX$36:DX$171,$C$36:$C$171,"=4", $B$36:$B$171,"OFICIAL")</f>
        <v>45.166666666666664</v>
      </c>
      <c r="DY27" s="129">
        <f>AVERAGEIFS(DY$36:DY$171,$C$36:$C$171,"=4", $B$36:$B$171,"OFICIAL")</f>
        <v>8.1666666666666661</v>
      </c>
      <c r="DZ27" s="39">
        <f>AVERAGEIFS(DZ$36:DZ$171,$C$36:$C$171,"=4", $B$36:$B$171,"OFICIAL")</f>
        <v>0.27499999999999997</v>
      </c>
      <c r="EA27" s="39">
        <f t="shared" ref="EA27:FA27" si="121">AVERAGEIFS(EA$36:EA$171,$C$36:$C$171,"=4", $B$36:$B$171,"OFICIAL")</f>
        <v>0.63166666666666671</v>
      </c>
      <c r="EB27" s="39">
        <f t="shared" si="121"/>
        <v>9.0000000000000011E-2</v>
      </c>
      <c r="EC27" s="39">
        <f t="shared" si="121"/>
        <v>1.6666666666666668E-3</v>
      </c>
      <c r="ED27" s="39">
        <f t="shared" si="121"/>
        <v>0.53666666666666674</v>
      </c>
      <c r="EE27" s="39">
        <f t="shared" si="121"/>
        <v>0.5033333333333333</v>
      </c>
      <c r="EF27" s="39">
        <f t="shared" si="121"/>
        <v>0.53333333333333333</v>
      </c>
      <c r="EG27" s="39">
        <f t="shared" si="121"/>
        <v>0.47166666666666662</v>
      </c>
      <c r="EH27" s="39">
        <f t="shared" si="121"/>
        <v>0.52999999999999992</v>
      </c>
      <c r="EI27" s="39">
        <f t="shared" si="121"/>
        <v>0.60166666666666668</v>
      </c>
      <c r="EJ27" s="39">
        <f t="shared" si="121"/>
        <v>0.6333333333333333</v>
      </c>
      <c r="EK27" s="39">
        <f t="shared" si="121"/>
        <v>0.37166666666666665</v>
      </c>
      <c r="EL27" s="39">
        <f t="shared" si="121"/>
        <v>0.52</v>
      </c>
      <c r="EM27" s="39">
        <f t="shared" si="121"/>
        <v>0.72666666666666668</v>
      </c>
      <c r="EN27" s="39">
        <f t="shared" si="121"/>
        <v>0.59166666666666667</v>
      </c>
      <c r="EO27" s="39">
        <f t="shared" si="121"/>
        <v>0.64333333333333342</v>
      </c>
      <c r="EP27" s="39">
        <f t="shared" si="121"/>
        <v>0.48333333333333334</v>
      </c>
      <c r="EQ27" s="39">
        <f t="shared" si="121"/>
        <v>0.43166666666666664</v>
      </c>
      <c r="ER27" s="39">
        <f t="shared" si="121"/>
        <v>0.65666666666666662</v>
      </c>
      <c r="ES27" s="39">
        <f t="shared" si="121"/>
        <v>0.56166666666666665</v>
      </c>
      <c r="ET27" s="39">
        <f t="shared" si="121"/>
        <v>0.42333333333333334</v>
      </c>
      <c r="EU27" s="39">
        <f t="shared" si="121"/>
        <v>0.72333333333333327</v>
      </c>
      <c r="EV27" s="39">
        <f t="shared" si="121"/>
        <v>0.49000000000000005</v>
      </c>
      <c r="EW27" s="39">
        <f t="shared" si="121"/>
        <v>0.37666666666666671</v>
      </c>
      <c r="EX27" s="39">
        <f t="shared" si="121"/>
        <v>0.69999999999999984</v>
      </c>
      <c r="EY27" s="39">
        <f t="shared" si="121"/>
        <v>0.64666666666666661</v>
      </c>
      <c r="EZ27" s="39">
        <f t="shared" si="121"/>
        <v>0.29166666666666669</v>
      </c>
      <c r="FA27" s="39">
        <f t="shared" si="121"/>
        <v>0.67499999999999993</v>
      </c>
      <c r="FB27" s="129">
        <f>AVERAGEIFS(FB$36:FB$171,$C$36:$C$171,"=4", $B$36:$B$171,"OFICIAL")</f>
        <v>46</v>
      </c>
      <c r="FD27" s="129">
        <f>AVERAGEIFS(FD$36:FD$171,$C$36:$C$171,"=4", $B$36:$B$171,"OFICIAL")</f>
        <v>7.333333333333333</v>
      </c>
      <c r="FF27" s="39">
        <f>AVERAGEIFS(FF$36:FF$171,$C$36:$C$171,"=4", $B$36:$B$171,"OFICIAL")</f>
        <v>0.26333333333333336</v>
      </c>
      <c r="FG27" s="39">
        <f t="shared" ref="FG27:GI27" si="122">AVERAGEIFS(FG$36:FG$171,$C$36:$C$171,"=4", $B$36:$B$171,"OFICIAL")</f>
        <v>0.625</v>
      </c>
      <c r="FH27" s="39">
        <f t="shared" si="122"/>
        <v>0.10666666666666665</v>
      </c>
      <c r="FI27" s="39">
        <f t="shared" si="122"/>
        <v>1.6666666666666668E-3</v>
      </c>
      <c r="FJ27" s="39">
        <f t="shared" si="122"/>
        <v>0.56333333333333335</v>
      </c>
      <c r="FK27" s="39">
        <f t="shared" si="122"/>
        <v>0.71666666666666667</v>
      </c>
      <c r="FL27" s="39">
        <f t="shared" si="122"/>
        <v>0.57500000000000007</v>
      </c>
      <c r="FM27" s="39">
        <f t="shared" si="122"/>
        <v>0.54500000000000004</v>
      </c>
      <c r="FN27" s="39">
        <f t="shared" si="122"/>
        <v>0.3833333333333333</v>
      </c>
      <c r="FO27" s="39">
        <f t="shared" si="122"/>
        <v>0.41333333333333333</v>
      </c>
      <c r="FP27" s="39">
        <f t="shared" si="122"/>
        <v>0.47333333333333333</v>
      </c>
      <c r="FQ27" s="39">
        <f t="shared" si="122"/>
        <v>0.45500000000000002</v>
      </c>
      <c r="FR27" s="39">
        <f t="shared" si="122"/>
        <v>0.65</v>
      </c>
      <c r="FS27" s="39">
        <f t="shared" si="122"/>
        <v>0.59499999999999997</v>
      </c>
      <c r="FT27" s="39">
        <f t="shared" si="122"/>
        <v>0.59</v>
      </c>
      <c r="FU27" s="39">
        <f t="shared" si="122"/>
        <v>0.47833333333333333</v>
      </c>
      <c r="FV27" s="39">
        <f t="shared" si="122"/>
        <v>0.69499999999999995</v>
      </c>
      <c r="FW27" s="39">
        <f t="shared" si="122"/>
        <v>0.63833333333333331</v>
      </c>
      <c r="FX27" s="39">
        <f t="shared" si="122"/>
        <v>0.56666666666666676</v>
      </c>
      <c r="FY27" s="39">
        <f t="shared" si="122"/>
        <v>0.44666666666666671</v>
      </c>
      <c r="FZ27" s="39">
        <f t="shared" si="122"/>
        <v>0.46333333333333337</v>
      </c>
      <c r="GA27" s="39">
        <f t="shared" si="122"/>
        <v>0.54666666666666675</v>
      </c>
      <c r="GB27" s="39">
        <f t="shared" si="122"/>
        <v>0.58833333333333337</v>
      </c>
      <c r="GC27" s="39">
        <f t="shared" si="122"/>
        <v>0.53</v>
      </c>
      <c r="GD27" s="39">
        <f t="shared" si="122"/>
        <v>0.64</v>
      </c>
      <c r="GE27" s="39">
        <f t="shared" si="122"/>
        <v>0.61333333333333329</v>
      </c>
      <c r="GF27" s="39">
        <f t="shared" si="122"/>
        <v>0.56999999999999995</v>
      </c>
      <c r="GG27" s="39">
        <f t="shared" si="122"/>
        <v>0.55666666666666675</v>
      </c>
      <c r="GH27" s="39">
        <f t="shared" si="122"/>
        <v>0.64666666666666661</v>
      </c>
      <c r="GI27" s="39">
        <f t="shared" si="122"/>
        <v>0.35166666666666674</v>
      </c>
      <c r="GJ27" s="129">
        <f>AVERAGEIFS(GJ$36:GJ$171,$C$36:$C$171,"=4", $B$36:$B$171,"OFICIAL")</f>
        <v>46.166666666666664</v>
      </c>
      <c r="GL27" s="129">
        <f>AVERAGEIFS(GL$36:GL$171,$C$36:$C$171,"=4", $B$36:$B$171,"OFICIAL")</f>
        <v>8.6666666666666661</v>
      </c>
      <c r="GN27" s="344">
        <f>AVERAGEIFS(GN$36:GN$171,$C$36:$C$171,"=4", $B$36:$B$171,"OFICIAL")</f>
        <v>0.27999999999999997</v>
      </c>
      <c r="GO27" s="344">
        <f t="shared" ref="GO27:HQ27" si="123">AVERAGEIFS(GO$36:GO$171,$C$36:$C$171,"=4", $B$36:$B$171,"OFICIAL")</f>
        <v>0.56999999999999995</v>
      </c>
      <c r="GP27" s="344">
        <f t="shared" si="123"/>
        <v>0.14833333333333334</v>
      </c>
      <c r="GQ27" s="344">
        <f t="shared" si="123"/>
        <v>3.3333333333333335E-3</v>
      </c>
      <c r="GR27" s="344">
        <f t="shared" si="123"/>
        <v>0.55833333333333335</v>
      </c>
      <c r="GS27" s="344">
        <f t="shared" si="123"/>
        <v>0.65333333333333332</v>
      </c>
      <c r="GT27" s="344">
        <f t="shared" si="123"/>
        <v>0.69166666666666654</v>
      </c>
      <c r="GU27" s="344">
        <f t="shared" si="123"/>
        <v>0.33833333333333337</v>
      </c>
      <c r="GV27" s="344">
        <f t="shared" si="123"/>
        <v>0.6066666666666668</v>
      </c>
      <c r="GW27" s="344">
        <f t="shared" si="123"/>
        <v>0.56666666666666676</v>
      </c>
      <c r="GX27" s="344">
        <f t="shared" si="123"/>
        <v>0.55999999999999994</v>
      </c>
      <c r="GY27" s="317" t="s">
        <v>283</v>
      </c>
      <c r="GZ27" s="344">
        <f t="shared" si="123"/>
        <v>0.40666666666666668</v>
      </c>
      <c r="HA27" s="344">
        <f t="shared" si="123"/>
        <v>0.61166666666666669</v>
      </c>
      <c r="HB27" s="344">
        <f t="shared" si="123"/>
        <v>0.55500000000000005</v>
      </c>
      <c r="HC27" s="344">
        <f t="shared" si="123"/>
        <v>0.59</v>
      </c>
      <c r="HD27" s="344">
        <f t="shared" si="123"/>
        <v>0.65</v>
      </c>
      <c r="HE27" s="344">
        <f t="shared" si="123"/>
        <v>0.55166666666666675</v>
      </c>
      <c r="HF27" s="344">
        <f t="shared" si="123"/>
        <v>0.56999999999999995</v>
      </c>
      <c r="HG27" s="344">
        <f t="shared" si="123"/>
        <v>0.69833333333333336</v>
      </c>
      <c r="HH27" s="344">
        <f t="shared" si="123"/>
        <v>0.49499999999999994</v>
      </c>
      <c r="HI27" s="344">
        <f t="shared" si="123"/>
        <v>0.63166666666666671</v>
      </c>
      <c r="HJ27" s="344">
        <f t="shared" si="123"/>
        <v>0.64666666666666672</v>
      </c>
      <c r="HK27" s="344">
        <f t="shared" si="123"/>
        <v>0.58833333333333337</v>
      </c>
      <c r="HL27" s="344">
        <f t="shared" si="123"/>
        <v>0.505</v>
      </c>
      <c r="HM27" s="344">
        <f t="shared" si="123"/>
        <v>0.57166666666666666</v>
      </c>
      <c r="HN27" s="344">
        <f t="shared" si="123"/>
        <v>0.55500000000000005</v>
      </c>
      <c r="HO27" s="344">
        <f t="shared" si="123"/>
        <v>0.52</v>
      </c>
      <c r="HP27" s="317" t="s">
        <v>283</v>
      </c>
      <c r="HQ27" s="344">
        <f t="shared" si="123"/>
        <v>0.49499999999999994</v>
      </c>
      <c r="HR27" s="129">
        <f>AVERAGEIFS(HR$36:HR$171,$C$36:$C$171,"=4", $B$36:$B$171,"OFICIAL")</f>
        <v>46.666666666666664</v>
      </c>
      <c r="HT27" s="129">
        <f>AVERAGEIFS(HT$36:HT$171,$C$36:$C$171,"=4", $B$36:$B$171,"OFICIAL")</f>
        <v>9.1666666666666661</v>
      </c>
      <c r="HV27" s="344">
        <f>AVERAGEIFS(HV$36:HV$171,$C$36:$C$171,"=4", $B$36:$B$171,"OFICIAL")</f>
        <v>0.28833333333333333</v>
      </c>
      <c r="HW27" s="344">
        <f t="shared" ref="HW27:IZ27" si="124">AVERAGEIFS(HW$36:HW$171,$C$36:$C$171,"=4", $B$36:$B$171,"OFICIAL")</f>
        <v>0.54166666666666663</v>
      </c>
      <c r="HX27" s="344">
        <f t="shared" si="124"/>
        <v>0.16333333333333333</v>
      </c>
      <c r="HY27" s="344">
        <f t="shared" si="124"/>
        <v>6.6666666666666671E-3</v>
      </c>
      <c r="HZ27" s="344">
        <f t="shared" si="124"/>
        <v>0.51666666666666672</v>
      </c>
      <c r="IA27" s="344">
        <f t="shared" si="124"/>
        <v>0.6166666666666667</v>
      </c>
      <c r="IB27" s="344">
        <f t="shared" si="124"/>
        <v>0.46499999999999991</v>
      </c>
      <c r="IC27" s="344">
        <f t="shared" si="124"/>
        <v>0.56166666666666665</v>
      </c>
      <c r="ID27" s="344">
        <f t="shared" si="124"/>
        <v>0.63166666666666671</v>
      </c>
      <c r="IE27" s="344">
        <f t="shared" si="124"/>
        <v>0.45833333333333331</v>
      </c>
      <c r="IF27" s="344">
        <f t="shared" si="124"/>
        <v>0.49833333333333329</v>
      </c>
      <c r="IG27" s="344">
        <f t="shared" si="124"/>
        <v>0.61666666666666659</v>
      </c>
      <c r="IH27" s="344">
        <f t="shared" si="124"/>
        <v>0.58666666666666667</v>
      </c>
      <c r="II27" s="344">
        <f t="shared" si="124"/>
        <v>0.45833333333333331</v>
      </c>
      <c r="IJ27" s="344">
        <f t="shared" si="124"/>
        <v>0.38833333333333336</v>
      </c>
      <c r="IK27" s="344">
        <f t="shared" si="124"/>
        <v>0.63833333333333331</v>
      </c>
      <c r="IL27" s="344">
        <f t="shared" si="124"/>
        <v>0.39166666666666661</v>
      </c>
      <c r="IM27" s="344">
        <f t="shared" si="124"/>
        <v>0.64333333333333331</v>
      </c>
      <c r="IN27" s="344">
        <f t="shared" si="124"/>
        <v>0.54499999999999993</v>
      </c>
      <c r="IO27" s="344">
        <f t="shared" si="124"/>
        <v>0.62</v>
      </c>
      <c r="IP27" s="344">
        <f t="shared" si="124"/>
        <v>0.53166666666666673</v>
      </c>
      <c r="IQ27" s="344">
        <f t="shared" si="124"/>
        <v>0.68833333333333313</v>
      </c>
      <c r="IR27" s="344">
        <f t="shared" si="124"/>
        <v>0.60499999999999998</v>
      </c>
      <c r="IS27" s="344">
        <f t="shared" si="124"/>
        <v>0.60333333333333339</v>
      </c>
      <c r="IT27" s="344">
        <f t="shared" si="124"/>
        <v>0.53666666666666674</v>
      </c>
      <c r="IU27" s="317" t="s">
        <v>283</v>
      </c>
      <c r="IV27" s="344">
        <f t="shared" si="124"/>
        <v>0.66500000000000004</v>
      </c>
      <c r="IW27" s="344">
        <f t="shared" si="124"/>
        <v>0.5099999999999999</v>
      </c>
      <c r="IX27" s="344">
        <f t="shared" si="124"/>
        <v>0.56499999999999995</v>
      </c>
      <c r="IY27" s="344">
        <f t="shared" si="124"/>
        <v>0.56500000000000006</v>
      </c>
      <c r="IZ27" s="494">
        <f t="shared" si="124"/>
        <v>47</v>
      </c>
      <c r="JA27" s="499"/>
      <c r="JB27" s="302">
        <f>AVERAGEIFS(JB$36:JB$171,$C$36:$C$171,"=4", $B$36:$B$171,"OFICIAL")</f>
        <v>8.3333333333333339</v>
      </c>
      <c r="JC27" s="499"/>
      <c r="JD27" s="345">
        <f t="shared" ref="JD27:KG27" si="125">AVERAGEIFS(JD$36:JD$171,$C$36:$C$171,"=4", $B$36:$B$171,"OFICIAL")</f>
        <v>0.25833333333333336</v>
      </c>
      <c r="JE27" s="345">
        <f t="shared" si="125"/>
        <v>0.57000000000000017</v>
      </c>
      <c r="JF27" s="345">
        <f t="shared" si="125"/>
        <v>0.17333333333333334</v>
      </c>
      <c r="JG27" s="345">
        <f t="shared" si="125"/>
        <v>0</v>
      </c>
      <c r="JH27" s="345">
        <f t="shared" ref="JH27:KC27" si="126">AVERAGEIFS(JH$36:JH$171,$C$36:$C$171,"=4", $B$36:$B$171,"OFICIAL")</f>
        <v>0.57333333333333336</v>
      </c>
      <c r="JI27" s="345">
        <f t="shared" si="126"/>
        <v>0.52500000000000002</v>
      </c>
      <c r="JJ27" s="345">
        <f t="shared" si="126"/>
        <v>0.52500000000000002</v>
      </c>
      <c r="JK27" s="345">
        <f t="shared" si="126"/>
        <v>0.58166666666666667</v>
      </c>
      <c r="JL27" s="345">
        <f t="shared" si="126"/>
        <v>0.58499999999999996</v>
      </c>
      <c r="JM27" s="345">
        <f t="shared" si="126"/>
        <v>0.56833333333333336</v>
      </c>
      <c r="JN27" s="345">
        <f t="shared" si="126"/>
        <v>0.54999999999999993</v>
      </c>
      <c r="JO27" s="345">
        <f t="shared" si="126"/>
        <v>0.54499999999999993</v>
      </c>
      <c r="JP27" s="345">
        <f t="shared" si="126"/>
        <v>0.62166666666666659</v>
      </c>
      <c r="JQ27" s="345">
        <f t="shared" si="126"/>
        <v>0.33166666666666667</v>
      </c>
      <c r="JR27" s="345">
        <f t="shared" si="126"/>
        <v>0.66833333333333345</v>
      </c>
      <c r="JS27" s="345">
        <f t="shared" si="126"/>
        <v>0.64333333333333331</v>
      </c>
      <c r="JT27" s="345">
        <f t="shared" si="126"/>
        <v>0.51166666666666671</v>
      </c>
      <c r="JU27" s="345">
        <f t="shared" si="126"/>
        <v>0.62333333333333341</v>
      </c>
      <c r="JV27" s="345">
        <f t="shared" si="126"/>
        <v>0.58833333333333337</v>
      </c>
      <c r="JW27" s="345">
        <f t="shared" si="126"/>
        <v>0.52999999999999992</v>
      </c>
      <c r="JX27" s="345">
        <f t="shared" si="126"/>
        <v>0.51833333333333331</v>
      </c>
      <c r="JY27" s="345">
        <f t="shared" si="126"/>
        <v>0.56333333333333335</v>
      </c>
      <c r="JZ27" s="345">
        <f t="shared" si="126"/>
        <v>0.49000000000000005</v>
      </c>
      <c r="KA27" s="345">
        <f t="shared" si="126"/>
        <v>0.56666666666666665</v>
      </c>
      <c r="KB27" s="345">
        <f t="shared" si="126"/>
        <v>0.57166666666666666</v>
      </c>
      <c r="KC27" s="345">
        <f t="shared" si="126"/>
        <v>0.71333333333333326</v>
      </c>
      <c r="KD27" s="345">
        <f t="shared" si="125"/>
        <v>0.44666666666666671</v>
      </c>
      <c r="KE27" s="345">
        <f>AVERAGEIFS(KE$36:KE$171,$C$36:$C$171,"=4", $B$36:$B$171,"OFICIAL")</f>
        <v>0.53333333333333333</v>
      </c>
      <c r="KF27" s="345">
        <f>AVERAGEIFS(KF$36:KF$171,$C$36:$C$171,"=4", $B$36:$B$171,"OFICIAL")</f>
        <v>0.5</v>
      </c>
      <c r="KG27" s="345">
        <f t="shared" si="125"/>
        <v>0.60833333333333328</v>
      </c>
    </row>
    <row r="28" spans="1:293" ht="24.95" customHeight="1" x14ac:dyDescent="0.2">
      <c r="A28" s="6" t="s">
        <v>899</v>
      </c>
      <c r="B28" s="301"/>
      <c r="C28" s="301"/>
      <c r="D28" s="129">
        <f>AVERAGEIFS(D$36:D$171,$C$36:$C$171,"=5", $B$36:$B$171,"OFICIAL")</f>
        <v>54.333333333333336</v>
      </c>
      <c r="E28" s="129">
        <f>AVERAGEIFS(E$36:E$171,$C$36:$C$171,"=5", $B$36:$B$171,"OFICIAL")</f>
        <v>7</v>
      </c>
      <c r="F28" s="39">
        <f>AVERAGEIFS(F$36:F$171,$C$36:$C$171,"=5", $B$36:$B$171,"OFICIAL")</f>
        <v>3.3333333333333333E-2</v>
      </c>
      <c r="G28" s="39">
        <f t="shared" ref="G28:AG28" si="127">AVERAGEIFS(G$36:G$171,$C$36:$C$171,"=5", $B$36:$B$171,"OFICIAL")</f>
        <v>0.53999999999999992</v>
      </c>
      <c r="H28" s="39">
        <f t="shared" si="127"/>
        <v>0.41666666666666669</v>
      </c>
      <c r="I28" s="39">
        <f t="shared" si="127"/>
        <v>6.6666666666666671E-3</v>
      </c>
      <c r="J28" s="39">
        <f t="shared" si="127"/>
        <v>0.33</v>
      </c>
      <c r="K28" s="39">
        <f t="shared" si="127"/>
        <v>0.39666666666666667</v>
      </c>
      <c r="L28" s="39">
        <f t="shared" si="127"/>
        <v>0.69999999999999984</v>
      </c>
      <c r="M28" s="39">
        <f t="shared" si="127"/>
        <v>0.20333333333333334</v>
      </c>
      <c r="N28" s="39">
        <f t="shared" si="127"/>
        <v>0.27</v>
      </c>
      <c r="O28" s="39">
        <f t="shared" si="127"/>
        <v>0.56333333333333335</v>
      </c>
      <c r="P28" s="39">
        <f t="shared" si="127"/>
        <v>0.28666666666666668</v>
      </c>
      <c r="Q28" s="39">
        <f t="shared" si="127"/>
        <v>0.37000000000000005</v>
      </c>
      <c r="R28" s="39">
        <f t="shared" si="127"/>
        <v>0.53</v>
      </c>
      <c r="S28" s="39">
        <f t="shared" si="127"/>
        <v>0.57999999999999996</v>
      </c>
      <c r="T28" s="39">
        <f t="shared" si="127"/>
        <v>0.43</v>
      </c>
      <c r="U28" s="39">
        <f t="shared" si="127"/>
        <v>0.57333333333333336</v>
      </c>
      <c r="V28" s="39">
        <f t="shared" si="127"/>
        <v>3.6666666666666667E-2</v>
      </c>
      <c r="W28" s="39">
        <f t="shared" si="127"/>
        <v>0.10999999999999999</v>
      </c>
      <c r="X28" s="39">
        <f t="shared" si="127"/>
        <v>0.5033333333333333</v>
      </c>
      <c r="Y28" s="39">
        <f t="shared" si="127"/>
        <v>0.5</v>
      </c>
      <c r="Z28" s="39">
        <f t="shared" si="127"/>
        <v>0.58333333333333337</v>
      </c>
      <c r="AA28" s="39">
        <f t="shared" si="127"/>
        <v>0.11</v>
      </c>
      <c r="AB28" s="39">
        <f t="shared" si="127"/>
        <v>0.39666666666666667</v>
      </c>
      <c r="AC28" s="39">
        <f t="shared" si="127"/>
        <v>0.19999999999999998</v>
      </c>
      <c r="AD28" s="39">
        <f t="shared" si="127"/>
        <v>0.42666666666666669</v>
      </c>
      <c r="AE28" s="39">
        <f t="shared" si="127"/>
        <v>0.38666666666666671</v>
      </c>
      <c r="AF28" s="39">
        <f t="shared" si="127"/>
        <v>0.55999999999999994</v>
      </c>
      <c r="AG28" s="39">
        <f t="shared" si="127"/>
        <v>0.5</v>
      </c>
      <c r="AH28" s="129">
        <f>AVERAGEIFS(AH$36:AH$171,$C$36:$C$171,"=5", $B$36:$B$171,"OFICIAL")</f>
        <v>53.333333333333336</v>
      </c>
      <c r="AI28" s="129">
        <f>AVERAGEIFS(AI$36:AI$171,$C$36:$C$171,"=5", $B$36:$B$171,"OFICIAL")</f>
        <v>7.666666666666667</v>
      </c>
      <c r="AJ28" s="39">
        <f>AVERAGEIFS(AJ$36:AJ$171,$C$36:$C$171,"=5", $B$36:$B$171,"OFICIAL")</f>
        <v>7.3333333333333334E-2</v>
      </c>
      <c r="AK28" s="39">
        <f t="shared" ref="AK28:BL28" si="128">AVERAGEIFS(AK$36:AK$171,$C$36:$C$171,"=5", $B$36:$B$171,"OFICIAL")</f>
        <v>0.51999999999999991</v>
      </c>
      <c r="AL28" s="39">
        <f t="shared" si="128"/>
        <v>0.39333333333333337</v>
      </c>
      <c r="AM28" s="39">
        <f t="shared" si="128"/>
        <v>1.3333333333333334E-2</v>
      </c>
      <c r="AN28" s="39">
        <f t="shared" si="128"/>
        <v>0.26999999999999996</v>
      </c>
      <c r="AO28" s="39">
        <f t="shared" si="128"/>
        <v>0.46333333333333332</v>
      </c>
      <c r="AP28" s="39">
        <f t="shared" si="128"/>
        <v>0.56666666666666665</v>
      </c>
      <c r="AQ28" s="39">
        <f t="shared" si="128"/>
        <v>0.35666666666666669</v>
      </c>
      <c r="AR28" s="39">
        <f t="shared" si="128"/>
        <v>0.54333333333333333</v>
      </c>
      <c r="AS28" s="39">
        <f t="shared" si="128"/>
        <v>0.49</v>
      </c>
      <c r="AT28" s="39">
        <f t="shared" si="128"/>
        <v>0.52333333333333332</v>
      </c>
      <c r="AU28" s="39">
        <f t="shared" si="128"/>
        <v>0.5</v>
      </c>
      <c r="AV28" s="39">
        <f t="shared" si="128"/>
        <v>0.59</v>
      </c>
      <c r="AW28" s="39">
        <f t="shared" si="128"/>
        <v>0.49666666666666659</v>
      </c>
      <c r="AX28" s="39">
        <f t="shared" si="128"/>
        <v>0.54</v>
      </c>
      <c r="AY28" s="39">
        <f t="shared" si="128"/>
        <v>0.28333333333333327</v>
      </c>
      <c r="AZ28" s="39">
        <f t="shared" si="128"/>
        <v>0.27333333333333337</v>
      </c>
      <c r="BA28" s="39">
        <f t="shared" si="128"/>
        <v>0.48666666666666664</v>
      </c>
      <c r="BB28" s="39">
        <f t="shared" si="128"/>
        <v>0.66333333333333322</v>
      </c>
      <c r="BC28" s="39">
        <f t="shared" si="128"/>
        <v>0.6433333333333332</v>
      </c>
      <c r="BD28" s="39">
        <f t="shared" si="128"/>
        <v>0.38999999999999996</v>
      </c>
      <c r="BE28" s="39">
        <f t="shared" si="128"/>
        <v>0.51666666666666661</v>
      </c>
      <c r="BF28" s="39">
        <f t="shared" si="128"/>
        <v>0.51333333333333331</v>
      </c>
      <c r="BG28" s="39">
        <f t="shared" si="128"/>
        <v>0.47666666666666663</v>
      </c>
      <c r="BH28" s="39">
        <f t="shared" si="128"/>
        <v>0.40000000000000008</v>
      </c>
      <c r="BI28" s="39">
        <f t="shared" si="128"/>
        <v>0.38333333333333336</v>
      </c>
      <c r="BJ28" s="39">
        <f t="shared" si="128"/>
        <v>0.32666666666666666</v>
      </c>
      <c r="BK28" s="39">
        <f t="shared" si="128"/>
        <v>0.43</v>
      </c>
      <c r="BL28" s="39">
        <f t="shared" si="128"/>
        <v>0.36333333333333334</v>
      </c>
      <c r="BM28" s="129">
        <f>AVERAGEIFS(BM$36:BM$171,$C$36:$C$171,"=5", $B$36:$B$171,"OFICIAL")</f>
        <v>50.666666666666664</v>
      </c>
      <c r="BN28" s="129">
        <f>AVERAGEIFS(BN$36:BN$171,$C$36:$C$171,"=5", $B$36:$B$171,"OFICIAL")</f>
        <v>8.3333333333333339</v>
      </c>
      <c r="BO28" s="39">
        <f>AVERAGEIFS(BO$36:BO$171,$C$36:$C$171,"=5", $B$36:$B$171,"OFICIAL")</f>
        <v>0.11666666666666668</v>
      </c>
      <c r="BP28" s="39">
        <f t="shared" ref="BP28:CR28" si="129">AVERAGEIFS(BP$36:BP$171,$C$36:$C$171,"=5", $B$36:$B$171,"OFICIAL")</f>
        <v>0.60666666666666669</v>
      </c>
      <c r="BQ28" s="39">
        <f t="shared" si="129"/>
        <v>0.27333333333333337</v>
      </c>
      <c r="BR28" s="39">
        <f t="shared" si="129"/>
        <v>1.3333333333333334E-2</v>
      </c>
      <c r="BS28" s="39">
        <f t="shared" si="129"/>
        <v>0.32</v>
      </c>
      <c r="BT28" s="39">
        <f t="shared" si="129"/>
        <v>0.57000000000000006</v>
      </c>
      <c r="BU28" s="39">
        <f t="shared" si="129"/>
        <v>0.66</v>
      </c>
      <c r="BV28" s="39">
        <f t="shared" si="129"/>
        <v>0.28999999999999998</v>
      </c>
      <c r="BW28" s="39">
        <f t="shared" si="129"/>
        <v>0.64333333333333342</v>
      </c>
      <c r="BX28" s="39">
        <f t="shared" si="129"/>
        <v>0.33666666666666667</v>
      </c>
      <c r="BY28" s="39">
        <f t="shared" si="129"/>
        <v>0.44</v>
      </c>
      <c r="BZ28" s="39">
        <f t="shared" si="129"/>
        <v>0.52</v>
      </c>
      <c r="CA28" s="39">
        <f t="shared" si="129"/>
        <v>0.43999999999999995</v>
      </c>
      <c r="CB28" s="39">
        <f t="shared" si="129"/>
        <v>0.36333333333333334</v>
      </c>
      <c r="CC28" s="39">
        <f t="shared" si="129"/>
        <v>0.19666666666666668</v>
      </c>
      <c r="CD28" s="39">
        <f t="shared" si="129"/>
        <v>0.42666666666666669</v>
      </c>
      <c r="CE28" s="39">
        <f t="shared" si="129"/>
        <v>0.34333333333333332</v>
      </c>
      <c r="CF28" s="39">
        <f t="shared" si="129"/>
        <v>0.63666666666666671</v>
      </c>
      <c r="CG28" s="39">
        <f t="shared" si="129"/>
        <v>0.63</v>
      </c>
      <c r="CH28" s="39">
        <f t="shared" si="129"/>
        <v>0.43333333333333329</v>
      </c>
      <c r="CI28" s="39">
        <f t="shared" si="129"/>
        <v>0.55666666666666664</v>
      </c>
      <c r="CJ28" s="39">
        <f t="shared" si="129"/>
        <v>0.32666666666666666</v>
      </c>
      <c r="CK28" s="39">
        <f t="shared" si="129"/>
        <v>0.70666666666666667</v>
      </c>
      <c r="CL28" s="39">
        <f t="shared" si="129"/>
        <v>0.28333333333333338</v>
      </c>
      <c r="CM28" s="39">
        <f t="shared" si="129"/>
        <v>0.41666666666666669</v>
      </c>
      <c r="CN28" s="39">
        <f t="shared" si="129"/>
        <v>0.4466666666666666</v>
      </c>
      <c r="CO28" s="39">
        <f t="shared" si="129"/>
        <v>0.45666666666666672</v>
      </c>
      <c r="CP28" s="39">
        <f t="shared" si="129"/>
        <v>0.37333333333333335</v>
      </c>
      <c r="CQ28" s="39">
        <f t="shared" si="129"/>
        <v>0.55333333333333334</v>
      </c>
      <c r="CR28" s="39">
        <f t="shared" si="129"/>
        <v>0.56999999999999995</v>
      </c>
      <c r="CS28" s="129">
        <f>AVERAGEIFS(CS$36:CS$171,$C$36:$C$171,"=5", $B$36:$B$171,"OFICIAL")</f>
        <v>51.333333333333336</v>
      </c>
      <c r="CT28" s="129">
        <f>AVERAGEIFS(CT$36:CT$171,$C$36:$C$171,"=5", $B$36:$B$171,"OFICIAL")</f>
        <v>8.3333333333333339</v>
      </c>
      <c r="CU28" s="39">
        <f>AVERAGEIFS(CU$36:CU$171,$C$36:$C$171,"=5", $B$36:$B$171,"OFICIAL")</f>
        <v>0.10666666666666669</v>
      </c>
      <c r="CV28" s="39">
        <f t="shared" ref="CV28:DW28" si="130">AVERAGEIFS(CV$36:CV$171,$C$36:$C$171,"=5", $B$36:$B$171,"OFICIAL")</f>
        <v>0.61</v>
      </c>
      <c r="CW28" s="39">
        <f t="shared" si="130"/>
        <v>0.26666666666666666</v>
      </c>
      <c r="CX28" s="39">
        <f t="shared" si="130"/>
        <v>1.6666666666666666E-2</v>
      </c>
      <c r="CY28" s="39">
        <f t="shared" si="130"/>
        <v>0.47</v>
      </c>
      <c r="CZ28" s="39">
        <f t="shared" si="130"/>
        <v>0.27333333333333332</v>
      </c>
      <c r="DA28" s="39">
        <f t="shared" si="130"/>
        <v>0.55333333333333334</v>
      </c>
      <c r="DB28" s="39">
        <f t="shared" si="130"/>
        <v>0.3133333333333333</v>
      </c>
      <c r="DC28" s="39">
        <f t="shared" si="130"/>
        <v>0.42666666666666669</v>
      </c>
      <c r="DD28" s="39">
        <f t="shared" si="130"/>
        <v>0.62666666666666671</v>
      </c>
      <c r="DE28" s="39">
        <f t="shared" si="130"/>
        <v>0.45</v>
      </c>
      <c r="DF28" s="39">
        <f t="shared" si="130"/>
        <v>0.52333333333333332</v>
      </c>
      <c r="DG28" s="39">
        <f t="shared" si="130"/>
        <v>0.43999999999999995</v>
      </c>
      <c r="DH28" s="39">
        <f t="shared" si="130"/>
        <v>0.35000000000000003</v>
      </c>
      <c r="DI28" s="39">
        <f t="shared" si="130"/>
        <v>0.49000000000000005</v>
      </c>
      <c r="DJ28" s="39">
        <f t="shared" si="130"/>
        <v>0.45999999999999996</v>
      </c>
      <c r="DK28" s="39">
        <f t="shared" si="130"/>
        <v>0.35000000000000003</v>
      </c>
      <c r="DL28" s="39">
        <f t="shared" si="130"/>
        <v>0.3133333333333333</v>
      </c>
      <c r="DM28" s="39">
        <f t="shared" si="130"/>
        <v>0.47000000000000003</v>
      </c>
      <c r="DN28" s="39">
        <f t="shared" si="130"/>
        <v>0.48333333333333334</v>
      </c>
      <c r="DO28" s="39">
        <f t="shared" si="130"/>
        <v>0.39999999999999997</v>
      </c>
      <c r="DP28" s="39">
        <f t="shared" si="130"/>
        <v>0.4433333333333333</v>
      </c>
      <c r="DQ28" s="39">
        <f t="shared" si="130"/>
        <v>0.53666666666666663</v>
      </c>
      <c r="DR28" s="39">
        <f t="shared" si="130"/>
        <v>0.19000000000000003</v>
      </c>
      <c r="DS28" s="39">
        <f t="shared" si="130"/>
        <v>0.36000000000000004</v>
      </c>
      <c r="DT28" s="39">
        <f t="shared" si="130"/>
        <v>0.58666666666666667</v>
      </c>
      <c r="DU28" s="39">
        <f t="shared" si="130"/>
        <v>0.49</v>
      </c>
      <c r="DV28" s="39">
        <f t="shared" si="130"/>
        <v>0.56333333333333335</v>
      </c>
      <c r="DW28" s="39">
        <f t="shared" si="130"/>
        <v>0.33</v>
      </c>
      <c r="DX28" s="129">
        <f>AVERAGEIFS(DX$36:DX$171,$C$36:$C$171,"=5", $B$36:$B$171,"OFICIAL")</f>
        <v>51.666666666666664</v>
      </c>
      <c r="DY28" s="129">
        <f>AVERAGEIFS(DY$36:DY$171,$C$36:$C$171,"=5", $B$36:$B$171,"OFICIAL")</f>
        <v>8</v>
      </c>
      <c r="DZ28" s="39">
        <f>AVERAGEIFS(DZ$36:DZ$171,$C$36:$C$171,"=5", $B$36:$B$171,"OFICIAL")</f>
        <v>0.11666666666666668</v>
      </c>
      <c r="EA28" s="39">
        <f t="shared" ref="EA28:FA28" si="131">AVERAGEIFS(EA$36:EA$171,$C$36:$C$171,"=5", $B$36:$B$171,"OFICIAL")</f>
        <v>0.52</v>
      </c>
      <c r="EB28" s="39">
        <f t="shared" si="131"/>
        <v>0.34666666666666668</v>
      </c>
      <c r="EC28" s="39">
        <f t="shared" si="131"/>
        <v>1.6666666666666666E-2</v>
      </c>
      <c r="ED28" s="39">
        <f t="shared" si="131"/>
        <v>0.43333333333333329</v>
      </c>
      <c r="EE28" s="39">
        <f t="shared" si="131"/>
        <v>0.41666666666666669</v>
      </c>
      <c r="EF28" s="39">
        <f t="shared" si="131"/>
        <v>0.49666666666666659</v>
      </c>
      <c r="EG28" s="39">
        <f t="shared" si="131"/>
        <v>0.34666666666666668</v>
      </c>
      <c r="EH28" s="39">
        <f t="shared" si="131"/>
        <v>0.38333333333333336</v>
      </c>
      <c r="EI28" s="39">
        <f t="shared" si="131"/>
        <v>0.48</v>
      </c>
      <c r="EJ28" s="39">
        <f t="shared" si="131"/>
        <v>0.54333333333333333</v>
      </c>
      <c r="EK28" s="39">
        <f t="shared" si="131"/>
        <v>0.24</v>
      </c>
      <c r="EL28" s="39">
        <f t="shared" si="131"/>
        <v>0.39666666666666667</v>
      </c>
      <c r="EM28" s="39">
        <f t="shared" si="131"/>
        <v>0.59666666666666668</v>
      </c>
      <c r="EN28" s="39">
        <f t="shared" si="131"/>
        <v>0.41666666666666669</v>
      </c>
      <c r="EO28" s="39">
        <f t="shared" si="131"/>
        <v>0.55333333333333334</v>
      </c>
      <c r="EP28" s="39">
        <f t="shared" si="131"/>
        <v>0.31</v>
      </c>
      <c r="EQ28" s="39">
        <f t="shared" si="131"/>
        <v>0.19999999999999998</v>
      </c>
      <c r="ER28" s="39">
        <f t="shared" si="131"/>
        <v>0.60666666666666669</v>
      </c>
      <c r="ES28" s="39">
        <f t="shared" si="131"/>
        <v>0.42333333333333334</v>
      </c>
      <c r="ET28" s="39">
        <f t="shared" si="131"/>
        <v>0.28999999999999998</v>
      </c>
      <c r="EU28" s="39">
        <f t="shared" si="131"/>
        <v>0.56666666666666665</v>
      </c>
      <c r="EV28" s="39">
        <f t="shared" si="131"/>
        <v>0.34333333333333332</v>
      </c>
      <c r="EW28" s="39">
        <f t="shared" si="131"/>
        <v>0.27333333333333337</v>
      </c>
      <c r="EX28" s="39">
        <f t="shared" si="131"/>
        <v>0.60666666666666669</v>
      </c>
      <c r="EY28" s="39">
        <f t="shared" si="131"/>
        <v>0.56666666666666665</v>
      </c>
      <c r="EZ28" s="39">
        <f t="shared" si="131"/>
        <v>0.18333333333333335</v>
      </c>
      <c r="FA28" s="39">
        <f t="shared" si="131"/>
        <v>0.56999999999999995</v>
      </c>
      <c r="FB28" s="129">
        <f>AVERAGEIFS(FB$36:FB$171,$C$36:$C$171,"=5", $B$36:$B$171,"OFICIAL")</f>
        <v>50.333333333333336</v>
      </c>
      <c r="FD28" s="129">
        <f>AVERAGEIFS(FD$36:FD$171,$C$36:$C$171,"=5", $B$36:$B$171,"OFICIAL")</f>
        <v>8</v>
      </c>
      <c r="FF28" s="39">
        <f>AVERAGEIFS(FF$36:FF$171,$C$36:$C$171,"=5", $B$36:$B$171,"OFICIAL")</f>
        <v>0.13333333333333333</v>
      </c>
      <c r="FG28" s="39">
        <f t="shared" ref="FG28:GI28" si="132">AVERAGEIFS(FG$36:FG$171,$C$36:$C$171,"=5", $B$36:$B$171,"OFICIAL")</f>
        <v>0.59333333333333338</v>
      </c>
      <c r="FH28" s="39">
        <f t="shared" si="132"/>
        <v>0.28000000000000003</v>
      </c>
      <c r="FI28" s="39">
        <f t="shared" si="132"/>
        <v>0</v>
      </c>
      <c r="FJ28" s="39">
        <f t="shared" si="132"/>
        <v>0.45</v>
      </c>
      <c r="FK28" s="39">
        <f t="shared" si="132"/>
        <v>0.67</v>
      </c>
      <c r="FL28" s="39">
        <f t="shared" si="132"/>
        <v>0.46666666666666662</v>
      </c>
      <c r="FM28" s="39">
        <f t="shared" si="132"/>
        <v>0.40666666666666668</v>
      </c>
      <c r="FN28" s="39">
        <f t="shared" si="132"/>
        <v>0.27666666666666667</v>
      </c>
      <c r="FO28" s="39">
        <f t="shared" si="132"/>
        <v>0.31</v>
      </c>
      <c r="FP28" s="39">
        <f t="shared" si="132"/>
        <v>0.3666666666666667</v>
      </c>
      <c r="FQ28" s="39">
        <f t="shared" si="132"/>
        <v>0.41</v>
      </c>
      <c r="FR28" s="39">
        <f t="shared" si="132"/>
        <v>0.6</v>
      </c>
      <c r="FS28" s="39">
        <f t="shared" si="132"/>
        <v>0.48</v>
      </c>
      <c r="FT28" s="39">
        <f t="shared" si="132"/>
        <v>0.49333333333333335</v>
      </c>
      <c r="FU28" s="39">
        <f t="shared" si="132"/>
        <v>0.36000000000000004</v>
      </c>
      <c r="FV28" s="39">
        <f t="shared" si="132"/>
        <v>0.6</v>
      </c>
      <c r="FW28" s="39">
        <f t="shared" si="132"/>
        <v>0.55666666666666664</v>
      </c>
      <c r="FX28" s="39">
        <f t="shared" si="132"/>
        <v>0.43333333333333335</v>
      </c>
      <c r="FY28" s="39">
        <f t="shared" si="132"/>
        <v>0.33666666666666667</v>
      </c>
      <c r="FZ28" s="39">
        <f t="shared" si="132"/>
        <v>0.41333333333333333</v>
      </c>
      <c r="GA28" s="39">
        <f t="shared" si="132"/>
        <v>0.49</v>
      </c>
      <c r="GB28" s="39">
        <f t="shared" si="132"/>
        <v>0.55333333333333334</v>
      </c>
      <c r="GC28" s="39">
        <f t="shared" si="132"/>
        <v>0.43999999999999995</v>
      </c>
      <c r="GD28" s="39">
        <f t="shared" si="132"/>
        <v>0.58666666666666667</v>
      </c>
      <c r="GE28" s="39">
        <f t="shared" si="132"/>
        <v>0.54999999999999993</v>
      </c>
      <c r="GF28" s="39">
        <f t="shared" si="132"/>
        <v>0.45666666666666672</v>
      </c>
      <c r="GG28" s="39">
        <f t="shared" si="132"/>
        <v>0.4466666666666666</v>
      </c>
      <c r="GH28" s="39">
        <f t="shared" si="132"/>
        <v>0.53666666666666674</v>
      </c>
      <c r="GI28" s="39">
        <f t="shared" si="132"/>
        <v>0.27</v>
      </c>
      <c r="GJ28" s="129">
        <f>AVERAGEIFS(GJ$36:GJ$171,$C$36:$C$171,"=5", $B$36:$B$171,"OFICIAL")</f>
        <v>52.666666666666664</v>
      </c>
      <c r="GL28" s="129">
        <f>AVERAGEIFS(GL$36:GL$171,$C$36:$C$171,"=5", $B$36:$B$171,"OFICIAL")</f>
        <v>8.3333333333333339</v>
      </c>
      <c r="GN28" s="344">
        <f>AVERAGEIFS(GN$36:GN$171,$C$36:$C$171,"=5", $B$36:$B$171,"OFICIAL")</f>
        <v>8.666666666666667E-2</v>
      </c>
      <c r="GO28" s="344">
        <f t="shared" ref="GO28:HQ28" si="133">AVERAGEIFS(GO$36:GO$171,$C$36:$C$171,"=5", $B$36:$B$171,"OFICIAL")</f>
        <v>0.52999999999999992</v>
      </c>
      <c r="GP28" s="344">
        <f t="shared" si="133"/>
        <v>0.35000000000000003</v>
      </c>
      <c r="GQ28" s="344">
        <f t="shared" si="133"/>
        <v>3.3333333333333333E-2</v>
      </c>
      <c r="GR28" s="344">
        <f t="shared" si="133"/>
        <v>0.43999999999999995</v>
      </c>
      <c r="GS28" s="344">
        <f t="shared" si="133"/>
        <v>0.48</v>
      </c>
      <c r="GT28" s="344">
        <f t="shared" si="133"/>
        <v>0.57999999999999996</v>
      </c>
      <c r="GU28" s="344">
        <f t="shared" si="133"/>
        <v>0.22999999999999998</v>
      </c>
      <c r="GV28" s="344">
        <f t="shared" si="133"/>
        <v>0.52</v>
      </c>
      <c r="GW28" s="344">
        <f t="shared" si="133"/>
        <v>0.42666666666666669</v>
      </c>
      <c r="GX28" s="344">
        <f t="shared" si="133"/>
        <v>0.42666666666666669</v>
      </c>
      <c r="GY28" s="317" t="s">
        <v>283</v>
      </c>
      <c r="GZ28" s="344">
        <f t="shared" si="133"/>
        <v>0.28999999999999998</v>
      </c>
      <c r="HA28" s="344">
        <f t="shared" si="133"/>
        <v>0.62666666666666671</v>
      </c>
      <c r="HB28" s="344">
        <f t="shared" si="133"/>
        <v>0.42666666666666669</v>
      </c>
      <c r="HC28" s="344">
        <f t="shared" si="133"/>
        <v>0.49666666666666665</v>
      </c>
      <c r="HD28" s="344">
        <f t="shared" si="133"/>
        <v>0.51666666666666661</v>
      </c>
      <c r="HE28" s="344">
        <f t="shared" si="133"/>
        <v>0.40333333333333332</v>
      </c>
      <c r="HF28" s="344">
        <f t="shared" si="133"/>
        <v>0.43999999999999995</v>
      </c>
      <c r="HG28" s="344">
        <f t="shared" si="133"/>
        <v>0.64666666666666661</v>
      </c>
      <c r="HH28" s="344">
        <f t="shared" si="133"/>
        <v>0.34333333333333332</v>
      </c>
      <c r="HI28" s="344">
        <f t="shared" si="133"/>
        <v>0.49333333333333335</v>
      </c>
      <c r="HJ28" s="344">
        <f t="shared" si="133"/>
        <v>0.56333333333333335</v>
      </c>
      <c r="HK28" s="344">
        <f t="shared" si="133"/>
        <v>0.47666666666666674</v>
      </c>
      <c r="HL28" s="344">
        <f t="shared" si="133"/>
        <v>0.39333333333333337</v>
      </c>
      <c r="HM28" s="344">
        <f t="shared" si="133"/>
        <v>0.45666666666666672</v>
      </c>
      <c r="HN28" s="344">
        <f t="shared" si="133"/>
        <v>0.46666666666666662</v>
      </c>
      <c r="HO28" s="344">
        <f t="shared" si="133"/>
        <v>0.37999999999999995</v>
      </c>
      <c r="HP28" s="317" t="s">
        <v>283</v>
      </c>
      <c r="HQ28" s="344">
        <f t="shared" si="133"/>
        <v>0.35000000000000003</v>
      </c>
      <c r="HR28" s="129">
        <f>AVERAGEIFS(HR$36:HR$171,$C$36:$C$171,"=5", $B$36:$B$171,"OFICIAL")</f>
        <v>52</v>
      </c>
      <c r="HT28" s="129">
        <f>AVERAGEIFS(HT$36:HT$171,$C$36:$C$171,"=5", $B$36:$B$171,"OFICIAL")</f>
        <v>8.3333333333333339</v>
      </c>
      <c r="HV28" s="344">
        <f>AVERAGEIFS(HV$36:HV$171,$C$36:$C$171,"=5", $B$36:$B$171,"OFICIAL")</f>
        <v>0.10333333333333333</v>
      </c>
      <c r="HW28" s="344">
        <f t="shared" ref="HW28:IZ28" si="134">AVERAGEIFS(HW$36:HW$171,$C$36:$C$171,"=5", $B$36:$B$171,"OFICIAL")</f>
        <v>0.53999999999999992</v>
      </c>
      <c r="HX28" s="344">
        <f t="shared" si="134"/>
        <v>0.33666666666666667</v>
      </c>
      <c r="HY28" s="344">
        <f t="shared" si="134"/>
        <v>1.6666666666666666E-2</v>
      </c>
      <c r="HZ28" s="344">
        <f t="shared" si="134"/>
        <v>0.38999999999999996</v>
      </c>
      <c r="IA28" s="344">
        <f t="shared" si="134"/>
        <v>0.51666666666666672</v>
      </c>
      <c r="IB28" s="344">
        <f t="shared" si="134"/>
        <v>0.32</v>
      </c>
      <c r="IC28" s="344">
        <f t="shared" si="134"/>
        <v>0.48</v>
      </c>
      <c r="ID28" s="344">
        <f t="shared" si="134"/>
        <v>0.64</v>
      </c>
      <c r="IE28" s="344">
        <f t="shared" si="134"/>
        <v>0.31666666666666665</v>
      </c>
      <c r="IF28" s="344">
        <f t="shared" si="134"/>
        <v>0.39333333333333331</v>
      </c>
      <c r="IG28" s="344">
        <f t="shared" si="134"/>
        <v>0.53</v>
      </c>
      <c r="IH28" s="344">
        <f t="shared" si="134"/>
        <v>0.51333333333333331</v>
      </c>
      <c r="II28" s="344">
        <f t="shared" si="134"/>
        <v>0.31</v>
      </c>
      <c r="IJ28" s="344">
        <f t="shared" si="134"/>
        <v>0.26</v>
      </c>
      <c r="IK28" s="344">
        <f t="shared" si="134"/>
        <v>0.55999999999999994</v>
      </c>
      <c r="IL28" s="344">
        <f t="shared" si="134"/>
        <v>0.3</v>
      </c>
      <c r="IM28" s="344">
        <f t="shared" si="134"/>
        <v>0.58666666666666678</v>
      </c>
      <c r="IN28" s="344">
        <f t="shared" si="134"/>
        <v>0.46333333333333332</v>
      </c>
      <c r="IO28" s="344">
        <f t="shared" si="134"/>
        <v>0.52</v>
      </c>
      <c r="IP28" s="344">
        <f t="shared" si="134"/>
        <v>0.37666666666666671</v>
      </c>
      <c r="IQ28" s="344">
        <f t="shared" si="134"/>
        <v>0.64</v>
      </c>
      <c r="IR28" s="344">
        <f t="shared" si="134"/>
        <v>0.49333333333333335</v>
      </c>
      <c r="IS28" s="344">
        <f t="shared" si="134"/>
        <v>0.49</v>
      </c>
      <c r="IT28" s="344">
        <f t="shared" si="134"/>
        <v>0.42666666666666658</v>
      </c>
      <c r="IU28" s="317" t="s">
        <v>283</v>
      </c>
      <c r="IV28" s="344">
        <f t="shared" si="134"/>
        <v>0.64333333333333342</v>
      </c>
      <c r="IW28" s="344">
        <f t="shared" si="134"/>
        <v>0.39333333333333331</v>
      </c>
      <c r="IX28" s="344">
        <f t="shared" si="134"/>
        <v>0.47666666666666663</v>
      </c>
      <c r="IY28" s="344">
        <f t="shared" si="134"/>
        <v>0.48666666666666664</v>
      </c>
      <c r="IZ28" s="494">
        <f t="shared" si="134"/>
        <v>52.666666666666664</v>
      </c>
      <c r="JA28" s="499"/>
      <c r="JB28" s="302">
        <f>AVERAGEIFS(JB$36:JB$171,$C$36:$C$171,"=5", $B$36:$B$171,"OFICIAL")</f>
        <v>9</v>
      </c>
      <c r="JC28" s="499"/>
      <c r="JD28" s="345">
        <f t="shared" ref="JD28:KG28" si="135">AVERAGEIFS(JD$36:JD$171,$C$36:$C$171,"=5", $B$36:$B$171,"OFICIAL")</f>
        <v>9.6666666666666665E-2</v>
      </c>
      <c r="JE28" s="345">
        <f t="shared" si="135"/>
        <v>0.49333333333333335</v>
      </c>
      <c r="JF28" s="345">
        <f t="shared" si="135"/>
        <v>0.38666666666666671</v>
      </c>
      <c r="JG28" s="345">
        <f t="shared" si="135"/>
        <v>0.02</v>
      </c>
      <c r="JH28" s="345">
        <f t="shared" ref="JH28:KC28" si="136">AVERAGEIFS(JH$36:JH$171,$C$36:$C$171,"=5", $B$36:$B$171,"OFICIAL")</f>
        <v>0.47</v>
      </c>
      <c r="JI28" s="345">
        <f t="shared" si="136"/>
        <v>0.4366666666666667</v>
      </c>
      <c r="JJ28" s="345">
        <f t="shared" si="136"/>
        <v>0.38666666666666666</v>
      </c>
      <c r="JK28" s="345">
        <f t="shared" si="136"/>
        <v>0.48333333333333334</v>
      </c>
      <c r="JL28" s="345">
        <f t="shared" si="136"/>
        <v>0.48333333333333334</v>
      </c>
      <c r="JM28" s="345">
        <f t="shared" si="136"/>
        <v>0.4366666666666667</v>
      </c>
      <c r="JN28" s="345">
        <f t="shared" si="136"/>
        <v>0.37999999999999995</v>
      </c>
      <c r="JO28" s="345">
        <f t="shared" si="136"/>
        <v>0.43</v>
      </c>
      <c r="JP28" s="345">
        <f t="shared" si="136"/>
        <v>0.52</v>
      </c>
      <c r="JQ28" s="345">
        <f t="shared" si="136"/>
        <v>0.24666666666666667</v>
      </c>
      <c r="JR28" s="345">
        <f t="shared" si="136"/>
        <v>0.55666666666666664</v>
      </c>
      <c r="JS28" s="345">
        <f t="shared" si="136"/>
        <v>0.53333333333333333</v>
      </c>
      <c r="JT28" s="345">
        <f t="shared" si="136"/>
        <v>0.39333333333333331</v>
      </c>
      <c r="JU28" s="345">
        <f t="shared" si="136"/>
        <v>0.51</v>
      </c>
      <c r="JV28" s="345">
        <f t="shared" si="136"/>
        <v>0.45666666666666672</v>
      </c>
      <c r="JW28" s="345">
        <f t="shared" si="136"/>
        <v>0.4366666666666667</v>
      </c>
      <c r="JX28" s="345">
        <f t="shared" si="136"/>
        <v>0.39333333333333331</v>
      </c>
      <c r="JY28" s="345">
        <f t="shared" si="136"/>
        <v>0.46333333333333337</v>
      </c>
      <c r="JZ28" s="345">
        <f t="shared" si="136"/>
        <v>0.44999999999999996</v>
      </c>
      <c r="KA28" s="345">
        <f t="shared" si="136"/>
        <v>0.56333333333333335</v>
      </c>
      <c r="KB28" s="345">
        <f t="shared" si="136"/>
        <v>0.41666666666666669</v>
      </c>
      <c r="KC28" s="345">
        <f t="shared" si="136"/>
        <v>0.65</v>
      </c>
      <c r="KD28" s="345">
        <f t="shared" si="135"/>
        <v>0.32333333333333331</v>
      </c>
      <c r="KE28" s="345">
        <f>AVERAGEIFS(KE$36:KE$171,$C$36:$C$171,"=5", $B$36:$B$171,"OFICIAL")</f>
        <v>0.46666666666666662</v>
      </c>
      <c r="KF28" s="345">
        <f>AVERAGEIFS(KF$36:KF$171,$C$36:$C$171,"=5", $B$36:$B$171,"OFICIAL")</f>
        <v>0.46333333333333332</v>
      </c>
      <c r="KG28" s="345">
        <f t="shared" si="135"/>
        <v>0.49333333333333335</v>
      </c>
    </row>
    <row r="29" spans="1:293" ht="24.95" customHeight="1" x14ac:dyDescent="0.2">
      <c r="A29" s="6" t="s">
        <v>900</v>
      </c>
      <c r="B29" s="301"/>
      <c r="C29" s="301"/>
      <c r="D29" s="129">
        <f>AVERAGEIFS(D$36:D$171,$C$36:$C$171,"=6", $B$36:$B$171,"OFICIAL")</f>
        <v>53</v>
      </c>
      <c r="E29" s="129">
        <f>AVERAGEIFS(E$36:E$171,$C$36:$C$171,"=6", $B$36:$B$171,"OFICIAL")</f>
        <v>7.25</v>
      </c>
      <c r="F29" s="39">
        <f>AVERAGEIFS(F$36:F$171,$C$36:$C$171,"=6", $B$36:$B$171,"OFICIAL")</f>
        <v>4.4999999999999998E-2</v>
      </c>
      <c r="G29" s="39">
        <f t="shared" ref="G29:AG29" si="137">AVERAGEIFS(G$36:G$171,$C$36:$C$171,"=6", $B$36:$B$171,"OFICIAL")</f>
        <v>0.62</v>
      </c>
      <c r="H29" s="39">
        <f t="shared" si="137"/>
        <v>0.33250000000000002</v>
      </c>
      <c r="I29" s="39">
        <f t="shared" si="137"/>
        <v>0</v>
      </c>
      <c r="J29" s="39">
        <f t="shared" si="137"/>
        <v>0.41249999999999998</v>
      </c>
      <c r="K29" s="39">
        <f t="shared" si="137"/>
        <v>0.40749999999999997</v>
      </c>
      <c r="L29" s="39">
        <f t="shared" si="137"/>
        <v>0.72</v>
      </c>
      <c r="M29" s="39">
        <f t="shared" si="137"/>
        <v>0.22749999999999998</v>
      </c>
      <c r="N29" s="39">
        <f t="shared" si="137"/>
        <v>0.32500000000000001</v>
      </c>
      <c r="O29" s="39">
        <f t="shared" si="137"/>
        <v>0.60750000000000004</v>
      </c>
      <c r="P29" s="39">
        <f t="shared" si="137"/>
        <v>0.36749999999999994</v>
      </c>
      <c r="Q29" s="39">
        <f t="shared" si="137"/>
        <v>0.40499999999999997</v>
      </c>
      <c r="R29" s="39">
        <f t="shared" si="137"/>
        <v>0.53500000000000003</v>
      </c>
      <c r="S29" s="39">
        <f t="shared" si="137"/>
        <v>0.59</v>
      </c>
      <c r="T29" s="39">
        <f t="shared" si="137"/>
        <v>0.48</v>
      </c>
      <c r="U29" s="39">
        <f t="shared" si="137"/>
        <v>0.63</v>
      </c>
      <c r="V29" s="39">
        <f t="shared" si="137"/>
        <v>6.5000000000000002E-2</v>
      </c>
      <c r="W29" s="39">
        <f t="shared" si="137"/>
        <v>0.19750000000000001</v>
      </c>
      <c r="X29" s="39">
        <f t="shared" si="137"/>
        <v>0.50750000000000006</v>
      </c>
      <c r="Y29" s="39">
        <f t="shared" si="137"/>
        <v>0.52750000000000008</v>
      </c>
      <c r="Z29" s="39">
        <f t="shared" si="137"/>
        <v>0.75</v>
      </c>
      <c r="AA29" s="39">
        <f t="shared" si="137"/>
        <v>0.1225</v>
      </c>
      <c r="AB29" s="39">
        <f t="shared" si="137"/>
        <v>0.41499999999999998</v>
      </c>
      <c r="AC29" s="39">
        <f t="shared" si="137"/>
        <v>0.27500000000000002</v>
      </c>
      <c r="AD29" s="39">
        <f t="shared" si="137"/>
        <v>0.45750000000000002</v>
      </c>
      <c r="AE29" s="39">
        <f t="shared" si="137"/>
        <v>0.41500000000000004</v>
      </c>
      <c r="AF29" s="39">
        <f t="shared" si="137"/>
        <v>0.55249999999999999</v>
      </c>
      <c r="AG29" s="39">
        <f t="shared" si="137"/>
        <v>0.47749999999999998</v>
      </c>
      <c r="AH29" s="129">
        <f>AVERAGEIFS(AH$36:AH$171,$C$36:$C$171,"=6", $B$36:$B$171,"OFICIAL")</f>
        <v>52</v>
      </c>
      <c r="AI29" s="129">
        <f>AVERAGEIFS(AI$36:AI$171,$C$36:$C$171,"=6", $B$36:$B$171,"OFICIAL")</f>
        <v>7.75</v>
      </c>
      <c r="AJ29" s="39">
        <f>AVERAGEIFS(AJ$36:AJ$171,$C$36:$C$171,"=6", $B$36:$B$171,"OFICIAL")</f>
        <v>9.2499999999999999E-2</v>
      </c>
      <c r="AK29" s="39">
        <f t="shared" ref="AK29:BL29" si="138">AVERAGEIFS(AK$36:AK$171,$C$36:$C$171,"=6", $B$36:$B$171,"OFICIAL")</f>
        <v>0.5625</v>
      </c>
      <c r="AL29" s="39">
        <f t="shared" si="138"/>
        <v>0.34499999999999997</v>
      </c>
      <c r="AM29" s="39">
        <f t="shared" si="138"/>
        <v>2.5000000000000001E-3</v>
      </c>
      <c r="AN29" s="39">
        <f t="shared" si="138"/>
        <v>0.3</v>
      </c>
      <c r="AO29" s="39">
        <f t="shared" si="138"/>
        <v>0.46750000000000003</v>
      </c>
      <c r="AP29" s="39">
        <f t="shared" si="138"/>
        <v>0.6</v>
      </c>
      <c r="AQ29" s="39">
        <f t="shared" si="138"/>
        <v>0.39</v>
      </c>
      <c r="AR29" s="39">
        <f t="shared" si="138"/>
        <v>0.5475000000000001</v>
      </c>
      <c r="AS29" s="39">
        <f t="shared" si="138"/>
        <v>0.5</v>
      </c>
      <c r="AT29" s="39">
        <f t="shared" si="138"/>
        <v>0.51750000000000007</v>
      </c>
      <c r="AU29" s="39">
        <f t="shared" si="138"/>
        <v>0.54499999999999993</v>
      </c>
      <c r="AV29" s="39">
        <f t="shared" si="138"/>
        <v>0.65250000000000008</v>
      </c>
      <c r="AW29" s="39">
        <f t="shared" si="138"/>
        <v>0.47499999999999998</v>
      </c>
      <c r="AX29" s="39">
        <f t="shared" si="138"/>
        <v>0.57750000000000001</v>
      </c>
      <c r="AY29" s="39">
        <f t="shared" si="138"/>
        <v>0.3075</v>
      </c>
      <c r="AZ29" s="39">
        <f t="shared" si="138"/>
        <v>0.31000000000000005</v>
      </c>
      <c r="BA29" s="39">
        <f t="shared" si="138"/>
        <v>0.49</v>
      </c>
      <c r="BB29" s="39">
        <f t="shared" si="138"/>
        <v>0.66500000000000004</v>
      </c>
      <c r="BC29" s="39">
        <f t="shared" si="138"/>
        <v>0.65999999999999992</v>
      </c>
      <c r="BD29" s="39">
        <f t="shared" si="138"/>
        <v>0.39749999999999996</v>
      </c>
      <c r="BE29" s="39">
        <f t="shared" si="138"/>
        <v>0.53500000000000003</v>
      </c>
      <c r="BF29" s="39">
        <f t="shared" si="138"/>
        <v>0.61250000000000004</v>
      </c>
      <c r="BG29" s="39">
        <f t="shared" si="138"/>
        <v>0.51750000000000007</v>
      </c>
      <c r="BH29" s="39">
        <f t="shared" si="138"/>
        <v>0.42749999999999999</v>
      </c>
      <c r="BI29" s="39">
        <f t="shared" si="138"/>
        <v>0.43000000000000005</v>
      </c>
      <c r="BJ29" s="39">
        <f t="shared" si="138"/>
        <v>0.375</v>
      </c>
      <c r="BK29" s="39">
        <f t="shared" si="138"/>
        <v>0.46749999999999997</v>
      </c>
      <c r="BL29" s="39">
        <f t="shared" si="138"/>
        <v>0.45250000000000001</v>
      </c>
      <c r="BM29" s="129">
        <f>AVERAGEIFS(BM$36:BM$171,$C$36:$C$171,"=6", $B$36:$B$171,"OFICIAL")</f>
        <v>50.25</v>
      </c>
      <c r="BN29" s="129">
        <f>AVERAGEIFS(BN$36:BN$171,$C$36:$C$171,"=6", $B$36:$B$171,"OFICIAL")</f>
        <v>8</v>
      </c>
      <c r="BO29" s="39">
        <f>AVERAGEIFS(BO$36:BO$171,$C$36:$C$171,"=6", $B$36:$B$171,"OFICIAL")</f>
        <v>0.115</v>
      </c>
      <c r="BP29" s="39">
        <f t="shared" ref="BP29:CR29" si="139">AVERAGEIFS(BP$36:BP$171,$C$36:$C$171,"=6", $B$36:$B$171,"OFICIAL")</f>
        <v>0.62999999999999989</v>
      </c>
      <c r="BQ29" s="39">
        <f t="shared" si="139"/>
        <v>0.2525</v>
      </c>
      <c r="BR29" s="39">
        <f t="shared" si="139"/>
        <v>2.5000000000000001E-3</v>
      </c>
      <c r="BS29" s="39">
        <f t="shared" si="139"/>
        <v>0.33500000000000002</v>
      </c>
      <c r="BT29" s="39">
        <f t="shared" si="139"/>
        <v>0.62</v>
      </c>
      <c r="BU29" s="39">
        <f t="shared" si="139"/>
        <v>0.65999999999999992</v>
      </c>
      <c r="BV29" s="39">
        <f t="shared" si="139"/>
        <v>0.3775</v>
      </c>
      <c r="BW29" s="39">
        <f t="shared" si="139"/>
        <v>0.64500000000000002</v>
      </c>
      <c r="BX29" s="39">
        <f t="shared" si="139"/>
        <v>0.33999999999999997</v>
      </c>
      <c r="BY29" s="39">
        <f t="shared" si="139"/>
        <v>0.43</v>
      </c>
      <c r="BZ29" s="39">
        <f t="shared" si="139"/>
        <v>0.53</v>
      </c>
      <c r="CA29" s="39">
        <f t="shared" si="139"/>
        <v>0.50249999999999995</v>
      </c>
      <c r="CB29" s="39">
        <f t="shared" si="139"/>
        <v>0.39</v>
      </c>
      <c r="CC29" s="39">
        <f t="shared" si="139"/>
        <v>0.18500000000000003</v>
      </c>
      <c r="CD29" s="39">
        <f t="shared" si="139"/>
        <v>0.43000000000000005</v>
      </c>
      <c r="CE29" s="39">
        <f t="shared" si="139"/>
        <v>0.36</v>
      </c>
      <c r="CF29" s="39">
        <f t="shared" si="139"/>
        <v>0.625</v>
      </c>
      <c r="CG29" s="39">
        <f t="shared" si="139"/>
        <v>0.5675</v>
      </c>
      <c r="CH29" s="39">
        <f t="shared" si="139"/>
        <v>0.45499999999999996</v>
      </c>
      <c r="CI29" s="39">
        <f t="shared" si="139"/>
        <v>0.56000000000000005</v>
      </c>
      <c r="CJ29" s="39">
        <f t="shared" si="139"/>
        <v>0.35499999999999998</v>
      </c>
      <c r="CK29" s="39">
        <f t="shared" si="139"/>
        <v>0.69499999999999995</v>
      </c>
      <c r="CL29" s="39">
        <f t="shared" si="139"/>
        <v>0.315</v>
      </c>
      <c r="CM29" s="39">
        <f t="shared" si="139"/>
        <v>0.48249999999999998</v>
      </c>
      <c r="CN29" s="39">
        <f t="shared" si="139"/>
        <v>0.49</v>
      </c>
      <c r="CO29" s="39">
        <f t="shared" si="139"/>
        <v>0.44749999999999995</v>
      </c>
      <c r="CP29" s="39">
        <f t="shared" si="139"/>
        <v>0.38750000000000007</v>
      </c>
      <c r="CQ29" s="39">
        <f t="shared" si="139"/>
        <v>0.5625</v>
      </c>
      <c r="CR29" s="39">
        <f t="shared" si="139"/>
        <v>0.58499999999999996</v>
      </c>
      <c r="CS29" s="129">
        <f>AVERAGEIFS(CS$36:CS$171,$C$36:$C$171,"=6", $B$36:$B$171,"OFICIAL")</f>
        <v>48.25</v>
      </c>
      <c r="CT29" s="129">
        <f>AVERAGEIFS(CT$36:CT$171,$C$36:$C$171,"=6", $B$36:$B$171,"OFICIAL")</f>
        <v>8</v>
      </c>
      <c r="CU29" s="39">
        <f>AVERAGEIFS(CU$36:CU$171,$C$36:$C$171,"=6", $B$36:$B$171,"OFICIAL")</f>
        <v>0.14250000000000002</v>
      </c>
      <c r="CV29" s="39">
        <f t="shared" ref="CV29:DW29" si="140">AVERAGEIFS(CV$36:CV$171,$C$36:$C$171,"=6", $B$36:$B$171,"OFICIAL")</f>
        <v>0.67249999999999999</v>
      </c>
      <c r="CW29" s="39">
        <f t="shared" si="140"/>
        <v>0.185</v>
      </c>
      <c r="CX29" s="39">
        <f t="shared" si="140"/>
        <v>5.0000000000000001E-3</v>
      </c>
      <c r="CY29" s="39">
        <f t="shared" si="140"/>
        <v>0.48</v>
      </c>
      <c r="CZ29" s="39">
        <f t="shared" si="140"/>
        <v>0.29749999999999999</v>
      </c>
      <c r="DA29" s="39">
        <f t="shared" si="140"/>
        <v>0.59</v>
      </c>
      <c r="DB29" s="39">
        <f t="shared" si="140"/>
        <v>0.38499999999999995</v>
      </c>
      <c r="DC29" s="39">
        <f t="shared" si="140"/>
        <v>0.46749999999999997</v>
      </c>
      <c r="DD29" s="39">
        <f t="shared" si="140"/>
        <v>0.625</v>
      </c>
      <c r="DE29" s="39">
        <f t="shared" si="140"/>
        <v>0.51500000000000001</v>
      </c>
      <c r="DF29" s="39">
        <f t="shared" si="140"/>
        <v>0.53500000000000003</v>
      </c>
      <c r="DG29" s="39">
        <f t="shared" si="140"/>
        <v>0.45249999999999996</v>
      </c>
      <c r="DH29" s="39">
        <f t="shared" si="140"/>
        <v>0.39249999999999996</v>
      </c>
      <c r="DI29" s="39">
        <f t="shared" si="140"/>
        <v>0.53749999999999998</v>
      </c>
      <c r="DJ29" s="39">
        <f t="shared" si="140"/>
        <v>0.5475000000000001</v>
      </c>
      <c r="DK29" s="39">
        <f t="shared" si="140"/>
        <v>0.39249999999999996</v>
      </c>
      <c r="DL29" s="39">
        <f t="shared" si="140"/>
        <v>0.44499999999999995</v>
      </c>
      <c r="DM29" s="39">
        <f t="shared" si="140"/>
        <v>0.54</v>
      </c>
      <c r="DN29" s="39">
        <f t="shared" si="140"/>
        <v>0.50249999999999995</v>
      </c>
      <c r="DO29" s="39">
        <f t="shared" si="140"/>
        <v>0.48</v>
      </c>
      <c r="DP29" s="39">
        <f t="shared" si="140"/>
        <v>0.48249999999999998</v>
      </c>
      <c r="DQ29" s="39">
        <f t="shared" si="140"/>
        <v>0.61499999999999999</v>
      </c>
      <c r="DR29" s="39">
        <f t="shared" si="140"/>
        <v>0.22500000000000001</v>
      </c>
      <c r="DS29" s="39">
        <f t="shared" si="140"/>
        <v>0.39750000000000008</v>
      </c>
      <c r="DT29" s="39">
        <f t="shared" si="140"/>
        <v>0.58499999999999996</v>
      </c>
      <c r="DU29" s="39">
        <f t="shared" si="140"/>
        <v>0.61499999999999999</v>
      </c>
      <c r="DV29" s="39">
        <f t="shared" si="140"/>
        <v>0.59750000000000003</v>
      </c>
      <c r="DW29" s="39">
        <f t="shared" si="140"/>
        <v>0.36</v>
      </c>
      <c r="DX29" s="129">
        <f>AVERAGEIFS(DX$36:DX$171,$C$36:$C$171,"=6", $B$36:$B$171,"OFICIAL")</f>
        <v>48.5</v>
      </c>
      <c r="DY29" s="129">
        <f>AVERAGEIFS(DY$36:DY$171,$C$36:$C$171,"=6", $B$36:$B$171,"OFICIAL")</f>
        <v>8.5</v>
      </c>
      <c r="DZ29" s="39">
        <f>AVERAGEIFS(DZ$36:DZ$171,$C$36:$C$171,"=6", $B$36:$B$171,"OFICIAL")</f>
        <v>0.20499999999999999</v>
      </c>
      <c r="EA29" s="39">
        <f t="shared" ref="EA29:FA29" si="141">AVERAGEIFS(EA$36:EA$171,$C$36:$C$171,"=6", $B$36:$B$171,"OFICIAL")</f>
        <v>0.59499999999999997</v>
      </c>
      <c r="EB29" s="39">
        <f t="shared" si="141"/>
        <v>0.19500000000000001</v>
      </c>
      <c r="EC29" s="39">
        <f t="shared" si="141"/>
        <v>5.0000000000000001E-3</v>
      </c>
      <c r="ED29" s="39">
        <f t="shared" si="141"/>
        <v>0.4975</v>
      </c>
      <c r="EE29" s="39">
        <f t="shared" si="141"/>
        <v>0.51500000000000001</v>
      </c>
      <c r="EF29" s="39">
        <f t="shared" si="141"/>
        <v>0.5575</v>
      </c>
      <c r="EG29" s="39">
        <f t="shared" si="141"/>
        <v>0.36499999999999999</v>
      </c>
      <c r="EH29" s="39">
        <f t="shared" si="141"/>
        <v>0.47749999999999998</v>
      </c>
      <c r="EI29" s="39">
        <f t="shared" si="141"/>
        <v>0.54</v>
      </c>
      <c r="EJ29" s="39">
        <f t="shared" si="141"/>
        <v>0.62</v>
      </c>
      <c r="EK29" s="39">
        <f t="shared" si="141"/>
        <v>0.29499999999999998</v>
      </c>
      <c r="EL29" s="39">
        <f t="shared" si="141"/>
        <v>0.48249999999999998</v>
      </c>
      <c r="EM29" s="39">
        <f t="shared" si="141"/>
        <v>0.64250000000000007</v>
      </c>
      <c r="EN29" s="39">
        <f t="shared" si="141"/>
        <v>0.5</v>
      </c>
      <c r="EO29" s="39">
        <f t="shared" si="141"/>
        <v>0.57499999999999996</v>
      </c>
      <c r="EP29" s="39">
        <f t="shared" si="141"/>
        <v>0.4</v>
      </c>
      <c r="EQ29" s="39">
        <f t="shared" si="141"/>
        <v>0.33750000000000002</v>
      </c>
      <c r="ER29" s="39">
        <f t="shared" si="141"/>
        <v>0.6100000000000001</v>
      </c>
      <c r="ES29" s="39">
        <f t="shared" si="141"/>
        <v>0.51500000000000001</v>
      </c>
      <c r="ET29" s="39">
        <f t="shared" si="141"/>
        <v>0.33750000000000002</v>
      </c>
      <c r="EU29" s="39">
        <f t="shared" si="141"/>
        <v>0.58250000000000002</v>
      </c>
      <c r="EV29" s="39">
        <f t="shared" si="141"/>
        <v>0.42500000000000004</v>
      </c>
      <c r="EW29" s="39">
        <f t="shared" si="141"/>
        <v>0.36749999999999994</v>
      </c>
      <c r="EX29" s="39">
        <f t="shared" si="141"/>
        <v>0.68250000000000011</v>
      </c>
      <c r="EY29" s="39">
        <f t="shared" si="141"/>
        <v>0.60499999999999998</v>
      </c>
      <c r="EZ29" s="39">
        <f t="shared" si="141"/>
        <v>0.23749999999999999</v>
      </c>
      <c r="FA29" s="39">
        <f t="shared" si="141"/>
        <v>0.63</v>
      </c>
      <c r="FB29" s="129">
        <f>AVERAGEIFS(FB$36:FB$171,$C$36:$C$171,"=6", $B$36:$B$171,"OFICIAL")</f>
        <v>47.75</v>
      </c>
      <c r="FD29" s="129">
        <f>AVERAGEIFS(FD$36:FD$171,$C$36:$C$171,"=6", $B$36:$B$171,"OFICIAL")</f>
        <v>7.5</v>
      </c>
      <c r="FF29" s="39">
        <f>AVERAGEIFS(FF$36:FF$171,$C$36:$C$171,"=6", $B$36:$B$171,"OFICIAL")</f>
        <v>0.17250000000000001</v>
      </c>
      <c r="FG29" s="39">
        <f t="shared" ref="FG29:GI29" si="142">AVERAGEIFS(FG$36:FG$171,$C$36:$C$171,"=6", $B$36:$B$171,"OFICIAL")</f>
        <v>0.68249999999999988</v>
      </c>
      <c r="FH29" s="39">
        <f t="shared" si="142"/>
        <v>0.14500000000000002</v>
      </c>
      <c r="FI29" s="39">
        <f t="shared" si="142"/>
        <v>2.5000000000000001E-3</v>
      </c>
      <c r="FJ29" s="39">
        <f t="shared" si="142"/>
        <v>0.54</v>
      </c>
      <c r="FK29" s="39">
        <f t="shared" si="142"/>
        <v>0.67749999999999999</v>
      </c>
      <c r="FL29" s="39">
        <f t="shared" si="142"/>
        <v>0.52249999999999996</v>
      </c>
      <c r="FM29" s="39">
        <f t="shared" si="142"/>
        <v>0.48249999999999998</v>
      </c>
      <c r="FN29" s="39">
        <f t="shared" si="142"/>
        <v>0.34250000000000003</v>
      </c>
      <c r="FO29" s="39">
        <f t="shared" si="142"/>
        <v>0.35750000000000004</v>
      </c>
      <c r="FP29" s="39">
        <f t="shared" si="142"/>
        <v>0.42749999999999999</v>
      </c>
      <c r="FQ29" s="39">
        <f t="shared" si="142"/>
        <v>0.42249999999999999</v>
      </c>
      <c r="FR29" s="39">
        <f t="shared" si="142"/>
        <v>0.61</v>
      </c>
      <c r="FS29" s="39">
        <f t="shared" si="142"/>
        <v>0.54</v>
      </c>
      <c r="FT29" s="39">
        <f t="shared" si="142"/>
        <v>0.54249999999999998</v>
      </c>
      <c r="FU29" s="39">
        <f t="shared" si="142"/>
        <v>0.42249999999999999</v>
      </c>
      <c r="FV29" s="39">
        <f t="shared" si="142"/>
        <v>0.65749999999999997</v>
      </c>
      <c r="FW29" s="39">
        <f t="shared" si="142"/>
        <v>0.59750000000000003</v>
      </c>
      <c r="FX29" s="39">
        <f t="shared" si="142"/>
        <v>0.53500000000000003</v>
      </c>
      <c r="FY29" s="39">
        <f t="shared" si="142"/>
        <v>0.42</v>
      </c>
      <c r="FZ29" s="39">
        <f t="shared" si="142"/>
        <v>0.47000000000000003</v>
      </c>
      <c r="GA29" s="39">
        <f t="shared" si="142"/>
        <v>0.55249999999999999</v>
      </c>
      <c r="GB29" s="39">
        <f t="shared" si="142"/>
        <v>0.58499999999999996</v>
      </c>
      <c r="GC29" s="39">
        <f t="shared" si="142"/>
        <v>0.495</v>
      </c>
      <c r="GD29" s="39">
        <f t="shared" si="142"/>
        <v>0.64749999999999996</v>
      </c>
      <c r="GE29" s="39">
        <f t="shared" si="142"/>
        <v>0.60499999999999998</v>
      </c>
      <c r="GF29" s="39">
        <f t="shared" si="142"/>
        <v>0.48499999999999999</v>
      </c>
      <c r="GG29" s="39">
        <f t="shared" si="142"/>
        <v>0.50249999999999995</v>
      </c>
      <c r="GH29" s="39">
        <f t="shared" si="142"/>
        <v>0.62249999999999994</v>
      </c>
      <c r="GI29" s="39">
        <f t="shared" si="142"/>
        <v>0.33</v>
      </c>
      <c r="GJ29" s="129">
        <f>AVERAGEIFS(GJ$36:GJ$171,$C$36:$C$171,"=6", $B$36:$B$171,"OFICIAL")</f>
        <v>48.5</v>
      </c>
      <c r="GL29" s="129">
        <f>AVERAGEIFS(GL$36:GL$171,$C$36:$C$171,"=6", $B$36:$B$171,"OFICIAL")</f>
        <v>8.5</v>
      </c>
      <c r="GN29" s="344">
        <f>AVERAGEIFS(GN$36:GN$171,$C$36:$C$171,"=6", $B$36:$B$171,"OFICIAL")</f>
        <v>0.1875</v>
      </c>
      <c r="GO29" s="344">
        <f t="shared" ref="GO29:HQ29" si="143">AVERAGEIFS(GO$36:GO$171,$C$36:$C$171,"=6", $B$36:$B$171,"OFICIAL")</f>
        <v>0.6</v>
      </c>
      <c r="GP29" s="344">
        <f t="shared" si="143"/>
        <v>0.21</v>
      </c>
      <c r="GQ29" s="344">
        <f t="shared" si="143"/>
        <v>2.5000000000000001E-3</v>
      </c>
      <c r="GR29" s="344">
        <f t="shared" si="143"/>
        <v>0.52749999999999997</v>
      </c>
      <c r="GS29" s="344">
        <f t="shared" si="143"/>
        <v>0.57000000000000006</v>
      </c>
      <c r="GT29" s="344">
        <f t="shared" si="143"/>
        <v>0.66999999999999993</v>
      </c>
      <c r="GU29" s="344">
        <f t="shared" si="143"/>
        <v>0.28249999999999997</v>
      </c>
      <c r="GV29" s="344">
        <f t="shared" si="143"/>
        <v>0.60750000000000004</v>
      </c>
      <c r="GW29" s="344">
        <f t="shared" si="143"/>
        <v>0.55000000000000004</v>
      </c>
      <c r="GX29" s="344">
        <f t="shared" si="143"/>
        <v>0.53</v>
      </c>
      <c r="GY29" s="317" t="s">
        <v>283</v>
      </c>
      <c r="GZ29" s="344">
        <f t="shared" si="143"/>
        <v>0.38250000000000006</v>
      </c>
      <c r="HA29" s="344">
        <f t="shared" si="143"/>
        <v>0.61</v>
      </c>
      <c r="HB29" s="344">
        <f t="shared" si="143"/>
        <v>0.52</v>
      </c>
      <c r="HC29" s="344">
        <f t="shared" si="143"/>
        <v>0.57499999999999996</v>
      </c>
      <c r="HD29" s="344">
        <f t="shared" si="143"/>
        <v>0.61249999999999993</v>
      </c>
      <c r="HE29" s="344">
        <f t="shared" si="143"/>
        <v>0.51500000000000001</v>
      </c>
      <c r="HF29" s="344">
        <f t="shared" si="143"/>
        <v>0.52500000000000002</v>
      </c>
      <c r="HG29" s="344">
        <f t="shared" si="143"/>
        <v>0.68499999999999994</v>
      </c>
      <c r="HH29" s="344">
        <f t="shared" si="143"/>
        <v>0.43</v>
      </c>
      <c r="HI29" s="344">
        <f t="shared" si="143"/>
        <v>0.58250000000000002</v>
      </c>
      <c r="HJ29" s="344">
        <f t="shared" si="143"/>
        <v>0.60499999999999998</v>
      </c>
      <c r="HK29" s="344">
        <f t="shared" si="143"/>
        <v>0.5575</v>
      </c>
      <c r="HL29" s="344">
        <f t="shared" si="143"/>
        <v>0.46249999999999997</v>
      </c>
      <c r="HM29" s="344">
        <f t="shared" si="143"/>
        <v>0.4975</v>
      </c>
      <c r="HN29" s="344">
        <f t="shared" si="143"/>
        <v>0.51</v>
      </c>
      <c r="HO29" s="344">
        <f t="shared" si="143"/>
        <v>0.44</v>
      </c>
      <c r="HP29" s="317" t="s">
        <v>283</v>
      </c>
      <c r="HQ29" s="344">
        <f t="shared" si="143"/>
        <v>0.45750000000000002</v>
      </c>
      <c r="HR29" s="129">
        <f>AVERAGEIFS(HR$36:HR$171,$C$36:$C$171,"=6", $B$36:$B$171,"OFICIAL")</f>
        <v>49</v>
      </c>
      <c r="HT29" s="129">
        <f>AVERAGEIFS(HT$36:HT$171,$C$36:$C$171,"=6", $B$36:$B$171,"OFICIAL")</f>
        <v>8.5</v>
      </c>
      <c r="HV29" s="344">
        <f>AVERAGEIFS(HV$36:HV$171,$C$36:$C$171,"=6", $B$36:$B$171,"OFICIAL")</f>
        <v>0.17250000000000001</v>
      </c>
      <c r="HW29" s="344">
        <f t="shared" ref="HW29:IZ29" si="144">AVERAGEIFS(HW$36:HW$171,$C$36:$C$171,"=6", $B$36:$B$171,"OFICIAL")</f>
        <v>0.59499999999999997</v>
      </c>
      <c r="HX29" s="344">
        <f t="shared" si="144"/>
        <v>0.2225</v>
      </c>
      <c r="HY29" s="344">
        <f t="shared" si="144"/>
        <v>7.4999999999999997E-3</v>
      </c>
      <c r="HZ29" s="344">
        <f t="shared" si="144"/>
        <v>0.45</v>
      </c>
      <c r="IA29" s="344">
        <f t="shared" si="144"/>
        <v>0.56000000000000005</v>
      </c>
      <c r="IB29" s="344">
        <f t="shared" si="144"/>
        <v>0.41749999999999998</v>
      </c>
      <c r="IC29" s="344">
        <f t="shared" si="144"/>
        <v>0.51750000000000007</v>
      </c>
      <c r="ID29" s="344">
        <f t="shared" si="144"/>
        <v>0.66</v>
      </c>
      <c r="IE29" s="344">
        <f t="shared" si="144"/>
        <v>0.38250000000000001</v>
      </c>
      <c r="IF29" s="344">
        <f t="shared" si="144"/>
        <v>0.44</v>
      </c>
      <c r="IG29" s="344">
        <f t="shared" si="144"/>
        <v>0.58250000000000002</v>
      </c>
      <c r="IH29" s="344">
        <f t="shared" si="144"/>
        <v>0.55750000000000011</v>
      </c>
      <c r="II29" s="344">
        <f t="shared" si="144"/>
        <v>0.39250000000000002</v>
      </c>
      <c r="IJ29" s="344">
        <f t="shared" si="144"/>
        <v>0.33750000000000002</v>
      </c>
      <c r="IK29" s="344">
        <f t="shared" si="144"/>
        <v>0.64249999999999996</v>
      </c>
      <c r="IL29" s="344">
        <f t="shared" si="144"/>
        <v>0.38500000000000001</v>
      </c>
      <c r="IM29" s="344">
        <f t="shared" si="144"/>
        <v>0.59</v>
      </c>
      <c r="IN29" s="344">
        <f t="shared" si="144"/>
        <v>0.46249999999999997</v>
      </c>
      <c r="IO29" s="344">
        <f t="shared" si="144"/>
        <v>0.57750000000000001</v>
      </c>
      <c r="IP29" s="344">
        <f t="shared" si="144"/>
        <v>0.4325</v>
      </c>
      <c r="IQ29" s="344">
        <f t="shared" si="144"/>
        <v>0.6825</v>
      </c>
      <c r="IR29" s="344">
        <f t="shared" si="144"/>
        <v>0.60499999999999998</v>
      </c>
      <c r="IS29" s="344">
        <f t="shared" si="144"/>
        <v>0.57250000000000001</v>
      </c>
      <c r="IT29" s="344">
        <f t="shared" si="144"/>
        <v>0.48249999999999998</v>
      </c>
      <c r="IU29" s="317" t="s">
        <v>283</v>
      </c>
      <c r="IV29" s="344">
        <f t="shared" si="144"/>
        <v>0.66500000000000004</v>
      </c>
      <c r="IW29" s="344">
        <f t="shared" si="144"/>
        <v>0.44999999999999996</v>
      </c>
      <c r="IX29" s="344">
        <f t="shared" si="144"/>
        <v>0.56000000000000005</v>
      </c>
      <c r="IY29" s="344">
        <f t="shared" si="144"/>
        <v>0.57999999999999996</v>
      </c>
      <c r="IZ29" s="494">
        <f t="shared" si="144"/>
        <v>49.5</v>
      </c>
      <c r="JA29" s="499"/>
      <c r="JB29" s="302">
        <f>AVERAGEIFS(JB$36:JB$171,$C$36:$C$171,"=6", $B$36:$B$171,"OFICIAL")</f>
        <v>8.75</v>
      </c>
      <c r="JC29" s="499"/>
      <c r="JD29" s="345">
        <f t="shared" ref="JD29:KG29" si="145">AVERAGEIFS(JD$36:JD$171,$C$36:$C$171,"=6", $B$36:$B$171,"OFICIAL")</f>
        <v>0.16500000000000001</v>
      </c>
      <c r="JE29" s="345">
        <f t="shared" si="145"/>
        <v>0.58499999999999996</v>
      </c>
      <c r="JF29" s="345">
        <f t="shared" si="145"/>
        <v>0.245</v>
      </c>
      <c r="JG29" s="345">
        <f t="shared" si="145"/>
        <v>7.4999999999999997E-3</v>
      </c>
      <c r="JH29" s="345">
        <f t="shared" ref="JH29:KC29" si="146">AVERAGEIFS(JH$36:JH$171,$C$36:$C$171,"=6", $B$36:$B$171,"OFICIAL")</f>
        <v>0.51500000000000001</v>
      </c>
      <c r="JI29" s="345">
        <f t="shared" si="146"/>
        <v>0.49</v>
      </c>
      <c r="JJ29" s="345">
        <f t="shared" si="146"/>
        <v>0.48250000000000004</v>
      </c>
      <c r="JK29" s="345">
        <f t="shared" si="146"/>
        <v>0.50750000000000006</v>
      </c>
      <c r="JL29" s="345">
        <f t="shared" si="146"/>
        <v>0.51250000000000007</v>
      </c>
      <c r="JM29" s="345">
        <f t="shared" si="146"/>
        <v>0.52249999999999996</v>
      </c>
      <c r="JN29" s="345">
        <f t="shared" si="146"/>
        <v>0.45749999999999996</v>
      </c>
      <c r="JO29" s="345">
        <f t="shared" si="146"/>
        <v>0.5</v>
      </c>
      <c r="JP29" s="345">
        <f t="shared" si="146"/>
        <v>0.58250000000000002</v>
      </c>
      <c r="JQ29" s="345">
        <f t="shared" si="146"/>
        <v>0.33250000000000002</v>
      </c>
      <c r="JR29" s="345">
        <f t="shared" si="146"/>
        <v>0.625</v>
      </c>
      <c r="JS29" s="345">
        <f t="shared" si="146"/>
        <v>0.5575</v>
      </c>
      <c r="JT29" s="345">
        <f t="shared" si="146"/>
        <v>0.495</v>
      </c>
      <c r="JU29" s="345">
        <f t="shared" si="146"/>
        <v>0.54500000000000004</v>
      </c>
      <c r="JV29" s="345">
        <f t="shared" si="146"/>
        <v>0.52750000000000008</v>
      </c>
      <c r="JW29" s="345">
        <f t="shared" si="146"/>
        <v>0.50750000000000006</v>
      </c>
      <c r="JX29" s="345">
        <f t="shared" si="146"/>
        <v>0.47249999999999998</v>
      </c>
      <c r="JY29" s="345">
        <f t="shared" si="146"/>
        <v>0.52</v>
      </c>
      <c r="JZ29" s="345">
        <f t="shared" si="146"/>
        <v>0.4975</v>
      </c>
      <c r="KA29" s="345">
        <f t="shared" si="146"/>
        <v>0.64999999999999991</v>
      </c>
      <c r="KB29" s="345">
        <f t="shared" si="146"/>
        <v>0.49999999999999994</v>
      </c>
      <c r="KC29" s="345">
        <f t="shared" si="146"/>
        <v>0.6925</v>
      </c>
      <c r="KD29" s="345">
        <f t="shared" si="145"/>
        <v>0.375</v>
      </c>
      <c r="KE29" s="345">
        <f>AVERAGEIFS(KE$36:KE$171,$C$36:$C$171,"=6", $B$36:$B$171,"OFICIAL")</f>
        <v>0.52</v>
      </c>
      <c r="KF29" s="345">
        <f>AVERAGEIFS(KF$36:KF$171,$C$36:$C$171,"=6", $B$36:$B$171,"OFICIAL")</f>
        <v>0.46499999999999997</v>
      </c>
      <c r="KG29" s="345">
        <f t="shared" si="145"/>
        <v>0.56000000000000005</v>
      </c>
    </row>
    <row r="30" spans="1:293" ht="24.95" customHeight="1" x14ac:dyDescent="0.2">
      <c r="A30" s="6" t="s">
        <v>901</v>
      </c>
      <c r="B30" s="301"/>
      <c r="C30" s="301"/>
      <c r="D30" s="129">
        <f>AVERAGEIFS(D$36:D$171,$C$36:$C$171,"=1", $B$36:$B$171,"NO OFICIAL")</f>
        <v>52.92307692307692</v>
      </c>
      <c r="E30" s="129">
        <f>AVERAGEIFS(E$36:E$171,$C$36:$C$171,"=1", $B$36:$B$171,"NO OFICIAL")</f>
        <v>6.615384615384615</v>
      </c>
      <c r="F30" s="39">
        <f>AVERAGEIFS(F$36:F$171,$C$36:$C$171,"=1", $B$36:$B$171,"NO OFICIAL")</f>
        <v>5.3076923076923091E-2</v>
      </c>
      <c r="G30" s="39">
        <f t="shared" ref="G30:AG30" si="147">AVERAGEIFS(G$36:G$171,$C$36:$C$171,"=1", $B$36:$B$171,"NO OFICIAL")</f>
        <v>0.60461538461538455</v>
      </c>
      <c r="H30" s="39">
        <f t="shared" si="147"/>
        <v>0.33999999999999997</v>
      </c>
      <c r="I30" s="39">
        <f t="shared" si="147"/>
        <v>3.0769230769230769E-3</v>
      </c>
      <c r="J30" s="39">
        <f t="shared" si="147"/>
        <v>0.41769230769230775</v>
      </c>
      <c r="K30" s="39">
        <f t="shared" si="147"/>
        <v>0.37538461538461543</v>
      </c>
      <c r="L30" s="39">
        <f t="shared" si="147"/>
        <v>0.74384615384615371</v>
      </c>
      <c r="M30" s="39">
        <f t="shared" si="147"/>
        <v>0.23692307692307693</v>
      </c>
      <c r="N30" s="39">
        <f t="shared" si="147"/>
        <v>0.29307692307692307</v>
      </c>
      <c r="O30" s="39">
        <f t="shared" si="147"/>
        <v>0.68153846153846154</v>
      </c>
      <c r="P30" s="39">
        <f t="shared" si="147"/>
        <v>0.36384615384615382</v>
      </c>
      <c r="Q30" s="39">
        <f t="shared" si="147"/>
        <v>0.41615384615384615</v>
      </c>
      <c r="R30" s="39">
        <f t="shared" si="147"/>
        <v>0.54999999999999993</v>
      </c>
      <c r="S30" s="39">
        <f t="shared" si="147"/>
        <v>0.64538461538461533</v>
      </c>
      <c r="T30" s="39">
        <f t="shared" si="147"/>
        <v>0.45769230769230762</v>
      </c>
      <c r="U30" s="39">
        <f t="shared" si="147"/>
        <v>0.64615384615384608</v>
      </c>
      <c r="V30" s="39">
        <f t="shared" si="147"/>
        <v>7.2307692307692309E-2</v>
      </c>
      <c r="W30" s="39">
        <f t="shared" si="147"/>
        <v>0.14692307692307691</v>
      </c>
      <c r="X30" s="39">
        <f t="shared" si="147"/>
        <v>0.50076923076923086</v>
      </c>
      <c r="Y30" s="39">
        <f t="shared" si="147"/>
        <v>0.5115384615384615</v>
      </c>
      <c r="Z30" s="39">
        <f t="shared" si="147"/>
        <v>0.75</v>
      </c>
      <c r="AA30" s="39">
        <f t="shared" si="147"/>
        <v>0.11153846153846156</v>
      </c>
      <c r="AB30" s="39">
        <f t="shared" si="147"/>
        <v>0.45692307692307688</v>
      </c>
      <c r="AC30" s="39">
        <f t="shared" si="147"/>
        <v>0.2323076923076923</v>
      </c>
      <c r="AD30" s="39">
        <f t="shared" si="147"/>
        <v>0.49692307692307691</v>
      </c>
      <c r="AE30" s="39">
        <f t="shared" si="147"/>
        <v>0.42923076923076925</v>
      </c>
      <c r="AF30" s="39">
        <f t="shared" si="147"/>
        <v>0.52461538461538448</v>
      </c>
      <c r="AG30" s="39">
        <f t="shared" si="147"/>
        <v>0.54153846153846152</v>
      </c>
      <c r="AH30" s="129">
        <f>AVERAGEIFS(AH$36:AH$171,$C$36:$C$171,"=1", $B$36:$B$171,"NO OFICIAL")</f>
        <v>52.5</v>
      </c>
      <c r="AI30" s="129">
        <f>AVERAGEIFS(AI$36:AI$171,$C$36:$C$171,"=1", $B$36:$B$171,"NO OFICIAL")</f>
        <v>7.416666666666667</v>
      </c>
      <c r="AJ30" s="39">
        <f>AVERAGEIFS(AJ$36:AJ$171,$C$36:$C$171,"=1", $B$36:$B$171,"NO OFICIAL")</f>
        <v>6.7500000000000004E-2</v>
      </c>
      <c r="AK30" s="39">
        <f t="shared" ref="AK30:BL30" si="148">AVERAGEIFS(AK$36:AK$171,$C$36:$C$171,"=1", $B$36:$B$171,"NO OFICIAL")</f>
        <v>0.55333333333333334</v>
      </c>
      <c r="AL30" s="39">
        <f t="shared" si="148"/>
        <v>0.37166666666666665</v>
      </c>
      <c r="AM30" s="39">
        <f t="shared" si="148"/>
        <v>7.5000000000000006E-3</v>
      </c>
      <c r="AN30" s="39">
        <f t="shared" si="148"/>
        <v>0.22999999999999998</v>
      </c>
      <c r="AO30" s="39">
        <f t="shared" si="148"/>
        <v>0.43416666666666665</v>
      </c>
      <c r="AP30" s="39">
        <f t="shared" si="148"/>
        <v>0.58833333333333326</v>
      </c>
      <c r="AQ30" s="39">
        <f t="shared" si="148"/>
        <v>0.40416666666666662</v>
      </c>
      <c r="AR30" s="39">
        <f t="shared" si="148"/>
        <v>0.59916666666666674</v>
      </c>
      <c r="AS30" s="39">
        <f t="shared" si="148"/>
        <v>0.52999999999999992</v>
      </c>
      <c r="AT30" s="39">
        <f t="shared" si="148"/>
        <v>0.47666666666666674</v>
      </c>
      <c r="AU30" s="39">
        <f t="shared" si="148"/>
        <v>0.49583333333333329</v>
      </c>
      <c r="AV30" s="39">
        <f t="shared" si="148"/>
        <v>0.58250000000000013</v>
      </c>
      <c r="AW30" s="39">
        <f t="shared" si="148"/>
        <v>0.44666666666666655</v>
      </c>
      <c r="AX30" s="39">
        <f t="shared" si="148"/>
        <v>0.57999999999999996</v>
      </c>
      <c r="AY30" s="39">
        <f t="shared" si="148"/>
        <v>0.31083333333333335</v>
      </c>
      <c r="AZ30" s="39">
        <f t="shared" si="148"/>
        <v>0.26916666666666667</v>
      </c>
      <c r="BA30" s="39">
        <f t="shared" si="148"/>
        <v>0.46583333333333338</v>
      </c>
      <c r="BB30" s="39">
        <f t="shared" si="148"/>
        <v>0.67749999999999988</v>
      </c>
      <c r="BC30" s="39">
        <f t="shared" si="148"/>
        <v>0.64583333333333337</v>
      </c>
      <c r="BD30" s="39">
        <f t="shared" si="148"/>
        <v>0.38416666666666671</v>
      </c>
      <c r="BE30" s="39">
        <f t="shared" si="148"/>
        <v>0.51166666666666671</v>
      </c>
      <c r="BF30" s="39">
        <f t="shared" si="148"/>
        <v>0.59166666666666667</v>
      </c>
      <c r="BG30" s="39">
        <f t="shared" si="148"/>
        <v>0.51250000000000007</v>
      </c>
      <c r="BH30" s="39">
        <f t="shared" si="148"/>
        <v>0.41499999999999998</v>
      </c>
      <c r="BI30" s="39">
        <f t="shared" si="148"/>
        <v>0.37999999999999995</v>
      </c>
      <c r="BJ30" s="39">
        <f t="shared" si="148"/>
        <v>0.32916666666666666</v>
      </c>
      <c r="BK30" s="39">
        <f t="shared" si="148"/>
        <v>0.44500000000000001</v>
      </c>
      <c r="BL30" s="39">
        <f t="shared" si="148"/>
        <v>0.43666666666666676</v>
      </c>
      <c r="BM30" s="129">
        <f>AVERAGEIFS(BM$36:BM$171,$C$36:$C$171,"=1", $B$36:$B$171,"NO OFICIAL")</f>
        <v>50.846153846153847</v>
      </c>
      <c r="BN30" s="129">
        <f>AVERAGEIFS(BN$36:BN$171,$C$36:$C$171,"=1", $B$36:$B$171,"NO OFICIAL")</f>
        <v>7.5384615384615383</v>
      </c>
      <c r="BO30" s="39">
        <f>AVERAGEIFS(BO$36:BO$171,$C$36:$C$171,"=1", $B$36:$B$171,"NO OFICIAL")</f>
        <v>9.8461538461538475E-2</v>
      </c>
      <c r="BP30" s="39">
        <f t="shared" ref="BP30:CR30" si="149">AVERAGEIFS(BP$36:BP$171,$C$36:$C$171,"=1", $B$36:$B$171,"NO OFICIAL")</f>
        <v>0.61461538461538456</v>
      </c>
      <c r="BQ30" s="39">
        <f t="shared" si="149"/>
        <v>0.28076923076923077</v>
      </c>
      <c r="BR30" s="39">
        <f t="shared" si="149"/>
        <v>7.6923076923076927E-3</v>
      </c>
      <c r="BS30" s="39">
        <f t="shared" si="149"/>
        <v>0.35153846153846158</v>
      </c>
      <c r="BT30" s="39">
        <f t="shared" si="149"/>
        <v>0.51076923076923086</v>
      </c>
      <c r="BU30" s="39">
        <f t="shared" si="149"/>
        <v>0.58153846153846156</v>
      </c>
      <c r="BV30" s="39">
        <f t="shared" si="149"/>
        <v>0.29923076923076919</v>
      </c>
      <c r="BW30" s="39">
        <f t="shared" si="149"/>
        <v>0.62307692307692308</v>
      </c>
      <c r="BX30" s="39">
        <f t="shared" si="149"/>
        <v>0.36461538461538467</v>
      </c>
      <c r="BY30" s="39">
        <f t="shared" si="149"/>
        <v>0.46307692307692311</v>
      </c>
      <c r="BZ30" s="39">
        <f t="shared" si="149"/>
        <v>0.52692307692307694</v>
      </c>
      <c r="CA30" s="39">
        <f t="shared" si="149"/>
        <v>0.42230769230769233</v>
      </c>
      <c r="CB30" s="39">
        <f t="shared" si="149"/>
        <v>0.3584615384615385</v>
      </c>
      <c r="CC30" s="39">
        <f t="shared" si="149"/>
        <v>0.14307692307692305</v>
      </c>
      <c r="CD30" s="39">
        <f t="shared" si="149"/>
        <v>0.38384615384615378</v>
      </c>
      <c r="CE30" s="39">
        <f t="shared" si="149"/>
        <v>0.34923076923076923</v>
      </c>
      <c r="CF30" s="39">
        <f t="shared" si="149"/>
        <v>0.61538461538461531</v>
      </c>
      <c r="CG30" s="39">
        <f t="shared" si="149"/>
        <v>0.61230769230769233</v>
      </c>
      <c r="CH30" s="39">
        <f t="shared" si="149"/>
        <v>0.43076923076923079</v>
      </c>
      <c r="CI30" s="39">
        <f t="shared" si="149"/>
        <v>0.57076923076923081</v>
      </c>
      <c r="CJ30" s="39">
        <f t="shared" si="149"/>
        <v>0.36692307692307691</v>
      </c>
      <c r="CK30" s="39">
        <f t="shared" si="149"/>
        <v>0.686153846153846</v>
      </c>
      <c r="CL30" s="39">
        <f t="shared" si="149"/>
        <v>0.33692307692307699</v>
      </c>
      <c r="CM30" s="39">
        <f t="shared" si="149"/>
        <v>0.46230769230769231</v>
      </c>
      <c r="CN30" s="39">
        <f t="shared" si="149"/>
        <v>0.49923076923076926</v>
      </c>
      <c r="CO30" s="39">
        <f t="shared" si="149"/>
        <v>0.43</v>
      </c>
      <c r="CP30" s="39">
        <f t="shared" si="149"/>
        <v>0.36153846153846153</v>
      </c>
      <c r="CQ30" s="39">
        <f t="shared" si="149"/>
        <v>0.55615384615384611</v>
      </c>
      <c r="CR30" s="39">
        <f t="shared" si="149"/>
        <v>0.52461538461538471</v>
      </c>
      <c r="CS30" s="129">
        <f>AVERAGEIFS(CS$36:CS$171,$C$36:$C$171,"=1", $B$36:$B$171,"NO OFICIAL")</f>
        <v>49.46153846153846</v>
      </c>
      <c r="CT30" s="129">
        <f>AVERAGEIFS(CT$36:CT$171,$C$36:$C$171,"=1", $B$36:$B$171,"NO OFICIAL")</f>
        <v>7.7692307692307692</v>
      </c>
      <c r="CU30" s="39">
        <f>AVERAGEIFS(CU$36:CU$171,$C$36:$C$171,"=1", $B$36:$B$171,"NO OFICIAL")</f>
        <v>0.14692307692307696</v>
      </c>
      <c r="CV30" s="39">
        <f t="shared" ref="CV30:DW30" si="150">AVERAGEIFS(CV$36:CV$171,$C$36:$C$171,"=1", $B$36:$B$171,"NO OFICIAL")</f>
        <v>0.63307692307692309</v>
      </c>
      <c r="CW30" s="39">
        <f t="shared" si="150"/>
        <v>0.21153846153846154</v>
      </c>
      <c r="CX30" s="39">
        <f t="shared" si="150"/>
        <v>0.01</v>
      </c>
      <c r="CY30" s="39">
        <f t="shared" si="150"/>
        <v>0.52153846153846151</v>
      </c>
      <c r="CZ30" s="39">
        <f t="shared" si="150"/>
        <v>0.29384615384615381</v>
      </c>
      <c r="DA30" s="39">
        <f t="shared" si="150"/>
        <v>0.55076923076923068</v>
      </c>
      <c r="DB30" s="39">
        <f t="shared" si="150"/>
        <v>0.36846153846153851</v>
      </c>
      <c r="DC30" s="39">
        <f t="shared" si="150"/>
        <v>0.43692307692307686</v>
      </c>
      <c r="DD30" s="39">
        <f t="shared" si="150"/>
        <v>0.62538461538461543</v>
      </c>
      <c r="DE30" s="39">
        <f t="shared" si="150"/>
        <v>0.51384615384615395</v>
      </c>
      <c r="DF30" s="39">
        <f t="shared" si="150"/>
        <v>0.53999999999999992</v>
      </c>
      <c r="DG30" s="39">
        <f t="shared" si="150"/>
        <v>0.47692307692307701</v>
      </c>
      <c r="DH30" s="39">
        <f t="shared" si="150"/>
        <v>0.38230769230769235</v>
      </c>
      <c r="DI30" s="39">
        <f t="shared" si="150"/>
        <v>0.51923076923076938</v>
      </c>
      <c r="DJ30" s="39">
        <f t="shared" si="150"/>
        <v>0.54846153846153844</v>
      </c>
      <c r="DK30" s="39">
        <f t="shared" si="150"/>
        <v>0.41307692307692306</v>
      </c>
      <c r="DL30" s="39">
        <f t="shared" si="150"/>
        <v>0.36692307692307696</v>
      </c>
      <c r="DM30" s="39">
        <f t="shared" si="150"/>
        <v>0.5130769230769231</v>
      </c>
      <c r="DN30" s="39">
        <f t="shared" si="150"/>
        <v>0.53923076923076918</v>
      </c>
      <c r="DO30" s="39">
        <f t="shared" si="150"/>
        <v>0.44923076923076938</v>
      </c>
      <c r="DP30" s="39">
        <f t="shared" si="150"/>
        <v>0.4407692307692308</v>
      </c>
      <c r="DQ30" s="39">
        <f t="shared" si="150"/>
        <v>0.56615384615384623</v>
      </c>
      <c r="DR30" s="39">
        <f t="shared" si="150"/>
        <v>0.1846153846153846</v>
      </c>
      <c r="DS30" s="39">
        <f t="shared" si="150"/>
        <v>0.37307692307692314</v>
      </c>
      <c r="DT30" s="39">
        <f t="shared" si="150"/>
        <v>0.56692307692307697</v>
      </c>
      <c r="DU30" s="39">
        <f t="shared" si="150"/>
        <v>0.52230769230769225</v>
      </c>
      <c r="DV30" s="39">
        <f t="shared" si="150"/>
        <v>0.60076923076923072</v>
      </c>
      <c r="DW30" s="39">
        <f t="shared" si="150"/>
        <v>0.32538461538461533</v>
      </c>
      <c r="DX30" s="129">
        <f>AVERAGEIFS(DX$36:DX$171,$C$36:$C$171,"=1", $B$36:$B$171,"NO OFICIAL")</f>
        <v>49.769230769230766</v>
      </c>
      <c r="DY30" s="129">
        <f>AVERAGEIFS(DY$36:DY$171,$C$36:$C$171,"=1", $B$36:$B$171,"NO OFICIAL")</f>
        <v>8.3076923076923084</v>
      </c>
      <c r="DZ30" s="39">
        <f>AVERAGEIFS(DZ$36:DZ$171,$C$36:$C$171,"=1", $B$36:$B$171,"NO OFICIAL")</f>
        <v>0.15000000000000002</v>
      </c>
      <c r="EA30" s="39">
        <f t="shared" ref="EA30:FA30" si="151">AVERAGEIFS(EA$36:EA$171,$C$36:$C$171,"=1", $B$36:$B$171,"NO OFICIAL")</f>
        <v>0.57769230769230773</v>
      </c>
      <c r="EB30" s="39">
        <f t="shared" si="151"/>
        <v>0.26692307692307693</v>
      </c>
      <c r="EC30" s="39">
        <f t="shared" si="151"/>
        <v>6.1538461538461538E-3</v>
      </c>
      <c r="ED30" s="39">
        <f t="shared" si="151"/>
        <v>0.47538461538461535</v>
      </c>
      <c r="EE30" s="39">
        <f t="shared" si="151"/>
        <v>0.46692307692307694</v>
      </c>
      <c r="EF30" s="39">
        <f t="shared" si="151"/>
        <v>0.45615384615384624</v>
      </c>
      <c r="EG30" s="39">
        <f t="shared" si="151"/>
        <v>0.38384615384615384</v>
      </c>
      <c r="EH30" s="39">
        <f t="shared" si="151"/>
        <v>0.45769230769230762</v>
      </c>
      <c r="EI30" s="39">
        <f t="shared" si="151"/>
        <v>0.48153846153846153</v>
      </c>
      <c r="EJ30" s="39">
        <f t="shared" si="151"/>
        <v>0.61384615384615382</v>
      </c>
      <c r="EK30" s="39">
        <f t="shared" si="151"/>
        <v>0.26153846153846155</v>
      </c>
      <c r="EL30" s="39">
        <f t="shared" si="151"/>
        <v>0.47384615384615381</v>
      </c>
      <c r="EM30" s="39">
        <f t="shared" si="151"/>
        <v>0.61846153846153851</v>
      </c>
      <c r="EN30" s="39">
        <f t="shared" si="151"/>
        <v>0.39769230769230768</v>
      </c>
      <c r="EO30" s="39">
        <f t="shared" si="151"/>
        <v>0.53615384615384609</v>
      </c>
      <c r="EP30" s="39">
        <f t="shared" si="151"/>
        <v>0.39076923076923076</v>
      </c>
      <c r="EQ30" s="39">
        <f t="shared" si="151"/>
        <v>0.30384615384615388</v>
      </c>
      <c r="ER30" s="39">
        <f t="shared" si="151"/>
        <v>0.57923076923076922</v>
      </c>
      <c r="ES30" s="39">
        <f t="shared" si="151"/>
        <v>0.49692307692307697</v>
      </c>
      <c r="ET30" s="39">
        <f t="shared" si="151"/>
        <v>0.33538461538461539</v>
      </c>
      <c r="EU30" s="39">
        <f t="shared" si="151"/>
        <v>0.62692307692307692</v>
      </c>
      <c r="EV30" s="39">
        <f t="shared" si="151"/>
        <v>0.43999999999999989</v>
      </c>
      <c r="EW30" s="39">
        <f t="shared" si="151"/>
        <v>0.32384615384615384</v>
      </c>
      <c r="EX30" s="39">
        <f t="shared" si="151"/>
        <v>0.62076923076923074</v>
      </c>
      <c r="EY30" s="39">
        <f t="shared" si="151"/>
        <v>0.60461538461538467</v>
      </c>
      <c r="EZ30" s="39">
        <f t="shared" si="151"/>
        <v>0.24538461538461537</v>
      </c>
      <c r="FA30" s="39">
        <f t="shared" si="151"/>
        <v>0.58769230769230763</v>
      </c>
      <c r="FB30" s="129">
        <f>AVERAGEIFS(FB$36:FB$171,$C$36:$C$171,"=1", $B$36:$B$171,"NO OFICIAL")</f>
        <v>50</v>
      </c>
      <c r="FD30" s="129">
        <f>AVERAGEIFS(FD$36:FD$171,$C$36:$C$171,"=1", $B$36:$B$171,"NO OFICIAL")</f>
        <v>7.6923076923076925</v>
      </c>
      <c r="FF30" s="39">
        <f>AVERAGEIFS(FF$36:FF$171,$C$36:$C$171,"=1", $B$36:$B$171,"NO OFICIAL")</f>
        <v>0.12076923076923077</v>
      </c>
      <c r="FG30" s="39">
        <f t="shared" ref="FG30:GI30" si="152">AVERAGEIFS(FG$36:FG$171,$C$36:$C$171,"=1", $B$36:$B$171,"NO OFICIAL")</f>
        <v>0.61692307692307691</v>
      </c>
      <c r="FH30" s="39">
        <f t="shared" si="152"/>
        <v>0.25538461538461543</v>
      </c>
      <c r="FI30" s="39">
        <f t="shared" si="152"/>
        <v>7.6923076923076927E-3</v>
      </c>
      <c r="FJ30" s="39">
        <f t="shared" si="152"/>
        <v>0.44230769230769229</v>
      </c>
      <c r="FK30" s="39">
        <f t="shared" si="152"/>
        <v>0.62153846153846171</v>
      </c>
      <c r="FL30" s="39">
        <f t="shared" si="152"/>
        <v>0.47461538461538461</v>
      </c>
      <c r="FM30" s="39">
        <f t="shared" si="152"/>
        <v>0.4</v>
      </c>
      <c r="FN30" s="39">
        <f t="shared" si="152"/>
        <v>0.24076923076923076</v>
      </c>
      <c r="FO30" s="39">
        <f t="shared" si="152"/>
        <v>0.29769230769230764</v>
      </c>
      <c r="FP30" s="39">
        <f t="shared" si="152"/>
        <v>0.37615384615384612</v>
      </c>
      <c r="FQ30" s="39">
        <f t="shared" si="152"/>
        <v>0.42307692307692307</v>
      </c>
      <c r="FR30" s="39">
        <f t="shared" si="152"/>
        <v>0.57384615384615378</v>
      </c>
      <c r="FS30" s="39">
        <f t="shared" si="152"/>
        <v>0.48769230769230776</v>
      </c>
      <c r="FT30" s="39">
        <f t="shared" si="152"/>
        <v>0.52923076923076928</v>
      </c>
      <c r="FU30" s="39">
        <f t="shared" si="152"/>
        <v>0.37384615384615383</v>
      </c>
      <c r="FV30" s="39">
        <f t="shared" si="152"/>
        <v>0.55076923076923068</v>
      </c>
      <c r="FW30" s="39">
        <f t="shared" si="152"/>
        <v>0.5723076923076923</v>
      </c>
      <c r="FX30" s="39">
        <f t="shared" si="152"/>
        <v>0.49692307692307697</v>
      </c>
      <c r="FY30" s="39">
        <f t="shared" si="152"/>
        <v>0.37538461538461532</v>
      </c>
      <c r="FZ30" s="39">
        <f t="shared" si="152"/>
        <v>0.41384615384615386</v>
      </c>
      <c r="GA30" s="39">
        <f t="shared" si="152"/>
        <v>0.4653846153846154</v>
      </c>
      <c r="GB30" s="39">
        <f t="shared" si="152"/>
        <v>0.54153846153846164</v>
      </c>
      <c r="GC30" s="39">
        <f t="shared" si="152"/>
        <v>0.44461538461538458</v>
      </c>
      <c r="GD30" s="39">
        <f t="shared" si="152"/>
        <v>0.6576923076923078</v>
      </c>
      <c r="GE30" s="39">
        <f t="shared" si="152"/>
        <v>0.50923076923076926</v>
      </c>
      <c r="GF30" s="39">
        <f t="shared" si="152"/>
        <v>0.45230769230769224</v>
      </c>
      <c r="GG30" s="39">
        <f t="shared" si="152"/>
        <v>0.46230769230769231</v>
      </c>
      <c r="GH30" s="39">
        <f t="shared" si="152"/>
        <v>0.57999999999999996</v>
      </c>
      <c r="GI30" s="39">
        <f t="shared" si="152"/>
        <v>0.25461538461538463</v>
      </c>
      <c r="GJ30" s="129">
        <f>AVERAGEIFS(GJ$36:GJ$171,$C$36:$C$171,"=1", $B$36:$B$171,"NO OFICIAL")</f>
        <v>50.846153846153847</v>
      </c>
      <c r="GL30" s="129">
        <f>AVERAGEIFS(GL$36:GL$171,$C$36:$C$171,"=1", $B$36:$B$171,"NO OFICIAL")</f>
        <v>8.6923076923076916</v>
      </c>
      <c r="GN30" s="344">
        <f>AVERAGEIFS(GN$36:GN$171,$C$36:$C$171,"=1", $B$36:$B$171,"NO OFICIAL")</f>
        <v>0.14846153846153845</v>
      </c>
      <c r="GO30" s="344">
        <f t="shared" ref="GO30:HQ30" si="153">AVERAGEIFS(GO$36:GO$171,$C$36:$C$171,"=1", $B$36:$B$171,"NO OFICIAL")</f>
        <v>0.53076923076923077</v>
      </c>
      <c r="GP30" s="344">
        <f t="shared" si="153"/>
        <v>0.3115384615384616</v>
      </c>
      <c r="GQ30" s="344">
        <f t="shared" si="153"/>
        <v>9.2307692307692316E-3</v>
      </c>
      <c r="GR30" s="344">
        <f t="shared" si="153"/>
        <v>0.45692307692307693</v>
      </c>
      <c r="GS30" s="344">
        <f t="shared" si="153"/>
        <v>0.53461538461538471</v>
      </c>
      <c r="GT30" s="344">
        <f t="shared" si="153"/>
        <v>0.6184615384615384</v>
      </c>
      <c r="GU30" s="344">
        <f t="shared" si="153"/>
        <v>0.20153846153846156</v>
      </c>
      <c r="GV30" s="344">
        <f t="shared" si="153"/>
        <v>0.54538461538461547</v>
      </c>
      <c r="GW30" s="344">
        <f t="shared" si="153"/>
        <v>0.51846153846153842</v>
      </c>
      <c r="GX30" s="344">
        <f t="shared" si="153"/>
        <v>0.47692307692307695</v>
      </c>
      <c r="GY30" s="317" t="s">
        <v>283</v>
      </c>
      <c r="GZ30" s="344">
        <f t="shared" si="153"/>
        <v>0.2976923076923077</v>
      </c>
      <c r="HA30" s="344">
        <f t="shared" si="153"/>
        <v>0.6776923076923077</v>
      </c>
      <c r="HB30" s="344">
        <f t="shared" si="153"/>
        <v>0.46846153846153843</v>
      </c>
      <c r="HC30" s="344">
        <f t="shared" si="153"/>
        <v>0.5099999999999999</v>
      </c>
      <c r="HD30" s="344">
        <f t="shared" si="153"/>
        <v>0.56000000000000005</v>
      </c>
      <c r="HE30" s="344">
        <f t="shared" si="153"/>
        <v>0.46769230769230768</v>
      </c>
      <c r="HF30" s="344">
        <f t="shared" si="153"/>
        <v>0.4661538461538462</v>
      </c>
      <c r="HG30" s="344">
        <f t="shared" si="153"/>
        <v>0.65384615384615385</v>
      </c>
      <c r="HH30" s="344">
        <f t="shared" si="153"/>
        <v>0.37692307692307681</v>
      </c>
      <c r="HI30" s="344">
        <f t="shared" si="153"/>
        <v>0.53307692307692311</v>
      </c>
      <c r="HJ30" s="344">
        <f t="shared" si="153"/>
        <v>0.58769230769230774</v>
      </c>
      <c r="HK30" s="344">
        <f t="shared" si="153"/>
        <v>0.5146153846153847</v>
      </c>
      <c r="HL30" s="344">
        <f t="shared" si="153"/>
        <v>0.36923076923076931</v>
      </c>
      <c r="HM30" s="344">
        <f t="shared" si="153"/>
        <v>0.49076923076923085</v>
      </c>
      <c r="HN30" s="344">
        <f t="shared" si="153"/>
        <v>0.51153846153846139</v>
      </c>
      <c r="HO30" s="344">
        <f t="shared" si="153"/>
        <v>0.40923076923076923</v>
      </c>
      <c r="HP30" s="317" t="s">
        <v>283</v>
      </c>
      <c r="HQ30" s="344">
        <f t="shared" si="153"/>
        <v>0.41230769230769232</v>
      </c>
      <c r="HR30" s="129">
        <f>AVERAGEIFS(HR$36:HR$171,$C$36:$C$171,"=1", $B$36:$B$171,"NO OFICIAL")</f>
        <v>52</v>
      </c>
      <c r="HT30" s="129">
        <f>AVERAGEIFS(HT$36:HT$171,$C$36:$C$171,"=1", $B$36:$B$171,"NO OFICIAL")</f>
        <v>8.25</v>
      </c>
      <c r="HV30" s="344">
        <f>AVERAGEIFS(HV$36:HV$171,$C$36:$C$171,"=1", $B$36:$B$171,"NO OFICIAL")</f>
        <v>0.10500000000000002</v>
      </c>
      <c r="HW30" s="344">
        <f t="shared" ref="HW30:IZ30" si="154">AVERAGEIFS(HW$36:HW$171,$C$36:$C$171,"=1", $B$36:$B$171,"NO OFICIAL")</f>
        <v>0.55500000000000005</v>
      </c>
      <c r="HX30" s="344">
        <f t="shared" si="154"/>
        <v>0.32416666666666666</v>
      </c>
      <c r="HY30" s="344">
        <f t="shared" si="154"/>
        <v>1.6666666666666666E-2</v>
      </c>
      <c r="HZ30" s="344">
        <f t="shared" si="154"/>
        <v>0.3691666666666667</v>
      </c>
      <c r="IA30" s="344">
        <f t="shared" si="154"/>
        <v>0.51500000000000001</v>
      </c>
      <c r="IB30" s="344">
        <f t="shared" si="154"/>
        <v>0.33</v>
      </c>
      <c r="IC30" s="344">
        <f t="shared" si="154"/>
        <v>0.5033333333333333</v>
      </c>
      <c r="ID30" s="344">
        <f t="shared" si="154"/>
        <v>0.59666666666666668</v>
      </c>
      <c r="IE30" s="344">
        <f t="shared" si="154"/>
        <v>0.32333333333333336</v>
      </c>
      <c r="IF30" s="344">
        <f t="shared" si="154"/>
        <v>0.36333333333333334</v>
      </c>
      <c r="IG30" s="344">
        <f t="shared" si="154"/>
        <v>0.57750000000000001</v>
      </c>
      <c r="IH30" s="344">
        <f t="shared" si="154"/>
        <v>0.47583333333333327</v>
      </c>
      <c r="II30" s="344">
        <f t="shared" si="154"/>
        <v>0.24000000000000002</v>
      </c>
      <c r="IJ30" s="344">
        <f t="shared" si="154"/>
        <v>0.24333333333333332</v>
      </c>
      <c r="IK30" s="344">
        <f t="shared" si="154"/>
        <v>0.57999999999999996</v>
      </c>
      <c r="IL30" s="344">
        <f t="shared" si="154"/>
        <v>0.34083333333333332</v>
      </c>
      <c r="IM30" s="344">
        <f t="shared" si="154"/>
        <v>0.56999999999999995</v>
      </c>
      <c r="IN30" s="344">
        <f t="shared" si="154"/>
        <v>0.42500000000000004</v>
      </c>
      <c r="IO30" s="344">
        <f t="shared" si="154"/>
        <v>0.51750000000000007</v>
      </c>
      <c r="IP30" s="344">
        <f t="shared" si="154"/>
        <v>0.39916666666666667</v>
      </c>
      <c r="IQ30" s="344">
        <f t="shared" si="154"/>
        <v>0.63500000000000012</v>
      </c>
      <c r="IR30" s="344">
        <f t="shared" si="154"/>
        <v>0.58083333333333331</v>
      </c>
      <c r="IS30" s="344">
        <f t="shared" si="154"/>
        <v>0.52333333333333332</v>
      </c>
      <c r="IT30" s="344">
        <f t="shared" si="154"/>
        <v>0.40833333333333338</v>
      </c>
      <c r="IU30" s="317" t="s">
        <v>283</v>
      </c>
      <c r="IV30" s="344">
        <f t="shared" si="154"/>
        <v>0.6066666666666668</v>
      </c>
      <c r="IW30" s="344">
        <f t="shared" si="154"/>
        <v>0.39416666666666661</v>
      </c>
      <c r="IX30" s="344">
        <f t="shared" si="154"/>
        <v>0.4916666666666667</v>
      </c>
      <c r="IY30" s="344">
        <f t="shared" si="154"/>
        <v>0.50083333333333335</v>
      </c>
      <c r="IZ30" s="494">
        <f t="shared" si="154"/>
        <v>51.53846153846154</v>
      </c>
      <c r="JA30" s="499"/>
      <c r="JB30" s="302">
        <f>AVERAGEIFS(JB$36:JB$171,$C$36:$C$171,"=1", $B$36:$B$171,"NO OFICIAL")</f>
        <v>8.4615384615384617</v>
      </c>
      <c r="JC30" s="499"/>
      <c r="JD30" s="345">
        <f t="shared" ref="JD30:KG30" si="155">AVERAGEIFS(JD$36:JD$171,$C$36:$C$171,"=1", $B$36:$B$171,"NO OFICIAL")</f>
        <v>9.4615384615384629E-2</v>
      </c>
      <c r="JE30" s="345">
        <f t="shared" si="155"/>
        <v>0.56461538461538463</v>
      </c>
      <c r="JF30" s="345">
        <f t="shared" si="155"/>
        <v>0.33230769230769225</v>
      </c>
      <c r="JG30" s="345">
        <f t="shared" si="155"/>
        <v>9.2307692307692316E-3</v>
      </c>
      <c r="JH30" s="345">
        <f t="shared" ref="JH30:KC30" si="156">AVERAGEIFS(JH$36:JH$171,$C$36:$C$171,"=1", $B$36:$B$171,"NO OFICIAL")</f>
        <v>0.49692307692307697</v>
      </c>
      <c r="JI30" s="345">
        <f t="shared" si="156"/>
        <v>0.42692307692307696</v>
      </c>
      <c r="JJ30" s="345">
        <f t="shared" si="156"/>
        <v>0.42461538461538456</v>
      </c>
      <c r="JK30" s="345">
        <f t="shared" si="156"/>
        <v>0.46384615384615385</v>
      </c>
      <c r="JL30" s="345">
        <f t="shared" si="156"/>
        <v>0.48384615384615393</v>
      </c>
      <c r="JM30" s="345">
        <f t="shared" si="156"/>
        <v>0.50153846153846149</v>
      </c>
      <c r="JN30" s="345">
        <f t="shared" si="156"/>
        <v>0.41384615384615375</v>
      </c>
      <c r="JO30" s="345">
        <f t="shared" si="156"/>
        <v>0.46307692307692305</v>
      </c>
      <c r="JP30" s="345">
        <f t="shared" si="156"/>
        <v>0.55230769230769239</v>
      </c>
      <c r="JQ30" s="345">
        <f t="shared" si="156"/>
        <v>0.27384615384615391</v>
      </c>
      <c r="JR30" s="345">
        <f t="shared" si="156"/>
        <v>0.5823076923076923</v>
      </c>
      <c r="JS30" s="345">
        <f t="shared" si="156"/>
        <v>0.56307692307692314</v>
      </c>
      <c r="JT30" s="345">
        <f t="shared" si="156"/>
        <v>0.42230769230769238</v>
      </c>
      <c r="JU30" s="345">
        <f t="shared" si="156"/>
        <v>0.50692307692307692</v>
      </c>
      <c r="JV30" s="345">
        <f t="shared" si="156"/>
        <v>0.47538461538461541</v>
      </c>
      <c r="JW30" s="345">
        <f t="shared" si="156"/>
        <v>0.48307692307692307</v>
      </c>
      <c r="JX30" s="345">
        <f t="shared" si="156"/>
        <v>0.42384615384615382</v>
      </c>
      <c r="JY30" s="345">
        <f t="shared" si="156"/>
        <v>0.46923076923076928</v>
      </c>
      <c r="JZ30" s="345">
        <f t="shared" si="156"/>
        <v>0.43461538461538457</v>
      </c>
      <c r="KA30" s="345">
        <f t="shared" si="156"/>
        <v>0.58769230769230774</v>
      </c>
      <c r="KB30" s="345">
        <f t="shared" si="156"/>
        <v>0.41307692307692301</v>
      </c>
      <c r="KC30" s="345">
        <f t="shared" si="156"/>
        <v>0.60307692307692307</v>
      </c>
      <c r="KD30" s="345">
        <f t="shared" si="155"/>
        <v>0.3446153846153846</v>
      </c>
      <c r="KE30" s="345">
        <f>AVERAGEIFS(KE$36:KE$171,$C$36:$C$171,"=1", $B$36:$B$171,"NO OFICIAL")</f>
        <v>0.49076923076923074</v>
      </c>
      <c r="KF30" s="345">
        <f>AVERAGEIFS(KF$36:KF$171,$C$36:$C$171,"=1", $B$36:$B$171,"NO OFICIAL")</f>
        <v>0.48461538461538467</v>
      </c>
      <c r="KG30" s="345">
        <f t="shared" si="155"/>
        <v>0.52076923076923076</v>
      </c>
    </row>
    <row r="31" spans="1:293" ht="24" customHeight="1" x14ac:dyDescent="0.2">
      <c r="A31" s="6" t="s">
        <v>902</v>
      </c>
      <c r="B31" s="301"/>
      <c r="C31" s="301"/>
      <c r="D31" s="129">
        <f>AVERAGEIFS(D$36:D$171,$C$36:$C$171,"=2", $B$36:$B$171,"NO OFICIAL")</f>
        <v>54.666666666666664</v>
      </c>
      <c r="E31" s="129">
        <f>AVERAGEIFS(E$36:E$171,$C$36:$C$171,"=2", $B$36:$B$171,"NO OFICIAL")</f>
        <v>6.8888888888888893</v>
      </c>
      <c r="F31" s="39">
        <f>AVERAGEIFS(F$36:F$171,$C$36:$C$171,"=2", $B$36:$B$171,"NO OFICIAL")</f>
        <v>4.4444444444444446E-2</v>
      </c>
      <c r="G31" s="39">
        <f t="shared" ref="G31:AG31" si="157">AVERAGEIFS(G$36:G$171,$C$36:$C$171,"=2", $B$36:$B$171,"NO OFICIAL")</f>
        <v>0.49555555555555553</v>
      </c>
      <c r="H31" s="39">
        <f t="shared" si="157"/>
        <v>0.45500000000000007</v>
      </c>
      <c r="I31" s="39">
        <f t="shared" si="157"/>
        <v>7.2222222222222228E-3</v>
      </c>
      <c r="J31" s="39">
        <f t="shared" si="157"/>
        <v>0.36388888888888887</v>
      </c>
      <c r="K31" s="39">
        <f t="shared" si="157"/>
        <v>0.2877777777777778</v>
      </c>
      <c r="L31" s="39">
        <f t="shared" si="157"/>
        <v>0.68500000000000016</v>
      </c>
      <c r="M31" s="39">
        <f t="shared" si="157"/>
        <v>0.20333333333333337</v>
      </c>
      <c r="N31" s="39">
        <f t="shared" si="157"/>
        <v>0.30166666666666669</v>
      </c>
      <c r="O31" s="39">
        <f t="shared" si="157"/>
        <v>0.67055555555555557</v>
      </c>
      <c r="P31" s="39">
        <f t="shared" si="157"/>
        <v>0.31388888888888888</v>
      </c>
      <c r="Q31" s="39">
        <f t="shared" si="157"/>
        <v>0.37111111111111117</v>
      </c>
      <c r="R31" s="39">
        <f t="shared" si="157"/>
        <v>0.49388888888888893</v>
      </c>
      <c r="S31" s="39">
        <f t="shared" si="157"/>
        <v>0.55555555555555569</v>
      </c>
      <c r="T31" s="39">
        <f t="shared" si="157"/>
        <v>0.48000000000000004</v>
      </c>
      <c r="U31" s="39">
        <f t="shared" si="157"/>
        <v>0.6216666666666667</v>
      </c>
      <c r="V31" s="39">
        <f t="shared" si="157"/>
        <v>8.0000000000000016E-2</v>
      </c>
      <c r="W31" s="39">
        <f t="shared" si="157"/>
        <v>0.15944444444444447</v>
      </c>
      <c r="X31" s="39">
        <f t="shared" si="157"/>
        <v>0.49222222222222217</v>
      </c>
      <c r="Y31" s="39">
        <f t="shared" si="157"/>
        <v>0.48500000000000004</v>
      </c>
      <c r="Z31" s="39">
        <f t="shared" si="157"/>
        <v>0.65</v>
      </c>
      <c r="AA31" s="39">
        <f t="shared" si="157"/>
        <v>9.2777777777777792E-2</v>
      </c>
      <c r="AB31" s="39">
        <f t="shared" si="157"/>
        <v>0.42555555555555563</v>
      </c>
      <c r="AC31" s="39">
        <f t="shared" si="157"/>
        <v>0.23777777777777778</v>
      </c>
      <c r="AD31" s="39">
        <f t="shared" si="157"/>
        <v>0.41388888888888897</v>
      </c>
      <c r="AE31" s="39">
        <f t="shared" si="157"/>
        <v>0.3938888888888889</v>
      </c>
      <c r="AF31" s="39">
        <f t="shared" si="157"/>
        <v>0.46611111111111114</v>
      </c>
      <c r="AG31" s="39">
        <f t="shared" si="157"/>
        <v>0.48888888888888893</v>
      </c>
      <c r="AH31" s="129">
        <f>AVERAGEIFS(AH$36:AH$171,$C$36:$C$171,"=2", $B$36:$B$171,"NO OFICIAL")</f>
        <v>52.823529411764703</v>
      </c>
      <c r="AI31" s="129">
        <f>AVERAGEIFS(AI$36:AI$171,$C$36:$C$171,"=2", $B$36:$B$171,"NO OFICIAL")</f>
        <v>7.1764705882352944</v>
      </c>
      <c r="AJ31" s="39">
        <f>AVERAGEIFS(AJ$36:AJ$171,$C$36:$C$171,"=2", $B$36:$B$171,"NO OFICIAL")</f>
        <v>8.7647058823529425E-2</v>
      </c>
      <c r="AK31" s="39">
        <f t="shared" ref="AK31:BL31" si="158">AVERAGEIFS(AK$36:AK$171,$C$36:$C$171,"=2", $B$36:$B$171,"NO OFICIAL")</f>
        <v>0.48470588235294121</v>
      </c>
      <c r="AL31" s="39">
        <f t="shared" si="158"/>
        <v>0.41588235294117648</v>
      </c>
      <c r="AM31" s="39">
        <f t="shared" si="158"/>
        <v>1.1764705882352941E-2</v>
      </c>
      <c r="AN31" s="39">
        <f t="shared" si="158"/>
        <v>0.30705882352941177</v>
      </c>
      <c r="AO31" s="39">
        <f t="shared" si="158"/>
        <v>0.41705882352941176</v>
      </c>
      <c r="AP31" s="39">
        <f t="shared" si="158"/>
        <v>0.55117647058823538</v>
      </c>
      <c r="AQ31" s="39">
        <f t="shared" si="158"/>
        <v>0.34941176470588226</v>
      </c>
      <c r="AR31" s="39">
        <f t="shared" si="158"/>
        <v>0.5358823529411767</v>
      </c>
      <c r="AS31" s="39">
        <f t="shared" si="158"/>
        <v>0.50058823529411767</v>
      </c>
      <c r="AT31" s="39">
        <f t="shared" si="158"/>
        <v>0.48058823529411776</v>
      </c>
      <c r="AU31" s="39">
        <f t="shared" si="158"/>
        <v>0.53176470588235292</v>
      </c>
      <c r="AV31" s="39">
        <f t="shared" si="158"/>
        <v>0.58941176470588219</v>
      </c>
      <c r="AW31" s="39">
        <f t="shared" si="158"/>
        <v>0.47562500000000008</v>
      </c>
      <c r="AX31" s="39">
        <f t="shared" si="158"/>
        <v>0.52823529411764703</v>
      </c>
      <c r="AY31" s="39">
        <f t="shared" si="158"/>
        <v>0.30058823529411766</v>
      </c>
      <c r="AZ31" s="39">
        <f t="shared" si="158"/>
        <v>0.24058823529411758</v>
      </c>
      <c r="BA31" s="39">
        <f t="shared" si="158"/>
        <v>0.4864705882352941</v>
      </c>
      <c r="BB31" s="39">
        <f t="shared" si="158"/>
        <v>0.62058823529411755</v>
      </c>
      <c r="BC31" s="39">
        <f t="shared" si="158"/>
        <v>0.63764705882352946</v>
      </c>
      <c r="BD31" s="39">
        <f t="shared" si="158"/>
        <v>0.42058823529411765</v>
      </c>
      <c r="BE31" s="39">
        <f t="shared" si="158"/>
        <v>0.55470588235294116</v>
      </c>
      <c r="BF31" s="39">
        <f t="shared" si="158"/>
        <v>0.63058823529411767</v>
      </c>
      <c r="BG31" s="39">
        <f t="shared" si="158"/>
        <v>0.45705882352941168</v>
      </c>
      <c r="BH31" s="39">
        <f t="shared" si="158"/>
        <v>0.43</v>
      </c>
      <c r="BI31" s="39">
        <f t="shared" si="158"/>
        <v>0.40941176470588236</v>
      </c>
      <c r="BJ31" s="39">
        <f t="shared" si="158"/>
        <v>0.34235294117647053</v>
      </c>
      <c r="BK31" s="39">
        <f t="shared" si="158"/>
        <v>0.43176470588235294</v>
      </c>
      <c r="BL31" s="39">
        <f t="shared" si="158"/>
        <v>0.45235294117647062</v>
      </c>
      <c r="BM31" s="129">
        <f>AVERAGEIFS(BM$36:BM$171,$C$36:$C$171,"=2", $B$36:$B$171,"NO OFICIAL")</f>
        <v>51.764705882352942</v>
      </c>
      <c r="BN31" s="129">
        <f>AVERAGEIFS(BN$36:BN$171,$C$36:$C$171,"=2", $B$36:$B$171,"NO OFICIAL")</f>
        <v>8.0588235294117645</v>
      </c>
      <c r="BO31" s="39">
        <f>AVERAGEIFS(BO$36:BO$171,$C$36:$C$171,"=2", $B$36:$B$171,"NO OFICIAL")</f>
        <v>9.941176470588238E-2</v>
      </c>
      <c r="BP31" s="39">
        <f t="shared" ref="BP31:CR31" si="159">AVERAGEIFS(BP$36:BP$171,$C$36:$C$171,"=2", $B$36:$B$171,"NO OFICIAL")</f>
        <v>0.56058823529411772</v>
      </c>
      <c r="BQ31" s="39">
        <f t="shared" si="159"/>
        <v>0.31705882352941173</v>
      </c>
      <c r="BR31" s="39">
        <f t="shared" si="159"/>
        <v>2.1764705882352939E-2</v>
      </c>
      <c r="BS31" s="39">
        <f t="shared" si="159"/>
        <v>0.3276470588235294</v>
      </c>
      <c r="BT31" s="39">
        <f t="shared" si="159"/>
        <v>0.5405882352941177</v>
      </c>
      <c r="BU31" s="39">
        <f t="shared" si="159"/>
        <v>0.64764705882352935</v>
      </c>
      <c r="BV31" s="39">
        <f t="shared" si="159"/>
        <v>0.34352941176470581</v>
      </c>
      <c r="BW31" s="39">
        <f t="shared" si="159"/>
        <v>0.62176470588235289</v>
      </c>
      <c r="BX31" s="39">
        <f t="shared" si="159"/>
        <v>0.36529411764705877</v>
      </c>
      <c r="BY31" s="39">
        <f t="shared" si="159"/>
        <v>0.40352941176470586</v>
      </c>
      <c r="BZ31" s="39">
        <f t="shared" si="159"/>
        <v>0.5235294117647058</v>
      </c>
      <c r="CA31" s="39">
        <f t="shared" si="159"/>
        <v>0.42470588235294121</v>
      </c>
      <c r="CB31" s="39">
        <f t="shared" si="159"/>
        <v>0.35411764705882348</v>
      </c>
      <c r="CC31" s="39">
        <f t="shared" si="159"/>
        <v>0.16588235294117648</v>
      </c>
      <c r="CD31" s="39">
        <f t="shared" si="159"/>
        <v>0.4052941176470588</v>
      </c>
      <c r="CE31" s="39">
        <f t="shared" si="159"/>
        <v>0.3252941176470589</v>
      </c>
      <c r="CF31" s="39">
        <f t="shared" si="159"/>
        <v>0.55647058823529405</v>
      </c>
      <c r="CG31" s="39">
        <f t="shared" si="159"/>
        <v>0.58470588235294119</v>
      </c>
      <c r="CH31" s="39">
        <f t="shared" si="159"/>
        <v>0.44411764705882356</v>
      </c>
      <c r="CI31" s="39">
        <f t="shared" si="159"/>
        <v>0.57176470588235284</v>
      </c>
      <c r="CJ31" s="39">
        <f t="shared" si="159"/>
        <v>0.37588235294117656</v>
      </c>
      <c r="CK31" s="39">
        <f t="shared" si="159"/>
        <v>0.6652941176470587</v>
      </c>
      <c r="CL31" s="39">
        <f t="shared" si="159"/>
        <v>0.29176470588235298</v>
      </c>
      <c r="CM31" s="39">
        <f t="shared" si="159"/>
        <v>0.41235294117647059</v>
      </c>
      <c r="CN31" s="39">
        <f t="shared" si="159"/>
        <v>0.45058823529411773</v>
      </c>
      <c r="CO31" s="39">
        <f t="shared" si="159"/>
        <v>0.40176470588235297</v>
      </c>
      <c r="CP31" s="39">
        <f t="shared" si="159"/>
        <v>0.3141176470588235</v>
      </c>
      <c r="CQ31" s="39">
        <f t="shared" si="159"/>
        <v>0.52352941176470602</v>
      </c>
      <c r="CR31" s="39">
        <f t="shared" si="159"/>
        <v>0.52117647058823524</v>
      </c>
      <c r="CS31" s="129">
        <f>AVERAGEIFS(CS$36:CS$171,$C$36:$C$171,"=2", $B$36:$B$171,"NO OFICIAL")</f>
        <v>51.5</v>
      </c>
      <c r="CT31" s="129">
        <f>AVERAGEIFS(CT$36:CT$171,$C$36:$C$171,"=2", $B$36:$B$171,"NO OFICIAL")</f>
        <v>7.9444444444444446</v>
      </c>
      <c r="CU31" s="39">
        <f>AVERAGEIFS(CU$36:CU$171,$C$36:$C$171,"=2", $B$36:$B$171,"NO OFICIAL")</f>
        <v>0.13055555555555559</v>
      </c>
      <c r="CV31" s="39">
        <f t="shared" ref="CV31:DW31" si="160">AVERAGEIFS(CV$36:CV$171,$C$36:$C$171,"=2", $B$36:$B$171,"NO OFICIAL")</f>
        <v>0.54611111111111099</v>
      </c>
      <c r="CW31" s="39">
        <f t="shared" si="160"/>
        <v>0.31055555555555558</v>
      </c>
      <c r="CX31" s="39">
        <f t="shared" si="160"/>
        <v>1.0555555555555556E-2</v>
      </c>
      <c r="CY31" s="39">
        <f t="shared" si="160"/>
        <v>0.46500000000000008</v>
      </c>
      <c r="CZ31" s="39">
        <f t="shared" si="160"/>
        <v>0.26833333333333331</v>
      </c>
      <c r="DA31" s="39">
        <f t="shared" si="160"/>
        <v>0.53444444444444461</v>
      </c>
      <c r="DB31" s="39">
        <f t="shared" si="160"/>
        <v>0.3116666666666667</v>
      </c>
      <c r="DC31" s="39">
        <f t="shared" si="160"/>
        <v>0.42111111111111105</v>
      </c>
      <c r="DD31" s="39">
        <f t="shared" si="160"/>
        <v>0.60444444444444445</v>
      </c>
      <c r="DE31" s="39">
        <f t="shared" si="160"/>
        <v>0.42555555555555558</v>
      </c>
      <c r="DF31" s="39">
        <f t="shared" si="160"/>
        <v>0.5344444444444445</v>
      </c>
      <c r="DG31" s="39">
        <f t="shared" si="160"/>
        <v>0.4022222222222222</v>
      </c>
      <c r="DH31" s="39">
        <f t="shared" si="160"/>
        <v>0.34611111111111109</v>
      </c>
      <c r="DI31" s="39">
        <f t="shared" si="160"/>
        <v>0.5377777777777778</v>
      </c>
      <c r="DJ31" s="39">
        <f t="shared" si="160"/>
        <v>0.5066666666666666</v>
      </c>
      <c r="DK31" s="39">
        <f t="shared" si="160"/>
        <v>0.36611111111111122</v>
      </c>
      <c r="DL31" s="39">
        <f t="shared" si="160"/>
        <v>0.23777777777777778</v>
      </c>
      <c r="DM31" s="39">
        <f t="shared" si="160"/>
        <v>0.49055555555555547</v>
      </c>
      <c r="DN31" s="39">
        <f t="shared" si="160"/>
        <v>0.45166666666666672</v>
      </c>
      <c r="DO31" s="39">
        <f t="shared" si="160"/>
        <v>0.38722222222222219</v>
      </c>
      <c r="DP31" s="39">
        <f t="shared" si="160"/>
        <v>0.44666666666666671</v>
      </c>
      <c r="DQ31" s="39">
        <f t="shared" si="160"/>
        <v>0.51666666666666672</v>
      </c>
      <c r="DR31" s="39">
        <f t="shared" si="160"/>
        <v>0.16388888888888886</v>
      </c>
      <c r="DS31" s="39">
        <f t="shared" si="160"/>
        <v>0.37111111111111111</v>
      </c>
      <c r="DT31" s="39">
        <f t="shared" si="160"/>
        <v>0.57388888888888889</v>
      </c>
      <c r="DU31" s="39">
        <f t="shared" si="160"/>
        <v>0.50611111111111118</v>
      </c>
      <c r="DV31" s="39">
        <f t="shared" si="160"/>
        <v>0.54500000000000004</v>
      </c>
      <c r="DW31" s="39">
        <f t="shared" si="160"/>
        <v>0.29833333333333328</v>
      </c>
      <c r="DX31" s="129">
        <f>AVERAGEIFS(DX$36:DX$171,$C$36:$C$171,"=2", $B$36:$B$171,"NO OFICIAL")</f>
        <v>49.81818181818182</v>
      </c>
      <c r="DY31" s="129">
        <f>AVERAGEIFS(DY$36:DY$171,$C$36:$C$171,"=2", $B$36:$B$171,"NO OFICIAL")</f>
        <v>7.0909090909090908</v>
      </c>
      <c r="DZ31" s="39">
        <f>AVERAGEIFS(DZ$36:DZ$171,$C$36:$C$171,"=2", $B$36:$B$171,"NO OFICIAL")</f>
        <v>0.20954545454545459</v>
      </c>
      <c r="EA31" s="39">
        <f t="shared" ref="EA31:FA31" si="161">AVERAGEIFS(EA$36:EA$171,$C$36:$C$171,"=2", $B$36:$B$171,"NO OFICIAL")</f>
        <v>0.51363636363636356</v>
      </c>
      <c r="EB31" s="39">
        <f t="shared" si="161"/>
        <v>0.26227272727272727</v>
      </c>
      <c r="EC31" s="39">
        <f t="shared" si="161"/>
        <v>1.4090909090909091E-2</v>
      </c>
      <c r="ED31" s="39">
        <f t="shared" si="161"/>
        <v>0.49545454545454548</v>
      </c>
      <c r="EE31" s="39">
        <f t="shared" si="161"/>
        <v>0.51272727272727281</v>
      </c>
      <c r="EF31" s="39">
        <f t="shared" si="161"/>
        <v>0.45590909090909099</v>
      </c>
      <c r="EG31" s="39">
        <f t="shared" si="161"/>
        <v>0.25863636363636361</v>
      </c>
      <c r="EH31" s="39">
        <f t="shared" si="161"/>
        <v>0.42181818181818181</v>
      </c>
      <c r="EI31" s="39">
        <f t="shared" si="161"/>
        <v>0.40272727272727271</v>
      </c>
      <c r="EJ31" s="39">
        <f t="shared" si="161"/>
        <v>0.55727272727272736</v>
      </c>
      <c r="EK31" s="39">
        <f t="shared" si="161"/>
        <v>0.31</v>
      </c>
      <c r="EL31" s="39">
        <f t="shared" si="161"/>
        <v>0.49454545454545451</v>
      </c>
      <c r="EM31" s="39">
        <f t="shared" si="161"/>
        <v>0.66142857142857148</v>
      </c>
      <c r="EN31" s="39">
        <f t="shared" si="161"/>
        <v>0.41090909090909095</v>
      </c>
      <c r="EO31" s="39">
        <f t="shared" si="161"/>
        <v>0.56818181818181801</v>
      </c>
      <c r="EP31" s="39">
        <f t="shared" si="161"/>
        <v>0.42136363636363627</v>
      </c>
      <c r="EQ31" s="39">
        <f t="shared" si="161"/>
        <v>0.32761904761904764</v>
      </c>
      <c r="ER31" s="39">
        <f t="shared" si="161"/>
        <v>0.61454545454545451</v>
      </c>
      <c r="ES31" s="39">
        <f t="shared" si="161"/>
        <v>0.44545454545454538</v>
      </c>
      <c r="ET31" s="39">
        <f t="shared" si="161"/>
        <v>0.31818181818181823</v>
      </c>
      <c r="EU31" s="39">
        <f t="shared" si="161"/>
        <v>0.62818181818181806</v>
      </c>
      <c r="EV31" s="39">
        <f t="shared" si="161"/>
        <v>0.30842105263157893</v>
      </c>
      <c r="EW31" s="39">
        <f t="shared" si="161"/>
        <v>0.32181818181818178</v>
      </c>
      <c r="EX31" s="39">
        <f t="shared" si="161"/>
        <v>0.63850000000000007</v>
      </c>
      <c r="EY31" s="39">
        <f t="shared" si="161"/>
        <v>0.59045454545454534</v>
      </c>
      <c r="EZ31" s="39">
        <f t="shared" si="161"/>
        <v>0.24904761904761902</v>
      </c>
      <c r="FA31" s="39">
        <f t="shared" si="161"/>
        <v>0.60181818181818181</v>
      </c>
      <c r="FB31" s="129">
        <f>AVERAGEIFS(FB$36:FB$171,$C$36:$C$171,"=2", $B$36:$B$171,"NO OFICIAL")</f>
        <v>50.3</v>
      </c>
      <c r="FD31" s="129">
        <f>AVERAGEIFS(FD$36:FD$171,$C$36:$C$171,"=2", $B$36:$B$171,"NO OFICIAL")</f>
        <v>7.7</v>
      </c>
      <c r="FF31" s="39">
        <f>AVERAGEIFS(FF$36:FF$171,$C$36:$C$171,"=2", $B$36:$B$171,"NO OFICIAL")</f>
        <v>0.1305</v>
      </c>
      <c r="FG31" s="39">
        <f t="shared" ref="FG31:GI31" si="162">AVERAGEIFS(FG$36:FG$171,$C$36:$C$171,"=2", $B$36:$B$171,"NO OFICIAL")</f>
        <v>0.58199999999999996</v>
      </c>
      <c r="FH31" s="39">
        <f t="shared" si="162"/>
        <v>0.27500000000000002</v>
      </c>
      <c r="FI31" s="39">
        <f t="shared" si="162"/>
        <v>1.3000000000000001E-2</v>
      </c>
      <c r="FJ31" s="39">
        <f t="shared" si="162"/>
        <v>0.4405</v>
      </c>
      <c r="FK31" s="39">
        <f t="shared" si="162"/>
        <v>0.62649999999999995</v>
      </c>
      <c r="FL31" s="39">
        <f t="shared" si="162"/>
        <v>0.48599999999999993</v>
      </c>
      <c r="FM31" s="39">
        <f t="shared" si="162"/>
        <v>0.4534999999999999</v>
      </c>
      <c r="FN31" s="39">
        <f t="shared" si="162"/>
        <v>0.27700000000000002</v>
      </c>
      <c r="FO31" s="39">
        <f t="shared" si="162"/>
        <v>0.28550000000000003</v>
      </c>
      <c r="FP31" s="39">
        <f t="shared" si="162"/>
        <v>0.36249999999999999</v>
      </c>
      <c r="FQ31" s="39">
        <f t="shared" si="162"/>
        <v>0.3755</v>
      </c>
      <c r="FR31" s="39">
        <f t="shared" si="162"/>
        <v>0.59250000000000014</v>
      </c>
      <c r="FS31" s="39">
        <f t="shared" si="162"/>
        <v>0.49400000000000005</v>
      </c>
      <c r="FT31" s="39">
        <f t="shared" si="162"/>
        <v>0.49350000000000016</v>
      </c>
      <c r="FU31" s="39">
        <f t="shared" si="162"/>
        <v>0.3765</v>
      </c>
      <c r="FV31" s="39">
        <f t="shared" si="162"/>
        <v>0.57350000000000001</v>
      </c>
      <c r="FW31" s="39">
        <f t="shared" si="162"/>
        <v>0.53</v>
      </c>
      <c r="FX31" s="39">
        <f t="shared" si="162"/>
        <v>0.48299999999999993</v>
      </c>
      <c r="FY31" s="39">
        <f t="shared" si="162"/>
        <v>0.374</v>
      </c>
      <c r="FZ31" s="39">
        <f t="shared" si="162"/>
        <v>0.44299999999999989</v>
      </c>
      <c r="GA31" s="39">
        <f t="shared" si="162"/>
        <v>0.4636842105263157</v>
      </c>
      <c r="GB31" s="39">
        <f t="shared" si="162"/>
        <v>0.48250000000000004</v>
      </c>
      <c r="GC31" s="39">
        <f t="shared" si="162"/>
        <v>0.45799999999999991</v>
      </c>
      <c r="GD31" s="39">
        <f t="shared" si="162"/>
        <v>0.58150000000000024</v>
      </c>
      <c r="GE31" s="39">
        <f t="shared" si="162"/>
        <v>0.48850000000000005</v>
      </c>
      <c r="GF31" s="39">
        <f t="shared" si="162"/>
        <v>0.43350000000000011</v>
      </c>
      <c r="GG31" s="39">
        <f t="shared" si="162"/>
        <v>0.44749999999999995</v>
      </c>
      <c r="GH31" s="39">
        <f t="shared" si="162"/>
        <v>0.5505000000000001</v>
      </c>
      <c r="GI31" s="39">
        <f t="shared" si="162"/>
        <v>0.30500000000000005</v>
      </c>
      <c r="GJ31" s="129">
        <f>AVERAGEIFS(GJ$36:GJ$171,$C$36:$C$171,"=2", $B$36:$B$171,"NO OFICIAL")</f>
        <v>51.857142857142854</v>
      </c>
      <c r="GL31" s="129">
        <f>AVERAGEIFS(GL$36:GL$171,$C$36:$C$171,"=2", $B$36:$B$171,"NO OFICIAL")</f>
        <v>7.8571428571428568</v>
      </c>
      <c r="GN31" s="344">
        <f>AVERAGEIFS(GN$36:GN$171,$C$36:$C$171,"=2", $B$36:$B$171,"NO OFICIAL")</f>
        <v>9.6666666666666679E-2</v>
      </c>
      <c r="GO31" s="344">
        <f t="shared" ref="GO31:HQ31" si="163">AVERAGEIFS(GO$36:GO$171,$C$36:$C$171,"=2", $B$36:$B$171,"NO OFICIAL")</f>
        <v>0.52428571428571435</v>
      </c>
      <c r="GP31" s="344">
        <f t="shared" si="163"/>
        <v>0.36809523809523814</v>
      </c>
      <c r="GQ31" s="344">
        <f t="shared" si="163"/>
        <v>1.2857142857142859E-2</v>
      </c>
      <c r="GR31" s="344">
        <f t="shared" si="163"/>
        <v>0.48285714285714287</v>
      </c>
      <c r="GS31" s="344">
        <f t="shared" si="163"/>
        <v>0.52380952380952384</v>
      </c>
      <c r="GT31" s="344">
        <f t="shared" si="163"/>
        <v>0.61857142857142855</v>
      </c>
      <c r="GU31" s="344">
        <f t="shared" si="163"/>
        <v>0.182</v>
      </c>
      <c r="GV31" s="344">
        <f t="shared" si="163"/>
        <v>0.5061904761904763</v>
      </c>
      <c r="GW31" s="344">
        <f t="shared" si="163"/>
        <v>0.41619047619047611</v>
      </c>
      <c r="GX31" s="344">
        <f t="shared" si="163"/>
        <v>0.44428571428571439</v>
      </c>
      <c r="GY31" s="317" t="s">
        <v>283</v>
      </c>
      <c r="GZ31" s="344">
        <f t="shared" si="163"/>
        <v>0.26666666666666672</v>
      </c>
      <c r="HA31" s="344">
        <f t="shared" si="163"/>
        <v>0.71899999999999986</v>
      </c>
      <c r="HB31" s="344">
        <f t="shared" si="163"/>
        <v>0.4576190476190477</v>
      </c>
      <c r="HC31" s="344">
        <f t="shared" si="163"/>
        <v>0.51047619047619042</v>
      </c>
      <c r="HD31" s="344">
        <f t="shared" si="163"/>
        <v>0.53047619047619055</v>
      </c>
      <c r="HE31" s="344">
        <f t="shared" si="163"/>
        <v>0.4238095238095238</v>
      </c>
      <c r="HF31" s="344">
        <f t="shared" si="163"/>
        <v>0.42904761904761901</v>
      </c>
      <c r="HG31" s="344">
        <f t="shared" si="163"/>
        <v>0.62904761904761897</v>
      </c>
      <c r="HH31" s="344">
        <f t="shared" si="163"/>
        <v>0.37380952380952381</v>
      </c>
      <c r="HI31" s="344">
        <f t="shared" si="163"/>
        <v>0.53238095238095229</v>
      </c>
      <c r="HJ31" s="344">
        <f t="shared" si="163"/>
        <v>0.58904761904761904</v>
      </c>
      <c r="HK31" s="344">
        <f t="shared" si="163"/>
        <v>0.5195238095238095</v>
      </c>
      <c r="HL31" s="344">
        <f t="shared" si="163"/>
        <v>0.3880952380952381</v>
      </c>
      <c r="HM31" s="344">
        <f t="shared" si="163"/>
        <v>0.47857142857142859</v>
      </c>
      <c r="HN31" s="344">
        <f t="shared" si="163"/>
        <v>0.48238095238095241</v>
      </c>
      <c r="HO31" s="344">
        <f t="shared" si="163"/>
        <v>0.4319047619047619</v>
      </c>
      <c r="HP31" s="317" t="s">
        <v>283</v>
      </c>
      <c r="HQ31" s="344">
        <f t="shared" si="163"/>
        <v>0.41476190476190472</v>
      </c>
      <c r="HR31" s="129">
        <f>AVERAGEIFS(HR$36:HR$171,$C$36:$C$171,"=2", $B$36:$B$171,"NO OFICIAL")</f>
        <v>51.68181818181818</v>
      </c>
      <c r="HT31" s="129">
        <f>AVERAGEIFS(HT$36:HT$171,$C$36:$C$171,"=2", $B$36:$B$171,"NO OFICIAL")</f>
        <v>7.7272727272727275</v>
      </c>
      <c r="HV31" s="344">
        <f>AVERAGEIFS(HV$36:HV$171,$C$36:$C$171,"=2", $B$36:$B$171,"NO OFICIAL")</f>
        <v>0.13227272727272726</v>
      </c>
      <c r="HW31" s="344">
        <f t="shared" ref="HW31:IZ31" si="164">AVERAGEIFS(HW$36:HW$171,$C$36:$C$171,"=2", $B$36:$B$171,"NO OFICIAL")</f>
        <v>0.50818181818181818</v>
      </c>
      <c r="HX31" s="344">
        <f t="shared" si="164"/>
        <v>0.33818181818181819</v>
      </c>
      <c r="HY31" s="344">
        <f t="shared" si="164"/>
        <v>2.2272727272727274E-2</v>
      </c>
      <c r="HZ31" s="344">
        <f t="shared" si="164"/>
        <v>0.3431818181818182</v>
      </c>
      <c r="IA31" s="344">
        <f t="shared" si="164"/>
        <v>0.51136363636363646</v>
      </c>
      <c r="IB31" s="344">
        <f t="shared" si="164"/>
        <v>0.25545454545454543</v>
      </c>
      <c r="IC31" s="344">
        <f t="shared" si="164"/>
        <v>0.46772727272727271</v>
      </c>
      <c r="ID31" s="344">
        <f t="shared" si="164"/>
        <v>0.62954545454545463</v>
      </c>
      <c r="IE31" s="344">
        <f t="shared" si="164"/>
        <v>0.31909090909090909</v>
      </c>
      <c r="IF31" s="344">
        <f t="shared" si="164"/>
        <v>0.44272727272727275</v>
      </c>
      <c r="IG31" s="344">
        <f t="shared" si="164"/>
        <v>0.60545454545454536</v>
      </c>
      <c r="IH31" s="344">
        <f t="shared" si="164"/>
        <v>0.50727272727272732</v>
      </c>
      <c r="II31" s="344">
        <f t="shared" si="164"/>
        <v>0.34333333333333332</v>
      </c>
      <c r="IJ31" s="344">
        <f t="shared" si="164"/>
        <v>0.29772727272727278</v>
      </c>
      <c r="IK31" s="344">
        <f t="shared" si="164"/>
        <v>0.57818181818181824</v>
      </c>
      <c r="IL31" s="344">
        <f t="shared" si="164"/>
        <v>0.32545454545454544</v>
      </c>
      <c r="IM31" s="344">
        <f t="shared" si="164"/>
        <v>0.58363636363636362</v>
      </c>
      <c r="IN31" s="344">
        <f t="shared" si="164"/>
        <v>0.44045454545454538</v>
      </c>
      <c r="IO31" s="344">
        <f t="shared" si="164"/>
        <v>0.53681818181818164</v>
      </c>
      <c r="IP31" s="344">
        <f t="shared" si="164"/>
        <v>0.38818181818181824</v>
      </c>
      <c r="IQ31" s="344">
        <f t="shared" si="164"/>
        <v>0.59000000000000019</v>
      </c>
      <c r="IR31" s="344">
        <f t="shared" si="164"/>
        <v>0.57181818181818178</v>
      </c>
      <c r="IS31" s="344">
        <f t="shared" si="164"/>
        <v>0.55045454545454553</v>
      </c>
      <c r="IT31" s="344">
        <f t="shared" si="164"/>
        <v>0.41590909090909095</v>
      </c>
      <c r="IU31" s="317" t="s">
        <v>283</v>
      </c>
      <c r="IV31" s="344">
        <f t="shared" si="164"/>
        <v>0.61590909090909107</v>
      </c>
      <c r="IW31" s="344">
        <f t="shared" si="164"/>
        <v>0.41409090909090907</v>
      </c>
      <c r="IX31" s="344">
        <f t="shared" si="164"/>
        <v>0.50727272727272732</v>
      </c>
      <c r="IY31" s="344">
        <f t="shared" si="164"/>
        <v>0.49500000000000005</v>
      </c>
      <c r="IZ31" s="494">
        <f t="shared" si="164"/>
        <v>52.65</v>
      </c>
      <c r="JA31" s="499"/>
      <c r="JB31" s="302">
        <f>AVERAGEIFS(JB$36:JB$171,$C$36:$C$171,"=2", $B$36:$B$171,"NO OFICIAL")</f>
        <v>8.75</v>
      </c>
      <c r="JC31" s="499"/>
      <c r="JD31" s="345">
        <f t="shared" ref="JD31:KG31" si="165">AVERAGEIFS(JD$36:JD$171,$C$36:$C$171,"=2", $B$36:$B$171,"NO OFICIAL")</f>
        <v>0.13350000000000001</v>
      </c>
      <c r="JE31" s="345">
        <f t="shared" si="165"/>
        <v>0.44800000000000006</v>
      </c>
      <c r="JF31" s="345">
        <f t="shared" si="165"/>
        <v>0.39400000000000002</v>
      </c>
      <c r="JG31" s="345">
        <f t="shared" si="165"/>
        <v>2.6000000000000002E-2</v>
      </c>
      <c r="JH31" s="345">
        <f t="shared" ref="JH31:KC31" si="166">AVERAGEIFS(JH$36:JH$171,$C$36:$C$171,"=2", $B$36:$B$171,"NO OFICIAL")</f>
        <v>0.43350000000000011</v>
      </c>
      <c r="JI31" s="345">
        <f t="shared" si="166"/>
        <v>0.43549999999999994</v>
      </c>
      <c r="JJ31" s="345">
        <f t="shared" si="166"/>
        <v>0.38499999999999995</v>
      </c>
      <c r="JK31" s="345">
        <f t="shared" si="166"/>
        <v>0.45850000000000019</v>
      </c>
      <c r="JL31" s="345">
        <f t="shared" si="166"/>
        <v>0.46250000000000002</v>
      </c>
      <c r="JM31" s="345">
        <f t="shared" si="166"/>
        <v>0.44850000000000001</v>
      </c>
      <c r="JN31" s="345">
        <f t="shared" si="166"/>
        <v>0.39650000000000007</v>
      </c>
      <c r="JO31" s="345">
        <f t="shared" si="166"/>
        <v>0.45750000000000002</v>
      </c>
      <c r="JP31" s="345">
        <f t="shared" si="166"/>
        <v>0.51400000000000001</v>
      </c>
      <c r="JQ31" s="345">
        <f t="shared" si="166"/>
        <v>0.248</v>
      </c>
      <c r="JR31" s="345">
        <f t="shared" si="166"/>
        <v>0.52300000000000002</v>
      </c>
      <c r="JS31" s="345">
        <f t="shared" si="166"/>
        <v>0.51150000000000007</v>
      </c>
      <c r="JT31" s="345">
        <f t="shared" si="166"/>
        <v>0.44600000000000006</v>
      </c>
      <c r="JU31" s="345">
        <f t="shared" si="166"/>
        <v>0.50849999999999995</v>
      </c>
      <c r="JV31" s="345">
        <f t="shared" si="166"/>
        <v>0.47350000000000014</v>
      </c>
      <c r="JW31" s="345">
        <f t="shared" si="166"/>
        <v>0.43949999999999995</v>
      </c>
      <c r="JX31" s="345">
        <f t="shared" si="166"/>
        <v>0.40250000000000002</v>
      </c>
      <c r="JY31" s="345">
        <f t="shared" si="166"/>
        <v>0.45</v>
      </c>
      <c r="JZ31" s="345">
        <f t="shared" si="166"/>
        <v>0.44350000000000006</v>
      </c>
      <c r="KA31" s="345">
        <f t="shared" si="166"/>
        <v>0.62349999999999994</v>
      </c>
      <c r="KB31" s="345">
        <f t="shared" si="166"/>
        <v>0.42750000000000005</v>
      </c>
      <c r="KC31" s="345">
        <f t="shared" si="166"/>
        <v>0.58949999999999991</v>
      </c>
      <c r="KD31" s="345">
        <f t="shared" si="165"/>
        <v>0.32350000000000001</v>
      </c>
      <c r="KE31" s="345">
        <f>AVERAGEIFS(KE$36:KE$171,$C$36:$C$171,"=2", $B$36:$B$171,"NO OFICIAL")</f>
        <v>0.41649999999999998</v>
      </c>
      <c r="KF31" s="345">
        <f>AVERAGEIFS(KF$36:KF$171,$C$36:$C$171,"=2", $B$36:$B$171,"NO OFICIAL")</f>
        <v>0.41900000000000004</v>
      </c>
      <c r="KG31" s="345">
        <f t="shared" si="165"/>
        <v>0.501</v>
      </c>
    </row>
    <row r="32" spans="1:293" ht="24" customHeight="1" x14ac:dyDescent="0.2">
      <c r="A32" s="6" t="s">
        <v>903</v>
      </c>
      <c r="B32" s="301"/>
      <c r="C32" s="301"/>
      <c r="D32" s="129">
        <f>AVERAGEIFS(D$36:D$171,$C$36:$C$171,"=3", $B$36:$B$171,"NO OFICIAL")</f>
        <v>55.46153846153846</v>
      </c>
      <c r="E32" s="129">
        <f>AVERAGEIFS(E$36:E$171,$C$36:$C$171,"=3", $B$36:$B$171,"NO OFICIAL")</f>
        <v>7.0769230769230766</v>
      </c>
      <c r="F32" s="39">
        <f>AVERAGEIFS(F$36:F$171,$C$36:$C$171,"=3", $B$36:$B$171,"NO OFICIAL")</f>
        <v>3.1538461538461543E-2</v>
      </c>
      <c r="G32" s="39">
        <f t="shared" ref="G32:AG32" si="167">AVERAGEIFS(G$36:G$171,$C$36:$C$171,"=3", $B$36:$B$171,"NO OFICIAL")</f>
        <v>0.48538461538461536</v>
      </c>
      <c r="H32" s="39">
        <f t="shared" si="167"/>
        <v>0.47538461538461541</v>
      </c>
      <c r="I32" s="39">
        <f t="shared" si="167"/>
        <v>7.6923076923076927E-3</v>
      </c>
      <c r="J32" s="39">
        <f t="shared" si="167"/>
        <v>0.30538461538461537</v>
      </c>
      <c r="K32" s="39">
        <f t="shared" si="167"/>
        <v>0.31307692307692309</v>
      </c>
      <c r="L32" s="39">
        <f t="shared" si="167"/>
        <v>0.71615384615384614</v>
      </c>
      <c r="M32" s="39">
        <f t="shared" si="167"/>
        <v>0.17153846153846153</v>
      </c>
      <c r="N32" s="39">
        <f t="shared" si="167"/>
        <v>0.26076923076923081</v>
      </c>
      <c r="O32" s="39">
        <f t="shared" si="167"/>
        <v>0.64538461538461545</v>
      </c>
      <c r="P32" s="39">
        <f t="shared" si="167"/>
        <v>0.30384615384615382</v>
      </c>
      <c r="Q32" s="39">
        <f t="shared" si="167"/>
        <v>0.38384615384615378</v>
      </c>
      <c r="R32" s="39">
        <f t="shared" si="167"/>
        <v>0.47230769230769237</v>
      </c>
      <c r="S32" s="39">
        <f t="shared" si="167"/>
        <v>0.58692307692307688</v>
      </c>
      <c r="T32" s="39">
        <f t="shared" si="167"/>
        <v>0.44769230769230772</v>
      </c>
      <c r="U32" s="39">
        <f t="shared" si="167"/>
        <v>0.55384615384615388</v>
      </c>
      <c r="V32" s="39">
        <f t="shared" si="167"/>
        <v>5.0769230769230761E-2</v>
      </c>
      <c r="W32" s="39">
        <f t="shared" si="167"/>
        <v>0.11846153846153847</v>
      </c>
      <c r="X32" s="39">
        <f t="shared" si="167"/>
        <v>0.47153846153846157</v>
      </c>
      <c r="Y32" s="39">
        <f t="shared" si="167"/>
        <v>0.44923076923076927</v>
      </c>
      <c r="Z32" s="39">
        <f t="shared" si="167"/>
        <v>1</v>
      </c>
      <c r="AA32" s="39">
        <f t="shared" si="167"/>
        <v>9.3076923076923085E-2</v>
      </c>
      <c r="AB32" s="39">
        <f t="shared" si="167"/>
        <v>0.42538461538461542</v>
      </c>
      <c r="AC32" s="39">
        <f t="shared" si="167"/>
        <v>0.20846153846153845</v>
      </c>
      <c r="AD32" s="39">
        <f t="shared" si="167"/>
        <v>0.43153846153846154</v>
      </c>
      <c r="AE32" s="39">
        <f t="shared" si="167"/>
        <v>0.38923076923076927</v>
      </c>
      <c r="AF32" s="39">
        <f t="shared" si="167"/>
        <v>0.47384615384615386</v>
      </c>
      <c r="AG32" s="39">
        <f t="shared" si="167"/>
        <v>0.45153846153846156</v>
      </c>
      <c r="AH32" s="129">
        <f>AVERAGEIFS(AH$36:AH$171,$C$36:$C$171,"=3", $B$36:$B$171,"NO OFICIAL")</f>
        <v>53.642857142857146</v>
      </c>
      <c r="AI32" s="129">
        <f>AVERAGEIFS(AI$36:AI$171,$C$36:$C$171,"=3", $B$36:$B$171,"NO OFICIAL")</f>
        <v>7.6428571428571432</v>
      </c>
      <c r="AJ32" s="39">
        <f>AVERAGEIFS(AJ$36:AJ$171,$C$36:$C$171,"=3", $B$36:$B$171,"NO OFICIAL")</f>
        <v>4.5714285714285714E-2</v>
      </c>
      <c r="AK32" s="39">
        <f t="shared" ref="AK32:BL32" si="168">AVERAGEIFS(AK$36:AK$171,$C$36:$C$171,"=3", $B$36:$B$171,"NO OFICIAL")</f>
        <v>0.55785714285714283</v>
      </c>
      <c r="AL32" s="39">
        <f t="shared" si="168"/>
        <v>0.37785714285714295</v>
      </c>
      <c r="AM32" s="39">
        <f t="shared" si="168"/>
        <v>1.7142857142857144E-2</v>
      </c>
      <c r="AN32" s="39">
        <f t="shared" si="168"/>
        <v>0.26285714285714284</v>
      </c>
      <c r="AO32" s="39">
        <f t="shared" si="168"/>
        <v>0.45071428571428573</v>
      </c>
      <c r="AP32" s="39">
        <f t="shared" si="168"/>
        <v>0.53428571428571425</v>
      </c>
      <c r="AQ32" s="39">
        <f t="shared" si="168"/>
        <v>0.33999999999999997</v>
      </c>
      <c r="AR32" s="39">
        <f t="shared" si="168"/>
        <v>0.55500000000000005</v>
      </c>
      <c r="AS32" s="39">
        <f t="shared" si="168"/>
        <v>0.48714285714285716</v>
      </c>
      <c r="AT32" s="39">
        <f t="shared" si="168"/>
        <v>0.49142857142857149</v>
      </c>
      <c r="AU32" s="39">
        <f t="shared" si="168"/>
        <v>0.49214285714285716</v>
      </c>
      <c r="AV32" s="39">
        <f t="shared" si="168"/>
        <v>0.57999999999999996</v>
      </c>
      <c r="AW32" s="39">
        <f t="shared" si="168"/>
        <v>0.4478571428571429</v>
      </c>
      <c r="AX32" s="39">
        <f t="shared" si="168"/>
        <v>0.50142857142857145</v>
      </c>
      <c r="AY32" s="39">
        <f t="shared" si="168"/>
        <v>0.28071428571428569</v>
      </c>
      <c r="AZ32" s="39">
        <f t="shared" si="168"/>
        <v>0.27642857142857141</v>
      </c>
      <c r="BA32" s="39">
        <f t="shared" si="168"/>
        <v>0.45642857142857135</v>
      </c>
      <c r="BB32" s="39">
        <f t="shared" si="168"/>
        <v>0.65642857142857125</v>
      </c>
      <c r="BC32" s="39">
        <f t="shared" si="168"/>
        <v>0.65428571428571425</v>
      </c>
      <c r="BD32" s="39">
        <f t="shared" si="168"/>
        <v>0.36857142857142861</v>
      </c>
      <c r="BE32" s="39">
        <f t="shared" si="168"/>
        <v>0.5485714285714286</v>
      </c>
      <c r="BF32" s="39">
        <f t="shared" si="168"/>
        <v>0.59071428571428564</v>
      </c>
      <c r="BG32" s="39">
        <f t="shared" si="168"/>
        <v>0.49857142857142861</v>
      </c>
      <c r="BH32" s="39">
        <f t="shared" si="168"/>
        <v>0.39642857142857141</v>
      </c>
      <c r="BI32" s="39">
        <f t="shared" si="168"/>
        <v>0.38285714285714284</v>
      </c>
      <c r="BJ32" s="39">
        <f t="shared" si="168"/>
        <v>0.33571428571428569</v>
      </c>
      <c r="BK32" s="39">
        <f t="shared" si="168"/>
        <v>0.41571428571428576</v>
      </c>
      <c r="BL32" s="39">
        <f t="shared" si="168"/>
        <v>0.47428571428571431</v>
      </c>
      <c r="BM32" s="129">
        <f>AVERAGEIFS(BM$36:BM$171,$C$36:$C$171,"=3", $B$36:$B$171,"NO OFICIAL")</f>
        <v>52.428571428571431</v>
      </c>
      <c r="BN32" s="129">
        <f>AVERAGEIFS(BN$36:BN$171,$C$36:$C$171,"=3", $B$36:$B$171,"NO OFICIAL")</f>
        <v>8.0714285714285712</v>
      </c>
      <c r="BO32" s="39">
        <f>AVERAGEIFS(BO$36:BO$171,$C$36:$C$171,"=3", $B$36:$B$171,"NO OFICIAL")</f>
        <v>8.7857142857142856E-2</v>
      </c>
      <c r="BP32" s="39">
        <f t="shared" ref="BP32:CR32" si="169">AVERAGEIFS(BP$36:BP$171,$C$36:$C$171,"=3", $B$36:$B$171,"NO OFICIAL")</f>
        <v>0.505</v>
      </c>
      <c r="BQ32" s="39">
        <f t="shared" si="169"/>
        <v>0.39285714285714279</v>
      </c>
      <c r="BR32" s="39">
        <f t="shared" si="169"/>
        <v>1.5000000000000001E-2</v>
      </c>
      <c r="BS32" s="39">
        <f t="shared" si="169"/>
        <v>0.33071428571428568</v>
      </c>
      <c r="BT32" s="39">
        <f t="shared" si="169"/>
        <v>0.55785714285714294</v>
      </c>
      <c r="BU32" s="39">
        <f t="shared" si="169"/>
        <v>0.62785714285714289</v>
      </c>
      <c r="BV32" s="39">
        <f t="shared" si="169"/>
        <v>0.26571428571428574</v>
      </c>
      <c r="BW32" s="39">
        <f t="shared" si="169"/>
        <v>0.61285714285714288</v>
      </c>
      <c r="BX32" s="39">
        <f t="shared" si="169"/>
        <v>0.32357142857142857</v>
      </c>
      <c r="BY32" s="39">
        <f t="shared" si="169"/>
        <v>0.40785714285714286</v>
      </c>
      <c r="BZ32" s="39">
        <f t="shared" si="169"/>
        <v>0.48</v>
      </c>
      <c r="CA32" s="39">
        <f t="shared" si="169"/>
        <v>0.40642857142857147</v>
      </c>
      <c r="CB32" s="39">
        <f t="shared" si="169"/>
        <v>0.34714285714285714</v>
      </c>
      <c r="CC32" s="39">
        <f t="shared" si="169"/>
        <v>0.18714285714285714</v>
      </c>
      <c r="CD32" s="39">
        <f t="shared" si="169"/>
        <v>0.37928571428571434</v>
      </c>
      <c r="CE32" s="39">
        <f t="shared" si="169"/>
        <v>0.29857142857142854</v>
      </c>
      <c r="CF32" s="39">
        <f t="shared" si="169"/>
        <v>0.56571428571428573</v>
      </c>
      <c r="CG32" s="39">
        <f t="shared" si="169"/>
        <v>0.56285714285714294</v>
      </c>
      <c r="CH32" s="39">
        <f t="shared" si="169"/>
        <v>0.3978571428571428</v>
      </c>
      <c r="CI32" s="39">
        <f t="shared" si="169"/>
        <v>0.52785714285714291</v>
      </c>
      <c r="CJ32" s="39">
        <f t="shared" si="169"/>
        <v>0.34142857142857147</v>
      </c>
      <c r="CK32" s="39">
        <f t="shared" si="169"/>
        <v>0.65214285714285702</v>
      </c>
      <c r="CL32" s="39">
        <f t="shared" si="169"/>
        <v>0.25714285714285717</v>
      </c>
      <c r="CM32" s="39">
        <f t="shared" si="169"/>
        <v>0.40357142857142864</v>
      </c>
      <c r="CN32" s="39">
        <f t="shared" si="169"/>
        <v>0.40214285714285714</v>
      </c>
      <c r="CO32" s="39">
        <f t="shared" si="169"/>
        <v>0.41500000000000004</v>
      </c>
      <c r="CP32" s="39">
        <f t="shared" si="169"/>
        <v>0.33000000000000007</v>
      </c>
      <c r="CQ32" s="39">
        <f t="shared" si="169"/>
        <v>0.52642857142857147</v>
      </c>
      <c r="CR32" s="39">
        <f t="shared" si="169"/>
        <v>0.51214285714285712</v>
      </c>
      <c r="CS32" s="129">
        <f>AVERAGEIFS(CS$36:CS$171,$C$36:$C$171,"=3", $B$36:$B$171,"NO OFICIAL")</f>
        <v>51.142857142857146</v>
      </c>
      <c r="CT32" s="129">
        <f>AVERAGEIFS(CT$36:CT$171,$C$36:$C$171,"=3", $B$36:$B$171,"NO OFICIAL")</f>
        <v>7.9285714285714288</v>
      </c>
      <c r="CU32" s="39">
        <f>AVERAGEIFS(CU$36:CU$171,$C$36:$C$171,"=3", $B$36:$B$171,"NO OFICIAL")</f>
        <v>8.8571428571428593E-2</v>
      </c>
      <c r="CV32" s="39">
        <f t="shared" ref="CV32:DW32" si="170">AVERAGEIFS(CV$36:CV$171,$C$36:$C$171,"=3", $B$36:$B$171,"NO OFICIAL")</f>
        <v>0.62428571428571433</v>
      </c>
      <c r="CW32" s="39">
        <f t="shared" si="170"/>
        <v>0.28357142857142853</v>
      </c>
      <c r="CX32" s="39">
        <f t="shared" si="170"/>
        <v>4.2857142857142859E-3</v>
      </c>
      <c r="CY32" s="39">
        <f t="shared" si="170"/>
        <v>0.48928571428571432</v>
      </c>
      <c r="CZ32" s="39">
        <f t="shared" si="170"/>
        <v>0.29285714285714282</v>
      </c>
      <c r="DA32" s="39">
        <f t="shared" si="170"/>
        <v>0.5635714285714285</v>
      </c>
      <c r="DB32" s="39">
        <f t="shared" si="170"/>
        <v>0.36071428571428577</v>
      </c>
      <c r="DC32" s="39">
        <f t="shared" si="170"/>
        <v>0.43285714285714283</v>
      </c>
      <c r="DD32" s="39">
        <f t="shared" si="170"/>
        <v>0.59928571428571431</v>
      </c>
      <c r="DE32" s="39">
        <f t="shared" si="170"/>
        <v>0.42642857142857143</v>
      </c>
      <c r="DF32" s="39">
        <f t="shared" si="170"/>
        <v>0.5128571428571429</v>
      </c>
      <c r="DG32" s="39">
        <f t="shared" si="170"/>
        <v>0.41857142857142854</v>
      </c>
      <c r="DH32" s="39">
        <f t="shared" si="170"/>
        <v>0.32857142857142857</v>
      </c>
      <c r="DI32" s="39">
        <f t="shared" si="170"/>
        <v>0.45642857142857146</v>
      </c>
      <c r="DJ32" s="39">
        <f t="shared" si="170"/>
        <v>0.48214285714285721</v>
      </c>
      <c r="DK32" s="39">
        <f t="shared" si="170"/>
        <v>0.34142857142857136</v>
      </c>
      <c r="DL32" s="39">
        <f t="shared" si="170"/>
        <v>0.34714285714285709</v>
      </c>
      <c r="DM32" s="39">
        <f t="shared" si="170"/>
        <v>0.4885714285714286</v>
      </c>
      <c r="DN32" s="39">
        <f t="shared" si="170"/>
        <v>0.46714285714285719</v>
      </c>
      <c r="DO32" s="39">
        <f t="shared" si="170"/>
        <v>0.41714285714285709</v>
      </c>
      <c r="DP32" s="39">
        <f t="shared" si="170"/>
        <v>0.45500000000000007</v>
      </c>
      <c r="DQ32" s="39">
        <f t="shared" si="170"/>
        <v>0.53857142857142859</v>
      </c>
      <c r="DR32" s="39">
        <f t="shared" si="170"/>
        <v>0.16500000000000001</v>
      </c>
      <c r="DS32" s="39">
        <f t="shared" si="170"/>
        <v>0.34928571428571425</v>
      </c>
      <c r="DT32" s="39">
        <f t="shared" si="170"/>
        <v>0.54</v>
      </c>
      <c r="DU32" s="39">
        <f t="shared" si="170"/>
        <v>0.48714285714285704</v>
      </c>
      <c r="DV32" s="39">
        <f t="shared" si="170"/>
        <v>0.58214285714285707</v>
      </c>
      <c r="DW32" s="39">
        <f t="shared" si="170"/>
        <v>0.32500000000000001</v>
      </c>
      <c r="DX32" s="129">
        <f>AVERAGEIFS(DX$36:DX$171,$C$36:$C$171,"=3", $B$36:$B$171,"NO OFICIAL")</f>
        <v>51.4</v>
      </c>
      <c r="DY32" s="129">
        <f>AVERAGEIFS(DY$36:DY$171,$C$36:$C$171,"=3", $B$36:$B$171,"NO OFICIAL")</f>
        <v>8.4666666666666668</v>
      </c>
      <c r="DZ32" s="39">
        <f>AVERAGEIFS(DZ$36:DZ$171,$C$36:$C$171,"=3", $B$36:$B$171,"NO OFICIAL")</f>
        <v>0.14133333333333334</v>
      </c>
      <c r="EA32" s="39">
        <f t="shared" ref="EA32:FA32" si="171">AVERAGEIFS(EA$36:EA$171,$C$36:$C$171,"=3", $B$36:$B$171,"NO OFICIAL")</f>
        <v>0.52</v>
      </c>
      <c r="EB32" s="39">
        <f t="shared" si="171"/>
        <v>0.33133333333333331</v>
      </c>
      <c r="EC32" s="39">
        <f t="shared" si="171"/>
        <v>0.01</v>
      </c>
      <c r="ED32" s="39">
        <f t="shared" si="171"/>
        <v>0.47266666666666668</v>
      </c>
      <c r="EE32" s="39">
        <f t="shared" si="171"/>
        <v>0.44466666666666671</v>
      </c>
      <c r="EF32" s="39">
        <f t="shared" si="171"/>
        <v>0.46199999999999997</v>
      </c>
      <c r="EG32" s="39">
        <f t="shared" si="171"/>
        <v>0.31</v>
      </c>
      <c r="EH32" s="39">
        <f t="shared" si="171"/>
        <v>0.42066666666666669</v>
      </c>
      <c r="EI32" s="39">
        <f t="shared" si="171"/>
        <v>0.46333333333333332</v>
      </c>
      <c r="EJ32" s="39">
        <f t="shared" si="171"/>
        <v>0.54466666666666674</v>
      </c>
      <c r="EK32" s="39">
        <f t="shared" si="171"/>
        <v>0.24400000000000002</v>
      </c>
      <c r="EL32" s="39">
        <f t="shared" si="171"/>
        <v>0.43066666666666664</v>
      </c>
      <c r="EM32" s="39">
        <f t="shared" si="171"/>
        <v>0.6186666666666667</v>
      </c>
      <c r="EN32" s="39">
        <f t="shared" si="171"/>
        <v>0.40599999999999997</v>
      </c>
      <c r="EO32" s="39">
        <f t="shared" si="171"/>
        <v>0.55666666666666664</v>
      </c>
      <c r="EP32" s="39">
        <f t="shared" si="171"/>
        <v>0.31533333333333335</v>
      </c>
      <c r="EQ32" s="39">
        <f t="shared" si="171"/>
        <v>0.23600000000000002</v>
      </c>
      <c r="ER32" s="39">
        <f t="shared" si="171"/>
        <v>0.58600000000000008</v>
      </c>
      <c r="ES32" s="39">
        <f t="shared" si="171"/>
        <v>0.44399999999999989</v>
      </c>
      <c r="ET32" s="39">
        <f t="shared" si="171"/>
        <v>0.28866666666666668</v>
      </c>
      <c r="EU32" s="39">
        <f t="shared" si="171"/>
        <v>0.58933333333333338</v>
      </c>
      <c r="EV32" s="39">
        <f t="shared" si="171"/>
        <v>0.35533333333333339</v>
      </c>
      <c r="EW32" s="39">
        <f t="shared" si="171"/>
        <v>0.29133333333333333</v>
      </c>
      <c r="EX32" s="39">
        <f t="shared" si="171"/>
        <v>0.67599999999999993</v>
      </c>
      <c r="EY32" s="39">
        <f t="shared" si="171"/>
        <v>0.55533333333333335</v>
      </c>
      <c r="EZ32" s="39">
        <f t="shared" si="171"/>
        <v>0.16800000000000001</v>
      </c>
      <c r="FA32" s="39">
        <f t="shared" si="171"/>
        <v>0.58733333333333337</v>
      </c>
      <c r="FB32" s="129">
        <f>AVERAGEIFS(FB$36:FB$171,$C$36:$C$171,"=3", $B$36:$B$171,"NO OFICIAL")</f>
        <v>51.666666666666664</v>
      </c>
      <c r="FD32" s="129">
        <f>AVERAGEIFS(FD$36:FD$171,$C$36:$C$171,"=3", $B$36:$B$171,"NO OFICIAL")</f>
        <v>7.8</v>
      </c>
      <c r="FF32" s="39">
        <f>AVERAGEIFS(FF$36:FF$171,$C$36:$C$171,"=3", $B$36:$B$171,"NO OFICIAL")</f>
        <v>8.4666666666666668E-2</v>
      </c>
      <c r="FG32" s="39">
        <f t="shared" ref="FG32:GI32" si="172">AVERAGEIFS(FG$36:FG$171,$C$36:$C$171,"=3", $B$36:$B$171,"NO OFICIAL")</f>
        <v>0.58466666666666667</v>
      </c>
      <c r="FH32" s="39">
        <f t="shared" si="172"/>
        <v>0.31799999999999995</v>
      </c>
      <c r="FI32" s="39">
        <f t="shared" si="172"/>
        <v>1.1333333333333334E-2</v>
      </c>
      <c r="FJ32" s="39">
        <f t="shared" si="172"/>
        <v>0.4373333333333333</v>
      </c>
      <c r="FK32" s="39">
        <f t="shared" si="172"/>
        <v>0.65933333333333322</v>
      </c>
      <c r="FL32" s="39">
        <f t="shared" si="172"/>
        <v>0.46199999999999997</v>
      </c>
      <c r="FM32" s="39">
        <f t="shared" si="172"/>
        <v>0.39866666666666661</v>
      </c>
      <c r="FN32" s="39">
        <f t="shared" si="172"/>
        <v>0.2273333333333333</v>
      </c>
      <c r="FO32" s="39">
        <f t="shared" si="172"/>
        <v>0.3066666666666667</v>
      </c>
      <c r="FP32" s="39">
        <f t="shared" si="172"/>
        <v>0.34600000000000003</v>
      </c>
      <c r="FQ32" s="39">
        <f t="shared" si="172"/>
        <v>0.36466666666666658</v>
      </c>
      <c r="FR32" s="39">
        <f t="shared" si="172"/>
        <v>0.55866666666666664</v>
      </c>
      <c r="FS32" s="39">
        <f t="shared" si="172"/>
        <v>0.51200000000000012</v>
      </c>
      <c r="FT32" s="39">
        <f t="shared" si="172"/>
        <v>0.47266666666666668</v>
      </c>
      <c r="FU32" s="39">
        <f t="shared" si="172"/>
        <v>0.31933333333333336</v>
      </c>
      <c r="FV32" s="39">
        <f t="shared" si="172"/>
        <v>0.53933333333333333</v>
      </c>
      <c r="FW32" s="39">
        <f t="shared" si="172"/>
        <v>0.53</v>
      </c>
      <c r="FX32" s="39">
        <f t="shared" si="172"/>
        <v>0.40066666666666673</v>
      </c>
      <c r="FY32" s="39">
        <f t="shared" si="172"/>
        <v>0.3186666666666666</v>
      </c>
      <c r="FZ32" s="39">
        <f t="shared" si="172"/>
        <v>0.37933333333333336</v>
      </c>
      <c r="GA32" s="39">
        <f t="shared" si="172"/>
        <v>0.47133333333333333</v>
      </c>
      <c r="GB32" s="39">
        <f t="shared" si="172"/>
        <v>0.50466666666666671</v>
      </c>
      <c r="GC32" s="39">
        <f t="shared" si="172"/>
        <v>0.40133333333333343</v>
      </c>
      <c r="GD32" s="39">
        <f t="shared" si="172"/>
        <v>0.58933333333333315</v>
      </c>
      <c r="GE32" s="39">
        <f t="shared" si="172"/>
        <v>0.49933333333333335</v>
      </c>
      <c r="GF32" s="39">
        <f t="shared" si="172"/>
        <v>0.42133333333333328</v>
      </c>
      <c r="GG32" s="39">
        <f t="shared" si="172"/>
        <v>0.39666666666666667</v>
      </c>
      <c r="GH32" s="39">
        <f t="shared" si="172"/>
        <v>0.53133333333333332</v>
      </c>
      <c r="GI32" s="39">
        <f t="shared" si="172"/>
        <v>0.22266666666666665</v>
      </c>
      <c r="GJ32" s="129">
        <f>AVERAGEIFS(GJ$36:GJ$171,$C$36:$C$171,"=3", $B$36:$B$171,"NO OFICIAL")</f>
        <v>52.125</v>
      </c>
      <c r="GL32" s="129">
        <f>AVERAGEIFS(GL$36:GL$171,$C$36:$C$171,"=3", $B$36:$B$171,"NO OFICIAL")</f>
        <v>8.625</v>
      </c>
      <c r="GN32" s="344">
        <f>AVERAGEIFS(GN$36:GN$171,$C$36:$C$171,"=3", $B$36:$B$171,"NO OFICIAL")</f>
        <v>0.10562500000000002</v>
      </c>
      <c r="GO32" s="344">
        <f t="shared" ref="GO32:HQ32" si="173">AVERAGEIFS(GO$36:GO$171,$C$36:$C$171,"=3", $B$36:$B$171,"NO OFICIAL")</f>
        <v>0.51812499999999995</v>
      </c>
      <c r="GP32" s="344">
        <f t="shared" si="173"/>
        <v>0.35812499999999992</v>
      </c>
      <c r="GQ32" s="344">
        <f t="shared" si="173"/>
        <v>1.8749999999999999E-2</v>
      </c>
      <c r="GR32" s="344">
        <f t="shared" si="173"/>
        <v>0.48000000000000009</v>
      </c>
      <c r="GS32" s="344">
        <f t="shared" si="173"/>
        <v>0.46937499999999999</v>
      </c>
      <c r="GT32" s="344">
        <f t="shared" si="173"/>
        <v>0.58062499999999995</v>
      </c>
      <c r="GU32" s="344">
        <f t="shared" si="173"/>
        <v>0.20374999999999999</v>
      </c>
      <c r="GV32" s="344">
        <f t="shared" si="173"/>
        <v>0.52875000000000005</v>
      </c>
      <c r="GW32" s="344">
        <f t="shared" si="173"/>
        <v>0.44500000000000006</v>
      </c>
      <c r="GX32" s="344">
        <f t="shared" si="173"/>
        <v>0.43250000000000005</v>
      </c>
      <c r="GY32" s="317" t="s">
        <v>283</v>
      </c>
      <c r="GZ32" s="344">
        <f t="shared" si="173"/>
        <v>0.2475</v>
      </c>
      <c r="HA32" s="344">
        <f t="shared" si="173"/>
        <v>0.65250000000000008</v>
      </c>
      <c r="HB32" s="344">
        <f t="shared" si="173"/>
        <v>0.42875000000000002</v>
      </c>
      <c r="HC32" s="344">
        <f t="shared" si="173"/>
        <v>0.48250000000000004</v>
      </c>
      <c r="HD32" s="344">
        <f t="shared" si="173"/>
        <v>0.52437500000000004</v>
      </c>
      <c r="HE32" s="344">
        <f t="shared" si="173"/>
        <v>0.45687500000000003</v>
      </c>
      <c r="HF32" s="344">
        <f t="shared" si="173"/>
        <v>0.44812500000000005</v>
      </c>
      <c r="HG32" s="344">
        <f t="shared" si="173"/>
        <v>0.64562499999999989</v>
      </c>
      <c r="HH32" s="344">
        <f t="shared" si="173"/>
        <v>0.35062499999999996</v>
      </c>
      <c r="HI32" s="344">
        <f t="shared" si="173"/>
        <v>0.50187500000000007</v>
      </c>
      <c r="HJ32" s="344">
        <f t="shared" si="173"/>
        <v>0.58500000000000008</v>
      </c>
      <c r="HK32" s="344">
        <f t="shared" si="173"/>
        <v>0.52874999999999994</v>
      </c>
      <c r="HL32" s="344">
        <f t="shared" si="173"/>
        <v>0.40625</v>
      </c>
      <c r="HM32" s="344">
        <f t="shared" si="173"/>
        <v>0.45749999999999996</v>
      </c>
      <c r="HN32" s="344">
        <f t="shared" si="173"/>
        <v>0.46187500000000004</v>
      </c>
      <c r="HO32" s="344">
        <f t="shared" si="173"/>
        <v>0.37562499999999993</v>
      </c>
      <c r="HP32" s="317" t="s">
        <v>283</v>
      </c>
      <c r="HQ32" s="344">
        <f t="shared" si="173"/>
        <v>0.40250000000000008</v>
      </c>
      <c r="HR32" s="129">
        <f>AVERAGEIFS(HR$36:HR$171,$C$36:$C$171,"=3", $B$36:$B$171,"NO OFICIAL")</f>
        <v>52.9375</v>
      </c>
      <c r="HT32" s="129">
        <f>AVERAGEIFS(HT$36:HT$171,$C$36:$C$171,"=3", $B$36:$B$171,"NO OFICIAL")</f>
        <v>8.5</v>
      </c>
      <c r="HV32" s="344">
        <f>AVERAGEIFS(HV$36:HV$171,$C$36:$C$171,"=3", $B$36:$B$171,"NO OFICIAL")</f>
        <v>9.5625000000000002E-2</v>
      </c>
      <c r="HW32" s="344">
        <f t="shared" ref="HW32:IZ32" si="174">AVERAGEIFS(HW$36:HW$171,$C$36:$C$171,"=3", $B$36:$B$171,"NO OFICIAL")</f>
        <v>0.50187500000000007</v>
      </c>
      <c r="HX32" s="344">
        <f t="shared" si="174"/>
        <v>0.39</v>
      </c>
      <c r="HY32" s="344">
        <f t="shared" si="174"/>
        <v>1.4375000000000001E-2</v>
      </c>
      <c r="HZ32" s="344">
        <f t="shared" si="174"/>
        <v>0.32937499999999997</v>
      </c>
      <c r="IA32" s="344">
        <f t="shared" si="174"/>
        <v>0.50062499999999999</v>
      </c>
      <c r="IB32" s="344">
        <f t="shared" si="174"/>
        <v>0.32562500000000005</v>
      </c>
      <c r="IC32" s="344">
        <f t="shared" si="174"/>
        <v>0.45124999999999998</v>
      </c>
      <c r="ID32" s="344">
        <f t="shared" si="174"/>
        <v>0.60312500000000013</v>
      </c>
      <c r="IE32" s="344">
        <f t="shared" si="174"/>
        <v>0.29624999999999996</v>
      </c>
      <c r="IF32" s="344">
        <f t="shared" si="174"/>
        <v>0.38937500000000003</v>
      </c>
      <c r="IG32" s="344">
        <f t="shared" si="174"/>
        <v>0.51187499999999997</v>
      </c>
      <c r="IH32" s="344">
        <f t="shared" si="174"/>
        <v>0.48375000000000001</v>
      </c>
      <c r="II32" s="344">
        <f t="shared" si="174"/>
        <v>0.31687500000000002</v>
      </c>
      <c r="IJ32" s="344">
        <f t="shared" si="174"/>
        <v>0.24375000000000002</v>
      </c>
      <c r="IK32" s="344">
        <f t="shared" si="174"/>
        <v>0.54562500000000003</v>
      </c>
      <c r="IL32" s="344">
        <f t="shared" si="174"/>
        <v>0.30499999999999999</v>
      </c>
      <c r="IM32" s="344">
        <f t="shared" si="174"/>
        <v>0.54625000000000001</v>
      </c>
      <c r="IN32" s="344">
        <f t="shared" si="174"/>
        <v>0.40437500000000004</v>
      </c>
      <c r="IO32" s="344">
        <f t="shared" si="174"/>
        <v>0.51812500000000006</v>
      </c>
      <c r="IP32" s="344">
        <f t="shared" si="174"/>
        <v>0.37312500000000004</v>
      </c>
      <c r="IQ32" s="344">
        <f t="shared" si="174"/>
        <v>0.63812500000000005</v>
      </c>
      <c r="IR32" s="344">
        <f t="shared" si="174"/>
        <v>0.53562500000000002</v>
      </c>
      <c r="IS32" s="344">
        <f t="shared" si="174"/>
        <v>0.48000000000000004</v>
      </c>
      <c r="IT32" s="344">
        <f t="shared" si="174"/>
        <v>0.39000000000000007</v>
      </c>
      <c r="IU32" s="317" t="s">
        <v>283</v>
      </c>
      <c r="IV32" s="344">
        <f t="shared" si="174"/>
        <v>0.58250000000000002</v>
      </c>
      <c r="IW32" s="344">
        <f t="shared" si="174"/>
        <v>0.40125</v>
      </c>
      <c r="IX32" s="344">
        <f t="shared" si="174"/>
        <v>0.46187499999999992</v>
      </c>
      <c r="IY32" s="344">
        <f t="shared" si="174"/>
        <v>0.46937499999999988</v>
      </c>
      <c r="IZ32" s="494">
        <f t="shared" si="174"/>
        <v>53.375</v>
      </c>
      <c r="JA32" s="499"/>
      <c r="JB32" s="302">
        <f>AVERAGEIFS(JB$36:JB$171,$C$36:$C$171,"=3", $B$36:$B$171,"NO OFICIAL")</f>
        <v>8.3125</v>
      </c>
      <c r="JC32" s="499"/>
      <c r="JD32" s="345">
        <f t="shared" ref="JD32:KG32" si="175">AVERAGEIFS(JD$36:JD$171,$C$36:$C$171,"=3", $B$36:$B$171,"NO OFICIAL")</f>
        <v>9.4375000000000014E-2</v>
      </c>
      <c r="JE32" s="345">
        <f t="shared" si="175"/>
        <v>0.4537500000000001</v>
      </c>
      <c r="JF32" s="345">
        <f t="shared" si="175"/>
        <v>0.43062499999999998</v>
      </c>
      <c r="JG32" s="345">
        <f t="shared" si="175"/>
        <v>2.0000000000000004E-2</v>
      </c>
      <c r="JH32" s="345">
        <f t="shared" ref="JH32:KC32" si="176">AVERAGEIFS(JH$36:JH$171,$C$36:$C$171,"=3", $B$36:$B$171,"NO OFICIAL")</f>
        <v>0.39437499999999998</v>
      </c>
      <c r="JI32" s="345">
        <f t="shared" si="176"/>
        <v>0.39124999999999999</v>
      </c>
      <c r="JJ32" s="345">
        <f t="shared" si="176"/>
        <v>0.37937500000000002</v>
      </c>
      <c r="JK32" s="345">
        <f t="shared" si="176"/>
        <v>0.44000000000000006</v>
      </c>
      <c r="JL32" s="345">
        <f t="shared" si="176"/>
        <v>0.42875000000000002</v>
      </c>
      <c r="JM32" s="345">
        <f t="shared" si="176"/>
        <v>0.44687500000000002</v>
      </c>
      <c r="JN32" s="345">
        <f t="shared" si="176"/>
        <v>0.37437500000000001</v>
      </c>
      <c r="JO32" s="345">
        <f t="shared" si="176"/>
        <v>0.43937500000000013</v>
      </c>
      <c r="JP32" s="345">
        <f t="shared" si="176"/>
        <v>0.49562500000000004</v>
      </c>
      <c r="JQ32" s="345">
        <f t="shared" si="176"/>
        <v>0.24687500000000001</v>
      </c>
      <c r="JR32" s="345">
        <f t="shared" si="176"/>
        <v>0.55749999999999988</v>
      </c>
      <c r="JS32" s="345">
        <f t="shared" si="176"/>
        <v>0.46937499999999999</v>
      </c>
      <c r="JT32" s="345">
        <f t="shared" si="176"/>
        <v>0.37625000000000003</v>
      </c>
      <c r="JU32" s="345">
        <f t="shared" si="176"/>
        <v>0.47499999999999998</v>
      </c>
      <c r="JV32" s="345">
        <f t="shared" si="176"/>
        <v>0.45249999999999996</v>
      </c>
      <c r="JW32" s="345">
        <f t="shared" si="176"/>
        <v>0.45187500000000003</v>
      </c>
      <c r="JX32" s="345">
        <f t="shared" si="176"/>
        <v>0.36499999999999999</v>
      </c>
      <c r="JY32" s="345">
        <f t="shared" si="176"/>
        <v>0.46000000000000013</v>
      </c>
      <c r="JZ32" s="345">
        <f t="shared" si="176"/>
        <v>0.40687500000000004</v>
      </c>
      <c r="KA32" s="345">
        <f t="shared" si="176"/>
        <v>0.59000000000000008</v>
      </c>
      <c r="KB32" s="345">
        <f t="shared" si="176"/>
        <v>0.40312500000000001</v>
      </c>
      <c r="KC32" s="345">
        <f t="shared" si="176"/>
        <v>0.62312499999999993</v>
      </c>
      <c r="KD32" s="345">
        <f t="shared" si="175"/>
        <v>0.33125000000000004</v>
      </c>
      <c r="KE32" s="345">
        <f>AVERAGEIFS(KE$36:KE$171,$C$36:$C$171,"=3", $B$36:$B$171,"NO OFICIAL")</f>
        <v>0.47000000000000008</v>
      </c>
      <c r="KF32" s="345">
        <f>AVERAGEIFS(KF$36:KF$171,$C$36:$C$171,"=3", $B$36:$B$171,"NO OFICIAL")</f>
        <v>0.43062500000000004</v>
      </c>
      <c r="KG32" s="345">
        <f t="shared" si="175"/>
        <v>0.47812499999999991</v>
      </c>
    </row>
    <row r="33" spans="1:293" ht="24.95" customHeight="1" x14ac:dyDescent="0.2">
      <c r="A33" s="6" t="s">
        <v>904</v>
      </c>
      <c r="B33" s="301"/>
      <c r="C33" s="301"/>
      <c r="D33" s="129">
        <f>AVERAGEIFS(D$36:D$171,$C$36:$C$171,"=4", $B$36:$B$171,"NO OFICIAL")</f>
        <v>51.625</v>
      </c>
      <c r="E33" s="129">
        <f>AVERAGEIFS(E$36:E$171,$C$36:$C$171,"=4", $B$36:$B$171,"NO OFICIAL")</f>
        <v>6.75</v>
      </c>
      <c r="F33" s="39">
        <f>AVERAGEIFS(F$36:F$171,$C$36:$C$171,"=4", $B$36:$B$171,"NO OFICIAL")</f>
        <v>0.13375000000000001</v>
      </c>
      <c r="G33" s="39">
        <f t="shared" ref="G33:AG33" si="177">AVERAGEIFS(G$36:G$171,$C$36:$C$171,"=4", $B$36:$B$171,"NO OFICIAL")</f>
        <v>0.54374999999999996</v>
      </c>
      <c r="H33" s="39">
        <f t="shared" si="177"/>
        <v>0.32374999999999998</v>
      </c>
      <c r="I33" s="39">
        <f t="shared" si="177"/>
        <v>0</v>
      </c>
      <c r="J33" s="39">
        <f t="shared" si="177"/>
        <v>0.47250000000000003</v>
      </c>
      <c r="K33" s="39">
        <f t="shared" si="177"/>
        <v>0.46</v>
      </c>
      <c r="L33" s="39">
        <f t="shared" si="177"/>
        <v>0.77124999999999999</v>
      </c>
      <c r="M33" s="39">
        <f t="shared" si="177"/>
        <v>0.31</v>
      </c>
      <c r="N33" s="39">
        <f t="shared" si="177"/>
        <v>0.3125</v>
      </c>
      <c r="O33" s="39">
        <f t="shared" si="177"/>
        <v>0.61375000000000002</v>
      </c>
      <c r="P33" s="39">
        <f t="shared" si="177"/>
        <v>0.375</v>
      </c>
      <c r="Q33" s="39">
        <f t="shared" si="177"/>
        <v>0.38875000000000004</v>
      </c>
      <c r="R33" s="39">
        <f t="shared" si="177"/>
        <v>0.52749999999999997</v>
      </c>
      <c r="S33" s="39">
        <f t="shared" si="177"/>
        <v>0.54249999999999998</v>
      </c>
      <c r="T33" s="39">
        <f t="shared" si="177"/>
        <v>0.41499999999999998</v>
      </c>
      <c r="U33" s="39">
        <f t="shared" si="177"/>
        <v>0.64</v>
      </c>
      <c r="V33" s="39">
        <f t="shared" si="177"/>
        <v>8.2500000000000004E-2</v>
      </c>
      <c r="W33" s="39">
        <f t="shared" si="177"/>
        <v>0.20500000000000002</v>
      </c>
      <c r="X33" s="39">
        <f t="shared" si="177"/>
        <v>0.56875000000000009</v>
      </c>
      <c r="Y33" s="39">
        <f t="shared" si="177"/>
        <v>0.57874999999999999</v>
      </c>
      <c r="Z33" s="39">
        <f t="shared" si="177"/>
        <v>0.75</v>
      </c>
      <c r="AA33" s="39">
        <f t="shared" si="177"/>
        <v>0.15875</v>
      </c>
      <c r="AB33" s="39">
        <f t="shared" si="177"/>
        <v>0.51875000000000004</v>
      </c>
      <c r="AC33" s="39">
        <f t="shared" si="177"/>
        <v>0.39374999999999999</v>
      </c>
      <c r="AD33" s="39">
        <f t="shared" si="177"/>
        <v>0.49999999999999994</v>
      </c>
      <c r="AE33" s="39">
        <f t="shared" si="177"/>
        <v>0.50249999999999995</v>
      </c>
      <c r="AF33" s="39">
        <f t="shared" si="177"/>
        <v>0.495</v>
      </c>
      <c r="AG33" s="39">
        <f t="shared" si="177"/>
        <v>0.55249999999999999</v>
      </c>
      <c r="AH33" s="129">
        <f>AVERAGEIFS(AH$36:AH$171,$C$36:$C$171,"=4", $B$36:$B$171,"NO OFICIAL")</f>
        <v>52.111111111111114</v>
      </c>
      <c r="AI33" s="129">
        <f>AVERAGEIFS(AI$36:AI$171,$C$36:$C$171,"=4", $B$36:$B$171,"NO OFICIAL")</f>
        <v>6.4444444444444446</v>
      </c>
      <c r="AJ33" s="39">
        <f>AVERAGEIFS(AJ$36:AJ$171,$C$36:$C$171,"=4", $B$36:$B$171,"NO OFICIAL")</f>
        <v>0.10666666666666666</v>
      </c>
      <c r="AK33" s="39">
        <f t="shared" ref="AK33:BL33" si="178">AVERAGEIFS(AK$36:AK$171,$C$36:$C$171,"=4", $B$36:$B$171,"NO OFICIAL")</f>
        <v>0.48777777777777787</v>
      </c>
      <c r="AL33" s="39">
        <f t="shared" si="178"/>
        <v>0.40333333333333332</v>
      </c>
      <c r="AM33" s="39">
        <f t="shared" si="178"/>
        <v>3.3333333333333331E-3</v>
      </c>
      <c r="AN33" s="39">
        <f t="shared" si="178"/>
        <v>0.23666666666666666</v>
      </c>
      <c r="AO33" s="39">
        <f t="shared" si="178"/>
        <v>0.39777777777777779</v>
      </c>
      <c r="AP33" s="39">
        <f t="shared" si="178"/>
        <v>0.60555555555555562</v>
      </c>
      <c r="AQ33" s="39">
        <f t="shared" si="178"/>
        <v>0.39111111111111113</v>
      </c>
      <c r="AR33" s="39">
        <f t="shared" si="178"/>
        <v>0.57111111111111112</v>
      </c>
      <c r="AS33" s="39">
        <f t="shared" si="178"/>
        <v>0.51333333333333331</v>
      </c>
      <c r="AT33" s="39">
        <f t="shared" si="178"/>
        <v>0.52888888888888896</v>
      </c>
      <c r="AU33" s="39">
        <f t="shared" si="178"/>
        <v>0.53</v>
      </c>
      <c r="AV33" s="39">
        <f t="shared" si="178"/>
        <v>0.60000000000000009</v>
      </c>
      <c r="AW33" s="39">
        <f t="shared" si="178"/>
        <v>0.4466666666666666</v>
      </c>
      <c r="AX33" s="39">
        <f t="shared" si="178"/>
        <v>0.5774999999999999</v>
      </c>
      <c r="AY33" s="39">
        <f t="shared" si="178"/>
        <v>0.3477777777777778</v>
      </c>
      <c r="AZ33" s="39">
        <f t="shared" si="178"/>
        <v>0.35666666666666669</v>
      </c>
      <c r="BA33" s="39">
        <f t="shared" si="178"/>
        <v>0.46666666666666667</v>
      </c>
      <c r="BB33" s="39">
        <f t="shared" si="178"/>
        <v>0.60111111111111104</v>
      </c>
      <c r="BC33" s="39">
        <f t="shared" si="178"/>
        <v>0.55888888888888888</v>
      </c>
      <c r="BD33" s="39">
        <f t="shared" si="178"/>
        <v>0.42666666666666669</v>
      </c>
      <c r="BE33" s="39">
        <f t="shared" si="178"/>
        <v>0.53333333333333333</v>
      </c>
      <c r="BF33" s="39">
        <f t="shared" si="178"/>
        <v>0.61124999999999996</v>
      </c>
      <c r="BG33" s="39">
        <f t="shared" si="178"/>
        <v>0.43333333333333335</v>
      </c>
      <c r="BH33" s="39">
        <f t="shared" si="178"/>
        <v>0.43333333333333335</v>
      </c>
      <c r="BI33" s="39">
        <f t="shared" si="178"/>
        <v>0.39888888888888885</v>
      </c>
      <c r="BJ33" s="39">
        <f t="shared" si="178"/>
        <v>0.44</v>
      </c>
      <c r="BK33" s="39">
        <f t="shared" si="178"/>
        <v>0.43555555555555553</v>
      </c>
      <c r="BL33" s="39">
        <f t="shared" si="178"/>
        <v>0.46250000000000002</v>
      </c>
      <c r="BM33" s="129">
        <f>AVERAGEIFS(BM$36:BM$171,$C$36:$C$171,"=4", $B$36:$B$171,"NO OFICIAL")</f>
        <v>51.111111111111114</v>
      </c>
      <c r="BN33" s="129">
        <f>AVERAGEIFS(BN$36:BN$171,$C$36:$C$171,"=4", $B$36:$B$171,"NO OFICIAL")</f>
        <v>7</v>
      </c>
      <c r="BO33" s="39">
        <f>AVERAGEIFS(BO$36:BO$171,$C$36:$C$171,"=4", $B$36:$B$171,"NO OFICIAL")</f>
        <v>0.13</v>
      </c>
      <c r="BP33" s="39">
        <f t="shared" ref="BP33:CR33" si="179">AVERAGEIFS(BP$36:BP$171,$C$36:$C$171,"=4", $B$36:$B$171,"NO OFICIAL")</f>
        <v>0.55333333333333323</v>
      </c>
      <c r="BQ33" s="39">
        <f t="shared" si="179"/>
        <v>0.31555555555555559</v>
      </c>
      <c r="BR33" s="39">
        <f t="shared" si="179"/>
        <v>2.2222222222222222E-3</v>
      </c>
      <c r="BS33" s="39">
        <f t="shared" si="179"/>
        <v>0.32666666666666661</v>
      </c>
      <c r="BT33" s="39">
        <f t="shared" si="179"/>
        <v>0.66333333333333333</v>
      </c>
      <c r="BU33" s="39">
        <f t="shared" si="179"/>
        <v>0.67222222222222205</v>
      </c>
      <c r="BV33" s="39">
        <f t="shared" si="179"/>
        <v>0.28888888888888892</v>
      </c>
      <c r="BW33" s="39">
        <f t="shared" si="179"/>
        <v>0.67666666666666664</v>
      </c>
      <c r="BX33" s="39">
        <f t="shared" si="179"/>
        <v>0.40222222222222226</v>
      </c>
      <c r="BY33" s="39">
        <f t="shared" si="179"/>
        <v>0.47222222222222221</v>
      </c>
      <c r="BZ33" s="39">
        <f t="shared" si="179"/>
        <v>0.5377777777777778</v>
      </c>
      <c r="CA33" s="39">
        <f t="shared" si="179"/>
        <v>0.52</v>
      </c>
      <c r="CB33" s="39">
        <f t="shared" si="179"/>
        <v>0.3644444444444444</v>
      </c>
      <c r="CC33" s="39">
        <f t="shared" si="179"/>
        <v>0.17777777777777778</v>
      </c>
      <c r="CD33" s="39">
        <f t="shared" si="179"/>
        <v>0.42333333333333328</v>
      </c>
      <c r="CE33" s="39">
        <f t="shared" si="179"/>
        <v>0.27444444444444449</v>
      </c>
      <c r="CF33" s="39">
        <f t="shared" si="179"/>
        <v>0.59</v>
      </c>
      <c r="CG33" s="39">
        <f t="shared" si="179"/>
        <v>0.56111111111111112</v>
      </c>
      <c r="CH33" s="39">
        <f t="shared" si="179"/>
        <v>0.45444444444444443</v>
      </c>
      <c r="CI33" s="39">
        <f t="shared" si="179"/>
        <v>0.59222222222222221</v>
      </c>
      <c r="CJ33" s="39">
        <f t="shared" si="179"/>
        <v>0.26222222222222219</v>
      </c>
      <c r="CK33" s="39">
        <f t="shared" si="179"/>
        <v>0.74444444444444446</v>
      </c>
      <c r="CL33" s="39">
        <f t="shared" si="179"/>
        <v>0.31333333333333335</v>
      </c>
      <c r="CM33" s="39">
        <f t="shared" si="179"/>
        <v>0.42666666666666664</v>
      </c>
      <c r="CN33" s="39">
        <f t="shared" si="179"/>
        <v>0.4366666666666667</v>
      </c>
      <c r="CO33" s="39">
        <f t="shared" si="179"/>
        <v>0.54333333333333345</v>
      </c>
      <c r="CP33" s="39">
        <f t="shared" si="179"/>
        <v>0.34111111111111109</v>
      </c>
      <c r="CQ33" s="39">
        <f t="shared" si="179"/>
        <v>0.5</v>
      </c>
      <c r="CR33" s="39">
        <f t="shared" si="179"/>
        <v>0.51</v>
      </c>
      <c r="CS33" s="129">
        <f>AVERAGEIFS(CS$36:CS$171,$C$36:$C$171,"=4", $B$36:$B$171,"NO OFICIAL")</f>
        <v>49.375</v>
      </c>
      <c r="CT33" s="129">
        <f>AVERAGEIFS(CT$36:CT$171,$C$36:$C$171,"=4", $B$36:$B$171,"NO OFICIAL")</f>
        <v>7.25</v>
      </c>
      <c r="CU33" s="39">
        <f>AVERAGEIFS(CU$36:CU$171,$C$36:$C$171,"=4", $B$36:$B$171,"NO OFICIAL")</f>
        <v>0.13375000000000001</v>
      </c>
      <c r="CV33" s="39">
        <f t="shared" ref="CV33:DW33" si="180">AVERAGEIFS(CV$36:CV$171,$C$36:$C$171,"=4", $B$36:$B$171,"NO OFICIAL")</f>
        <v>0.64999999999999991</v>
      </c>
      <c r="CW33" s="39">
        <f t="shared" si="180"/>
        <v>0.21375</v>
      </c>
      <c r="CX33" s="39">
        <f t="shared" si="180"/>
        <v>2.5000000000000001E-3</v>
      </c>
      <c r="CY33" s="39">
        <f t="shared" si="180"/>
        <v>0.51124999999999998</v>
      </c>
      <c r="CZ33" s="39">
        <f t="shared" si="180"/>
        <v>0.3125</v>
      </c>
      <c r="DA33" s="39">
        <f t="shared" si="180"/>
        <v>0.57999999999999996</v>
      </c>
      <c r="DB33" s="39">
        <f t="shared" si="180"/>
        <v>0.37874999999999998</v>
      </c>
      <c r="DC33" s="39">
        <f t="shared" si="180"/>
        <v>0.41374999999999995</v>
      </c>
      <c r="DD33" s="39">
        <f t="shared" si="180"/>
        <v>0.62249999999999994</v>
      </c>
      <c r="DE33" s="39">
        <f t="shared" si="180"/>
        <v>0.45625000000000004</v>
      </c>
      <c r="DF33" s="39">
        <f t="shared" si="180"/>
        <v>0.56125000000000003</v>
      </c>
      <c r="DG33" s="39">
        <f t="shared" si="180"/>
        <v>0.43374999999999997</v>
      </c>
      <c r="DH33" s="39">
        <f t="shared" si="180"/>
        <v>0.36125000000000002</v>
      </c>
      <c r="DI33" s="39">
        <f t="shared" si="180"/>
        <v>0.495</v>
      </c>
      <c r="DJ33" s="39">
        <f t="shared" si="180"/>
        <v>0.57375000000000009</v>
      </c>
      <c r="DK33" s="39">
        <f t="shared" si="180"/>
        <v>0.3775</v>
      </c>
      <c r="DL33" s="39">
        <f t="shared" si="180"/>
        <v>0.39624999999999999</v>
      </c>
      <c r="DM33" s="39">
        <f t="shared" si="180"/>
        <v>0.5</v>
      </c>
      <c r="DN33" s="39">
        <f t="shared" si="180"/>
        <v>0.50250000000000006</v>
      </c>
      <c r="DO33" s="39">
        <f t="shared" si="180"/>
        <v>0.47125000000000006</v>
      </c>
      <c r="DP33" s="39">
        <f t="shared" si="180"/>
        <v>0.48374999999999996</v>
      </c>
      <c r="DQ33" s="39">
        <f t="shared" si="180"/>
        <v>0.55500000000000005</v>
      </c>
      <c r="DR33" s="39">
        <f t="shared" si="180"/>
        <v>0.215</v>
      </c>
      <c r="DS33" s="39">
        <f t="shared" si="180"/>
        <v>0.41750000000000004</v>
      </c>
      <c r="DT33" s="39">
        <f t="shared" si="180"/>
        <v>0.56625000000000003</v>
      </c>
      <c r="DU33" s="39">
        <f t="shared" si="180"/>
        <v>0.40125</v>
      </c>
      <c r="DV33" s="39">
        <f t="shared" si="180"/>
        <v>0.61124999999999996</v>
      </c>
      <c r="DW33" s="39">
        <f t="shared" si="180"/>
        <v>0.36375000000000002</v>
      </c>
      <c r="DX33" s="129">
        <f>AVERAGEIFS(DX$36:DX$171,$C$36:$C$171,"=4", $B$36:$B$171,"NO OFICIAL")</f>
        <v>48.571428571428569</v>
      </c>
      <c r="DY33" s="129">
        <f>AVERAGEIFS(DY$36:DY$171,$C$36:$C$171,"=4", $B$36:$B$171,"NO OFICIAL")</f>
        <v>8.2857142857142865</v>
      </c>
      <c r="DZ33" s="39">
        <f>AVERAGEIFS(DZ$36:DZ$171,$C$36:$C$171,"=4", $B$36:$B$171,"NO OFICIAL")</f>
        <v>0.20714285714285716</v>
      </c>
      <c r="EA33" s="39">
        <f t="shared" ref="EA33:FA33" si="181">AVERAGEIFS(EA$36:EA$171,$C$36:$C$171,"=4", $B$36:$B$171,"NO OFICIAL")</f>
        <v>0.51714285714285713</v>
      </c>
      <c r="EB33" s="39">
        <f t="shared" si="181"/>
        <v>0.2742857142857143</v>
      </c>
      <c r="EC33" s="39">
        <f t="shared" si="181"/>
        <v>2.8571428571428571E-3</v>
      </c>
      <c r="ED33" s="39">
        <f t="shared" si="181"/>
        <v>0.56285714285714294</v>
      </c>
      <c r="EE33" s="39">
        <f t="shared" si="181"/>
        <v>0.46571428571428575</v>
      </c>
      <c r="EF33" s="39">
        <f t="shared" si="181"/>
        <v>0.48999999999999994</v>
      </c>
      <c r="EG33" s="39">
        <f t="shared" si="181"/>
        <v>0.33571428571428574</v>
      </c>
      <c r="EH33" s="39">
        <f t="shared" si="181"/>
        <v>0.44142857142857139</v>
      </c>
      <c r="EI33" s="39">
        <f t="shared" si="181"/>
        <v>0.57714285714285718</v>
      </c>
      <c r="EJ33" s="39">
        <f t="shared" si="181"/>
        <v>0.55142857142857149</v>
      </c>
      <c r="EK33" s="39">
        <f t="shared" si="181"/>
        <v>0.25571428571428573</v>
      </c>
      <c r="EL33" s="39">
        <f t="shared" si="181"/>
        <v>0.51285714285714279</v>
      </c>
      <c r="EM33" s="39">
        <f t="shared" si="181"/>
        <v>0.67714285714285716</v>
      </c>
      <c r="EN33" s="39">
        <f t="shared" si="181"/>
        <v>0.44428571428571434</v>
      </c>
      <c r="EO33" s="39">
        <f t="shared" si="181"/>
        <v>0.60857142857142854</v>
      </c>
      <c r="EP33" s="39">
        <f t="shared" si="181"/>
        <v>0.38142857142857139</v>
      </c>
      <c r="EQ33" s="39">
        <f t="shared" si="181"/>
        <v>0.32714285714285712</v>
      </c>
      <c r="ER33" s="39">
        <f t="shared" si="181"/>
        <v>0.59</v>
      </c>
      <c r="ES33" s="39">
        <f t="shared" si="181"/>
        <v>0.4628571428571428</v>
      </c>
      <c r="ET33" s="39">
        <f t="shared" si="181"/>
        <v>0.36285714285714288</v>
      </c>
      <c r="EU33" s="39">
        <f t="shared" si="181"/>
        <v>0.59714285714285709</v>
      </c>
      <c r="EV33" s="39">
        <f t="shared" si="181"/>
        <v>0.36</v>
      </c>
      <c r="EW33" s="39">
        <f t="shared" si="181"/>
        <v>0.38714285714285712</v>
      </c>
      <c r="EX33" s="39">
        <f t="shared" si="181"/>
        <v>0.75285714285714289</v>
      </c>
      <c r="EY33" s="39">
        <f t="shared" si="181"/>
        <v>0.59428571428571431</v>
      </c>
      <c r="EZ33" s="39">
        <f t="shared" si="181"/>
        <v>0.24428571428571427</v>
      </c>
      <c r="FA33" s="39">
        <f t="shared" si="181"/>
        <v>0.6428571428571429</v>
      </c>
      <c r="FB33" s="129">
        <f>AVERAGEIFS(FB$36:FB$171,$C$36:$C$171,"=4", $B$36:$B$171,"NO OFICIAL")</f>
        <v>48.75</v>
      </c>
      <c r="FD33" s="129">
        <f>AVERAGEIFS(FD$36:FD$171,$C$36:$C$171,"=4", $B$36:$B$171,"NO OFICIAL")</f>
        <v>6.875</v>
      </c>
      <c r="FF33" s="39">
        <f>AVERAGEIFS(FF$36:FF$171,$C$36:$C$171,"=4", $B$36:$B$171,"NO OFICIAL")</f>
        <v>0.14750000000000002</v>
      </c>
      <c r="FG33" s="39">
        <f t="shared" ref="FG33:GI33" si="182">AVERAGEIFS(FG$36:FG$171,$C$36:$C$171,"=4", $B$36:$B$171,"NO OFICIAL")</f>
        <v>0.65249999999999997</v>
      </c>
      <c r="FH33" s="39">
        <f t="shared" si="182"/>
        <v>0.2</v>
      </c>
      <c r="FI33" s="39">
        <f t="shared" si="182"/>
        <v>2.5000000000000001E-3</v>
      </c>
      <c r="FJ33" s="39">
        <f t="shared" si="182"/>
        <v>0.54375000000000007</v>
      </c>
      <c r="FK33" s="39">
        <f t="shared" si="182"/>
        <v>0.65375000000000005</v>
      </c>
      <c r="FL33" s="39">
        <f t="shared" si="182"/>
        <v>0.52750000000000008</v>
      </c>
      <c r="FM33" s="39">
        <f t="shared" si="182"/>
        <v>0.52</v>
      </c>
      <c r="FN33" s="39">
        <f t="shared" si="182"/>
        <v>0.31714285714285717</v>
      </c>
      <c r="FO33" s="39">
        <f t="shared" si="182"/>
        <v>0.38750000000000001</v>
      </c>
      <c r="FP33" s="39">
        <f t="shared" si="182"/>
        <v>0.44624999999999998</v>
      </c>
      <c r="FQ33" s="39">
        <f t="shared" si="182"/>
        <v>0.44249999999999995</v>
      </c>
      <c r="FR33" s="39">
        <f t="shared" si="182"/>
        <v>0.5575</v>
      </c>
      <c r="FS33" s="39">
        <f t="shared" si="182"/>
        <v>0.58374999999999999</v>
      </c>
      <c r="FT33" s="39">
        <f t="shared" si="182"/>
        <v>0.53125</v>
      </c>
      <c r="FU33" s="39">
        <f t="shared" si="182"/>
        <v>0.41571428571428576</v>
      </c>
      <c r="FV33" s="39">
        <f t="shared" si="182"/>
        <v>0.64499999999999991</v>
      </c>
      <c r="FW33" s="39">
        <f t="shared" si="182"/>
        <v>0.54125000000000001</v>
      </c>
      <c r="FX33" s="39">
        <f t="shared" si="182"/>
        <v>0.49874999999999997</v>
      </c>
      <c r="FY33" s="39">
        <f t="shared" si="182"/>
        <v>0.32875000000000004</v>
      </c>
      <c r="FZ33" s="39">
        <f t="shared" si="182"/>
        <v>0.39500000000000007</v>
      </c>
      <c r="GA33" s="39">
        <f t="shared" si="182"/>
        <v>0.48124999999999996</v>
      </c>
      <c r="GB33" s="39">
        <f t="shared" si="182"/>
        <v>0.6412500000000001</v>
      </c>
      <c r="GC33" s="39">
        <f t="shared" si="182"/>
        <v>0.44624999999999998</v>
      </c>
      <c r="GD33" s="39">
        <f t="shared" si="182"/>
        <v>0.65499999999999992</v>
      </c>
      <c r="GE33" s="39">
        <f t="shared" si="182"/>
        <v>0.45124999999999998</v>
      </c>
      <c r="GF33" s="39">
        <f t="shared" si="182"/>
        <v>0.46</v>
      </c>
      <c r="GG33" s="39">
        <f t="shared" si="182"/>
        <v>0.50625000000000009</v>
      </c>
      <c r="GH33" s="39">
        <f t="shared" si="182"/>
        <v>0.53</v>
      </c>
      <c r="GI33" s="39">
        <f t="shared" si="182"/>
        <v>0.26</v>
      </c>
      <c r="GJ33" s="129">
        <f>AVERAGEIFS(GJ$36:GJ$171,$C$36:$C$171,"=4", $B$36:$B$171,"NO OFICIAL")</f>
        <v>50.25</v>
      </c>
      <c r="GL33" s="129">
        <f>AVERAGEIFS(GL$36:GL$171,$C$36:$C$171,"=4", $B$36:$B$171,"NO OFICIAL")</f>
        <v>8.375</v>
      </c>
      <c r="GN33" s="344">
        <f>AVERAGEIFS(GN$36:GN$171,$C$36:$C$171,"=4", $B$36:$B$171,"NO OFICIAL")</f>
        <v>0.17250000000000004</v>
      </c>
      <c r="GO33" s="344">
        <f t="shared" ref="GO33:HQ33" si="183">AVERAGEIFS(GO$36:GO$171,$C$36:$C$171,"=4", $B$36:$B$171,"NO OFICIAL")</f>
        <v>0.55125000000000002</v>
      </c>
      <c r="GP33" s="344">
        <f t="shared" si="183"/>
        <v>0.25625000000000003</v>
      </c>
      <c r="GQ33" s="344">
        <f t="shared" si="183"/>
        <v>0.02</v>
      </c>
      <c r="GR33" s="344">
        <f t="shared" si="183"/>
        <v>0.5</v>
      </c>
      <c r="GS33" s="344">
        <f t="shared" si="183"/>
        <v>0.56000000000000005</v>
      </c>
      <c r="GT33" s="344">
        <f t="shared" si="183"/>
        <v>0.61750000000000005</v>
      </c>
      <c r="GU33" s="344">
        <f t="shared" si="183"/>
        <v>0.29250000000000004</v>
      </c>
      <c r="GV33" s="344">
        <f t="shared" si="183"/>
        <v>0.61124999999999996</v>
      </c>
      <c r="GW33" s="344">
        <f t="shared" si="183"/>
        <v>0.45750000000000002</v>
      </c>
      <c r="GX33" s="344">
        <f t="shared" si="183"/>
        <v>0.47875000000000001</v>
      </c>
      <c r="GY33" s="317" t="s">
        <v>283</v>
      </c>
      <c r="GZ33" s="344">
        <f t="shared" si="183"/>
        <v>0.31125000000000003</v>
      </c>
      <c r="HA33" s="344">
        <f t="shared" si="183"/>
        <v>0.64874999999999994</v>
      </c>
      <c r="HB33" s="344">
        <f t="shared" si="183"/>
        <v>0.46249999999999997</v>
      </c>
      <c r="HC33" s="344">
        <f t="shared" si="183"/>
        <v>0.52875000000000005</v>
      </c>
      <c r="HD33" s="344">
        <f t="shared" si="183"/>
        <v>0.55875000000000008</v>
      </c>
      <c r="HE33" s="344">
        <f t="shared" si="183"/>
        <v>0.44999999999999996</v>
      </c>
      <c r="HF33" s="344">
        <f t="shared" si="183"/>
        <v>0.47625000000000006</v>
      </c>
      <c r="HG33" s="344">
        <f t="shared" si="183"/>
        <v>0.65000000000000013</v>
      </c>
      <c r="HH33" s="344">
        <f t="shared" si="183"/>
        <v>0.40000000000000008</v>
      </c>
      <c r="HI33" s="344">
        <f t="shared" si="183"/>
        <v>0.57375000000000009</v>
      </c>
      <c r="HJ33" s="344">
        <f t="shared" si="183"/>
        <v>0.58875000000000011</v>
      </c>
      <c r="HK33" s="344">
        <f t="shared" si="183"/>
        <v>0.47249999999999998</v>
      </c>
      <c r="HL33" s="344">
        <f t="shared" si="183"/>
        <v>0.41375000000000001</v>
      </c>
      <c r="HM33" s="344">
        <f t="shared" si="183"/>
        <v>0.48</v>
      </c>
      <c r="HN33" s="344">
        <f t="shared" si="183"/>
        <v>0.42999999999999994</v>
      </c>
      <c r="HO33" s="344">
        <f t="shared" si="183"/>
        <v>0.40750000000000003</v>
      </c>
      <c r="HP33" s="317" t="s">
        <v>283</v>
      </c>
      <c r="HQ33" s="344">
        <f t="shared" si="183"/>
        <v>0.42750000000000005</v>
      </c>
      <c r="HR33" s="129">
        <f>AVERAGEIFS(HR$36:HR$171,$C$36:$C$171,"=4", $B$36:$B$171,"NO OFICIAL")</f>
        <v>48.888888888888886</v>
      </c>
      <c r="HT33" s="129">
        <f>AVERAGEIFS(HT$36:HT$171,$C$36:$C$171,"=4", $B$36:$B$171,"NO OFICIAL")</f>
        <v>7.7777777777777777</v>
      </c>
      <c r="HV33" s="344">
        <f>AVERAGEIFS(HV$36:HV$171,$C$36:$C$171,"=4", $B$36:$B$171,"NO OFICIAL")</f>
        <v>0.16444444444444445</v>
      </c>
      <c r="HW33" s="344">
        <f t="shared" ref="HW33:IZ33" si="184">AVERAGEIFS(HW$36:HW$171,$C$36:$C$171,"=4", $B$36:$B$171,"NO OFICIAL")</f>
        <v>0.5888888888888888</v>
      </c>
      <c r="HX33" s="344">
        <f t="shared" si="184"/>
        <v>0.24333333333333337</v>
      </c>
      <c r="HY33" s="344">
        <f t="shared" si="184"/>
        <v>4.4444444444444444E-3</v>
      </c>
      <c r="HZ33" s="344">
        <f t="shared" si="184"/>
        <v>0.40777777777777779</v>
      </c>
      <c r="IA33" s="344">
        <f t="shared" si="184"/>
        <v>0.56444444444444453</v>
      </c>
      <c r="IB33" s="344">
        <f t="shared" si="184"/>
        <v>0.3511111111111111</v>
      </c>
      <c r="IC33" s="344">
        <f t="shared" si="184"/>
        <v>0.56222222222222229</v>
      </c>
      <c r="ID33" s="344">
        <f t="shared" si="184"/>
        <v>0.68</v>
      </c>
      <c r="IE33" s="344">
        <f t="shared" si="184"/>
        <v>0.41555555555555551</v>
      </c>
      <c r="IF33" s="344">
        <f t="shared" si="184"/>
        <v>0.46111111111111114</v>
      </c>
      <c r="IG33" s="344">
        <f t="shared" si="184"/>
        <v>0.53111111111111109</v>
      </c>
      <c r="IH33" s="344">
        <f t="shared" si="184"/>
        <v>0.60000000000000009</v>
      </c>
      <c r="II33" s="344">
        <f t="shared" si="184"/>
        <v>0.41333333333333333</v>
      </c>
      <c r="IJ33" s="344">
        <f t="shared" si="184"/>
        <v>0.30777777777777776</v>
      </c>
      <c r="IK33" s="344">
        <f t="shared" si="184"/>
        <v>0.57888888888888879</v>
      </c>
      <c r="IL33" s="344">
        <f t="shared" si="184"/>
        <v>0.3355555555555555</v>
      </c>
      <c r="IM33" s="344">
        <f t="shared" si="184"/>
        <v>0.59111111111111114</v>
      </c>
      <c r="IN33" s="344">
        <f t="shared" si="184"/>
        <v>0.51222222222222225</v>
      </c>
      <c r="IO33" s="344">
        <f t="shared" si="184"/>
        <v>0.57444444444444454</v>
      </c>
      <c r="IP33" s="344">
        <f t="shared" si="184"/>
        <v>0.47888888888888892</v>
      </c>
      <c r="IQ33" s="344">
        <f t="shared" si="184"/>
        <v>0.66222222222222227</v>
      </c>
      <c r="IR33" s="344">
        <f t="shared" si="184"/>
        <v>0.61111111111111116</v>
      </c>
      <c r="IS33" s="344">
        <f t="shared" si="184"/>
        <v>0.56666666666666665</v>
      </c>
      <c r="IT33" s="344">
        <f t="shared" si="184"/>
        <v>0.47222222222222221</v>
      </c>
      <c r="IU33" s="317" t="s">
        <v>283</v>
      </c>
      <c r="IV33" s="344">
        <f t="shared" si="184"/>
        <v>0.66222222222222216</v>
      </c>
      <c r="IW33" s="344">
        <f t="shared" si="184"/>
        <v>0.40666666666666662</v>
      </c>
      <c r="IX33" s="344">
        <f t="shared" si="184"/>
        <v>0.55888888888888877</v>
      </c>
      <c r="IY33" s="344">
        <f t="shared" si="184"/>
        <v>0.52111111111111119</v>
      </c>
      <c r="IZ33" s="494">
        <f t="shared" si="184"/>
        <v>51.857142857142854</v>
      </c>
      <c r="JA33" s="499"/>
      <c r="JB33" s="302">
        <f>AVERAGEIFS(JB$36:JB$171,$C$36:$C$171,"=4", $B$36:$B$171,"NO OFICIAL")</f>
        <v>9</v>
      </c>
      <c r="JC33" s="499"/>
      <c r="JD33" s="345">
        <f t="shared" ref="JD33:KG33" si="185">AVERAGEIFS(JD$36:JD$171,$C$36:$C$171,"=4", $B$36:$B$171,"NO OFICIAL")</f>
        <v>0.11</v>
      </c>
      <c r="JE33" s="345">
        <f t="shared" si="185"/>
        <v>0.53857142857142848</v>
      </c>
      <c r="JF33" s="345">
        <f t="shared" si="185"/>
        <v>0.33571428571428574</v>
      </c>
      <c r="JG33" s="345">
        <f t="shared" si="185"/>
        <v>1.8571428571428572E-2</v>
      </c>
      <c r="JH33" s="345">
        <f t="shared" ref="JH33:KC33" si="186">AVERAGEIFS(JH$36:JH$171,$C$36:$C$171,"=4", $B$36:$B$171,"NO OFICIAL")</f>
        <v>0.45285714285714285</v>
      </c>
      <c r="JI33" s="345">
        <f t="shared" si="186"/>
        <v>0.45857142857142857</v>
      </c>
      <c r="JJ33" s="345">
        <f t="shared" si="186"/>
        <v>0.42142857142857143</v>
      </c>
      <c r="JK33" s="345">
        <f t="shared" si="186"/>
        <v>0.46571428571428569</v>
      </c>
      <c r="JL33" s="345">
        <f t="shared" si="186"/>
        <v>0.4871428571428571</v>
      </c>
      <c r="JM33" s="345">
        <f t="shared" si="186"/>
        <v>0.49857142857142855</v>
      </c>
      <c r="JN33" s="345">
        <f t="shared" si="186"/>
        <v>0.39</v>
      </c>
      <c r="JO33" s="345">
        <f t="shared" si="186"/>
        <v>0.45000000000000007</v>
      </c>
      <c r="JP33" s="345">
        <f t="shared" si="186"/>
        <v>0.52857142857142858</v>
      </c>
      <c r="JQ33" s="345">
        <f t="shared" si="186"/>
        <v>0.25571428571428573</v>
      </c>
      <c r="JR33" s="345">
        <f t="shared" si="186"/>
        <v>0.6</v>
      </c>
      <c r="JS33" s="345">
        <f t="shared" si="186"/>
        <v>0.5585714285714285</v>
      </c>
      <c r="JT33" s="345">
        <f t="shared" si="186"/>
        <v>0.46</v>
      </c>
      <c r="JU33" s="345">
        <f t="shared" si="186"/>
        <v>0.53285714285714281</v>
      </c>
      <c r="JV33" s="345">
        <f t="shared" si="186"/>
        <v>0.47285714285714286</v>
      </c>
      <c r="JW33" s="345">
        <f t="shared" si="186"/>
        <v>0.42428571428571432</v>
      </c>
      <c r="JX33" s="345">
        <f t="shared" si="186"/>
        <v>0.46714285714285714</v>
      </c>
      <c r="JY33" s="345">
        <f t="shared" si="186"/>
        <v>0.43428571428571422</v>
      </c>
      <c r="JZ33" s="345">
        <f t="shared" si="186"/>
        <v>0.40857142857142853</v>
      </c>
      <c r="KA33" s="345">
        <f t="shared" si="186"/>
        <v>0.63428571428571423</v>
      </c>
      <c r="KB33" s="345">
        <f t="shared" si="186"/>
        <v>0.45285714285714285</v>
      </c>
      <c r="KC33" s="345">
        <f t="shared" si="186"/>
        <v>0.5971428571428572</v>
      </c>
      <c r="KD33" s="345">
        <f t="shared" si="185"/>
        <v>0.32714285714285724</v>
      </c>
      <c r="KE33" s="345">
        <f>AVERAGEIFS(KE$36:KE$171,$C$36:$C$171,"=4", $B$36:$B$171,"NO OFICIAL")</f>
        <v>0.46142857142857147</v>
      </c>
      <c r="KF33" s="345">
        <f>AVERAGEIFS(KF$36:KF$171,$C$36:$C$171,"=4", $B$36:$B$171,"NO OFICIAL")</f>
        <v>0.43</v>
      </c>
      <c r="KG33" s="345">
        <f t="shared" si="185"/>
        <v>0.52142857142857146</v>
      </c>
    </row>
    <row r="34" spans="1:293" ht="24.95" customHeight="1" x14ac:dyDescent="0.2">
      <c r="A34" s="6" t="s">
        <v>905</v>
      </c>
      <c r="B34" s="301"/>
      <c r="C34" s="301"/>
      <c r="D34" s="129">
        <f>AVERAGEIFS(D$36:D$171,$C$36:$C$171,"=5", $B$36:$B$171,"NO OFICIAL")</f>
        <v>56.642857142857146</v>
      </c>
      <c r="E34" s="129">
        <f>AVERAGEIFS(E$36:E$171,$C$36:$C$171,"=5", $B$36:$B$171,"NO OFICIAL")</f>
        <v>6.5714285714285712</v>
      </c>
      <c r="F34" s="39">
        <f>AVERAGEIFS(F$36:F$171,$C$36:$C$171,"=5", $B$36:$B$171,"NO OFICIAL")</f>
        <v>1.5000000000000001E-2</v>
      </c>
      <c r="G34" s="39">
        <f t="shared" ref="G34:AG34" si="187">AVERAGEIFS(G$36:G$171,$C$36:$C$171,"=5", $B$36:$B$171,"NO OFICIAL")</f>
        <v>0.44714285714285723</v>
      </c>
      <c r="H34" s="39">
        <f t="shared" si="187"/>
        <v>0.51928571428571424</v>
      </c>
      <c r="I34" s="39">
        <f t="shared" si="187"/>
        <v>1.6428571428571431E-2</v>
      </c>
      <c r="J34" s="39">
        <f t="shared" si="187"/>
        <v>0.29285714285714282</v>
      </c>
      <c r="K34" s="39">
        <f t="shared" si="187"/>
        <v>0.30428571428571427</v>
      </c>
      <c r="L34" s="39">
        <f t="shared" si="187"/>
        <v>0.69000000000000006</v>
      </c>
      <c r="M34" s="39">
        <f t="shared" si="187"/>
        <v>0.15</v>
      </c>
      <c r="N34" s="39">
        <f t="shared" si="187"/>
        <v>0.23428571428571429</v>
      </c>
      <c r="O34" s="39">
        <f t="shared" si="187"/>
        <v>0.66928571428571437</v>
      </c>
      <c r="P34" s="39">
        <f t="shared" si="187"/>
        <v>0.30857142857142861</v>
      </c>
      <c r="Q34" s="39">
        <f t="shared" si="187"/>
        <v>0.37214285714285716</v>
      </c>
      <c r="R34" s="39">
        <f t="shared" si="187"/>
        <v>0.50071428571428556</v>
      </c>
      <c r="S34" s="39">
        <f t="shared" si="187"/>
        <v>0.55642857142857138</v>
      </c>
      <c r="T34" s="39">
        <f t="shared" si="187"/>
        <v>0.42499999999999993</v>
      </c>
      <c r="U34" s="39">
        <f t="shared" si="187"/>
        <v>0.51642857142857146</v>
      </c>
      <c r="V34" s="39">
        <f t="shared" si="187"/>
        <v>4.7857142857142855E-2</v>
      </c>
      <c r="W34" s="39">
        <f t="shared" si="187"/>
        <v>0.12428571428571429</v>
      </c>
      <c r="X34" s="39">
        <f t="shared" si="187"/>
        <v>0.44214285714285717</v>
      </c>
      <c r="Y34" s="39">
        <f t="shared" si="187"/>
        <v>0.4499999999999999</v>
      </c>
      <c r="Z34" s="39">
        <f t="shared" si="187"/>
        <v>0.75</v>
      </c>
      <c r="AA34" s="39">
        <f t="shared" si="187"/>
        <v>7.4999999999999997E-2</v>
      </c>
      <c r="AB34" s="39">
        <f t="shared" si="187"/>
        <v>0.42428571428571432</v>
      </c>
      <c r="AC34" s="39">
        <f t="shared" si="187"/>
        <v>0.18714285714285708</v>
      </c>
      <c r="AD34" s="39">
        <f t="shared" si="187"/>
        <v>0.38</v>
      </c>
      <c r="AE34" s="39">
        <f t="shared" si="187"/>
        <v>0.31285714285714289</v>
      </c>
      <c r="AF34" s="39">
        <f t="shared" si="187"/>
        <v>0.46571428571428569</v>
      </c>
      <c r="AG34" s="39">
        <f t="shared" si="187"/>
        <v>0.46785714285714286</v>
      </c>
      <c r="AH34" s="129">
        <f>AVERAGEIFS(AH$36:AH$171,$C$36:$C$171,"=5", $B$36:$B$171,"NO OFICIAL")</f>
        <v>55.357142857142854</v>
      </c>
      <c r="AI34" s="129">
        <f>AVERAGEIFS(AI$36:AI$171,$C$36:$C$171,"=5", $B$36:$B$171,"NO OFICIAL")</f>
        <v>7.7142857142857144</v>
      </c>
      <c r="AJ34" s="39">
        <f>AVERAGEIFS(AJ$36:AJ$171,$C$36:$C$171,"=5", $B$36:$B$171,"NO OFICIAL")</f>
        <v>6.0714285714285714E-2</v>
      </c>
      <c r="AK34" s="39">
        <f t="shared" ref="AK34:BL34" si="188">AVERAGEIFS(AK$36:AK$171,$C$36:$C$171,"=5", $B$36:$B$171,"NO OFICIAL")</f>
        <v>0.41785714285714287</v>
      </c>
      <c r="AL34" s="39">
        <f t="shared" si="188"/>
        <v>0.5128571428571429</v>
      </c>
      <c r="AM34" s="39">
        <f t="shared" si="188"/>
        <v>9.285714285714286E-3</v>
      </c>
      <c r="AN34" s="39">
        <f t="shared" si="188"/>
        <v>0.22285714285714286</v>
      </c>
      <c r="AO34" s="39">
        <f t="shared" si="188"/>
        <v>0.43714285714285717</v>
      </c>
      <c r="AP34" s="39">
        <f t="shared" si="188"/>
        <v>0.48785714285714288</v>
      </c>
      <c r="AQ34" s="39">
        <f t="shared" si="188"/>
        <v>0.29785714285714276</v>
      </c>
      <c r="AR34" s="39">
        <f t="shared" si="188"/>
        <v>0.48142857142857143</v>
      </c>
      <c r="AS34" s="39">
        <f t="shared" si="188"/>
        <v>0.44857142857142851</v>
      </c>
      <c r="AT34" s="39">
        <f t="shared" si="188"/>
        <v>0.45</v>
      </c>
      <c r="AU34" s="39">
        <f t="shared" si="188"/>
        <v>0.42214285714285721</v>
      </c>
      <c r="AV34" s="39">
        <f t="shared" si="188"/>
        <v>0.52714285714285714</v>
      </c>
      <c r="AW34" s="39">
        <f t="shared" si="188"/>
        <v>0.44642857142857151</v>
      </c>
      <c r="AX34" s="39">
        <f t="shared" si="188"/>
        <v>0.47499999999999998</v>
      </c>
      <c r="AY34" s="39">
        <f t="shared" si="188"/>
        <v>0.26000000000000006</v>
      </c>
      <c r="AZ34" s="39">
        <f t="shared" si="188"/>
        <v>0.19857142857142859</v>
      </c>
      <c r="BA34" s="39">
        <f t="shared" si="188"/>
        <v>0.39214285714285707</v>
      </c>
      <c r="BB34" s="39">
        <f t="shared" si="188"/>
        <v>0.58785714285714286</v>
      </c>
      <c r="BC34" s="39">
        <f t="shared" si="188"/>
        <v>0.59785714285714298</v>
      </c>
      <c r="BD34" s="39">
        <f t="shared" si="188"/>
        <v>0.37642857142857145</v>
      </c>
      <c r="BE34" s="39">
        <f t="shared" si="188"/>
        <v>0.55071428571428582</v>
      </c>
      <c r="BF34" s="39">
        <f t="shared" si="188"/>
        <v>0.54428571428571426</v>
      </c>
      <c r="BG34" s="39">
        <f t="shared" si="188"/>
        <v>0.44571428571428567</v>
      </c>
      <c r="BH34" s="39">
        <f t="shared" si="188"/>
        <v>0.40428571428571425</v>
      </c>
      <c r="BI34" s="39">
        <f t="shared" si="188"/>
        <v>0.35714285714285715</v>
      </c>
      <c r="BJ34" s="39">
        <f t="shared" si="188"/>
        <v>0.30500000000000005</v>
      </c>
      <c r="BK34" s="39">
        <f t="shared" si="188"/>
        <v>0.36428571428571427</v>
      </c>
      <c r="BL34" s="39">
        <f t="shared" si="188"/>
        <v>0.45500000000000002</v>
      </c>
      <c r="BM34" s="129">
        <f>AVERAGEIFS(BM$36:BM$171,$C$36:$C$171,"=5", $B$36:$B$171,"NO OFICIAL")</f>
        <v>54.2</v>
      </c>
      <c r="BN34" s="129">
        <f>AVERAGEIFS(BN$36:BN$171,$C$36:$C$171,"=5", $B$36:$B$171,"NO OFICIAL")</f>
        <v>7.8</v>
      </c>
      <c r="BO34" s="39">
        <f>AVERAGEIFS(BO$36:BO$171,$C$36:$C$171,"=5", $B$36:$B$171,"NO OFICIAL")</f>
        <v>5.8666666666666673E-2</v>
      </c>
      <c r="BP34" s="39">
        <f t="shared" ref="BP34:CR34" si="189">AVERAGEIFS(BP$36:BP$171,$C$36:$C$171,"=5", $B$36:$B$171,"NO OFICIAL")</f>
        <v>0.52933333333333332</v>
      </c>
      <c r="BQ34" s="39">
        <f t="shared" si="189"/>
        <v>0.38533333333333331</v>
      </c>
      <c r="BR34" s="39">
        <f t="shared" si="189"/>
        <v>2.6000000000000002E-2</v>
      </c>
      <c r="BS34" s="39">
        <f t="shared" si="189"/>
        <v>0.26933333333333331</v>
      </c>
      <c r="BT34" s="39">
        <f t="shared" si="189"/>
        <v>0.59285714285714286</v>
      </c>
      <c r="BU34" s="39">
        <f t="shared" si="189"/>
        <v>0.57857142857142851</v>
      </c>
      <c r="BV34" s="39">
        <f t="shared" si="189"/>
        <v>0.30999999999999994</v>
      </c>
      <c r="BW34" s="39">
        <f t="shared" si="189"/>
        <v>0.59800000000000009</v>
      </c>
      <c r="BX34" s="39">
        <f t="shared" si="189"/>
        <v>0.29466666666666674</v>
      </c>
      <c r="BY34" s="39">
        <f t="shared" si="189"/>
        <v>0.37399999999999994</v>
      </c>
      <c r="BZ34" s="39">
        <f t="shared" si="189"/>
        <v>0.45200000000000007</v>
      </c>
      <c r="CA34" s="39">
        <f t="shared" si="189"/>
        <v>0.4240000000000001</v>
      </c>
      <c r="CB34" s="39">
        <f t="shared" si="189"/>
        <v>0.28933333333333333</v>
      </c>
      <c r="CC34" s="39">
        <f t="shared" si="189"/>
        <v>0.18933333333333333</v>
      </c>
      <c r="CD34" s="39">
        <f t="shared" si="189"/>
        <v>0.33066666666666661</v>
      </c>
      <c r="CE34" s="39">
        <f t="shared" si="189"/>
        <v>0.28666666666666668</v>
      </c>
      <c r="CF34" s="39">
        <f t="shared" si="189"/>
        <v>0.58199999999999996</v>
      </c>
      <c r="CG34" s="39">
        <f t="shared" si="189"/>
        <v>0.52666666666666673</v>
      </c>
      <c r="CH34" s="39">
        <f t="shared" si="189"/>
        <v>0.39999999999999997</v>
      </c>
      <c r="CI34" s="39">
        <f t="shared" si="189"/>
        <v>0.49466666666666664</v>
      </c>
      <c r="CJ34" s="39">
        <f t="shared" si="189"/>
        <v>0.33199999999999996</v>
      </c>
      <c r="CK34" s="39">
        <f t="shared" si="189"/>
        <v>0.59866666666666668</v>
      </c>
      <c r="CL34" s="39">
        <f t="shared" si="189"/>
        <v>0.22133333333333333</v>
      </c>
      <c r="CM34" s="39">
        <f t="shared" si="189"/>
        <v>0.38533333333333336</v>
      </c>
      <c r="CN34" s="39">
        <f t="shared" si="189"/>
        <v>0.37133333333333335</v>
      </c>
      <c r="CO34" s="39">
        <f t="shared" si="189"/>
        <v>0.3793333333333333</v>
      </c>
      <c r="CP34" s="39">
        <f t="shared" si="189"/>
        <v>0.27200000000000002</v>
      </c>
      <c r="CQ34" s="39">
        <f t="shared" si="189"/>
        <v>0.50200000000000011</v>
      </c>
      <c r="CR34" s="39">
        <f t="shared" si="189"/>
        <v>0.46</v>
      </c>
      <c r="CS34" s="129">
        <f>AVERAGEIFS(CS$36:CS$171,$C$36:$C$171,"=5", $B$36:$B$171,"NO OFICIAL")</f>
        <v>52.3125</v>
      </c>
      <c r="CT34" s="129">
        <f>AVERAGEIFS(CT$36:CT$171,$C$36:$C$171,"=5", $B$36:$B$171,"NO OFICIAL")</f>
        <v>8.25</v>
      </c>
      <c r="CU34" s="39">
        <f>AVERAGEIFS(CU$36:CU$171,$C$36:$C$171,"=5", $B$36:$B$171,"NO OFICIAL")</f>
        <v>0.10125000000000001</v>
      </c>
      <c r="CV34" s="39">
        <f t="shared" ref="CV34:DW34" si="190">AVERAGEIFS(CV$36:CV$171,$C$36:$C$171,"=5", $B$36:$B$171,"NO OFICIAL")</f>
        <v>0.51125000000000009</v>
      </c>
      <c r="CW34" s="39">
        <f t="shared" si="190"/>
        <v>0.36437500000000006</v>
      </c>
      <c r="CX34" s="39">
        <f t="shared" si="190"/>
        <v>2.5000000000000001E-2</v>
      </c>
      <c r="CY34" s="39">
        <f t="shared" si="190"/>
        <v>0.44750000000000001</v>
      </c>
      <c r="CZ34" s="39">
        <f t="shared" si="190"/>
        <v>0.24812500000000004</v>
      </c>
      <c r="DA34" s="39">
        <f t="shared" si="190"/>
        <v>0.51812500000000006</v>
      </c>
      <c r="DB34" s="39">
        <f t="shared" si="190"/>
        <v>0.31187500000000007</v>
      </c>
      <c r="DC34" s="39">
        <f t="shared" si="190"/>
        <v>0.40312500000000001</v>
      </c>
      <c r="DD34" s="39">
        <f t="shared" si="190"/>
        <v>0.60562499999999986</v>
      </c>
      <c r="DE34" s="39">
        <f t="shared" si="190"/>
        <v>0.40625</v>
      </c>
      <c r="DF34" s="39">
        <f t="shared" si="190"/>
        <v>0.5</v>
      </c>
      <c r="DG34" s="39">
        <f t="shared" si="190"/>
        <v>0.41187499999999994</v>
      </c>
      <c r="DH34" s="39">
        <f t="shared" si="190"/>
        <v>0.33562500000000001</v>
      </c>
      <c r="DI34" s="39">
        <f t="shared" si="190"/>
        <v>0.49125000000000002</v>
      </c>
      <c r="DJ34" s="39">
        <f t="shared" si="190"/>
        <v>0.43375000000000008</v>
      </c>
      <c r="DK34" s="39">
        <f t="shared" si="190"/>
        <v>0.26437500000000008</v>
      </c>
      <c r="DL34" s="39">
        <f t="shared" si="190"/>
        <v>0.33562499999999995</v>
      </c>
      <c r="DM34" s="39">
        <f t="shared" si="190"/>
        <v>0.49062499999999998</v>
      </c>
      <c r="DN34" s="39">
        <f t="shared" si="190"/>
        <v>0.44062499999999999</v>
      </c>
      <c r="DO34" s="39">
        <f t="shared" si="190"/>
        <v>0.37374999999999992</v>
      </c>
      <c r="DP34" s="39">
        <f t="shared" si="190"/>
        <v>0.38874999999999998</v>
      </c>
      <c r="DQ34" s="39">
        <f t="shared" si="190"/>
        <v>0.520625</v>
      </c>
      <c r="DR34" s="39">
        <f t="shared" si="190"/>
        <v>0.19</v>
      </c>
      <c r="DS34" s="39">
        <f t="shared" si="190"/>
        <v>0.36625000000000002</v>
      </c>
      <c r="DT34" s="39">
        <f t="shared" si="190"/>
        <v>0.57562499999999994</v>
      </c>
      <c r="DU34" s="39">
        <f t="shared" si="190"/>
        <v>0.40749999999999997</v>
      </c>
      <c r="DV34" s="39">
        <f t="shared" si="190"/>
        <v>0.54437500000000016</v>
      </c>
      <c r="DW34" s="39">
        <f t="shared" si="190"/>
        <v>0.30062500000000003</v>
      </c>
      <c r="DX34" s="129">
        <f>AVERAGEIFS(DX$36:DX$171,$C$36:$C$171,"=5", $B$36:$B$171,"NO OFICIAL")</f>
        <v>53</v>
      </c>
      <c r="DY34" s="129">
        <f>AVERAGEIFS(DY$36:DY$171,$C$36:$C$171,"=5", $B$36:$B$171,"NO OFICIAL")</f>
        <v>7.666666666666667</v>
      </c>
      <c r="DZ34" s="39">
        <f>AVERAGEIFS(DZ$36:DZ$171,$C$36:$C$171,"=5", $B$36:$B$171,"NO OFICIAL")</f>
        <v>8.266666666666668E-2</v>
      </c>
      <c r="EA34" s="39">
        <f t="shared" ref="EA34:FA34" si="191">AVERAGEIFS(EA$36:EA$171,$C$36:$C$171,"=5", $B$36:$B$171,"NO OFICIAL")</f>
        <v>0.50066666666666659</v>
      </c>
      <c r="EB34" s="39">
        <f t="shared" si="191"/>
        <v>0.41133333333333338</v>
      </c>
      <c r="EC34" s="39">
        <f t="shared" si="191"/>
        <v>6.6666666666666662E-3</v>
      </c>
      <c r="ED34" s="39">
        <f t="shared" si="191"/>
        <v>0.46199999999999991</v>
      </c>
      <c r="EE34" s="39">
        <f t="shared" si="191"/>
        <v>0.42199999999999999</v>
      </c>
      <c r="EF34" s="39">
        <f t="shared" si="191"/>
        <v>0.44666666666666666</v>
      </c>
      <c r="EG34" s="39">
        <f t="shared" si="191"/>
        <v>0.22533333333333336</v>
      </c>
      <c r="EH34" s="39">
        <f t="shared" si="191"/>
        <v>0.33</v>
      </c>
      <c r="EI34" s="39">
        <f t="shared" si="191"/>
        <v>0.46466666666666673</v>
      </c>
      <c r="EJ34" s="39">
        <f t="shared" si="191"/>
        <v>0.52599999999999991</v>
      </c>
      <c r="EK34" s="39">
        <f t="shared" si="191"/>
        <v>0.22600000000000001</v>
      </c>
      <c r="EL34" s="39">
        <f t="shared" si="191"/>
        <v>0.36733333333333335</v>
      </c>
      <c r="EM34" s="39">
        <f t="shared" si="191"/>
        <v>0.58533333333333337</v>
      </c>
      <c r="EN34" s="39">
        <f t="shared" si="191"/>
        <v>0.34866666666666662</v>
      </c>
      <c r="EO34" s="39">
        <f t="shared" si="191"/>
        <v>0.53199999999999992</v>
      </c>
      <c r="EP34" s="39">
        <f t="shared" si="191"/>
        <v>0.35866666666666663</v>
      </c>
      <c r="EQ34" s="39">
        <f t="shared" si="191"/>
        <v>0.1846666666666667</v>
      </c>
      <c r="ER34" s="39">
        <f t="shared" si="191"/>
        <v>0.53866666666666663</v>
      </c>
      <c r="ES34" s="39">
        <f t="shared" si="191"/>
        <v>0.39600000000000002</v>
      </c>
      <c r="ET34" s="39">
        <f t="shared" si="191"/>
        <v>0.25733333333333336</v>
      </c>
      <c r="EU34" s="39">
        <f t="shared" si="191"/>
        <v>0.52333333333333332</v>
      </c>
      <c r="EV34" s="39">
        <f t="shared" si="191"/>
        <v>0.25533333333333336</v>
      </c>
      <c r="EW34" s="39">
        <f t="shared" si="191"/>
        <v>0.28266666666666668</v>
      </c>
      <c r="EX34" s="39">
        <f t="shared" si="191"/>
        <v>0.67533333333333323</v>
      </c>
      <c r="EY34" s="39">
        <f t="shared" si="191"/>
        <v>0.5</v>
      </c>
      <c r="EZ34" s="39">
        <f t="shared" si="191"/>
        <v>0.17266666666666666</v>
      </c>
      <c r="FA34" s="39">
        <f t="shared" si="191"/>
        <v>0.56199999999999994</v>
      </c>
      <c r="FB34" s="129">
        <f>AVERAGEIFS(FB$36:FB$171,$C$36:$C$171,"=5", $B$36:$B$171,"NO OFICIAL")</f>
        <v>52.666666666666664</v>
      </c>
      <c r="FD34" s="129">
        <f>AVERAGEIFS(FD$36:FD$171,$C$36:$C$171,"=5", $B$36:$B$171,"NO OFICIAL")</f>
        <v>8</v>
      </c>
      <c r="FF34" s="39">
        <f>AVERAGEIFS(FF$36:FF$171,$C$36:$C$171,"=5", $B$36:$B$171,"NO OFICIAL")</f>
        <v>7.0666666666666669E-2</v>
      </c>
      <c r="FG34" s="39">
        <f t="shared" ref="FG34:GI34" si="192">AVERAGEIFS(FG$36:FG$171,$C$36:$C$171,"=5", $B$36:$B$171,"NO OFICIAL")</f>
        <v>0.55599999999999983</v>
      </c>
      <c r="FH34" s="39">
        <f t="shared" si="192"/>
        <v>0.36333333333333334</v>
      </c>
      <c r="FI34" s="39">
        <f t="shared" si="192"/>
        <v>1.2666666666666666E-2</v>
      </c>
      <c r="FJ34" s="39">
        <f t="shared" si="192"/>
        <v>0.39200000000000002</v>
      </c>
      <c r="FK34" s="39">
        <f t="shared" si="192"/>
        <v>0.62266666666666681</v>
      </c>
      <c r="FL34" s="39">
        <f t="shared" si="192"/>
        <v>0.44600000000000001</v>
      </c>
      <c r="FM34" s="39">
        <f t="shared" si="192"/>
        <v>0.40266666666666673</v>
      </c>
      <c r="FN34" s="39">
        <f t="shared" si="192"/>
        <v>0.2373333333333334</v>
      </c>
      <c r="FO34" s="39">
        <f t="shared" si="192"/>
        <v>0.27266666666666667</v>
      </c>
      <c r="FP34" s="39">
        <f t="shared" si="192"/>
        <v>0.34</v>
      </c>
      <c r="FQ34" s="39">
        <f t="shared" si="192"/>
        <v>0.35466666666666669</v>
      </c>
      <c r="FR34" s="39">
        <f t="shared" si="192"/>
        <v>0.53333333333333333</v>
      </c>
      <c r="FS34" s="39">
        <f t="shared" si="192"/>
        <v>0.47533333333333333</v>
      </c>
      <c r="FT34" s="39">
        <f t="shared" si="192"/>
        <v>0.4466666666666666</v>
      </c>
      <c r="FU34" s="39">
        <f t="shared" si="192"/>
        <v>0.312</v>
      </c>
      <c r="FV34" s="39">
        <f t="shared" si="192"/>
        <v>0.53866666666666663</v>
      </c>
      <c r="FW34" s="39">
        <f t="shared" si="192"/>
        <v>0.5046666666666666</v>
      </c>
      <c r="FX34" s="39">
        <f t="shared" si="192"/>
        <v>0.41533333333333339</v>
      </c>
      <c r="FY34" s="39">
        <f t="shared" si="192"/>
        <v>0.32733333333333337</v>
      </c>
      <c r="FZ34" s="39">
        <f t="shared" si="192"/>
        <v>0.33933333333333338</v>
      </c>
      <c r="GA34" s="39">
        <f t="shared" si="192"/>
        <v>0.45666666666666678</v>
      </c>
      <c r="GB34" s="39">
        <f t="shared" si="192"/>
        <v>0.47</v>
      </c>
      <c r="GC34" s="39">
        <f t="shared" si="192"/>
        <v>0.39333333333333337</v>
      </c>
      <c r="GD34" s="39">
        <f t="shared" si="192"/>
        <v>0.54933333333333345</v>
      </c>
      <c r="GE34" s="39">
        <f t="shared" si="192"/>
        <v>0.45066666666666666</v>
      </c>
      <c r="GF34" s="39">
        <f t="shared" si="192"/>
        <v>0.38800000000000007</v>
      </c>
      <c r="GG34" s="39">
        <f t="shared" si="192"/>
        <v>0.39133333333333342</v>
      </c>
      <c r="GH34" s="39">
        <f t="shared" si="192"/>
        <v>0.52200000000000002</v>
      </c>
      <c r="GI34" s="39">
        <f t="shared" si="192"/>
        <v>0.26466666666666666</v>
      </c>
      <c r="GJ34" s="129">
        <f>AVERAGEIFS(GJ$36:GJ$171,$C$36:$C$171,"=5", $B$36:$B$171,"NO OFICIAL")</f>
        <v>53.928571428571431</v>
      </c>
      <c r="GL34" s="129">
        <f>AVERAGEIFS(GL$36:GL$171,$C$36:$C$171,"=5", $B$36:$B$171,"NO OFICIAL")</f>
        <v>8.0714285714285712</v>
      </c>
      <c r="GN34" s="344">
        <f>AVERAGEIFS(GN$36:GN$171,$C$36:$C$171,"=5", $B$36:$B$171,"NO OFICIAL")</f>
        <v>6.2857142857142861E-2</v>
      </c>
      <c r="GO34" s="344">
        <f t="shared" ref="GO34:HQ34" si="193">AVERAGEIFS(GO$36:GO$171,$C$36:$C$171,"=5", $B$36:$B$171,"NO OFICIAL")</f>
        <v>0.50571428571428567</v>
      </c>
      <c r="GP34" s="344">
        <f t="shared" si="193"/>
        <v>0.41285714285714281</v>
      </c>
      <c r="GQ34" s="344">
        <f t="shared" si="193"/>
        <v>1.8571428571428572E-2</v>
      </c>
      <c r="GR34" s="344">
        <f t="shared" si="193"/>
        <v>0.41785714285714282</v>
      </c>
      <c r="GS34" s="344">
        <f t="shared" si="193"/>
        <v>0.45714285714285724</v>
      </c>
      <c r="GT34" s="344">
        <f t="shared" si="193"/>
        <v>0.56285714285714283</v>
      </c>
      <c r="GU34" s="344">
        <f t="shared" si="193"/>
        <v>0.17785714285714285</v>
      </c>
      <c r="GV34" s="344">
        <f t="shared" si="193"/>
        <v>0.48785714285714299</v>
      </c>
      <c r="GW34" s="344">
        <f t="shared" si="193"/>
        <v>0.34857142857142859</v>
      </c>
      <c r="GX34" s="344">
        <f t="shared" si="193"/>
        <v>0.39428571428571429</v>
      </c>
      <c r="GY34" s="317" t="s">
        <v>283</v>
      </c>
      <c r="GZ34" s="344">
        <f t="shared" si="193"/>
        <v>0.25857142857142862</v>
      </c>
      <c r="HA34" s="344">
        <f t="shared" si="193"/>
        <v>0.60642857142857143</v>
      </c>
      <c r="HB34" s="344">
        <f t="shared" si="193"/>
        <v>0.38928571428571429</v>
      </c>
      <c r="HC34" s="344">
        <f t="shared" si="193"/>
        <v>0.50214285714285734</v>
      </c>
      <c r="HD34" s="344">
        <f t="shared" si="193"/>
        <v>0.49285714285714288</v>
      </c>
      <c r="HE34" s="344">
        <f t="shared" si="193"/>
        <v>0.41428571428571426</v>
      </c>
      <c r="HF34" s="344">
        <f t="shared" si="193"/>
        <v>0.42</v>
      </c>
      <c r="HG34" s="344">
        <f t="shared" si="193"/>
        <v>0.64714285714285713</v>
      </c>
      <c r="HH34" s="344">
        <f t="shared" si="193"/>
        <v>0.33428571428571424</v>
      </c>
      <c r="HI34" s="344">
        <f t="shared" si="193"/>
        <v>0.45357142857142868</v>
      </c>
      <c r="HJ34" s="344">
        <f t="shared" si="193"/>
        <v>0.53642857142857137</v>
      </c>
      <c r="HK34" s="344">
        <f t="shared" si="193"/>
        <v>0.46571428571428575</v>
      </c>
      <c r="HL34" s="344">
        <f t="shared" si="193"/>
        <v>0.31285714285714278</v>
      </c>
      <c r="HM34" s="344">
        <f t="shared" si="193"/>
        <v>0.45142857142857146</v>
      </c>
      <c r="HN34" s="344">
        <f t="shared" si="193"/>
        <v>0.41571428571428581</v>
      </c>
      <c r="HO34" s="344">
        <f t="shared" si="193"/>
        <v>0.35642857142857137</v>
      </c>
      <c r="HP34" s="317" t="s">
        <v>283</v>
      </c>
      <c r="HQ34" s="344">
        <f t="shared" si="193"/>
        <v>0.34428571428571431</v>
      </c>
      <c r="HR34" s="129">
        <f>AVERAGEIFS(HR$36:HR$171,$C$36:$C$171,"=5", $B$36:$B$171,"NO OFICIAL")</f>
        <v>55.142857142857146</v>
      </c>
      <c r="HT34" s="129">
        <f>AVERAGEIFS(HT$36:HT$171,$C$36:$C$171,"=5", $B$36:$B$171,"NO OFICIAL")</f>
        <v>8.2142857142857135</v>
      </c>
      <c r="HV34" s="344">
        <f>AVERAGEIFS(HV$36:HV$171,$C$36:$C$171,"=5", $B$36:$B$171,"NO OFICIAL")</f>
        <v>4.9285714285714287E-2</v>
      </c>
      <c r="HW34" s="344">
        <f t="shared" ref="HW34:IZ34" si="194">AVERAGEIFS(HW$36:HW$171,$C$36:$C$171,"=5", $B$36:$B$171,"NO OFICIAL")</f>
        <v>0.46785714285714286</v>
      </c>
      <c r="HX34" s="344">
        <f t="shared" si="194"/>
        <v>0.44285714285714289</v>
      </c>
      <c r="HY34" s="344">
        <f t="shared" si="194"/>
        <v>3.785714285714286E-2</v>
      </c>
      <c r="HZ34" s="344">
        <f t="shared" si="194"/>
        <v>0.32285714285714284</v>
      </c>
      <c r="IA34" s="344">
        <f t="shared" si="194"/>
        <v>0.44928571428571423</v>
      </c>
      <c r="IB34" s="344">
        <f t="shared" si="194"/>
        <v>0.29785714285714276</v>
      </c>
      <c r="IC34" s="344">
        <f t="shared" si="194"/>
        <v>0.43714285714285717</v>
      </c>
      <c r="ID34" s="344">
        <f t="shared" si="194"/>
        <v>0.58142857142857152</v>
      </c>
      <c r="IE34" s="344">
        <f t="shared" si="194"/>
        <v>0.26571428571428574</v>
      </c>
      <c r="IF34" s="344">
        <f t="shared" si="194"/>
        <v>0.33357142857142857</v>
      </c>
      <c r="IG34" s="344">
        <f t="shared" si="194"/>
        <v>0.47214285714285709</v>
      </c>
      <c r="IH34" s="344">
        <f t="shared" si="194"/>
        <v>0.44857142857142868</v>
      </c>
      <c r="II34" s="344">
        <f t="shared" si="194"/>
        <v>0.19928571428571429</v>
      </c>
      <c r="IJ34" s="344">
        <f t="shared" si="194"/>
        <v>0.19428571428571426</v>
      </c>
      <c r="IK34" s="344">
        <f t="shared" si="194"/>
        <v>0.50928571428571434</v>
      </c>
      <c r="IL34" s="344">
        <f t="shared" si="194"/>
        <v>0.29000000000000004</v>
      </c>
      <c r="IM34" s="344">
        <f t="shared" si="194"/>
        <v>0.54357142857142859</v>
      </c>
      <c r="IN34" s="344">
        <f t="shared" si="194"/>
        <v>0.33857142857142858</v>
      </c>
      <c r="IO34" s="344">
        <f t="shared" si="194"/>
        <v>0.47214285714285725</v>
      </c>
      <c r="IP34" s="344">
        <f t="shared" si="194"/>
        <v>0.30714285714285711</v>
      </c>
      <c r="IQ34" s="344">
        <f t="shared" si="194"/>
        <v>0.60071428571428576</v>
      </c>
      <c r="IR34" s="344">
        <f t="shared" si="194"/>
        <v>0.47642857142857142</v>
      </c>
      <c r="IS34" s="344">
        <f t="shared" si="194"/>
        <v>0.45499999999999996</v>
      </c>
      <c r="IT34" s="344">
        <f t="shared" si="194"/>
        <v>0.3585714285714286</v>
      </c>
      <c r="IU34" s="317" t="s">
        <v>283</v>
      </c>
      <c r="IV34" s="344">
        <f t="shared" si="194"/>
        <v>0.54285714285714293</v>
      </c>
      <c r="IW34" s="344">
        <f t="shared" si="194"/>
        <v>0.34928571428571425</v>
      </c>
      <c r="IX34" s="344">
        <f t="shared" si="194"/>
        <v>0.38499999999999995</v>
      </c>
      <c r="IY34" s="344">
        <f t="shared" si="194"/>
        <v>0.39928571428571441</v>
      </c>
      <c r="IZ34" s="494">
        <f t="shared" si="194"/>
        <v>52.866666666666667</v>
      </c>
      <c r="JA34" s="499"/>
      <c r="JB34" s="302">
        <f>AVERAGEIFS(JB$36:JB$171,$C$36:$C$171,"=5", $B$36:$B$171,"NO OFICIAL")</f>
        <v>8.6666666666666661</v>
      </c>
      <c r="JC34" s="499"/>
      <c r="JD34" s="345">
        <f t="shared" ref="JD34:KG34" si="195">AVERAGEIFS(JD$36:JD$171,$C$36:$C$171,"=5", $B$36:$B$171,"NO OFICIAL")</f>
        <v>9.5333333333333339E-2</v>
      </c>
      <c r="JE34" s="345">
        <f t="shared" si="195"/>
        <v>0.49533333333333335</v>
      </c>
      <c r="JF34" s="345">
        <f t="shared" si="195"/>
        <v>0.38066666666666671</v>
      </c>
      <c r="JG34" s="345">
        <f t="shared" si="195"/>
        <v>2.9999999999999995E-2</v>
      </c>
      <c r="JH34" s="345">
        <f t="shared" ref="JH34:KC34" si="196">AVERAGEIFS(JH$36:JH$171,$C$36:$C$171,"=5", $B$36:$B$171,"NO OFICIAL")</f>
        <v>0.41733333333333339</v>
      </c>
      <c r="JI34" s="345">
        <f t="shared" si="196"/>
        <v>0.436</v>
      </c>
      <c r="JJ34" s="345">
        <f t="shared" si="196"/>
        <v>0.38400000000000001</v>
      </c>
      <c r="JK34" s="345">
        <f t="shared" si="196"/>
        <v>0.44133333333333336</v>
      </c>
      <c r="JL34" s="345">
        <f t="shared" si="196"/>
        <v>0.45533333333333331</v>
      </c>
      <c r="JM34" s="345">
        <f t="shared" si="196"/>
        <v>0.46066666666666667</v>
      </c>
      <c r="JN34" s="345">
        <f t="shared" si="196"/>
        <v>0.41133333333333333</v>
      </c>
      <c r="JO34" s="345">
        <f t="shared" si="196"/>
        <v>0.43866666666666659</v>
      </c>
      <c r="JP34" s="345">
        <f t="shared" si="196"/>
        <v>0.53933333333333333</v>
      </c>
      <c r="JQ34" s="345">
        <f t="shared" si="196"/>
        <v>0.25533333333333336</v>
      </c>
      <c r="JR34" s="345">
        <f t="shared" si="196"/>
        <v>0.5126666666666666</v>
      </c>
      <c r="JS34" s="345">
        <f t="shared" si="196"/>
        <v>0.48666666666666669</v>
      </c>
      <c r="JT34" s="345">
        <f t="shared" si="196"/>
        <v>0.39599999999999996</v>
      </c>
      <c r="JU34" s="345">
        <f t="shared" si="196"/>
        <v>0.47333333333333327</v>
      </c>
      <c r="JV34" s="345">
        <f t="shared" si="196"/>
        <v>0.47399999999999998</v>
      </c>
      <c r="JW34" s="345">
        <f t="shared" si="196"/>
        <v>0.4479999999999999</v>
      </c>
      <c r="JX34" s="345">
        <f t="shared" si="196"/>
        <v>0.38466666666666677</v>
      </c>
      <c r="JY34" s="345">
        <f t="shared" si="196"/>
        <v>0.45800000000000007</v>
      </c>
      <c r="JZ34" s="345">
        <f t="shared" si="196"/>
        <v>0.442</v>
      </c>
      <c r="KA34" s="345">
        <f t="shared" si="196"/>
        <v>0.55733333333333335</v>
      </c>
      <c r="KB34" s="345">
        <f t="shared" si="196"/>
        <v>0.45800000000000002</v>
      </c>
      <c r="KC34" s="345">
        <f t="shared" si="196"/>
        <v>0.63600000000000001</v>
      </c>
      <c r="KD34" s="345">
        <f t="shared" si="195"/>
        <v>0.34666666666666668</v>
      </c>
      <c r="KE34" s="345">
        <f>AVERAGEIFS(KE$36:KE$171,$C$36:$C$171,"=5", $B$36:$B$171,"NO OFICIAL")</f>
        <v>0.51200000000000012</v>
      </c>
      <c r="KF34" s="345">
        <f>AVERAGEIFS(KF$36:KF$171,$C$36:$C$171,"=5", $B$36:$B$171,"NO OFICIAL")</f>
        <v>0.44600000000000006</v>
      </c>
      <c r="KG34" s="345">
        <f t="shared" si="195"/>
        <v>0.49466666666666664</v>
      </c>
    </row>
    <row r="35" spans="1:293" ht="24.95" customHeight="1" x14ac:dyDescent="0.2">
      <c r="A35" s="6" t="s">
        <v>906</v>
      </c>
      <c r="B35" s="301"/>
      <c r="C35" s="301"/>
      <c r="D35" s="129">
        <f>AVERAGEIFS(D$36:D$171,$C$36:$C$171,"=6", $B$36:$B$171,"NO OFICIAL")</f>
        <v>55.81818181818182</v>
      </c>
      <c r="E35" s="129">
        <f>AVERAGEIFS(E$36:E$171,$C$36:$C$171,"=6", $B$36:$B$171,"NO OFICIAL")</f>
        <v>5.2727272727272725</v>
      </c>
      <c r="F35" s="39">
        <f>AVERAGEIFS(F$36:F$171,$C$36:$C$171,"=6", $B$36:$B$171,"NO OFICIAL")</f>
        <v>6.363636363636363E-3</v>
      </c>
      <c r="G35" s="39">
        <f t="shared" ref="G35:AG35" si="197">AVERAGEIFS(G$36:G$171,$C$36:$C$171,"=6", $B$36:$B$171,"NO OFICIAL")</f>
        <v>0.48818181818181822</v>
      </c>
      <c r="H35" s="39">
        <f t="shared" si="197"/>
        <v>0.49909090909090903</v>
      </c>
      <c r="I35" s="39">
        <f t="shared" si="197"/>
        <v>4.5454545454545461E-3</v>
      </c>
      <c r="J35" s="39">
        <f t="shared" si="197"/>
        <v>0.38727272727272727</v>
      </c>
      <c r="K35" s="39">
        <f t="shared" si="197"/>
        <v>0.37636363636363634</v>
      </c>
      <c r="L35" s="39">
        <f t="shared" si="197"/>
        <v>0.73</v>
      </c>
      <c r="M35" s="39">
        <f t="shared" si="197"/>
        <v>0.14181818181818182</v>
      </c>
      <c r="N35" s="39">
        <f t="shared" si="197"/>
        <v>0.26090909090909081</v>
      </c>
      <c r="O35" s="39">
        <f t="shared" si="197"/>
        <v>0.59545454545454546</v>
      </c>
      <c r="P35" s="39">
        <f t="shared" si="197"/>
        <v>0.3418181818181818</v>
      </c>
      <c r="Q35" s="39">
        <f t="shared" si="197"/>
        <v>0.40363636363636357</v>
      </c>
      <c r="R35" s="39">
        <f t="shared" si="197"/>
        <v>0.48909090909090919</v>
      </c>
      <c r="S35" s="39">
        <f t="shared" si="197"/>
        <v>0.56000000000000005</v>
      </c>
      <c r="T35" s="39">
        <f t="shared" si="197"/>
        <v>0.44181818181818183</v>
      </c>
      <c r="U35" s="39">
        <f t="shared" si="197"/>
        <v>0.46363636363636362</v>
      </c>
      <c r="V35" s="39">
        <f t="shared" si="197"/>
        <v>6.090909090909092E-2</v>
      </c>
      <c r="W35" s="39">
        <f t="shared" si="197"/>
        <v>8.0000000000000016E-2</v>
      </c>
      <c r="X35" s="39">
        <f t="shared" si="197"/>
        <v>0.45363636363636367</v>
      </c>
      <c r="Y35" s="39">
        <f t="shared" si="197"/>
        <v>0.38181818181818183</v>
      </c>
      <c r="Z35" s="39">
        <f t="shared" si="197"/>
        <v>0.55500000000000005</v>
      </c>
      <c r="AA35" s="39">
        <f t="shared" si="197"/>
        <v>6.8181818181818191E-2</v>
      </c>
      <c r="AB35" s="39">
        <f t="shared" si="197"/>
        <v>0.38909090909090904</v>
      </c>
      <c r="AC35" s="39">
        <f t="shared" si="197"/>
        <v>0.24363636363636365</v>
      </c>
      <c r="AD35" s="39">
        <f t="shared" si="197"/>
        <v>0.39454545454545459</v>
      </c>
      <c r="AE35" s="39">
        <f t="shared" si="197"/>
        <v>0.40909090909090912</v>
      </c>
      <c r="AF35" s="39">
        <f t="shared" si="197"/>
        <v>0.4745454545454546</v>
      </c>
      <c r="AG35" s="39">
        <f t="shared" si="197"/>
        <v>0.50636363636363635</v>
      </c>
      <c r="AH35" s="129">
        <f>AVERAGEIFS(AH$36:AH$171,$C$36:$C$171,"=6", $B$36:$B$171,"NO OFICIAL")</f>
        <v>52.090909090909093</v>
      </c>
      <c r="AI35" s="129">
        <f>AVERAGEIFS(AI$36:AI$171,$C$36:$C$171,"=6", $B$36:$B$171,"NO OFICIAL")</f>
        <v>8</v>
      </c>
      <c r="AJ35" s="39">
        <f>AVERAGEIFS(AJ$36:AJ$171,$C$36:$C$171,"=6", $B$36:$B$171,"NO OFICIAL")</f>
        <v>0.11272727272727275</v>
      </c>
      <c r="AK35" s="39">
        <f t="shared" ref="AK35:BL35" si="198">AVERAGEIFS(AK$36:AK$171,$C$36:$C$171,"=6", $B$36:$B$171,"NO OFICIAL")</f>
        <v>0.51818181818181819</v>
      </c>
      <c r="AL35" s="39">
        <f t="shared" si="198"/>
        <v>0.35727272727272724</v>
      </c>
      <c r="AM35" s="39">
        <f t="shared" si="198"/>
        <v>1.1818181818181818E-2</v>
      </c>
      <c r="AN35" s="39">
        <f t="shared" si="198"/>
        <v>0.27272727272727271</v>
      </c>
      <c r="AO35" s="39">
        <f t="shared" si="198"/>
        <v>0.48545454545454553</v>
      </c>
      <c r="AP35" s="39">
        <f t="shared" si="198"/>
        <v>0.5790909090909091</v>
      </c>
      <c r="AQ35" s="39">
        <f t="shared" si="198"/>
        <v>0.36727272727272725</v>
      </c>
      <c r="AR35" s="39">
        <f t="shared" si="198"/>
        <v>0.49090909090909096</v>
      </c>
      <c r="AS35" s="39">
        <f t="shared" si="198"/>
        <v>0.53545454545454541</v>
      </c>
      <c r="AT35" s="39">
        <f t="shared" si="198"/>
        <v>0.5154545454545455</v>
      </c>
      <c r="AU35" s="39">
        <f t="shared" si="198"/>
        <v>0.52363636363636368</v>
      </c>
      <c r="AV35" s="39">
        <f t="shared" si="198"/>
        <v>0.58545454545454545</v>
      </c>
      <c r="AW35" s="39">
        <f t="shared" si="198"/>
        <v>0.55454545454545456</v>
      </c>
      <c r="AX35" s="39">
        <f t="shared" si="198"/>
        <v>0.52636363636363648</v>
      </c>
      <c r="AY35" s="39">
        <f t="shared" si="198"/>
        <v>0.34454545454545454</v>
      </c>
      <c r="AZ35" s="39">
        <f t="shared" si="198"/>
        <v>0.35636363636363638</v>
      </c>
      <c r="BA35" s="39">
        <f t="shared" si="198"/>
        <v>0.47909090909090907</v>
      </c>
      <c r="BB35" s="39">
        <f t="shared" si="198"/>
        <v>0.66909090909090907</v>
      </c>
      <c r="BC35" s="39">
        <f t="shared" si="198"/>
        <v>0.62272727272727268</v>
      </c>
      <c r="BD35" s="39">
        <f t="shared" si="198"/>
        <v>0.4</v>
      </c>
      <c r="BE35" s="39">
        <f t="shared" si="198"/>
        <v>0.58454545454545459</v>
      </c>
      <c r="BF35" s="39">
        <f t="shared" si="198"/>
        <v>0.7</v>
      </c>
      <c r="BG35" s="39">
        <f t="shared" si="198"/>
        <v>0.48545454545454542</v>
      </c>
      <c r="BH35" s="39">
        <f t="shared" si="198"/>
        <v>0.42545454545454553</v>
      </c>
      <c r="BI35" s="39">
        <f t="shared" si="198"/>
        <v>0.4272727272727273</v>
      </c>
      <c r="BJ35" s="39">
        <f t="shared" si="198"/>
        <v>0.37090909090909091</v>
      </c>
      <c r="BK35" s="39">
        <f t="shared" si="198"/>
        <v>0.42818181818181816</v>
      </c>
      <c r="BL35" s="39">
        <f t="shared" si="198"/>
        <v>0.38545454545454549</v>
      </c>
      <c r="BM35" s="129">
        <f>AVERAGEIFS(BM$36:BM$171,$C$36:$C$171,"=6", $B$36:$B$171,"NO OFICIAL")</f>
        <v>51.3</v>
      </c>
      <c r="BN35" s="129">
        <f>AVERAGEIFS(BN$36:BN$171,$C$36:$C$171,"=6", $B$36:$B$171,"NO OFICIAL")</f>
        <v>8.6</v>
      </c>
      <c r="BO35" s="39">
        <f>AVERAGEIFS(BO$36:BO$171,$C$36:$C$171,"=6", $B$36:$B$171,"NO OFICIAL")</f>
        <v>8.3000000000000004E-2</v>
      </c>
      <c r="BP35" s="39">
        <f t="shared" ref="BP35:CR35" si="199">AVERAGEIFS(BP$36:BP$171,$C$36:$C$171,"=6", $B$36:$B$171,"NO OFICIAL")</f>
        <v>0.60400000000000009</v>
      </c>
      <c r="BQ35" s="39">
        <f t="shared" si="199"/>
        <v>0.308</v>
      </c>
      <c r="BR35" s="39">
        <f t="shared" si="199"/>
        <v>8.0000000000000002E-3</v>
      </c>
      <c r="BS35" s="39">
        <f t="shared" si="199"/>
        <v>0.33800000000000002</v>
      </c>
      <c r="BT35" s="39">
        <f t="shared" si="199"/>
        <v>0.46600000000000003</v>
      </c>
      <c r="BU35" s="39">
        <f t="shared" si="199"/>
        <v>0.60600000000000009</v>
      </c>
      <c r="BV35" s="39">
        <f t="shared" si="199"/>
        <v>0.25199999999999995</v>
      </c>
      <c r="BW35" s="39">
        <f t="shared" si="199"/>
        <v>0.59700000000000009</v>
      </c>
      <c r="BX35" s="39">
        <f t="shared" si="199"/>
        <v>0.32100000000000001</v>
      </c>
      <c r="BY35" s="39">
        <f t="shared" si="199"/>
        <v>0.42099999999999999</v>
      </c>
      <c r="BZ35" s="39">
        <f t="shared" si="199"/>
        <v>0.51700000000000002</v>
      </c>
      <c r="CA35" s="39">
        <f t="shared" si="199"/>
        <v>0.46200000000000002</v>
      </c>
      <c r="CB35" s="39">
        <f t="shared" si="199"/>
        <v>0.29699999999999999</v>
      </c>
      <c r="CC35" s="39">
        <f t="shared" si="199"/>
        <v>0.20800000000000002</v>
      </c>
      <c r="CD35" s="39">
        <f t="shared" si="199"/>
        <v>0.42699999999999994</v>
      </c>
      <c r="CE35" s="39">
        <f t="shared" si="199"/>
        <v>0.33599999999999997</v>
      </c>
      <c r="CF35" s="39">
        <f t="shared" si="199"/>
        <v>0.61</v>
      </c>
      <c r="CG35" s="39">
        <f t="shared" si="199"/>
        <v>0.60099999999999998</v>
      </c>
      <c r="CH35" s="39">
        <f t="shared" si="199"/>
        <v>0.45199999999999996</v>
      </c>
      <c r="CI35" s="39">
        <f t="shared" si="199"/>
        <v>0.58400000000000007</v>
      </c>
      <c r="CJ35" s="39">
        <f t="shared" si="199"/>
        <v>0.31799999999999995</v>
      </c>
      <c r="CK35" s="39">
        <f t="shared" si="199"/>
        <v>0.65600000000000003</v>
      </c>
      <c r="CL35" s="39">
        <f t="shared" si="199"/>
        <v>0.32100000000000006</v>
      </c>
      <c r="CM35" s="39">
        <f t="shared" si="199"/>
        <v>0.42599999999999999</v>
      </c>
      <c r="CN35" s="39">
        <f t="shared" si="199"/>
        <v>0.46299999999999991</v>
      </c>
      <c r="CO35" s="39">
        <f t="shared" si="199"/>
        <v>0.42000000000000004</v>
      </c>
      <c r="CP35" s="39">
        <f t="shared" si="199"/>
        <v>0.33700000000000002</v>
      </c>
      <c r="CQ35" s="39">
        <f t="shared" si="199"/>
        <v>0.57099999999999995</v>
      </c>
      <c r="CR35" s="39">
        <f t="shared" si="199"/>
        <v>0.57700000000000007</v>
      </c>
      <c r="CS35" s="129">
        <f>AVERAGEIFS(CS$36:CS$171,$C$36:$C$171,"=6", $B$36:$B$171,"NO OFICIAL")</f>
        <v>51.090909090909093</v>
      </c>
      <c r="CT35" s="129">
        <f>AVERAGEIFS(CT$36:CT$171,$C$36:$C$171,"=6", $B$36:$B$171,"NO OFICIAL")</f>
        <v>8.1818181818181817</v>
      </c>
      <c r="CU35" s="39">
        <f>AVERAGEIFS(CU$36:CU$171,$C$36:$C$171,"=6", $B$36:$B$171,"NO OFICIAL")</f>
        <v>0.11272727272727273</v>
      </c>
      <c r="CV35" s="39">
        <f t="shared" ref="CV35:DW35" si="200">AVERAGEIFS(CV$36:CV$171,$C$36:$C$171,"=6", $B$36:$B$171,"NO OFICIAL")</f>
        <v>0.61363636363636365</v>
      </c>
      <c r="CW35" s="39">
        <f t="shared" si="200"/>
        <v>0.24363636363636362</v>
      </c>
      <c r="CX35" s="39">
        <f t="shared" si="200"/>
        <v>3.0909090909090907E-2</v>
      </c>
      <c r="CY35" s="39">
        <f t="shared" si="200"/>
        <v>0.5</v>
      </c>
      <c r="CZ35" s="39">
        <f t="shared" si="200"/>
        <v>0.31363636363636366</v>
      </c>
      <c r="DA35" s="39">
        <f t="shared" si="200"/>
        <v>0.54181818181818187</v>
      </c>
      <c r="DB35" s="39">
        <f t="shared" si="200"/>
        <v>0.38454545454545452</v>
      </c>
      <c r="DC35" s="39">
        <f t="shared" si="200"/>
        <v>0.44181818181818183</v>
      </c>
      <c r="DD35" s="39">
        <f t="shared" si="200"/>
        <v>0.62181818181818183</v>
      </c>
      <c r="DE35" s="39">
        <f t="shared" si="200"/>
        <v>0.40363636363636368</v>
      </c>
      <c r="DF35" s="39">
        <f t="shared" si="200"/>
        <v>0.52454545454545454</v>
      </c>
      <c r="DG35" s="39">
        <f t="shared" si="200"/>
        <v>0.35909090909090913</v>
      </c>
      <c r="DH35" s="39">
        <f t="shared" si="200"/>
        <v>0.4</v>
      </c>
      <c r="DI35" s="39">
        <f t="shared" si="200"/>
        <v>0.47000000000000008</v>
      </c>
      <c r="DJ35" s="39">
        <f t="shared" si="200"/>
        <v>0.53636363636363638</v>
      </c>
      <c r="DK35" s="39">
        <f t="shared" si="200"/>
        <v>0.41636363636363638</v>
      </c>
      <c r="DL35" s="39">
        <f t="shared" si="200"/>
        <v>0.38400000000000001</v>
      </c>
      <c r="DM35" s="39">
        <f t="shared" si="200"/>
        <v>0.51818181818181808</v>
      </c>
      <c r="DN35" s="39">
        <f t="shared" si="200"/>
        <v>0.4654545454545454</v>
      </c>
      <c r="DO35" s="39">
        <f t="shared" si="200"/>
        <v>0.44</v>
      </c>
      <c r="DP35" s="39">
        <f t="shared" si="200"/>
        <v>0.45000000000000012</v>
      </c>
      <c r="DQ35" s="39">
        <f t="shared" si="200"/>
        <v>0.51727272727272733</v>
      </c>
      <c r="DR35" s="39">
        <f t="shared" si="200"/>
        <v>0.12636363636363637</v>
      </c>
      <c r="DS35" s="39">
        <f t="shared" si="200"/>
        <v>0.34272727272727271</v>
      </c>
      <c r="DT35" s="39">
        <f t="shared" si="200"/>
        <v>0.59818181818181826</v>
      </c>
      <c r="DU35" s="39">
        <f t="shared" si="200"/>
        <v>0.47818181818181826</v>
      </c>
      <c r="DV35" s="39">
        <f t="shared" si="200"/>
        <v>0.52272727272727271</v>
      </c>
      <c r="DW35" s="39">
        <f t="shared" si="200"/>
        <v>0.30272727272727273</v>
      </c>
      <c r="DX35" s="129">
        <f>AVERAGEIFS(DX$36:DX$171,$C$36:$C$171,"=6", $B$36:$B$171,"NO OFICIAL")</f>
        <v>49.46153846153846</v>
      </c>
      <c r="DY35" s="129">
        <f>AVERAGEIFS(DY$36:DY$171,$C$36:$C$171,"=6", $B$36:$B$171,"NO OFICIAL")</f>
        <v>7.615384615384615</v>
      </c>
      <c r="DZ35" s="39">
        <f>AVERAGEIFS(DZ$36:DZ$171,$C$36:$C$171,"=6", $B$36:$B$171,"NO OFICIAL")</f>
        <v>0.14615384615384616</v>
      </c>
      <c r="EA35" s="39">
        <f t="shared" ref="EA35:FA35" si="201">AVERAGEIFS(EA$36:EA$171,$C$36:$C$171,"=6", $B$36:$B$171,"NO OFICIAL")</f>
        <v>0.5807692307692307</v>
      </c>
      <c r="EB35" s="39">
        <f t="shared" si="201"/>
        <v>0.27076923076923076</v>
      </c>
      <c r="EC35" s="39">
        <f t="shared" si="201"/>
        <v>3.8461538461538464E-3</v>
      </c>
      <c r="ED35" s="39">
        <f t="shared" si="201"/>
        <v>0.54153846153846152</v>
      </c>
      <c r="EE35" s="39">
        <f t="shared" si="201"/>
        <v>0.44307692307692315</v>
      </c>
      <c r="EF35" s="39">
        <f t="shared" si="201"/>
        <v>0.50538461538461532</v>
      </c>
      <c r="EG35" s="39">
        <f t="shared" si="201"/>
        <v>0.4046153846153846</v>
      </c>
      <c r="EH35" s="39">
        <f t="shared" si="201"/>
        <v>0.47461538461538461</v>
      </c>
      <c r="EI35" s="39">
        <f t="shared" si="201"/>
        <v>0.57923076923076922</v>
      </c>
      <c r="EJ35" s="39">
        <f t="shared" si="201"/>
        <v>0.55230769230769239</v>
      </c>
      <c r="EK35" s="39">
        <f t="shared" si="201"/>
        <v>0.3584615384615385</v>
      </c>
      <c r="EL35" s="39">
        <f t="shared" si="201"/>
        <v>0.4661538461538462</v>
      </c>
      <c r="EM35" s="39">
        <f t="shared" si="201"/>
        <v>0.63615384615384607</v>
      </c>
      <c r="EN35" s="39">
        <f t="shared" si="201"/>
        <v>0.40615384615384609</v>
      </c>
      <c r="EO35" s="39">
        <f t="shared" si="201"/>
        <v>0.55384615384615377</v>
      </c>
      <c r="EP35" s="39">
        <f t="shared" si="201"/>
        <v>0.41538461538461541</v>
      </c>
      <c r="EQ35" s="39">
        <f t="shared" si="201"/>
        <v>0.32076923076923075</v>
      </c>
      <c r="ER35" s="39">
        <f t="shared" si="201"/>
        <v>0.5823076923076923</v>
      </c>
      <c r="ES35" s="39">
        <f t="shared" si="201"/>
        <v>0.48076923076923078</v>
      </c>
      <c r="ET35" s="39">
        <f t="shared" si="201"/>
        <v>0.3223076923076923</v>
      </c>
      <c r="EU35" s="39">
        <f t="shared" si="201"/>
        <v>0.56153846153846154</v>
      </c>
      <c r="EV35" s="39">
        <f t="shared" si="201"/>
        <v>0.32769230769230773</v>
      </c>
      <c r="EW35" s="39">
        <f t="shared" si="201"/>
        <v>0.36230769230769239</v>
      </c>
      <c r="EX35" s="39">
        <f t="shared" si="201"/>
        <v>0.68818181818181823</v>
      </c>
      <c r="EY35" s="39">
        <f t="shared" si="201"/>
        <v>0.59923076923076934</v>
      </c>
      <c r="EZ35" s="39">
        <f t="shared" si="201"/>
        <v>0.18250000000000002</v>
      </c>
      <c r="FA35" s="39">
        <f t="shared" si="201"/>
        <v>0.67615384615384611</v>
      </c>
      <c r="FB35" s="129">
        <f>AVERAGEIFS(FB$36:FB$171,$C$36:$C$171,"=6", $B$36:$B$171,"NO OFICIAL")</f>
        <v>49.692307692307693</v>
      </c>
      <c r="FD35" s="129">
        <f>AVERAGEIFS(FD$36:FD$171,$C$36:$C$171,"=6", $B$36:$B$171,"NO OFICIAL")</f>
        <v>6.6923076923076925</v>
      </c>
      <c r="FF35" s="39">
        <f>AVERAGEIFS(FF$36:FF$171,$C$36:$C$171,"=6", $B$36:$B$171,"NO OFICIAL")</f>
        <v>0.17846153846153845</v>
      </c>
      <c r="FG35" s="39">
        <f t="shared" ref="FG35:GI35" si="202">AVERAGEIFS(FG$36:FG$171,$C$36:$C$171,"=6", $B$36:$B$171,"NO OFICIAL")</f>
        <v>0.55692307692307685</v>
      </c>
      <c r="FH35" s="39">
        <f t="shared" si="202"/>
        <v>0.25461538461538458</v>
      </c>
      <c r="FI35" s="39">
        <f t="shared" si="202"/>
        <v>0.01</v>
      </c>
      <c r="FJ35" s="39">
        <f t="shared" si="202"/>
        <v>0.43384615384615383</v>
      </c>
      <c r="FK35" s="39">
        <f t="shared" si="202"/>
        <v>0.67307692307692291</v>
      </c>
      <c r="FL35" s="39">
        <f t="shared" si="202"/>
        <v>0.52153846153846151</v>
      </c>
      <c r="FM35" s="39">
        <f t="shared" si="202"/>
        <v>0.33750000000000008</v>
      </c>
      <c r="FN35" s="39">
        <f t="shared" si="202"/>
        <v>0.33999999999999997</v>
      </c>
      <c r="FO35" s="39">
        <f t="shared" si="202"/>
        <v>0.34615384615384615</v>
      </c>
      <c r="FP35" s="39">
        <f t="shared" si="202"/>
        <v>0.35615384615384615</v>
      </c>
      <c r="FQ35" s="39">
        <f t="shared" si="202"/>
        <v>0.47384615384615386</v>
      </c>
      <c r="FR35" s="39">
        <f t="shared" si="202"/>
        <v>0.59461538461538477</v>
      </c>
      <c r="FS35" s="39">
        <f t="shared" si="202"/>
        <v>0.53666666666666663</v>
      </c>
      <c r="FT35" s="39">
        <f t="shared" si="202"/>
        <v>0.50076923076923086</v>
      </c>
      <c r="FU35" s="39">
        <f t="shared" si="202"/>
        <v>0.36749999999999994</v>
      </c>
      <c r="FV35" s="39">
        <f t="shared" si="202"/>
        <v>0.67538461538461536</v>
      </c>
      <c r="FW35" s="39">
        <f t="shared" si="202"/>
        <v>0.4876923076923077</v>
      </c>
      <c r="FX35" s="39">
        <f t="shared" si="202"/>
        <v>0.42916666666666664</v>
      </c>
      <c r="FY35" s="39">
        <f t="shared" si="202"/>
        <v>0.39846153846153853</v>
      </c>
      <c r="FZ35" s="39">
        <f t="shared" si="202"/>
        <v>0.38538461538461544</v>
      </c>
      <c r="GA35" s="39">
        <f t="shared" si="202"/>
        <v>0.46461538461538471</v>
      </c>
      <c r="GB35" s="39">
        <f t="shared" si="202"/>
        <v>0.54461538461538461</v>
      </c>
      <c r="GC35" s="39">
        <f t="shared" si="202"/>
        <v>0.44692307692307687</v>
      </c>
      <c r="GD35" s="39">
        <f t="shared" si="202"/>
        <v>0.54692307692307696</v>
      </c>
      <c r="GE35" s="39">
        <f t="shared" si="202"/>
        <v>0.49461538461538457</v>
      </c>
      <c r="GF35" s="39">
        <f t="shared" si="202"/>
        <v>0.4507692307692307</v>
      </c>
      <c r="GG35" s="39">
        <f t="shared" si="202"/>
        <v>0.4653846153846154</v>
      </c>
      <c r="GH35" s="39">
        <f t="shared" si="202"/>
        <v>0.53384615384615386</v>
      </c>
      <c r="GI35" s="39">
        <f t="shared" si="202"/>
        <v>0.24538461538461537</v>
      </c>
      <c r="GJ35" s="129">
        <f>AVERAGEIFS(GJ$36:GJ$171,$C$36:$C$171,"=6", $B$36:$B$171,"NO OFICIAL")</f>
        <v>50.06666666666667</v>
      </c>
      <c r="GL35" s="129">
        <f>AVERAGEIFS(GL$36:GL$171,$C$36:$C$171,"=6", $B$36:$B$171,"NO OFICIAL")</f>
        <v>8.6</v>
      </c>
      <c r="GN35" s="344">
        <f>AVERAGEIFS(GN$36:GN$171,$C$36:$C$171,"=6", $B$36:$B$171,"NO OFICIAL")</f>
        <v>0.20666666666666669</v>
      </c>
      <c r="GO35" s="344">
        <f t="shared" ref="GO35:HQ35" si="203">AVERAGEIFS(GO$36:GO$171,$C$36:$C$171,"=6", $B$36:$B$171,"NO OFICIAL")</f>
        <v>0.51466666666666661</v>
      </c>
      <c r="GP35" s="344">
        <f t="shared" si="203"/>
        <v>0.26133333333333331</v>
      </c>
      <c r="GQ35" s="344">
        <f t="shared" si="203"/>
        <v>1.7333333333333333E-2</v>
      </c>
      <c r="GR35" s="344">
        <f t="shared" si="203"/>
        <v>0.44</v>
      </c>
      <c r="GS35" s="344">
        <f t="shared" si="203"/>
        <v>0.54733333333333334</v>
      </c>
      <c r="GT35" s="344">
        <f t="shared" si="203"/>
        <v>0.59066666666666667</v>
      </c>
      <c r="GU35" s="344">
        <f t="shared" si="203"/>
        <v>0.28142857142857147</v>
      </c>
      <c r="GV35" s="344">
        <f t="shared" si="203"/>
        <v>0.53999999999999992</v>
      </c>
      <c r="GW35" s="344">
        <f t="shared" si="203"/>
        <v>0.45733333333333337</v>
      </c>
      <c r="GX35" s="344">
        <f t="shared" si="203"/>
        <v>0.48999999999999994</v>
      </c>
      <c r="GY35" s="317" t="s">
        <v>283</v>
      </c>
      <c r="GZ35" s="344">
        <f t="shared" si="203"/>
        <v>0.31933333333333336</v>
      </c>
      <c r="HA35" s="344">
        <f t="shared" si="203"/>
        <v>0.69933333333333325</v>
      </c>
      <c r="HB35" s="344">
        <f t="shared" si="203"/>
        <v>0.48199999999999998</v>
      </c>
      <c r="HC35" s="344">
        <f t="shared" si="203"/>
        <v>0.49266666666666659</v>
      </c>
      <c r="HD35" s="344">
        <f t="shared" si="203"/>
        <v>0.56866666666666654</v>
      </c>
      <c r="HE35" s="344">
        <f t="shared" si="203"/>
        <v>0.48599999999999999</v>
      </c>
      <c r="HF35" s="344">
        <f t="shared" si="203"/>
        <v>0.47133333333333327</v>
      </c>
      <c r="HG35" s="344">
        <f t="shared" si="203"/>
        <v>0.67399999999999993</v>
      </c>
      <c r="HH35" s="344">
        <f t="shared" si="203"/>
        <v>0.41733333333333344</v>
      </c>
      <c r="HI35" s="344">
        <f t="shared" si="203"/>
        <v>0.54066666666666663</v>
      </c>
      <c r="HJ35" s="344">
        <f t="shared" si="203"/>
        <v>0.59666666666666679</v>
      </c>
      <c r="HK35" s="344">
        <f t="shared" si="203"/>
        <v>0.50200000000000011</v>
      </c>
      <c r="HL35" s="344">
        <f t="shared" si="203"/>
        <v>0.44533333333333325</v>
      </c>
      <c r="HM35" s="344">
        <f t="shared" si="203"/>
        <v>0.51133333333333331</v>
      </c>
      <c r="HN35" s="344">
        <f t="shared" si="203"/>
        <v>0.49666666666666665</v>
      </c>
      <c r="HO35" s="344">
        <f t="shared" si="203"/>
        <v>0.4326666666666667</v>
      </c>
      <c r="HP35" s="317" t="s">
        <v>283</v>
      </c>
      <c r="HQ35" s="344">
        <f t="shared" si="203"/>
        <v>0.43266666666666675</v>
      </c>
      <c r="HR35" s="129">
        <f>AVERAGEIFS(HR$36:HR$171,$C$36:$C$171,"=6", $B$36:$B$171,"NO OFICIAL")</f>
        <v>51.375</v>
      </c>
      <c r="HT35" s="129">
        <f>AVERAGEIFS(HT$36:HT$171,$C$36:$C$171,"=6", $B$36:$B$171,"NO OFICIAL")</f>
        <v>8.25</v>
      </c>
      <c r="HV35" s="344">
        <f>AVERAGEIFS(HV$36:HV$171,$C$36:$C$171,"=6", $B$36:$B$171,"NO OFICIAL")</f>
        <v>0.16437500000000002</v>
      </c>
      <c r="HW35" s="344">
        <f t="shared" ref="HW35:IZ35" si="204">AVERAGEIFS(HW$36:HW$171,$C$36:$C$171,"=6", $B$36:$B$171,"NO OFICIAL")</f>
        <v>0.48000000000000004</v>
      </c>
      <c r="HX35" s="344">
        <f t="shared" si="204"/>
        <v>0.34562500000000002</v>
      </c>
      <c r="HY35" s="344">
        <f t="shared" si="204"/>
        <v>1.125E-2</v>
      </c>
      <c r="HZ35" s="344">
        <f t="shared" si="204"/>
        <v>0.35062500000000002</v>
      </c>
      <c r="IA35" s="344">
        <f t="shared" si="204"/>
        <v>0.50812500000000005</v>
      </c>
      <c r="IB35" s="344">
        <f t="shared" si="204"/>
        <v>0.34937499999999999</v>
      </c>
      <c r="IC35" s="344">
        <f t="shared" si="204"/>
        <v>0.48375000000000001</v>
      </c>
      <c r="ID35" s="344">
        <f t="shared" si="204"/>
        <v>0.60187499999999983</v>
      </c>
      <c r="IE35" s="344">
        <f t="shared" si="204"/>
        <v>0.31250000000000006</v>
      </c>
      <c r="IF35" s="344">
        <f t="shared" si="204"/>
        <v>0.41249999999999998</v>
      </c>
      <c r="IG35" s="344">
        <f t="shared" si="204"/>
        <v>0.53</v>
      </c>
      <c r="IH35" s="344">
        <f t="shared" si="204"/>
        <v>0.47749999999999998</v>
      </c>
      <c r="II35" s="344">
        <f t="shared" si="204"/>
        <v>0.30866666666666664</v>
      </c>
      <c r="IJ35" s="344">
        <f t="shared" si="204"/>
        <v>0.29375000000000001</v>
      </c>
      <c r="IK35" s="344">
        <f t="shared" si="204"/>
        <v>0.58875</v>
      </c>
      <c r="IL35" s="344">
        <f t="shared" si="204"/>
        <v>0.37562499999999993</v>
      </c>
      <c r="IM35" s="344">
        <f t="shared" si="204"/>
        <v>0.63500000000000001</v>
      </c>
      <c r="IN35" s="344">
        <f t="shared" si="204"/>
        <v>0.45500000000000002</v>
      </c>
      <c r="IO35" s="344">
        <f t="shared" si="204"/>
        <v>0.52124999999999999</v>
      </c>
      <c r="IP35" s="344">
        <f t="shared" si="204"/>
        <v>0.40875</v>
      </c>
      <c r="IQ35" s="344">
        <f t="shared" si="204"/>
        <v>0.59750000000000003</v>
      </c>
      <c r="IR35" s="344">
        <f t="shared" si="204"/>
        <v>0.57250000000000001</v>
      </c>
      <c r="IS35" s="344">
        <f t="shared" si="204"/>
        <v>0.53</v>
      </c>
      <c r="IT35" s="344">
        <f t="shared" si="204"/>
        <v>0.41749999999999998</v>
      </c>
      <c r="IU35" s="317" t="s">
        <v>283</v>
      </c>
      <c r="IV35" s="344">
        <f t="shared" si="204"/>
        <v>0.59500000000000008</v>
      </c>
      <c r="IW35" s="344">
        <f t="shared" si="204"/>
        <v>0.41625000000000001</v>
      </c>
      <c r="IX35" s="344">
        <f t="shared" si="204"/>
        <v>0.51874999999999993</v>
      </c>
      <c r="IY35" s="344">
        <f t="shared" si="204"/>
        <v>0.53625000000000012</v>
      </c>
      <c r="IZ35" s="494">
        <f t="shared" si="204"/>
        <v>51.5</v>
      </c>
      <c r="JA35" s="499"/>
      <c r="JB35" s="302">
        <f>AVERAGEIFS(JB$36:JB$171,$C$36:$C$171,"=6", $B$36:$B$171,"NO OFICIAL")</f>
        <v>9.2857142857142865</v>
      </c>
      <c r="JC35" s="499"/>
      <c r="JD35" s="345">
        <f t="shared" ref="JD35:KG35" si="205">AVERAGEIFS(JD$36:JD$171,$C$36:$C$171,"=6", $B$36:$B$171,"NO OFICIAL")</f>
        <v>0.15642857142857142</v>
      </c>
      <c r="JE35" s="345">
        <f t="shared" si="205"/>
        <v>0.47357142857142859</v>
      </c>
      <c r="JF35" s="345">
        <f t="shared" si="205"/>
        <v>0.35357142857142854</v>
      </c>
      <c r="JG35" s="345">
        <f t="shared" si="205"/>
        <v>1.785714285714286E-2</v>
      </c>
      <c r="JH35" s="345">
        <f t="shared" ref="JH35:KC35" si="206">AVERAGEIFS(JH$36:JH$171,$C$36:$C$171,"=6", $B$36:$B$171,"NO OFICIAL")</f>
        <v>0.46857142857142853</v>
      </c>
      <c r="JI35" s="345">
        <f t="shared" si="206"/>
        <v>0.42928571428571433</v>
      </c>
      <c r="JJ35" s="345">
        <f t="shared" si="206"/>
        <v>0.40714285714285714</v>
      </c>
      <c r="JK35" s="345">
        <f t="shared" si="206"/>
        <v>0.46571428571428569</v>
      </c>
      <c r="JL35" s="345">
        <f t="shared" si="206"/>
        <v>0.43571428571428583</v>
      </c>
      <c r="JM35" s="345">
        <f t="shared" si="206"/>
        <v>0.48499999999999999</v>
      </c>
      <c r="JN35" s="345">
        <f t="shared" si="206"/>
        <v>0.37785714285714278</v>
      </c>
      <c r="JO35" s="345">
        <f t="shared" si="206"/>
        <v>0.45857142857142857</v>
      </c>
      <c r="JP35" s="345">
        <f t="shared" si="206"/>
        <v>0.5714285714285714</v>
      </c>
      <c r="JQ35" s="345">
        <f t="shared" si="206"/>
        <v>0.29428571428571432</v>
      </c>
      <c r="JR35" s="345">
        <f t="shared" si="206"/>
        <v>0.54785714285714282</v>
      </c>
      <c r="JS35" s="345">
        <f t="shared" si="206"/>
        <v>0.54357142857142871</v>
      </c>
      <c r="JT35" s="345">
        <f t="shared" si="206"/>
        <v>0.45642857142857141</v>
      </c>
      <c r="JU35" s="345">
        <f t="shared" si="206"/>
        <v>0.49285714285714288</v>
      </c>
      <c r="JV35" s="345">
        <f t="shared" si="206"/>
        <v>0.49357142857142849</v>
      </c>
      <c r="JW35" s="345">
        <f t="shared" si="206"/>
        <v>0.48999999999999994</v>
      </c>
      <c r="JX35" s="345">
        <f t="shared" si="206"/>
        <v>0.40071428571428575</v>
      </c>
      <c r="JY35" s="345">
        <f t="shared" si="206"/>
        <v>0.5128571428571429</v>
      </c>
      <c r="JZ35" s="345">
        <f t="shared" si="206"/>
        <v>0.49785714285714289</v>
      </c>
      <c r="KA35" s="345">
        <f t="shared" si="206"/>
        <v>0.51714285714285713</v>
      </c>
      <c r="KB35" s="345">
        <f t="shared" si="206"/>
        <v>0.47785714285714287</v>
      </c>
      <c r="KC35" s="345">
        <f t="shared" si="206"/>
        <v>0.65642857142857136</v>
      </c>
      <c r="KD35" s="345">
        <f t="shared" si="205"/>
        <v>0.36142857142857138</v>
      </c>
      <c r="KE35" s="345">
        <f>AVERAGEIFS(KE$36:KE$171,$C$36:$C$171,"=6", $B$36:$B$171,"NO OFICIAL")</f>
        <v>0.51142857142857145</v>
      </c>
      <c r="KF35" s="345">
        <f>AVERAGEIFS(KF$36:KF$171,$C$36:$C$171,"=6", $B$36:$B$171,"NO OFICIAL")</f>
        <v>0.47285714285714281</v>
      </c>
      <c r="KG35" s="345">
        <f t="shared" si="205"/>
        <v>0.5407142857142857</v>
      </c>
    </row>
    <row r="36" spans="1:293" ht="24.95" customHeight="1" x14ac:dyDescent="0.2">
      <c r="A36" s="126" t="s">
        <v>29</v>
      </c>
      <c r="B36" s="1" t="s">
        <v>221</v>
      </c>
      <c r="C36" s="2">
        <v>2</v>
      </c>
      <c r="D36" s="12">
        <v>53</v>
      </c>
      <c r="E36" s="12">
        <v>8</v>
      </c>
      <c r="F36" s="66">
        <v>0.04</v>
      </c>
      <c r="G36" s="66">
        <v>0.67</v>
      </c>
      <c r="H36" s="66">
        <v>0.28999999999999998</v>
      </c>
      <c r="I36" s="66">
        <v>0</v>
      </c>
      <c r="J36" s="66">
        <v>0.57999999999999996</v>
      </c>
      <c r="K36" s="66">
        <v>0.32</v>
      </c>
      <c r="L36" s="66">
        <v>0.72</v>
      </c>
      <c r="M36" s="66">
        <v>0.21</v>
      </c>
      <c r="N36" s="66">
        <v>0.33</v>
      </c>
      <c r="O36" s="66">
        <v>0.65</v>
      </c>
      <c r="P36" s="66">
        <v>0.28999999999999998</v>
      </c>
      <c r="Q36" s="66">
        <v>0.38</v>
      </c>
      <c r="R36" s="66">
        <v>0.56000000000000005</v>
      </c>
      <c r="S36" s="66">
        <v>0.65</v>
      </c>
      <c r="T36" s="66">
        <v>0.49</v>
      </c>
      <c r="U36" s="66">
        <v>0.65</v>
      </c>
      <c r="V36" s="66">
        <v>0.1</v>
      </c>
      <c r="W36" s="66">
        <v>0.11</v>
      </c>
      <c r="X36" s="66">
        <v>0.56000000000000005</v>
      </c>
      <c r="Y36" s="66">
        <v>0.57999999999999996</v>
      </c>
      <c r="Z36" s="66">
        <v>1</v>
      </c>
      <c r="AA36" s="66">
        <v>0.06</v>
      </c>
      <c r="AB36" s="66">
        <v>0.48</v>
      </c>
      <c r="AC36" s="66">
        <v>0.23</v>
      </c>
      <c r="AD36" s="66">
        <v>0.46</v>
      </c>
      <c r="AE36" s="66">
        <v>0.38</v>
      </c>
      <c r="AF36" s="66">
        <v>0.59</v>
      </c>
      <c r="AG36" s="66">
        <v>0.45</v>
      </c>
      <c r="AH36" s="12">
        <v>52</v>
      </c>
      <c r="AI36" s="12">
        <v>8</v>
      </c>
      <c r="AJ36" s="40">
        <v>0.05</v>
      </c>
      <c r="AK36" s="40">
        <v>0.64</v>
      </c>
      <c r="AL36" s="40">
        <v>0.3</v>
      </c>
      <c r="AM36" s="40">
        <v>0.01</v>
      </c>
      <c r="AN36" s="40">
        <v>0.19</v>
      </c>
      <c r="AO36" s="40">
        <v>0.45</v>
      </c>
      <c r="AP36" s="40">
        <v>0.66</v>
      </c>
      <c r="AQ36" s="40">
        <v>0.35</v>
      </c>
      <c r="AR36" s="40">
        <v>0.57999999999999996</v>
      </c>
      <c r="AS36" s="40">
        <v>0.56999999999999995</v>
      </c>
      <c r="AT36" s="40">
        <v>0.51</v>
      </c>
      <c r="AU36" s="40">
        <v>0.55000000000000004</v>
      </c>
      <c r="AV36" s="40">
        <v>0.64</v>
      </c>
      <c r="AW36" s="40">
        <v>0.45</v>
      </c>
      <c r="AX36" s="40">
        <v>0.59</v>
      </c>
      <c r="AY36" s="40">
        <v>0.36</v>
      </c>
      <c r="AZ36" s="40">
        <v>0.27</v>
      </c>
      <c r="BA36" s="40">
        <v>0.44</v>
      </c>
      <c r="BB36" s="40">
        <v>0.72</v>
      </c>
      <c r="BC36" s="40">
        <v>0.66</v>
      </c>
      <c r="BD36" s="40">
        <v>0.39</v>
      </c>
      <c r="BE36" s="40">
        <v>0.57999999999999996</v>
      </c>
      <c r="BF36" s="40">
        <v>0.59</v>
      </c>
      <c r="BG36" s="40">
        <v>0.48</v>
      </c>
      <c r="BH36" s="40">
        <v>0.44</v>
      </c>
      <c r="BI36" s="40">
        <v>0.39</v>
      </c>
      <c r="BJ36" s="40">
        <v>0.37</v>
      </c>
      <c r="BK36" s="40">
        <v>0.47</v>
      </c>
      <c r="BL36" s="40">
        <v>0.55000000000000004</v>
      </c>
      <c r="BM36" s="12">
        <v>50</v>
      </c>
      <c r="BN36" s="12">
        <v>9</v>
      </c>
      <c r="BO36" s="66">
        <v>0.17</v>
      </c>
      <c r="BP36" s="66">
        <v>0.51</v>
      </c>
      <c r="BQ36" s="66">
        <v>0.32</v>
      </c>
      <c r="BR36" s="66">
        <v>0</v>
      </c>
      <c r="BS36" s="66">
        <v>0.41</v>
      </c>
      <c r="BT36" s="66">
        <v>0.68</v>
      </c>
      <c r="BU36" s="66">
        <v>0.65</v>
      </c>
      <c r="BV36" s="66">
        <v>0.28000000000000003</v>
      </c>
      <c r="BW36" s="66">
        <v>0.63</v>
      </c>
      <c r="BX36" s="66">
        <v>0.42</v>
      </c>
      <c r="BY36" s="66">
        <v>0.49</v>
      </c>
      <c r="BZ36" s="66">
        <v>0.52</v>
      </c>
      <c r="CA36" s="66">
        <v>0.45</v>
      </c>
      <c r="CB36" s="66">
        <v>0.37</v>
      </c>
      <c r="CC36" s="66">
        <v>0.28000000000000003</v>
      </c>
      <c r="CD36" s="66">
        <v>0.43</v>
      </c>
      <c r="CE36" s="66">
        <v>0.37</v>
      </c>
      <c r="CF36" s="66">
        <v>0.7</v>
      </c>
      <c r="CG36" s="66">
        <v>0.56000000000000005</v>
      </c>
      <c r="CH36" s="66">
        <v>0.42</v>
      </c>
      <c r="CI36" s="66">
        <v>0.56999999999999995</v>
      </c>
      <c r="CJ36" s="66">
        <v>0.37</v>
      </c>
      <c r="CK36" s="66">
        <v>0.64</v>
      </c>
      <c r="CL36" s="66">
        <v>0.28999999999999998</v>
      </c>
      <c r="CM36" s="66">
        <v>0.43</v>
      </c>
      <c r="CN36" s="66">
        <v>0.48</v>
      </c>
      <c r="CO36" s="66">
        <v>0.48</v>
      </c>
      <c r="CP36" s="66">
        <v>0.35</v>
      </c>
      <c r="CQ36" s="66">
        <v>0.6</v>
      </c>
      <c r="CR36" s="66">
        <v>0.62</v>
      </c>
      <c r="CS36" s="12">
        <v>52</v>
      </c>
      <c r="CT36" s="12">
        <v>9</v>
      </c>
      <c r="CU36" s="63">
        <v>0.13</v>
      </c>
      <c r="CV36" s="63">
        <v>0.55000000000000004</v>
      </c>
      <c r="CW36" s="63">
        <v>0.32</v>
      </c>
      <c r="CX36" s="63">
        <v>0</v>
      </c>
      <c r="CY36" s="63">
        <v>0.51</v>
      </c>
      <c r="CZ36" s="63">
        <v>0.31</v>
      </c>
      <c r="DA36" s="63">
        <v>0.49</v>
      </c>
      <c r="DB36" s="63">
        <v>0.33</v>
      </c>
      <c r="DC36" s="63">
        <v>0.46</v>
      </c>
      <c r="DD36" s="63">
        <v>0.57999999999999996</v>
      </c>
      <c r="DE36" s="63">
        <v>0.42</v>
      </c>
      <c r="DF36" s="63">
        <v>0.59</v>
      </c>
      <c r="DG36" s="63">
        <v>0.35</v>
      </c>
      <c r="DH36" s="63">
        <v>0.36</v>
      </c>
      <c r="DI36" s="63">
        <v>0.48</v>
      </c>
      <c r="DJ36" s="63">
        <v>0.5</v>
      </c>
      <c r="DK36" s="63">
        <v>0.21</v>
      </c>
      <c r="DL36" s="63">
        <v>0.33</v>
      </c>
      <c r="DM36" s="63">
        <v>0.49</v>
      </c>
      <c r="DN36" s="63">
        <v>0.46</v>
      </c>
      <c r="DO36" s="63">
        <v>0.33</v>
      </c>
      <c r="DP36" s="63">
        <v>0.48</v>
      </c>
      <c r="DQ36" s="63">
        <v>0.55000000000000004</v>
      </c>
      <c r="DR36" s="63">
        <v>0.15</v>
      </c>
      <c r="DS36" s="63">
        <v>0.35</v>
      </c>
      <c r="DT36" s="63">
        <v>0.56999999999999995</v>
      </c>
      <c r="DU36" s="63">
        <v>0.49</v>
      </c>
      <c r="DV36" s="63">
        <v>0.52</v>
      </c>
      <c r="DW36" s="63">
        <v>0.31</v>
      </c>
      <c r="DX36" s="35">
        <v>50</v>
      </c>
      <c r="DY36" s="35">
        <v>10</v>
      </c>
      <c r="DZ36" s="40">
        <v>0.17</v>
      </c>
      <c r="EA36" s="40">
        <v>0.59</v>
      </c>
      <c r="EB36" s="40">
        <v>0.2</v>
      </c>
      <c r="EC36" s="40">
        <v>0.03</v>
      </c>
      <c r="ED36" s="40">
        <v>0.48</v>
      </c>
      <c r="EE36" s="40">
        <v>0.45</v>
      </c>
      <c r="EF36" s="40">
        <v>0.56999999999999995</v>
      </c>
      <c r="EG36" s="40">
        <v>0.31</v>
      </c>
      <c r="EH36" s="40">
        <v>0.45</v>
      </c>
      <c r="EI36" s="40">
        <v>0.56000000000000005</v>
      </c>
      <c r="EJ36" s="40">
        <v>0.56999999999999995</v>
      </c>
      <c r="EK36" s="40">
        <v>0.16</v>
      </c>
      <c r="EL36" s="40">
        <v>0.44</v>
      </c>
      <c r="EM36" s="40">
        <v>0.69</v>
      </c>
      <c r="EN36" s="40">
        <v>0.39</v>
      </c>
      <c r="EO36" s="40">
        <v>0.56000000000000005</v>
      </c>
      <c r="EP36" s="40">
        <v>0.39</v>
      </c>
      <c r="EQ36" s="40">
        <v>0.39</v>
      </c>
      <c r="ER36" s="40">
        <v>0.59</v>
      </c>
      <c r="ES36" s="40">
        <v>0.46</v>
      </c>
      <c r="ET36" s="40">
        <v>0.3</v>
      </c>
      <c r="EU36" s="40">
        <v>0.64</v>
      </c>
      <c r="EV36" s="40">
        <v>0.27</v>
      </c>
      <c r="EW36" s="40">
        <v>0.3</v>
      </c>
      <c r="EX36" s="40">
        <v>0.56999999999999995</v>
      </c>
      <c r="EY36" s="40">
        <v>0.61</v>
      </c>
      <c r="EZ36" s="40">
        <v>0.1</v>
      </c>
      <c r="FA36" s="40">
        <v>0.6</v>
      </c>
      <c r="FB36" s="247">
        <v>51</v>
      </c>
      <c r="FC36" s="247" t="s">
        <v>874</v>
      </c>
      <c r="FD36" s="247">
        <v>9</v>
      </c>
      <c r="FE36" s="247" t="s">
        <v>874</v>
      </c>
      <c r="FF36" s="264">
        <v>0.13</v>
      </c>
      <c r="FG36" s="264">
        <v>0.61</v>
      </c>
      <c r="FH36" s="264">
        <v>0.24</v>
      </c>
      <c r="FI36" s="264">
        <v>0.03</v>
      </c>
      <c r="FJ36" s="264">
        <v>0.45</v>
      </c>
      <c r="FK36" s="264">
        <v>0.59</v>
      </c>
      <c r="FL36" s="264">
        <v>0.46</v>
      </c>
      <c r="FM36" s="264">
        <v>0.4</v>
      </c>
      <c r="FN36" s="264">
        <v>0.24</v>
      </c>
      <c r="FO36" s="264">
        <v>0.4</v>
      </c>
      <c r="FP36" s="264">
        <v>0.35</v>
      </c>
      <c r="FQ36" s="264">
        <v>0.43</v>
      </c>
      <c r="FR36" s="264">
        <v>0.62</v>
      </c>
      <c r="FS36" s="264">
        <v>0.49</v>
      </c>
      <c r="FT36" s="264">
        <v>0.5</v>
      </c>
      <c r="FU36" s="264">
        <v>0.33</v>
      </c>
      <c r="FV36" s="264">
        <v>0.55000000000000004</v>
      </c>
      <c r="FW36" s="264">
        <v>0.54</v>
      </c>
      <c r="FX36" s="264">
        <v>0.44</v>
      </c>
      <c r="FY36" s="264">
        <v>0.42</v>
      </c>
      <c r="FZ36" s="264">
        <v>0.34</v>
      </c>
      <c r="GA36" s="264">
        <v>0.5</v>
      </c>
      <c r="GB36" s="264">
        <v>0.44</v>
      </c>
      <c r="GC36" s="264">
        <v>0.39</v>
      </c>
      <c r="GD36" s="264">
        <v>0.6</v>
      </c>
      <c r="GE36" s="264">
        <v>0.5</v>
      </c>
      <c r="GF36" s="264">
        <v>0.44</v>
      </c>
      <c r="GG36" s="264">
        <v>0.44</v>
      </c>
      <c r="GH36" s="264">
        <v>0.56999999999999995</v>
      </c>
      <c r="GI36" s="264">
        <v>0.27</v>
      </c>
    </row>
    <row r="37" spans="1:293" ht="24.95" customHeight="1" x14ac:dyDescent="0.2">
      <c r="A37" s="749" t="s">
        <v>1095</v>
      </c>
      <c r="B37" s="14" t="s">
        <v>221</v>
      </c>
      <c r="C37" s="745"/>
      <c r="D37" s="746"/>
      <c r="E37" s="746"/>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746"/>
      <c r="AI37" s="746"/>
      <c r="AJ37" s="811"/>
      <c r="AK37" s="811"/>
      <c r="AL37" s="811"/>
      <c r="AM37" s="811"/>
      <c r="AN37" s="811"/>
      <c r="AO37" s="811"/>
      <c r="AP37" s="811"/>
      <c r="AQ37" s="811"/>
      <c r="AR37" s="811"/>
      <c r="AS37" s="811"/>
      <c r="AT37" s="811"/>
      <c r="AU37" s="811"/>
      <c r="AV37" s="811"/>
      <c r="AW37" s="811"/>
      <c r="AX37" s="811"/>
      <c r="AY37" s="811"/>
      <c r="AZ37" s="811"/>
      <c r="BA37" s="811"/>
      <c r="BB37" s="811"/>
      <c r="BC37" s="811"/>
      <c r="BD37" s="811"/>
      <c r="BE37" s="811"/>
      <c r="BF37" s="811"/>
      <c r="BG37" s="811"/>
      <c r="BH37" s="811"/>
      <c r="BI37" s="811"/>
      <c r="BJ37" s="811"/>
      <c r="BK37" s="811"/>
      <c r="BL37" s="811"/>
      <c r="BM37" s="746"/>
      <c r="BN37" s="746"/>
      <c r="BO37" s="809"/>
      <c r="BP37" s="809"/>
      <c r="BQ37" s="809"/>
      <c r="BR37" s="809"/>
      <c r="BS37" s="809"/>
      <c r="BT37" s="809"/>
      <c r="BU37" s="809"/>
      <c r="BV37" s="809"/>
      <c r="BW37" s="809"/>
      <c r="BX37" s="809"/>
      <c r="BY37" s="809"/>
      <c r="BZ37" s="809"/>
      <c r="CA37" s="809"/>
      <c r="CB37" s="809"/>
      <c r="CC37" s="809"/>
      <c r="CD37" s="809"/>
      <c r="CE37" s="809"/>
      <c r="CF37" s="809"/>
      <c r="CG37" s="809"/>
      <c r="CH37" s="809"/>
      <c r="CI37" s="809"/>
      <c r="CJ37" s="809"/>
      <c r="CK37" s="809"/>
      <c r="CL37" s="809"/>
      <c r="CM37" s="809"/>
      <c r="CN37" s="809"/>
      <c r="CO37" s="809"/>
      <c r="CP37" s="809"/>
      <c r="CQ37" s="809"/>
      <c r="CR37" s="809"/>
      <c r="CS37" s="746"/>
      <c r="CT37" s="746"/>
      <c r="CU37" s="807"/>
      <c r="CV37" s="807"/>
      <c r="CW37" s="807"/>
      <c r="CX37" s="807"/>
      <c r="CY37" s="807"/>
      <c r="CZ37" s="807"/>
      <c r="DA37" s="807"/>
      <c r="DB37" s="807"/>
      <c r="DC37" s="807"/>
      <c r="DD37" s="807"/>
      <c r="DE37" s="807"/>
      <c r="DF37" s="807"/>
      <c r="DG37" s="807"/>
      <c r="DH37" s="807"/>
      <c r="DI37" s="807"/>
      <c r="DJ37" s="807"/>
      <c r="DK37" s="807"/>
      <c r="DL37" s="807"/>
      <c r="DM37" s="807"/>
      <c r="DN37" s="807"/>
      <c r="DO37" s="807"/>
      <c r="DP37" s="807"/>
      <c r="DQ37" s="807"/>
      <c r="DR37" s="807"/>
      <c r="DS37" s="807"/>
      <c r="DT37" s="807"/>
      <c r="DU37" s="807"/>
      <c r="DV37" s="807"/>
      <c r="DW37" s="807"/>
      <c r="DX37" s="810"/>
      <c r="DY37" s="810"/>
      <c r="DZ37" s="811"/>
      <c r="EA37" s="811"/>
      <c r="EB37" s="811"/>
      <c r="EC37" s="811"/>
      <c r="ED37" s="811"/>
      <c r="EE37" s="811"/>
      <c r="EF37" s="811"/>
      <c r="EG37" s="811"/>
      <c r="EH37" s="811"/>
      <c r="EI37" s="811"/>
      <c r="EJ37" s="811"/>
      <c r="EK37" s="811"/>
      <c r="EL37" s="811"/>
      <c r="EM37" s="811"/>
      <c r="EN37" s="811"/>
      <c r="EO37" s="811"/>
      <c r="EP37" s="811"/>
      <c r="EQ37" s="811"/>
      <c r="ER37" s="811"/>
      <c r="ES37" s="811"/>
      <c r="ET37" s="811"/>
      <c r="EU37" s="811"/>
      <c r="EV37" s="811"/>
      <c r="EW37" s="811"/>
      <c r="EX37" s="811"/>
      <c r="EY37" s="811"/>
      <c r="EZ37" s="811"/>
      <c r="FA37" s="811"/>
      <c r="FB37" s="812"/>
      <c r="FC37" s="812"/>
      <c r="FD37" s="812"/>
      <c r="FE37" s="812"/>
      <c r="FF37" s="813"/>
      <c r="FG37" s="813"/>
      <c r="FH37" s="813"/>
      <c r="FI37" s="813"/>
      <c r="FJ37" s="813"/>
      <c r="FK37" s="813"/>
      <c r="FL37" s="813"/>
      <c r="FM37" s="813"/>
      <c r="FN37" s="813"/>
      <c r="FO37" s="813"/>
      <c r="FP37" s="813"/>
      <c r="FQ37" s="813"/>
      <c r="FR37" s="813"/>
      <c r="FS37" s="813"/>
      <c r="FT37" s="813"/>
      <c r="FU37" s="813"/>
      <c r="FV37" s="813"/>
      <c r="FW37" s="813"/>
      <c r="FX37" s="813"/>
      <c r="FY37" s="813"/>
      <c r="FZ37" s="813"/>
      <c r="GA37" s="813"/>
      <c r="GB37" s="813"/>
      <c r="GC37" s="813"/>
      <c r="GD37" s="813"/>
      <c r="GE37" s="813"/>
      <c r="GF37" s="813"/>
      <c r="GG37" s="813"/>
      <c r="GH37" s="813"/>
      <c r="GI37" s="813"/>
    </row>
    <row r="38" spans="1:293" ht="24.95" customHeight="1" x14ac:dyDescent="0.2">
      <c r="A38" s="36" t="s">
        <v>270</v>
      </c>
      <c r="B38" s="14" t="s">
        <v>221</v>
      </c>
      <c r="C38" s="2">
        <v>2</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t="s">
        <v>224</v>
      </c>
      <c r="AI38" s="12" t="s">
        <v>224</v>
      </c>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12" t="s">
        <v>224</v>
      </c>
      <c r="BN38" s="12" t="s">
        <v>224</v>
      </c>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t="s">
        <v>224</v>
      </c>
      <c r="CT38" s="12" t="s">
        <v>224</v>
      </c>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35">
        <v>46</v>
      </c>
      <c r="DY38" s="35">
        <v>4</v>
      </c>
      <c r="DZ38" s="40">
        <v>0</v>
      </c>
      <c r="EA38" s="40">
        <v>1</v>
      </c>
      <c r="EB38" s="40">
        <v>0</v>
      </c>
      <c r="EC38" s="40">
        <v>0</v>
      </c>
      <c r="ED38" s="40">
        <v>0.67</v>
      </c>
      <c r="EE38" s="40">
        <v>0.5</v>
      </c>
      <c r="EF38" s="40">
        <v>0.33</v>
      </c>
      <c r="EG38" s="40">
        <v>0</v>
      </c>
      <c r="EH38" s="40">
        <v>0.5</v>
      </c>
      <c r="EI38" s="40">
        <v>0.8</v>
      </c>
      <c r="EJ38" s="40">
        <v>1</v>
      </c>
      <c r="EK38" s="40">
        <v>1</v>
      </c>
      <c r="EL38" s="40">
        <v>0.5</v>
      </c>
      <c r="EM38" s="40">
        <v>0.5</v>
      </c>
      <c r="EN38" s="40">
        <v>0.25</v>
      </c>
      <c r="EO38" s="40">
        <v>0.8</v>
      </c>
      <c r="EP38" s="40">
        <v>0.5</v>
      </c>
      <c r="EQ38" s="40">
        <v>1</v>
      </c>
      <c r="ER38" s="40">
        <v>0.5</v>
      </c>
      <c r="ES38" s="40">
        <v>1</v>
      </c>
      <c r="ET38" s="40">
        <v>0.28999999999999998</v>
      </c>
      <c r="EU38" s="40">
        <v>1</v>
      </c>
      <c r="EV38" s="35" t="s">
        <v>283</v>
      </c>
      <c r="EW38" s="40">
        <v>0</v>
      </c>
      <c r="EX38" s="40">
        <v>0.5</v>
      </c>
      <c r="EY38" s="40">
        <v>0.71</v>
      </c>
      <c r="EZ38" s="35" t="s">
        <v>283</v>
      </c>
      <c r="FA38" s="40">
        <v>0.4</v>
      </c>
      <c r="FB38" s="247">
        <v>46</v>
      </c>
      <c r="FC38" s="247" t="s">
        <v>874</v>
      </c>
      <c r="FD38" s="247">
        <v>0</v>
      </c>
      <c r="FE38" s="247" t="s">
        <v>876</v>
      </c>
      <c r="FF38" s="264">
        <v>0</v>
      </c>
      <c r="FG38" s="264">
        <v>1</v>
      </c>
      <c r="FH38" s="264">
        <v>0</v>
      </c>
      <c r="FI38" s="264">
        <v>0</v>
      </c>
      <c r="FJ38" s="264">
        <v>0.33</v>
      </c>
      <c r="FK38" s="264">
        <v>0.5</v>
      </c>
      <c r="FL38" s="264">
        <v>0.67</v>
      </c>
      <c r="FM38" s="264">
        <v>1</v>
      </c>
      <c r="FN38" s="264">
        <v>0</v>
      </c>
      <c r="FO38" s="264">
        <v>0</v>
      </c>
      <c r="FP38" s="264">
        <v>0</v>
      </c>
      <c r="FQ38" s="264">
        <v>0</v>
      </c>
      <c r="FR38" s="264">
        <v>0.75</v>
      </c>
      <c r="FS38" s="264">
        <v>0.33</v>
      </c>
      <c r="FT38" s="264">
        <v>1</v>
      </c>
      <c r="FU38" s="264">
        <v>0.5</v>
      </c>
      <c r="FV38" s="264">
        <v>1</v>
      </c>
      <c r="FW38" s="264">
        <v>0</v>
      </c>
      <c r="FX38" s="264">
        <v>1</v>
      </c>
      <c r="FY38" s="264">
        <v>0.5</v>
      </c>
      <c r="FZ38" s="264">
        <v>1</v>
      </c>
      <c r="GA38" s="247" t="s">
        <v>283</v>
      </c>
      <c r="GB38" s="264">
        <v>0.5</v>
      </c>
      <c r="GC38" s="264">
        <v>1</v>
      </c>
      <c r="GD38" s="264">
        <v>0.67</v>
      </c>
      <c r="GE38" s="264">
        <v>0.5</v>
      </c>
      <c r="GF38" s="264">
        <v>0.5</v>
      </c>
      <c r="GG38" s="264">
        <v>1</v>
      </c>
      <c r="GH38" s="264">
        <v>0</v>
      </c>
      <c r="GI38" s="264">
        <v>0.33</v>
      </c>
      <c r="GJ38" s="311">
        <v>43</v>
      </c>
      <c r="GK38" s="311" t="s">
        <v>876</v>
      </c>
      <c r="GL38" s="311">
        <v>13</v>
      </c>
      <c r="GM38" s="311" t="s">
        <v>875</v>
      </c>
      <c r="GN38" s="329">
        <v>0.67</v>
      </c>
      <c r="GO38" s="329">
        <v>0</v>
      </c>
      <c r="GP38" s="329">
        <v>0.33</v>
      </c>
      <c r="GQ38" s="329">
        <v>0</v>
      </c>
      <c r="GR38" s="329">
        <v>0.5</v>
      </c>
      <c r="GS38" s="329">
        <v>0.5</v>
      </c>
      <c r="GT38" s="329">
        <v>0.5</v>
      </c>
      <c r="GU38" s="329">
        <v>0</v>
      </c>
      <c r="GV38" s="329">
        <v>0.71</v>
      </c>
      <c r="GW38" s="329">
        <v>0.4</v>
      </c>
      <c r="GX38" s="329">
        <v>0.77</v>
      </c>
      <c r="GY38" s="311" t="s">
        <v>283</v>
      </c>
      <c r="GZ38" s="329">
        <v>0</v>
      </c>
      <c r="HA38" s="311" t="s">
        <v>283</v>
      </c>
      <c r="HB38" s="329">
        <v>0.67</v>
      </c>
      <c r="HC38" s="329">
        <v>0.4</v>
      </c>
      <c r="HD38" s="329">
        <v>0.67</v>
      </c>
      <c r="HE38" s="329">
        <v>0.8</v>
      </c>
      <c r="HF38" s="329">
        <v>0.57999999999999996</v>
      </c>
      <c r="HG38" s="329">
        <v>0.6</v>
      </c>
      <c r="HH38" s="329">
        <v>0.56999999999999995</v>
      </c>
      <c r="HI38" s="329">
        <v>0.8</v>
      </c>
      <c r="HJ38" s="329">
        <v>0.82</v>
      </c>
      <c r="HK38" s="329">
        <v>0.67</v>
      </c>
      <c r="HL38" s="329">
        <v>0.38</v>
      </c>
      <c r="HM38" s="329">
        <v>1</v>
      </c>
      <c r="HN38" s="329">
        <v>0.75</v>
      </c>
      <c r="HO38" s="329">
        <v>0.75</v>
      </c>
      <c r="HP38" s="311" t="s">
        <v>283</v>
      </c>
      <c r="HQ38" s="329">
        <v>0.56999999999999995</v>
      </c>
      <c r="HR38" s="426">
        <v>42</v>
      </c>
      <c r="HS38" s="426" t="s">
        <v>876</v>
      </c>
      <c r="HT38" s="426">
        <v>0</v>
      </c>
      <c r="HU38" s="426" t="s">
        <v>876</v>
      </c>
      <c r="HV38" s="430">
        <v>0</v>
      </c>
      <c r="HW38" s="430">
        <v>1</v>
      </c>
      <c r="HX38" s="430">
        <v>0</v>
      </c>
      <c r="HY38" s="430">
        <v>0</v>
      </c>
      <c r="HZ38" s="430">
        <v>0.5</v>
      </c>
      <c r="IA38" s="430">
        <v>0.5</v>
      </c>
      <c r="IB38" s="430">
        <v>0</v>
      </c>
      <c r="IC38" s="430">
        <v>0</v>
      </c>
      <c r="ID38" s="430">
        <v>1</v>
      </c>
      <c r="IE38" s="430">
        <v>0.5</v>
      </c>
      <c r="IF38" s="430">
        <v>1</v>
      </c>
      <c r="IG38" s="430">
        <v>1</v>
      </c>
      <c r="IH38" s="430">
        <v>1</v>
      </c>
      <c r="II38" s="426" t="s">
        <v>283</v>
      </c>
      <c r="IJ38" s="430">
        <v>0.67</v>
      </c>
      <c r="IK38" s="430">
        <v>0.67</v>
      </c>
      <c r="IL38" s="430">
        <v>0.5</v>
      </c>
      <c r="IM38" s="430">
        <v>1</v>
      </c>
      <c r="IN38" s="430">
        <v>0.33</v>
      </c>
      <c r="IO38" s="430">
        <v>0.5</v>
      </c>
      <c r="IP38" s="430">
        <v>0.5</v>
      </c>
      <c r="IQ38" s="430">
        <v>0.5</v>
      </c>
      <c r="IR38" s="430">
        <v>1</v>
      </c>
      <c r="IS38" s="430">
        <v>1</v>
      </c>
      <c r="IT38" s="430">
        <v>0.5</v>
      </c>
      <c r="IU38" s="426" t="s">
        <v>283</v>
      </c>
      <c r="IV38" s="430">
        <v>1</v>
      </c>
      <c r="IW38" s="430">
        <v>1</v>
      </c>
      <c r="IX38" s="430">
        <v>1</v>
      </c>
      <c r="IY38" s="430">
        <v>0.67</v>
      </c>
      <c r="IZ38" s="466">
        <v>38</v>
      </c>
      <c r="JA38" s="466" t="s">
        <v>876</v>
      </c>
      <c r="JB38" s="466">
        <v>4</v>
      </c>
      <c r="JC38" s="466" t="s">
        <v>876</v>
      </c>
      <c r="JD38" s="480">
        <v>0.5</v>
      </c>
      <c r="JE38" s="480">
        <v>0.5</v>
      </c>
      <c r="JF38" s="480">
        <v>0</v>
      </c>
      <c r="JG38" s="480">
        <v>0</v>
      </c>
      <c r="JH38" s="480">
        <v>1</v>
      </c>
      <c r="JI38" s="480">
        <v>0.86</v>
      </c>
      <c r="JJ38" s="480">
        <v>0.5</v>
      </c>
      <c r="JK38" s="480">
        <v>1</v>
      </c>
      <c r="JL38" s="480">
        <v>0.75</v>
      </c>
      <c r="JM38" s="480">
        <v>0.5</v>
      </c>
      <c r="JN38" s="480">
        <v>0.8</v>
      </c>
      <c r="JO38" s="480">
        <v>0.8</v>
      </c>
      <c r="JP38" s="480">
        <v>0.5</v>
      </c>
      <c r="JQ38" s="480">
        <v>0.67</v>
      </c>
      <c r="JR38" s="480">
        <v>0.67</v>
      </c>
      <c r="JS38" s="480">
        <v>1</v>
      </c>
      <c r="JT38" s="480">
        <v>1</v>
      </c>
      <c r="JU38" s="480">
        <v>0.75</v>
      </c>
      <c r="JV38" s="480">
        <v>0.83</v>
      </c>
      <c r="JW38" s="480">
        <v>0.6</v>
      </c>
      <c r="JX38" s="480">
        <v>0.67</v>
      </c>
      <c r="JY38" s="480">
        <v>0.75</v>
      </c>
      <c r="JZ38" s="480">
        <v>0.75</v>
      </c>
      <c r="KA38" s="480">
        <v>1</v>
      </c>
      <c r="KB38" s="480">
        <v>1</v>
      </c>
      <c r="KC38" s="480">
        <v>0</v>
      </c>
      <c r="KD38" s="480">
        <v>0.5</v>
      </c>
      <c r="KE38" s="480">
        <v>0.25</v>
      </c>
      <c r="KF38" s="480">
        <v>0.6</v>
      </c>
      <c r="KG38" s="480">
        <v>0.8</v>
      </c>
    </row>
    <row r="39" spans="1:293" ht="24.95" customHeight="1" x14ac:dyDescent="0.2">
      <c r="A39" s="642" t="s">
        <v>916</v>
      </c>
      <c r="B39" s="14" t="s">
        <v>221</v>
      </c>
      <c r="C39" s="466">
        <v>2</v>
      </c>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3"/>
      <c r="BL39" s="643"/>
      <c r="BM39" s="528"/>
      <c r="BN39" s="528"/>
      <c r="BO39" s="528"/>
      <c r="BP39" s="528"/>
      <c r="BQ39" s="528"/>
      <c r="BR39" s="528"/>
      <c r="BS39" s="528"/>
      <c r="BT39" s="528"/>
      <c r="BU39" s="528"/>
      <c r="BV39" s="528"/>
      <c r="BW39" s="528"/>
      <c r="BX39" s="528"/>
      <c r="BY39" s="528"/>
      <c r="BZ39" s="528"/>
      <c r="CA39" s="528"/>
      <c r="CB39" s="528"/>
      <c r="CC39" s="528"/>
      <c r="CD39" s="528"/>
      <c r="CE39" s="528"/>
      <c r="CF39" s="528"/>
      <c r="CG39" s="528"/>
      <c r="CH39" s="528"/>
      <c r="CI39" s="528"/>
      <c r="CJ39" s="528"/>
      <c r="CK39" s="528"/>
      <c r="CL39" s="528"/>
      <c r="CM39" s="528"/>
      <c r="CN39" s="528"/>
      <c r="CO39" s="528"/>
      <c r="CP39" s="528"/>
      <c r="CQ39" s="528"/>
      <c r="CR39" s="528"/>
      <c r="CS39" s="528"/>
      <c r="CT39" s="528"/>
      <c r="CU39" s="466"/>
      <c r="CV39" s="466"/>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644"/>
      <c r="DY39" s="644"/>
      <c r="DZ39" s="643"/>
      <c r="EA39" s="643"/>
      <c r="EB39" s="643"/>
      <c r="EC39" s="643"/>
      <c r="ED39" s="643"/>
      <c r="EE39" s="643"/>
      <c r="EF39" s="643"/>
      <c r="EG39" s="643"/>
      <c r="EH39" s="643"/>
      <c r="EI39" s="643"/>
      <c r="EJ39" s="643"/>
      <c r="EK39" s="643"/>
      <c r="EL39" s="643"/>
      <c r="EM39" s="643"/>
      <c r="EN39" s="643"/>
      <c r="EO39" s="643"/>
      <c r="EP39" s="643"/>
      <c r="EQ39" s="643"/>
      <c r="ER39" s="643"/>
      <c r="ES39" s="643"/>
      <c r="ET39" s="643"/>
      <c r="EU39" s="643"/>
      <c r="EV39" s="644"/>
      <c r="EW39" s="643"/>
      <c r="EX39" s="643"/>
      <c r="EY39" s="643"/>
      <c r="EZ39" s="644"/>
      <c r="FA39" s="643"/>
      <c r="FB39" s="645"/>
      <c r="FC39" s="645"/>
      <c r="FD39" s="645"/>
      <c r="FE39" s="645"/>
      <c r="FF39" s="646"/>
      <c r="FG39" s="646"/>
      <c r="FH39" s="646"/>
      <c r="FI39" s="646"/>
      <c r="FJ39" s="646"/>
      <c r="FK39" s="646"/>
      <c r="FL39" s="646"/>
      <c r="FM39" s="646"/>
      <c r="FN39" s="646"/>
      <c r="FO39" s="646"/>
      <c r="FP39" s="646"/>
      <c r="FQ39" s="646"/>
      <c r="FR39" s="646"/>
      <c r="FS39" s="646"/>
      <c r="FT39" s="646"/>
      <c r="FU39" s="646"/>
      <c r="FV39" s="646"/>
      <c r="FW39" s="646"/>
      <c r="FX39" s="646"/>
      <c r="FY39" s="646"/>
      <c r="FZ39" s="646"/>
      <c r="GA39" s="645"/>
      <c r="GB39" s="646"/>
      <c r="GC39" s="646"/>
      <c r="GD39" s="646"/>
      <c r="GE39" s="646"/>
      <c r="GF39" s="646"/>
      <c r="GG39" s="646"/>
      <c r="GH39" s="646"/>
      <c r="GI39" s="646"/>
      <c r="GJ39" s="466">
        <v>42</v>
      </c>
      <c r="GK39" s="466" t="s">
        <v>876</v>
      </c>
      <c r="GL39" s="466">
        <v>4</v>
      </c>
      <c r="GM39" s="466" t="s">
        <v>876</v>
      </c>
      <c r="GN39" s="480">
        <v>0.25</v>
      </c>
      <c r="GO39" s="480">
        <v>0.75</v>
      </c>
      <c r="GP39" s="480">
        <v>0</v>
      </c>
      <c r="GQ39" s="480">
        <v>0</v>
      </c>
      <c r="GR39" s="480">
        <v>0.83</v>
      </c>
      <c r="GS39" s="480">
        <v>0.8</v>
      </c>
      <c r="GT39" s="480">
        <v>0.91</v>
      </c>
      <c r="GU39" s="480">
        <v>0.43</v>
      </c>
      <c r="GV39" s="480">
        <v>0.68</v>
      </c>
      <c r="GW39" s="480">
        <v>0.43</v>
      </c>
      <c r="GX39" s="480">
        <v>0.68</v>
      </c>
      <c r="GY39" s="466" t="s">
        <v>283</v>
      </c>
      <c r="GZ39" s="480">
        <v>0.27</v>
      </c>
      <c r="HA39" s="480">
        <v>0.83</v>
      </c>
      <c r="HB39" s="480">
        <v>0.67</v>
      </c>
      <c r="HC39" s="480">
        <v>0.77</v>
      </c>
      <c r="HD39" s="480">
        <v>0.86</v>
      </c>
      <c r="HE39" s="480">
        <v>0.67</v>
      </c>
      <c r="HF39" s="480">
        <v>0.73</v>
      </c>
      <c r="HG39" s="480">
        <v>0.71</v>
      </c>
      <c r="HH39" s="480">
        <v>0.43</v>
      </c>
      <c r="HI39" s="480">
        <v>0.75</v>
      </c>
      <c r="HJ39" s="480">
        <v>0.67</v>
      </c>
      <c r="HK39" s="480">
        <v>0.43</v>
      </c>
      <c r="HL39" s="480">
        <v>0.55000000000000004</v>
      </c>
      <c r="HM39" s="480">
        <v>0.6</v>
      </c>
      <c r="HN39" s="480">
        <v>0.71</v>
      </c>
      <c r="HO39" s="480">
        <v>0.8</v>
      </c>
      <c r="HP39" s="466" t="s">
        <v>283</v>
      </c>
      <c r="HQ39" s="480">
        <v>0.79</v>
      </c>
      <c r="HR39" s="647">
        <v>41</v>
      </c>
      <c r="HS39" s="647" t="s">
        <v>876</v>
      </c>
      <c r="HT39" s="647">
        <v>8</v>
      </c>
      <c r="HU39" s="647" t="s">
        <v>874</v>
      </c>
      <c r="HV39" s="648">
        <v>0.5</v>
      </c>
      <c r="HW39" s="648">
        <v>0.5</v>
      </c>
      <c r="HX39" s="648">
        <v>0</v>
      </c>
      <c r="HY39" s="648">
        <v>0</v>
      </c>
      <c r="HZ39" s="648">
        <v>0.43</v>
      </c>
      <c r="IA39" s="648">
        <v>0.56000000000000005</v>
      </c>
      <c r="IB39" s="648">
        <v>0.2</v>
      </c>
      <c r="IC39" s="648">
        <v>0.88</v>
      </c>
      <c r="ID39" s="648">
        <v>0.5</v>
      </c>
      <c r="IE39" s="648">
        <v>0.89</v>
      </c>
      <c r="IF39" s="648">
        <v>0.4</v>
      </c>
      <c r="IG39" s="648">
        <v>0.71</v>
      </c>
      <c r="IH39" s="648">
        <v>0.5</v>
      </c>
      <c r="II39" s="648">
        <v>0.67</v>
      </c>
      <c r="IJ39" s="648">
        <v>0.67</v>
      </c>
      <c r="IK39" s="648">
        <v>0.85</v>
      </c>
      <c r="IL39" s="648">
        <v>0.5</v>
      </c>
      <c r="IM39" s="648">
        <v>0.63</v>
      </c>
      <c r="IN39" s="648">
        <v>0.83</v>
      </c>
      <c r="IO39" s="648">
        <v>0.8</v>
      </c>
      <c r="IP39" s="648">
        <v>0.4</v>
      </c>
      <c r="IQ39" s="648">
        <v>0.43</v>
      </c>
      <c r="IR39" s="648">
        <v>1</v>
      </c>
      <c r="IS39" s="648">
        <v>0.75</v>
      </c>
      <c r="IT39" s="648">
        <v>0.77</v>
      </c>
      <c r="IU39" s="647" t="s">
        <v>283</v>
      </c>
      <c r="IV39" s="648">
        <v>0.56999999999999995</v>
      </c>
      <c r="IW39" s="648">
        <v>0.28999999999999998</v>
      </c>
      <c r="IX39" s="648">
        <v>1</v>
      </c>
      <c r="IY39" s="648">
        <v>0.4</v>
      </c>
      <c r="IZ39" s="647"/>
      <c r="JA39" s="647"/>
      <c r="JB39" s="647"/>
      <c r="JC39" s="647"/>
      <c r="JD39" s="648"/>
      <c r="JE39" s="648"/>
      <c r="JF39" s="648"/>
      <c r="JG39" s="648"/>
      <c r="JH39" s="648"/>
      <c r="JI39" s="648"/>
      <c r="JJ39" s="648"/>
      <c r="JK39" s="648"/>
      <c r="JL39" s="648"/>
      <c r="JM39" s="648"/>
      <c r="JN39" s="648"/>
      <c r="JO39" s="648"/>
      <c r="JP39" s="648"/>
      <c r="JQ39" s="648"/>
      <c r="JR39" s="648"/>
      <c r="JS39" s="648"/>
      <c r="JT39" s="648"/>
      <c r="JU39" s="648"/>
      <c r="JV39" s="648"/>
      <c r="JW39" s="648"/>
      <c r="JX39" s="648"/>
      <c r="JY39" s="648"/>
      <c r="JZ39" s="647"/>
      <c r="KA39" s="648"/>
      <c r="KB39" s="648"/>
      <c r="KC39" s="648"/>
      <c r="KD39" s="648"/>
      <c r="KE39" s="648"/>
      <c r="KF39" s="648"/>
      <c r="KG39" s="648"/>
    </row>
    <row r="40" spans="1:293" ht="24.95" customHeight="1" x14ac:dyDescent="0.2">
      <c r="A40" s="642" t="s">
        <v>34</v>
      </c>
      <c r="B40" s="1" t="s">
        <v>221</v>
      </c>
      <c r="C40" s="466">
        <v>3</v>
      </c>
      <c r="D40" s="528">
        <v>53</v>
      </c>
      <c r="E40" s="528">
        <v>5</v>
      </c>
      <c r="F40" s="529">
        <v>0</v>
      </c>
      <c r="G40" s="529">
        <v>0.67</v>
      </c>
      <c r="H40" s="529">
        <v>0.33</v>
      </c>
      <c r="I40" s="529">
        <v>0</v>
      </c>
      <c r="J40" s="529">
        <v>0.39</v>
      </c>
      <c r="K40" s="529">
        <v>0.28999999999999998</v>
      </c>
      <c r="L40" s="529">
        <v>0.68</v>
      </c>
      <c r="M40" s="529">
        <v>0.17</v>
      </c>
      <c r="N40" s="529">
        <v>0.35</v>
      </c>
      <c r="O40" s="529">
        <v>0.6</v>
      </c>
      <c r="P40" s="529">
        <v>0.26</v>
      </c>
      <c r="Q40" s="529">
        <v>0.53</v>
      </c>
      <c r="R40" s="529">
        <v>0.51</v>
      </c>
      <c r="S40" s="529">
        <v>0.61</v>
      </c>
      <c r="T40" s="529">
        <v>0.43</v>
      </c>
      <c r="U40" s="529">
        <v>0.7</v>
      </c>
      <c r="V40" s="529">
        <v>0.05</v>
      </c>
      <c r="W40" s="529">
        <v>0.12</v>
      </c>
      <c r="X40" s="529">
        <v>0.51</v>
      </c>
      <c r="Y40" s="529">
        <v>0.45</v>
      </c>
      <c r="Z40" s="529">
        <v>1</v>
      </c>
      <c r="AA40" s="529">
        <v>0.16</v>
      </c>
      <c r="AB40" s="529">
        <v>0.42</v>
      </c>
      <c r="AC40" s="529">
        <v>0.22</v>
      </c>
      <c r="AD40" s="529">
        <v>0.49</v>
      </c>
      <c r="AE40" s="529">
        <v>0.44</v>
      </c>
      <c r="AF40" s="529">
        <v>0.51</v>
      </c>
      <c r="AG40" s="529">
        <v>0.44</v>
      </c>
      <c r="AH40" s="528">
        <v>51</v>
      </c>
      <c r="AI40" s="528">
        <v>8</v>
      </c>
      <c r="AJ40" s="643">
        <v>0.1</v>
      </c>
      <c r="AK40" s="643">
        <v>0.56999999999999995</v>
      </c>
      <c r="AL40" s="643">
        <v>0.33</v>
      </c>
      <c r="AM40" s="643">
        <v>0</v>
      </c>
      <c r="AN40" s="643">
        <v>0.32</v>
      </c>
      <c r="AO40" s="643">
        <v>0.49</v>
      </c>
      <c r="AP40" s="643">
        <v>0.56000000000000005</v>
      </c>
      <c r="AQ40" s="643">
        <v>0.43</v>
      </c>
      <c r="AR40" s="643">
        <v>0.65</v>
      </c>
      <c r="AS40" s="643">
        <v>0.5</v>
      </c>
      <c r="AT40" s="643">
        <v>0.52</v>
      </c>
      <c r="AU40" s="643">
        <v>0.56999999999999995</v>
      </c>
      <c r="AV40" s="643">
        <v>0.65</v>
      </c>
      <c r="AW40" s="643">
        <v>0.56000000000000005</v>
      </c>
      <c r="AX40" s="643">
        <v>0.55000000000000004</v>
      </c>
      <c r="AY40" s="643">
        <v>0.33</v>
      </c>
      <c r="AZ40" s="643">
        <v>0.34</v>
      </c>
      <c r="BA40" s="643">
        <v>0.55000000000000004</v>
      </c>
      <c r="BB40" s="643">
        <v>0.72</v>
      </c>
      <c r="BC40" s="643">
        <v>0.74</v>
      </c>
      <c r="BD40" s="643">
        <v>0.4</v>
      </c>
      <c r="BE40" s="643">
        <v>0.46</v>
      </c>
      <c r="BF40" s="643">
        <v>0.63</v>
      </c>
      <c r="BG40" s="643">
        <v>0.56999999999999995</v>
      </c>
      <c r="BH40" s="643">
        <v>0.42</v>
      </c>
      <c r="BI40" s="643">
        <v>0.4</v>
      </c>
      <c r="BJ40" s="643">
        <v>0.37</v>
      </c>
      <c r="BK40" s="643">
        <v>0.42</v>
      </c>
      <c r="BL40" s="643">
        <v>0.42</v>
      </c>
      <c r="BM40" s="528">
        <v>47</v>
      </c>
      <c r="BN40" s="528">
        <v>8</v>
      </c>
      <c r="BO40" s="529">
        <v>0.2</v>
      </c>
      <c r="BP40" s="529">
        <v>0.63</v>
      </c>
      <c r="BQ40" s="529">
        <v>0.17</v>
      </c>
      <c r="BR40" s="529">
        <v>0</v>
      </c>
      <c r="BS40" s="529">
        <v>0.44</v>
      </c>
      <c r="BT40" s="529">
        <v>0.75</v>
      </c>
      <c r="BU40" s="529">
        <v>0.74</v>
      </c>
      <c r="BV40" s="529">
        <v>0.35</v>
      </c>
      <c r="BW40" s="529">
        <v>0.57999999999999996</v>
      </c>
      <c r="BX40" s="529">
        <v>0.49</v>
      </c>
      <c r="BY40" s="529">
        <v>0.48</v>
      </c>
      <c r="BZ40" s="529">
        <v>0.62</v>
      </c>
      <c r="CA40" s="529">
        <v>0.36</v>
      </c>
      <c r="CB40" s="529">
        <v>0.42</v>
      </c>
      <c r="CC40" s="529">
        <v>0.3</v>
      </c>
      <c r="CD40" s="529">
        <v>0.49</v>
      </c>
      <c r="CE40" s="529">
        <v>0.49</v>
      </c>
      <c r="CF40" s="529">
        <v>0.65</v>
      </c>
      <c r="CG40" s="529">
        <v>0.56999999999999995</v>
      </c>
      <c r="CH40" s="529">
        <v>0.5</v>
      </c>
      <c r="CI40" s="529">
        <v>0.59</v>
      </c>
      <c r="CJ40" s="529">
        <v>0.3</v>
      </c>
      <c r="CK40" s="529">
        <v>0.69</v>
      </c>
      <c r="CL40" s="529">
        <v>0.41</v>
      </c>
      <c r="CM40" s="529">
        <v>0.53</v>
      </c>
      <c r="CN40" s="529">
        <v>0.57999999999999996</v>
      </c>
      <c r="CO40" s="529">
        <v>0.59</v>
      </c>
      <c r="CP40" s="529">
        <v>0.38</v>
      </c>
      <c r="CQ40" s="529">
        <v>0.66</v>
      </c>
      <c r="CR40" s="529">
        <v>0.68</v>
      </c>
      <c r="CS40" s="528">
        <v>47</v>
      </c>
      <c r="CT40" s="528">
        <v>7</v>
      </c>
      <c r="CU40" s="480">
        <v>0.13</v>
      </c>
      <c r="CV40" s="480">
        <v>0.79</v>
      </c>
      <c r="CW40" s="480">
        <v>0.08</v>
      </c>
      <c r="CX40" s="480">
        <v>0</v>
      </c>
      <c r="CY40" s="480">
        <v>0.5</v>
      </c>
      <c r="CZ40" s="480">
        <v>0.32</v>
      </c>
      <c r="DA40" s="480">
        <v>0.59</v>
      </c>
      <c r="DB40" s="480">
        <v>0.44</v>
      </c>
      <c r="DC40" s="480">
        <v>0.46</v>
      </c>
      <c r="DD40" s="480">
        <v>0.64</v>
      </c>
      <c r="DE40" s="480">
        <v>0.53</v>
      </c>
      <c r="DF40" s="480">
        <v>0.55000000000000004</v>
      </c>
      <c r="DG40" s="480">
        <v>0.48</v>
      </c>
      <c r="DH40" s="480">
        <v>0.36</v>
      </c>
      <c r="DI40" s="480">
        <v>0.59</v>
      </c>
      <c r="DJ40" s="480">
        <v>0.62</v>
      </c>
      <c r="DK40" s="480">
        <v>0.35</v>
      </c>
      <c r="DL40" s="480">
        <v>0.61</v>
      </c>
      <c r="DM40" s="480">
        <v>0.62</v>
      </c>
      <c r="DN40" s="480">
        <v>0.53</v>
      </c>
      <c r="DO40" s="480">
        <v>0.47</v>
      </c>
      <c r="DP40" s="480">
        <v>0.47</v>
      </c>
      <c r="DQ40" s="480">
        <v>0.63</v>
      </c>
      <c r="DR40" s="480">
        <v>0.24</v>
      </c>
      <c r="DS40" s="480">
        <v>0.4</v>
      </c>
      <c r="DT40" s="480">
        <v>0.68</v>
      </c>
      <c r="DU40" s="480">
        <v>0.48</v>
      </c>
      <c r="DV40" s="480">
        <v>0.66</v>
      </c>
      <c r="DW40" s="480">
        <v>0.39</v>
      </c>
      <c r="DX40" s="644">
        <v>48</v>
      </c>
      <c r="DY40" s="644">
        <v>9</v>
      </c>
      <c r="DZ40" s="643">
        <v>0.24</v>
      </c>
      <c r="EA40" s="643">
        <v>0.62</v>
      </c>
      <c r="EB40" s="643">
        <v>0.14000000000000001</v>
      </c>
      <c r="EC40" s="643">
        <v>0</v>
      </c>
      <c r="ED40" s="643">
        <v>0.5</v>
      </c>
      <c r="EE40" s="643">
        <v>0.51</v>
      </c>
      <c r="EF40" s="643">
        <v>0.47</v>
      </c>
      <c r="EG40" s="643">
        <v>0.18</v>
      </c>
      <c r="EH40" s="643">
        <v>0.46</v>
      </c>
      <c r="EI40" s="643">
        <v>0.51</v>
      </c>
      <c r="EJ40" s="643">
        <v>0.62</v>
      </c>
      <c r="EK40" s="643">
        <v>0.38</v>
      </c>
      <c r="EL40" s="643">
        <v>0.5</v>
      </c>
      <c r="EM40" s="643">
        <v>0.69</v>
      </c>
      <c r="EN40" s="643">
        <v>0.51</v>
      </c>
      <c r="EO40" s="643">
        <v>0.53</v>
      </c>
      <c r="EP40" s="643">
        <v>0.45</v>
      </c>
      <c r="EQ40" s="643">
        <v>0.41</v>
      </c>
      <c r="ER40" s="643">
        <v>0.67</v>
      </c>
      <c r="ES40" s="643">
        <v>0.51</v>
      </c>
      <c r="ET40" s="643">
        <v>0.35</v>
      </c>
      <c r="EU40" s="643">
        <v>0.7</v>
      </c>
      <c r="EV40" s="643">
        <v>0.33</v>
      </c>
      <c r="EW40" s="643">
        <v>0.33</v>
      </c>
      <c r="EX40" s="643">
        <v>0.81</v>
      </c>
      <c r="EY40" s="643">
        <v>0.66</v>
      </c>
      <c r="EZ40" s="643">
        <v>0.22</v>
      </c>
      <c r="FA40" s="643">
        <v>0.64</v>
      </c>
      <c r="FB40" s="645">
        <v>51</v>
      </c>
      <c r="FC40" s="645" t="s">
        <v>874</v>
      </c>
      <c r="FD40" s="645">
        <v>7</v>
      </c>
      <c r="FE40" s="645" t="s">
        <v>874</v>
      </c>
      <c r="FF40" s="646">
        <v>0.03</v>
      </c>
      <c r="FG40" s="646">
        <v>0.67</v>
      </c>
      <c r="FH40" s="646">
        <v>0.31</v>
      </c>
      <c r="FI40" s="646">
        <v>0</v>
      </c>
      <c r="FJ40" s="646">
        <v>0.48</v>
      </c>
      <c r="FK40" s="646">
        <v>0.74</v>
      </c>
      <c r="FL40" s="646">
        <v>0.48</v>
      </c>
      <c r="FM40" s="646">
        <v>0.42</v>
      </c>
      <c r="FN40" s="646">
        <v>0.21</v>
      </c>
      <c r="FO40" s="646">
        <v>0.37</v>
      </c>
      <c r="FP40" s="646">
        <v>0.34</v>
      </c>
      <c r="FQ40" s="646">
        <v>0.38</v>
      </c>
      <c r="FR40" s="646">
        <v>0.63</v>
      </c>
      <c r="FS40" s="646">
        <v>0.47</v>
      </c>
      <c r="FT40" s="646">
        <v>0.55000000000000004</v>
      </c>
      <c r="FU40" s="646">
        <v>0.43</v>
      </c>
      <c r="FV40" s="646">
        <v>0.63</v>
      </c>
      <c r="FW40" s="646">
        <v>0.5</v>
      </c>
      <c r="FX40" s="646">
        <v>0.43</v>
      </c>
      <c r="FY40" s="646">
        <v>0.33</v>
      </c>
      <c r="FZ40" s="646">
        <v>0.28999999999999998</v>
      </c>
      <c r="GA40" s="646">
        <v>0.45</v>
      </c>
      <c r="GB40" s="646">
        <v>0.52</v>
      </c>
      <c r="GC40" s="646">
        <v>0.35</v>
      </c>
      <c r="GD40" s="646">
        <v>0.62</v>
      </c>
      <c r="GE40" s="646">
        <v>0.46</v>
      </c>
      <c r="GF40" s="646">
        <v>0.45</v>
      </c>
      <c r="GG40" s="646">
        <v>0.35</v>
      </c>
      <c r="GH40" s="646">
        <v>0.62</v>
      </c>
      <c r="GI40" s="646">
        <v>0.18</v>
      </c>
      <c r="GJ40" s="466">
        <v>50</v>
      </c>
      <c r="GK40" s="466" t="s">
        <v>874</v>
      </c>
      <c r="GL40" s="466">
        <v>9</v>
      </c>
      <c r="GM40" s="466" t="s">
        <v>874</v>
      </c>
      <c r="GN40" s="480">
        <v>0.12</v>
      </c>
      <c r="GO40" s="480">
        <v>0.64</v>
      </c>
      <c r="GP40" s="480">
        <v>0.24</v>
      </c>
      <c r="GQ40" s="480">
        <v>0</v>
      </c>
      <c r="GR40" s="480">
        <v>0.72</v>
      </c>
      <c r="GS40" s="480">
        <v>0.49</v>
      </c>
      <c r="GT40" s="480">
        <v>0.69</v>
      </c>
      <c r="GU40" s="480">
        <v>0.19</v>
      </c>
      <c r="GV40" s="480">
        <v>0.56000000000000005</v>
      </c>
      <c r="GW40" s="480">
        <v>0.57999999999999996</v>
      </c>
      <c r="GX40" s="480">
        <v>0.42</v>
      </c>
      <c r="GY40" s="466" t="s">
        <v>283</v>
      </c>
      <c r="GZ40" s="480">
        <v>0.39</v>
      </c>
      <c r="HA40" s="480">
        <v>0.59</v>
      </c>
      <c r="HB40" s="480">
        <v>0.43</v>
      </c>
      <c r="HC40" s="480">
        <v>0.57999999999999996</v>
      </c>
      <c r="HD40" s="480">
        <v>0.6</v>
      </c>
      <c r="HE40" s="480">
        <v>0.48</v>
      </c>
      <c r="HF40" s="480">
        <v>0.48</v>
      </c>
      <c r="HG40" s="480">
        <v>0.73</v>
      </c>
      <c r="HH40" s="480">
        <v>0.36</v>
      </c>
      <c r="HI40" s="480">
        <v>0.48</v>
      </c>
      <c r="HJ40" s="480">
        <v>0.7</v>
      </c>
      <c r="HK40" s="480">
        <v>0.55000000000000004</v>
      </c>
      <c r="HL40" s="480">
        <v>0.46</v>
      </c>
      <c r="HM40" s="480">
        <v>0.43</v>
      </c>
      <c r="HN40" s="480">
        <v>0.57999999999999996</v>
      </c>
      <c r="HO40" s="480">
        <v>0.4</v>
      </c>
      <c r="HP40" s="466" t="s">
        <v>283</v>
      </c>
      <c r="HQ40" s="480">
        <v>0.33</v>
      </c>
      <c r="HR40" s="647">
        <v>52</v>
      </c>
      <c r="HS40" s="647" t="s">
        <v>874</v>
      </c>
      <c r="HT40" s="647">
        <v>9</v>
      </c>
      <c r="HU40" s="647" t="s">
        <v>874</v>
      </c>
      <c r="HV40" s="648">
        <v>0.08</v>
      </c>
      <c r="HW40" s="648">
        <v>0.5</v>
      </c>
      <c r="HX40" s="648">
        <v>0.42</v>
      </c>
      <c r="HY40" s="648">
        <v>0</v>
      </c>
      <c r="HZ40" s="648">
        <v>0.42</v>
      </c>
      <c r="IA40" s="648">
        <v>0.59</v>
      </c>
      <c r="IB40" s="648">
        <v>0.68</v>
      </c>
      <c r="IC40" s="648">
        <v>0.45</v>
      </c>
      <c r="ID40" s="648">
        <v>0.62</v>
      </c>
      <c r="IE40" s="648">
        <v>0.32</v>
      </c>
      <c r="IF40" s="648">
        <v>0.46</v>
      </c>
      <c r="IG40" s="648">
        <v>0.63</v>
      </c>
      <c r="IH40" s="648">
        <v>0.44</v>
      </c>
      <c r="II40" s="648">
        <v>0.38</v>
      </c>
      <c r="IJ40" s="648">
        <v>0.24</v>
      </c>
      <c r="IK40" s="648">
        <v>0.57999999999999996</v>
      </c>
      <c r="IL40" s="648">
        <v>0.27</v>
      </c>
      <c r="IM40" s="648">
        <v>0.65</v>
      </c>
      <c r="IN40" s="648">
        <v>0.38</v>
      </c>
      <c r="IO40" s="648">
        <v>0.47</v>
      </c>
      <c r="IP40" s="648">
        <v>0.37</v>
      </c>
      <c r="IQ40" s="648">
        <v>0.73</v>
      </c>
      <c r="IR40" s="648">
        <v>0.52</v>
      </c>
      <c r="IS40" s="648">
        <v>0.47</v>
      </c>
      <c r="IT40" s="648">
        <v>0.46</v>
      </c>
      <c r="IU40" s="647" t="s">
        <v>283</v>
      </c>
      <c r="IV40" s="648">
        <v>0.57999999999999996</v>
      </c>
      <c r="IW40" s="648">
        <v>0.42</v>
      </c>
      <c r="IX40" s="648">
        <v>0.47</v>
      </c>
      <c r="IY40" s="648">
        <v>0.4</v>
      </c>
      <c r="IZ40" s="466">
        <v>51</v>
      </c>
      <c r="JA40" s="466" t="s">
        <v>874</v>
      </c>
      <c r="JB40" s="466">
        <v>8</v>
      </c>
      <c r="JC40" s="466" t="s">
        <v>874</v>
      </c>
      <c r="JD40" s="480">
        <v>0.1</v>
      </c>
      <c r="JE40" s="480">
        <v>0.55000000000000004</v>
      </c>
      <c r="JF40" s="480">
        <v>0.35</v>
      </c>
      <c r="JG40" s="480">
        <v>0</v>
      </c>
      <c r="JH40" s="480">
        <v>0.32</v>
      </c>
      <c r="JI40" s="480">
        <v>0.44</v>
      </c>
      <c r="JJ40" s="480">
        <v>0.41</v>
      </c>
      <c r="JK40" s="480">
        <v>0.53</v>
      </c>
      <c r="JL40" s="480">
        <v>0.55000000000000004</v>
      </c>
      <c r="JM40" s="480">
        <v>0.41</v>
      </c>
      <c r="JN40" s="480">
        <v>0.41</v>
      </c>
      <c r="JO40" s="480">
        <v>0.49</v>
      </c>
      <c r="JP40" s="480">
        <v>0.55000000000000004</v>
      </c>
      <c r="JQ40" s="480">
        <v>0.17</v>
      </c>
      <c r="JR40" s="480">
        <v>0.56999999999999995</v>
      </c>
      <c r="JS40" s="480">
        <v>0.54</v>
      </c>
      <c r="JT40" s="480">
        <v>0.47</v>
      </c>
      <c r="JU40" s="480">
        <v>0.46</v>
      </c>
      <c r="JV40" s="480">
        <v>0.51</v>
      </c>
      <c r="JW40" s="480">
        <v>0.51</v>
      </c>
      <c r="JX40" s="480">
        <v>0.39</v>
      </c>
      <c r="JY40" s="480">
        <v>0.48</v>
      </c>
      <c r="JZ40" s="480">
        <v>0.48</v>
      </c>
      <c r="KA40" s="480">
        <v>0.56999999999999995</v>
      </c>
      <c r="KB40" s="480">
        <v>0.56000000000000005</v>
      </c>
      <c r="KC40" s="480">
        <v>0.7</v>
      </c>
      <c r="KD40" s="480">
        <v>0.38</v>
      </c>
      <c r="KE40" s="480">
        <v>0.48</v>
      </c>
      <c r="KF40" s="480">
        <v>0.56000000000000005</v>
      </c>
      <c r="KG40" s="480">
        <v>0.5</v>
      </c>
    </row>
    <row r="41" spans="1:293" ht="24.95" customHeight="1" x14ac:dyDescent="0.2">
      <c r="A41" s="324" t="s">
        <v>271</v>
      </c>
      <c r="B41" s="1" t="s">
        <v>221</v>
      </c>
      <c r="C41" s="311">
        <v>4</v>
      </c>
      <c r="D41" s="330">
        <v>50</v>
      </c>
      <c r="E41" s="330">
        <v>8</v>
      </c>
      <c r="F41" s="335">
        <v>0.15</v>
      </c>
      <c r="G41" s="335">
        <v>0.61</v>
      </c>
      <c r="H41" s="335">
        <v>0.24</v>
      </c>
      <c r="I41" s="335">
        <v>0</v>
      </c>
      <c r="J41" s="335">
        <v>0.34</v>
      </c>
      <c r="K41" s="335">
        <v>0.59</v>
      </c>
      <c r="L41" s="335">
        <v>0.73</v>
      </c>
      <c r="M41" s="335">
        <v>0.3</v>
      </c>
      <c r="N41" s="335">
        <v>0.31</v>
      </c>
      <c r="O41" s="335">
        <v>0.6</v>
      </c>
      <c r="P41" s="335">
        <v>0.38</v>
      </c>
      <c r="Q41" s="335">
        <v>0.46</v>
      </c>
      <c r="R41" s="335">
        <v>0.57999999999999996</v>
      </c>
      <c r="S41" s="335">
        <v>0.67</v>
      </c>
      <c r="T41" s="335">
        <v>0.39</v>
      </c>
      <c r="U41" s="335">
        <v>0.63</v>
      </c>
      <c r="V41" s="335">
        <v>0.18</v>
      </c>
      <c r="W41" s="335">
        <v>0.26</v>
      </c>
      <c r="X41" s="335">
        <v>0.56000000000000005</v>
      </c>
      <c r="Y41" s="335">
        <v>0.54</v>
      </c>
      <c r="Z41" s="335">
        <v>1</v>
      </c>
      <c r="AA41" s="335">
        <v>0.09</v>
      </c>
      <c r="AB41" s="335">
        <v>0.52</v>
      </c>
      <c r="AC41" s="335">
        <v>0.3</v>
      </c>
      <c r="AD41" s="335">
        <v>0.53</v>
      </c>
      <c r="AE41" s="335">
        <v>0.47</v>
      </c>
      <c r="AF41" s="335">
        <v>0.45</v>
      </c>
      <c r="AG41" s="335">
        <v>0.64</v>
      </c>
      <c r="AH41" s="330">
        <v>47</v>
      </c>
      <c r="AI41" s="330">
        <v>8</v>
      </c>
      <c r="AJ41" s="333">
        <v>0.23</v>
      </c>
      <c r="AK41" s="333">
        <v>0.61</v>
      </c>
      <c r="AL41" s="333">
        <v>0.16</v>
      </c>
      <c r="AM41" s="333">
        <v>0</v>
      </c>
      <c r="AN41" s="333">
        <v>0.43</v>
      </c>
      <c r="AO41" s="333">
        <v>0.56999999999999995</v>
      </c>
      <c r="AP41" s="333">
        <v>0.64</v>
      </c>
      <c r="AQ41" s="333">
        <v>0.57999999999999996</v>
      </c>
      <c r="AR41" s="333">
        <v>0.63</v>
      </c>
      <c r="AS41" s="333">
        <v>0.59</v>
      </c>
      <c r="AT41" s="333">
        <v>0.53</v>
      </c>
      <c r="AU41" s="333">
        <v>0.61</v>
      </c>
      <c r="AV41" s="333">
        <v>0.68</v>
      </c>
      <c r="AW41" s="333">
        <v>0.82</v>
      </c>
      <c r="AX41" s="333">
        <v>0.66</v>
      </c>
      <c r="AY41" s="333">
        <v>0.44</v>
      </c>
      <c r="AZ41" s="333">
        <v>0.38</v>
      </c>
      <c r="BA41" s="333">
        <v>0.67</v>
      </c>
      <c r="BB41" s="333">
        <v>0.74</v>
      </c>
      <c r="BC41" s="333">
        <v>0.57999999999999996</v>
      </c>
      <c r="BD41" s="333">
        <v>0.52</v>
      </c>
      <c r="BE41" s="333">
        <v>0.73</v>
      </c>
      <c r="BF41" s="333">
        <v>0.71</v>
      </c>
      <c r="BG41" s="333">
        <v>0.55000000000000004</v>
      </c>
      <c r="BH41" s="333">
        <v>0.52</v>
      </c>
      <c r="BI41" s="333">
        <v>0.49</v>
      </c>
      <c r="BJ41" s="333">
        <v>0.51</v>
      </c>
      <c r="BK41" s="333">
        <v>0.49</v>
      </c>
      <c r="BL41" s="333">
        <v>0.55000000000000004</v>
      </c>
      <c r="BM41" s="330">
        <v>45</v>
      </c>
      <c r="BN41" s="330">
        <v>7</v>
      </c>
      <c r="BO41" s="335">
        <v>0.27</v>
      </c>
      <c r="BP41" s="335">
        <v>0.62</v>
      </c>
      <c r="BQ41" s="335">
        <v>0.11</v>
      </c>
      <c r="BR41" s="335">
        <v>0</v>
      </c>
      <c r="BS41" s="335">
        <v>0.5</v>
      </c>
      <c r="BT41" s="335">
        <v>0.63</v>
      </c>
      <c r="BU41" s="335">
        <v>0.57999999999999996</v>
      </c>
      <c r="BV41" s="335">
        <v>0.35</v>
      </c>
      <c r="BW41" s="335">
        <v>0.74</v>
      </c>
      <c r="BX41" s="335">
        <v>0.52</v>
      </c>
      <c r="BY41" s="335">
        <v>0.65</v>
      </c>
      <c r="BZ41" s="335">
        <v>0.71</v>
      </c>
      <c r="CA41" s="335">
        <v>0.54</v>
      </c>
      <c r="CB41" s="335">
        <v>0.4</v>
      </c>
      <c r="CC41" s="335">
        <v>0.28000000000000003</v>
      </c>
      <c r="CD41" s="335">
        <v>0.56999999999999995</v>
      </c>
      <c r="CE41" s="335">
        <v>0.47</v>
      </c>
      <c r="CF41" s="335">
        <v>0.6</v>
      </c>
      <c r="CG41" s="335">
        <v>0.57999999999999996</v>
      </c>
      <c r="CH41" s="335">
        <v>0.59</v>
      </c>
      <c r="CI41" s="335">
        <v>0.68</v>
      </c>
      <c r="CJ41" s="335">
        <v>0.65</v>
      </c>
      <c r="CK41" s="335">
        <v>0.72</v>
      </c>
      <c r="CL41" s="335">
        <v>0.42</v>
      </c>
      <c r="CM41" s="335">
        <v>0.44</v>
      </c>
      <c r="CN41" s="335">
        <v>0.57999999999999996</v>
      </c>
      <c r="CO41" s="335">
        <v>0.46</v>
      </c>
      <c r="CP41" s="335">
        <v>0.5</v>
      </c>
      <c r="CQ41" s="335">
        <v>0.57999999999999996</v>
      </c>
      <c r="CR41" s="335">
        <v>0.69</v>
      </c>
      <c r="CS41" s="330">
        <v>47</v>
      </c>
      <c r="CT41" s="330">
        <v>7</v>
      </c>
      <c r="CU41" s="329">
        <v>0.14000000000000001</v>
      </c>
      <c r="CV41" s="329">
        <v>0.76</v>
      </c>
      <c r="CW41" s="329">
        <v>0.1</v>
      </c>
      <c r="CX41" s="329">
        <v>0</v>
      </c>
      <c r="CY41" s="329">
        <v>0.57999999999999996</v>
      </c>
      <c r="CZ41" s="329">
        <v>0.38</v>
      </c>
      <c r="DA41" s="329">
        <v>0.46</v>
      </c>
      <c r="DB41" s="329">
        <v>0.34</v>
      </c>
      <c r="DC41" s="329">
        <v>0.49</v>
      </c>
      <c r="DD41" s="329">
        <v>0.56999999999999995</v>
      </c>
      <c r="DE41" s="329">
        <v>0.55000000000000004</v>
      </c>
      <c r="DF41" s="329">
        <v>0.64</v>
      </c>
      <c r="DG41" s="329">
        <v>0.5</v>
      </c>
      <c r="DH41" s="329">
        <v>0.4</v>
      </c>
      <c r="DI41" s="329">
        <v>0.66</v>
      </c>
      <c r="DJ41" s="329">
        <v>0.63</v>
      </c>
      <c r="DK41" s="329">
        <v>0.37</v>
      </c>
      <c r="DL41" s="329">
        <v>0.48</v>
      </c>
      <c r="DM41" s="329">
        <v>0.57999999999999996</v>
      </c>
      <c r="DN41" s="329">
        <v>0.53</v>
      </c>
      <c r="DO41" s="329">
        <v>0.64</v>
      </c>
      <c r="DP41" s="329">
        <v>0.56999999999999995</v>
      </c>
      <c r="DQ41" s="329">
        <v>0.63</v>
      </c>
      <c r="DR41" s="329">
        <v>0.26</v>
      </c>
      <c r="DS41" s="329">
        <v>0.43</v>
      </c>
      <c r="DT41" s="329">
        <v>0.65</v>
      </c>
      <c r="DU41" s="329">
        <v>0.75</v>
      </c>
      <c r="DV41" s="329">
        <v>0.61</v>
      </c>
      <c r="DW41" s="329">
        <v>0.37</v>
      </c>
      <c r="DX41" s="313">
        <v>47</v>
      </c>
      <c r="DY41" s="313">
        <v>8</v>
      </c>
      <c r="DZ41" s="333">
        <v>0.2</v>
      </c>
      <c r="EA41" s="333">
        <v>0.63</v>
      </c>
      <c r="EB41" s="333">
        <v>0.18</v>
      </c>
      <c r="EC41" s="333">
        <v>0</v>
      </c>
      <c r="ED41" s="333">
        <v>0.5</v>
      </c>
      <c r="EE41" s="333">
        <v>0.52</v>
      </c>
      <c r="EF41" s="333">
        <v>0.57999999999999996</v>
      </c>
      <c r="EG41" s="333">
        <v>0.56999999999999995</v>
      </c>
      <c r="EH41" s="333">
        <v>0.46</v>
      </c>
      <c r="EI41" s="333">
        <v>0.64</v>
      </c>
      <c r="EJ41" s="333">
        <v>0.62</v>
      </c>
      <c r="EK41" s="333">
        <v>0.3</v>
      </c>
      <c r="EL41" s="333">
        <v>0.41</v>
      </c>
      <c r="EM41" s="333">
        <v>0.75</v>
      </c>
      <c r="EN41" s="333">
        <v>0.53</v>
      </c>
      <c r="EO41" s="333">
        <v>0.63</v>
      </c>
      <c r="EP41" s="333">
        <v>0.5</v>
      </c>
      <c r="EQ41" s="333">
        <v>0.26</v>
      </c>
      <c r="ER41" s="333">
        <v>0.59</v>
      </c>
      <c r="ES41" s="333">
        <v>0.52</v>
      </c>
      <c r="ET41" s="333">
        <v>0.35</v>
      </c>
      <c r="EU41" s="333">
        <v>0.64</v>
      </c>
      <c r="EV41" s="333">
        <v>0.44</v>
      </c>
      <c r="EW41" s="333">
        <v>0.36</v>
      </c>
      <c r="EX41" s="333">
        <v>0.68</v>
      </c>
      <c r="EY41" s="333">
        <v>0.62</v>
      </c>
      <c r="EZ41" s="333">
        <v>0.32</v>
      </c>
      <c r="FA41" s="333">
        <v>0.66</v>
      </c>
      <c r="FB41" s="314">
        <v>47</v>
      </c>
      <c r="FC41" s="314" t="s">
        <v>874</v>
      </c>
      <c r="FD41" s="314">
        <v>8</v>
      </c>
      <c r="FE41" s="314" t="s">
        <v>874</v>
      </c>
      <c r="FF41" s="334">
        <v>0.28999999999999998</v>
      </c>
      <c r="FG41" s="334">
        <v>0.54</v>
      </c>
      <c r="FH41" s="334">
        <v>0.17</v>
      </c>
      <c r="FI41" s="334">
        <v>0</v>
      </c>
      <c r="FJ41" s="334">
        <v>0.51</v>
      </c>
      <c r="FK41" s="334">
        <v>0.74</v>
      </c>
      <c r="FL41" s="334">
        <v>0.6</v>
      </c>
      <c r="FM41" s="334">
        <v>0.51</v>
      </c>
      <c r="FN41" s="334">
        <v>0.37</v>
      </c>
      <c r="FO41" s="334">
        <v>0.39</v>
      </c>
      <c r="FP41" s="334">
        <v>0.43</v>
      </c>
      <c r="FQ41" s="334">
        <v>0.46</v>
      </c>
      <c r="FR41" s="334">
        <v>0.64</v>
      </c>
      <c r="FS41" s="334">
        <v>0.64</v>
      </c>
      <c r="FT41" s="334">
        <v>0.6</v>
      </c>
      <c r="FU41" s="334">
        <v>0.36</v>
      </c>
      <c r="FV41" s="334">
        <v>0.71</v>
      </c>
      <c r="FW41" s="334">
        <v>0.56000000000000005</v>
      </c>
      <c r="FX41" s="334">
        <v>0.56000000000000005</v>
      </c>
      <c r="FY41" s="334">
        <v>0.45</v>
      </c>
      <c r="FZ41" s="334">
        <v>0.46</v>
      </c>
      <c r="GA41" s="334">
        <v>0.43</v>
      </c>
      <c r="GB41" s="334">
        <v>0.62</v>
      </c>
      <c r="GC41" s="334">
        <v>0.49</v>
      </c>
      <c r="GD41" s="334">
        <v>0.56999999999999995</v>
      </c>
      <c r="GE41" s="334">
        <v>0.57999999999999996</v>
      </c>
      <c r="GF41" s="334">
        <v>0.49</v>
      </c>
      <c r="GG41" s="334">
        <v>0.55000000000000004</v>
      </c>
      <c r="GH41" s="334">
        <v>0.68</v>
      </c>
      <c r="GI41" s="334">
        <v>0.3</v>
      </c>
      <c r="GJ41" s="311">
        <v>44</v>
      </c>
      <c r="GK41" s="311" t="s">
        <v>874</v>
      </c>
      <c r="GL41" s="311">
        <v>7</v>
      </c>
      <c r="GM41" s="311" t="s">
        <v>874</v>
      </c>
      <c r="GN41" s="329">
        <v>0.41</v>
      </c>
      <c r="GO41" s="329">
        <v>0.54</v>
      </c>
      <c r="GP41" s="329">
        <v>0.04</v>
      </c>
      <c r="GQ41" s="329">
        <v>0</v>
      </c>
      <c r="GR41" s="329">
        <v>0.49</v>
      </c>
      <c r="GS41" s="329">
        <v>0.6</v>
      </c>
      <c r="GT41" s="329">
        <v>0.67</v>
      </c>
      <c r="GU41" s="329">
        <v>0.46</v>
      </c>
      <c r="GV41" s="329">
        <v>0.71</v>
      </c>
      <c r="GW41" s="329">
        <v>0.62</v>
      </c>
      <c r="GX41" s="329">
        <v>0.56999999999999995</v>
      </c>
      <c r="GY41" s="311" t="s">
        <v>283</v>
      </c>
      <c r="GZ41" s="329">
        <v>0.43</v>
      </c>
      <c r="HA41" s="329">
        <v>0.74</v>
      </c>
      <c r="HB41" s="329">
        <v>0.52</v>
      </c>
      <c r="HC41" s="329">
        <v>0.64</v>
      </c>
      <c r="HD41" s="329">
        <v>0.64</v>
      </c>
      <c r="HE41" s="329">
        <v>0.65</v>
      </c>
      <c r="HF41" s="329">
        <v>0.61</v>
      </c>
      <c r="HG41" s="329">
        <v>0.73</v>
      </c>
      <c r="HH41" s="329">
        <v>0.53</v>
      </c>
      <c r="HI41" s="329">
        <v>0.56000000000000005</v>
      </c>
      <c r="HJ41" s="329">
        <v>0.68</v>
      </c>
      <c r="HK41" s="329">
        <v>0.59</v>
      </c>
      <c r="HL41" s="329">
        <v>0.57999999999999996</v>
      </c>
      <c r="HM41" s="329">
        <v>0.63</v>
      </c>
      <c r="HN41" s="329">
        <v>0.6</v>
      </c>
      <c r="HO41" s="329">
        <v>0.56999999999999995</v>
      </c>
      <c r="HP41" s="311" t="s">
        <v>283</v>
      </c>
      <c r="HQ41" s="329">
        <v>0.57999999999999996</v>
      </c>
      <c r="HR41" s="426">
        <v>49</v>
      </c>
      <c r="HS41" s="426" t="s">
        <v>874</v>
      </c>
      <c r="HT41" s="426">
        <v>8</v>
      </c>
      <c r="HU41" s="426" t="s">
        <v>874</v>
      </c>
      <c r="HV41" s="430">
        <v>0.14000000000000001</v>
      </c>
      <c r="HW41" s="430">
        <v>0.65</v>
      </c>
      <c r="HX41" s="430">
        <v>0.22</v>
      </c>
      <c r="HY41" s="430">
        <v>0</v>
      </c>
      <c r="HZ41" s="430">
        <v>0.42</v>
      </c>
      <c r="IA41" s="430">
        <v>0.56999999999999995</v>
      </c>
      <c r="IB41" s="430">
        <v>0.31</v>
      </c>
      <c r="IC41" s="430">
        <v>0.6</v>
      </c>
      <c r="ID41" s="430">
        <v>0.63</v>
      </c>
      <c r="IE41" s="430">
        <v>0.43</v>
      </c>
      <c r="IF41" s="430">
        <v>0.43</v>
      </c>
      <c r="IG41" s="430">
        <v>0.52</v>
      </c>
      <c r="IH41" s="430">
        <v>0.59</v>
      </c>
      <c r="II41" s="430">
        <v>0.35</v>
      </c>
      <c r="IJ41" s="430">
        <v>0.25</v>
      </c>
      <c r="IK41" s="430">
        <v>0.46</v>
      </c>
      <c r="IL41" s="430">
        <v>0.41</v>
      </c>
      <c r="IM41" s="430">
        <v>0.55000000000000004</v>
      </c>
      <c r="IN41" s="430">
        <v>0.51</v>
      </c>
      <c r="IO41" s="430">
        <v>0.63</v>
      </c>
      <c r="IP41" s="430">
        <v>0.52</v>
      </c>
      <c r="IQ41" s="430">
        <v>0.71</v>
      </c>
      <c r="IR41" s="430">
        <v>0.75</v>
      </c>
      <c r="IS41" s="430">
        <v>0.46</v>
      </c>
      <c r="IT41" s="430">
        <v>0.43</v>
      </c>
      <c r="IU41" s="426" t="s">
        <v>283</v>
      </c>
      <c r="IV41" s="430">
        <v>0.62</v>
      </c>
      <c r="IW41" s="430">
        <v>0.36</v>
      </c>
      <c r="IX41" s="430">
        <v>0.73</v>
      </c>
      <c r="IY41" s="430">
        <v>0.56999999999999995</v>
      </c>
      <c r="IZ41" s="660">
        <v>53</v>
      </c>
      <c r="JA41" s="660" t="s">
        <v>874</v>
      </c>
      <c r="JB41" s="660">
        <v>10</v>
      </c>
      <c r="JC41" s="660" t="s">
        <v>874</v>
      </c>
      <c r="JD41" s="661">
        <v>0.08</v>
      </c>
      <c r="JE41" s="661">
        <v>0.5</v>
      </c>
      <c r="JF41" s="661">
        <v>0.42</v>
      </c>
      <c r="JG41" s="661">
        <v>0</v>
      </c>
      <c r="JH41" s="661">
        <v>0.39</v>
      </c>
      <c r="JI41" s="661">
        <v>0.45</v>
      </c>
      <c r="JJ41" s="661">
        <v>0.35</v>
      </c>
      <c r="JK41" s="661">
        <v>0.47</v>
      </c>
      <c r="JL41" s="661">
        <v>0.41</v>
      </c>
      <c r="JM41" s="661">
        <v>0.52</v>
      </c>
      <c r="JN41" s="661">
        <v>0.38</v>
      </c>
      <c r="JO41" s="661">
        <v>0.42</v>
      </c>
      <c r="JP41" s="661">
        <v>0.56999999999999995</v>
      </c>
      <c r="JQ41" s="661">
        <v>0.12</v>
      </c>
      <c r="JR41" s="661">
        <v>0.67</v>
      </c>
      <c r="JS41" s="661">
        <v>0.52</v>
      </c>
      <c r="JT41" s="661">
        <v>0.31</v>
      </c>
      <c r="JU41" s="661">
        <v>0.38</v>
      </c>
      <c r="JV41" s="661">
        <v>0.44</v>
      </c>
      <c r="JW41" s="661">
        <v>0.33</v>
      </c>
      <c r="JX41" s="661">
        <v>0.45</v>
      </c>
      <c r="JY41" s="661">
        <v>0.41</v>
      </c>
      <c r="JZ41" s="661">
        <v>0.46</v>
      </c>
      <c r="KA41" s="661">
        <v>0.68</v>
      </c>
      <c r="KB41" s="661">
        <v>0.38</v>
      </c>
      <c r="KC41" s="661">
        <v>0.5</v>
      </c>
      <c r="KD41" s="661">
        <v>0.38</v>
      </c>
      <c r="KE41" s="661">
        <v>0.48</v>
      </c>
      <c r="KF41" s="661">
        <v>0.53</v>
      </c>
      <c r="KG41" s="661">
        <v>0.55000000000000004</v>
      </c>
    </row>
    <row r="42" spans="1:293" ht="24.95" customHeight="1" x14ac:dyDescent="0.2">
      <c r="A42" s="126" t="s">
        <v>291</v>
      </c>
      <c r="B42" s="1" t="s">
        <v>221</v>
      </c>
      <c r="C42" s="2">
        <v>5</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t="s">
        <v>224</v>
      </c>
      <c r="AI42" s="12" t="s">
        <v>224</v>
      </c>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12">
        <v>54</v>
      </c>
      <c r="BN42" s="12">
        <v>6</v>
      </c>
      <c r="BO42" s="66">
        <v>0.06</v>
      </c>
      <c r="BP42" s="66">
        <v>0.5</v>
      </c>
      <c r="BQ42" s="66">
        <v>0.44</v>
      </c>
      <c r="BR42" s="66">
        <v>0</v>
      </c>
      <c r="BS42" s="66">
        <v>0.22</v>
      </c>
      <c r="BT42" s="66">
        <v>0.9</v>
      </c>
      <c r="BU42" s="66">
        <v>0.61</v>
      </c>
      <c r="BV42" s="66">
        <v>0.42</v>
      </c>
      <c r="BW42" s="66">
        <v>0.6</v>
      </c>
      <c r="BX42" s="66">
        <v>0.3</v>
      </c>
      <c r="BY42" s="66">
        <v>0.31</v>
      </c>
      <c r="BZ42" s="66">
        <v>0.35</v>
      </c>
      <c r="CA42" s="66">
        <v>0.44</v>
      </c>
      <c r="CB42" s="66">
        <v>0.25</v>
      </c>
      <c r="CC42" s="66">
        <v>0.12</v>
      </c>
      <c r="CD42" s="66">
        <v>0.38</v>
      </c>
      <c r="CE42" s="66">
        <v>0.32</v>
      </c>
      <c r="CF42" s="66">
        <v>0.65</v>
      </c>
      <c r="CG42" s="66">
        <v>0.6</v>
      </c>
      <c r="CH42" s="66">
        <v>0.51</v>
      </c>
      <c r="CI42" s="66">
        <v>0.47</v>
      </c>
      <c r="CJ42" s="66">
        <v>0.25</v>
      </c>
      <c r="CK42" s="66">
        <v>0.67</v>
      </c>
      <c r="CL42" s="66">
        <v>0.19</v>
      </c>
      <c r="CM42" s="66">
        <v>0.43</v>
      </c>
      <c r="CN42" s="66">
        <v>0.33</v>
      </c>
      <c r="CO42" s="66">
        <v>0.24</v>
      </c>
      <c r="CP42" s="66">
        <v>0.37</v>
      </c>
      <c r="CQ42" s="66">
        <v>0.56000000000000005</v>
      </c>
      <c r="CR42" s="66">
        <v>0.49</v>
      </c>
      <c r="CS42" s="12">
        <v>48</v>
      </c>
      <c r="CT42" s="12">
        <v>7</v>
      </c>
      <c r="CU42" s="63">
        <v>0.13</v>
      </c>
      <c r="CV42" s="63">
        <v>0.67</v>
      </c>
      <c r="CW42" s="63">
        <v>0.2</v>
      </c>
      <c r="CX42" s="63">
        <v>0</v>
      </c>
      <c r="CY42" s="63">
        <v>0.51</v>
      </c>
      <c r="CZ42" s="63">
        <v>0.31</v>
      </c>
      <c r="DA42" s="63">
        <v>0.56000000000000005</v>
      </c>
      <c r="DB42" s="63">
        <v>0.41</v>
      </c>
      <c r="DC42" s="63">
        <v>0.28000000000000003</v>
      </c>
      <c r="DD42" s="63">
        <v>0.74</v>
      </c>
      <c r="DE42" s="63">
        <v>0.52</v>
      </c>
      <c r="DF42" s="63">
        <v>0.68</v>
      </c>
      <c r="DG42" s="63">
        <v>0.62</v>
      </c>
      <c r="DH42" s="63">
        <v>0.26</v>
      </c>
      <c r="DI42" s="63">
        <v>0.68</v>
      </c>
      <c r="DJ42" s="63">
        <v>0.56999999999999995</v>
      </c>
      <c r="DK42" s="63">
        <v>0.33</v>
      </c>
      <c r="DL42" s="63">
        <v>0.5</v>
      </c>
      <c r="DM42" s="63">
        <v>0.56999999999999995</v>
      </c>
      <c r="DN42" s="63">
        <v>0.41</v>
      </c>
      <c r="DO42" s="63">
        <v>0.31</v>
      </c>
      <c r="DP42" s="63">
        <v>0.46</v>
      </c>
      <c r="DQ42" s="63">
        <v>0.67</v>
      </c>
      <c r="DR42" s="63">
        <v>0.15</v>
      </c>
      <c r="DS42" s="63">
        <v>0.44</v>
      </c>
      <c r="DT42" s="63">
        <v>0.68</v>
      </c>
      <c r="DU42" s="63">
        <v>0.43</v>
      </c>
      <c r="DV42" s="63">
        <v>0.5</v>
      </c>
      <c r="DW42" s="63">
        <v>0.44</v>
      </c>
      <c r="DX42" s="35">
        <v>48</v>
      </c>
      <c r="DY42" s="35">
        <v>9</v>
      </c>
      <c r="DZ42" s="40">
        <v>0.18</v>
      </c>
      <c r="EA42" s="40">
        <v>0.59</v>
      </c>
      <c r="EB42" s="40">
        <v>0.23</v>
      </c>
      <c r="EC42" s="40">
        <v>0</v>
      </c>
      <c r="ED42" s="40">
        <v>0.49</v>
      </c>
      <c r="EE42" s="40">
        <v>0.49</v>
      </c>
      <c r="EF42" s="40">
        <v>0.38</v>
      </c>
      <c r="EG42" s="40">
        <v>0.36</v>
      </c>
      <c r="EH42" s="40">
        <v>0.39</v>
      </c>
      <c r="EI42" s="40">
        <v>0.67</v>
      </c>
      <c r="EJ42" s="40">
        <v>0.56000000000000005</v>
      </c>
      <c r="EK42" s="40">
        <v>0.47</v>
      </c>
      <c r="EL42" s="40">
        <v>0.49</v>
      </c>
      <c r="EM42" s="40">
        <v>0.75</v>
      </c>
      <c r="EN42" s="40">
        <v>0.49</v>
      </c>
      <c r="EO42" s="40">
        <v>0.59</v>
      </c>
      <c r="EP42" s="40">
        <v>0.56000000000000005</v>
      </c>
      <c r="EQ42" s="40">
        <v>0.33</v>
      </c>
      <c r="ER42" s="40">
        <v>0.38</v>
      </c>
      <c r="ES42" s="40">
        <v>0.5</v>
      </c>
      <c r="ET42" s="40">
        <v>0.45</v>
      </c>
      <c r="EU42" s="40">
        <v>0.8</v>
      </c>
      <c r="EV42" s="40">
        <v>0.42</v>
      </c>
      <c r="EW42" s="40">
        <v>0.37</v>
      </c>
      <c r="EX42" s="40">
        <v>0.57999999999999996</v>
      </c>
      <c r="EY42" s="40">
        <v>0.59</v>
      </c>
      <c r="EZ42" s="40">
        <v>0.14000000000000001</v>
      </c>
      <c r="FA42" s="40">
        <v>0.6</v>
      </c>
      <c r="FB42" s="247">
        <v>50</v>
      </c>
      <c r="FC42" s="247" t="s">
        <v>874</v>
      </c>
      <c r="FD42" s="247">
        <v>8</v>
      </c>
      <c r="FE42" s="247" t="s">
        <v>874</v>
      </c>
      <c r="FF42" s="264">
        <v>0.12</v>
      </c>
      <c r="FG42" s="264">
        <v>0.57999999999999996</v>
      </c>
      <c r="FH42" s="264">
        <v>0.31</v>
      </c>
      <c r="FI42" s="264">
        <v>0</v>
      </c>
      <c r="FJ42" s="264">
        <v>0.47</v>
      </c>
      <c r="FK42" s="264">
        <v>0.62</v>
      </c>
      <c r="FL42" s="264">
        <v>0.57999999999999996</v>
      </c>
      <c r="FM42" s="264">
        <v>0.22</v>
      </c>
      <c r="FN42" s="264">
        <v>0.26</v>
      </c>
      <c r="FO42" s="264">
        <v>0.4</v>
      </c>
      <c r="FP42" s="264">
        <v>0.38</v>
      </c>
      <c r="FQ42" s="264">
        <v>0.43</v>
      </c>
      <c r="FR42" s="264">
        <v>0.56999999999999995</v>
      </c>
      <c r="FS42" s="264">
        <v>0.7</v>
      </c>
      <c r="FT42" s="264">
        <v>0.47</v>
      </c>
      <c r="FU42" s="264">
        <v>0.18</v>
      </c>
      <c r="FV42" s="264">
        <v>0.73</v>
      </c>
      <c r="FW42" s="264">
        <v>0.61</v>
      </c>
      <c r="FX42" s="264">
        <v>0.51</v>
      </c>
      <c r="FY42" s="264">
        <v>0.48</v>
      </c>
      <c r="FZ42" s="264">
        <v>0.39</v>
      </c>
      <c r="GA42" s="264">
        <v>0.55000000000000004</v>
      </c>
      <c r="GB42" s="264">
        <v>0.54</v>
      </c>
      <c r="GC42" s="264">
        <v>0.52</v>
      </c>
      <c r="GD42" s="264">
        <v>0.56000000000000005</v>
      </c>
      <c r="GE42" s="264">
        <v>0.47</v>
      </c>
      <c r="GF42" s="264">
        <v>0.26</v>
      </c>
      <c r="GG42" s="264">
        <v>0.52</v>
      </c>
      <c r="GH42" s="264">
        <v>0.56000000000000005</v>
      </c>
      <c r="GI42" s="264">
        <v>0.28999999999999998</v>
      </c>
      <c r="GJ42" s="311">
        <v>51</v>
      </c>
      <c r="GK42" s="311" t="s">
        <v>874</v>
      </c>
      <c r="GL42" s="311">
        <v>8</v>
      </c>
      <c r="GM42" s="311" t="s">
        <v>874</v>
      </c>
      <c r="GN42" s="329">
        <v>0.08</v>
      </c>
      <c r="GO42" s="329">
        <v>0.69</v>
      </c>
      <c r="GP42" s="329">
        <v>0.23</v>
      </c>
      <c r="GQ42" s="329">
        <v>0</v>
      </c>
      <c r="GR42" s="329">
        <v>0.59</v>
      </c>
      <c r="GS42" s="329">
        <v>0.76</v>
      </c>
      <c r="GT42" s="329">
        <v>0.57999999999999996</v>
      </c>
      <c r="GU42" s="329">
        <v>0.43</v>
      </c>
      <c r="GV42" s="329">
        <v>0.55000000000000004</v>
      </c>
      <c r="GW42" s="329">
        <v>0.4</v>
      </c>
      <c r="GX42" s="329">
        <v>0.4</v>
      </c>
      <c r="GY42" s="311" t="s">
        <v>283</v>
      </c>
      <c r="GZ42" s="329">
        <v>0.43</v>
      </c>
      <c r="HA42" s="329">
        <v>0.56000000000000005</v>
      </c>
      <c r="HB42" s="329">
        <v>0.33</v>
      </c>
      <c r="HC42" s="329">
        <v>0.63</v>
      </c>
      <c r="HD42" s="329">
        <v>0.55000000000000004</v>
      </c>
      <c r="HE42" s="329">
        <v>0.5</v>
      </c>
      <c r="HF42" s="329">
        <v>0.56999999999999995</v>
      </c>
      <c r="HG42" s="329">
        <v>0.68</v>
      </c>
      <c r="HH42" s="329">
        <v>0.55000000000000004</v>
      </c>
      <c r="HI42" s="329">
        <v>0.47</v>
      </c>
      <c r="HJ42" s="329">
        <v>0.51</v>
      </c>
      <c r="HK42" s="329">
        <v>0.37</v>
      </c>
      <c r="HL42" s="329">
        <v>0.28999999999999998</v>
      </c>
      <c r="HM42" s="329">
        <v>0.45</v>
      </c>
      <c r="HN42" s="329">
        <v>0.5</v>
      </c>
      <c r="HO42" s="329">
        <v>0.42</v>
      </c>
      <c r="HP42" s="311" t="s">
        <v>283</v>
      </c>
      <c r="HQ42" s="329">
        <v>0.42</v>
      </c>
      <c r="HR42" s="426">
        <v>53</v>
      </c>
      <c r="HS42" s="426" t="s">
        <v>874</v>
      </c>
      <c r="HT42" s="426">
        <v>9</v>
      </c>
      <c r="HU42" s="426" t="s">
        <v>874</v>
      </c>
      <c r="HV42" s="430">
        <v>0</v>
      </c>
      <c r="HW42" s="430">
        <v>0.59</v>
      </c>
      <c r="HX42" s="430">
        <v>0.32</v>
      </c>
      <c r="HY42" s="430">
        <v>0.09</v>
      </c>
      <c r="HZ42" s="430">
        <v>0.3</v>
      </c>
      <c r="IA42" s="430">
        <v>0.55000000000000004</v>
      </c>
      <c r="IB42" s="430">
        <v>0.21</v>
      </c>
      <c r="IC42" s="430">
        <v>0.42</v>
      </c>
      <c r="ID42" s="430">
        <v>0.55000000000000004</v>
      </c>
      <c r="IE42" s="430">
        <v>0.32</v>
      </c>
      <c r="IF42" s="430">
        <v>0.41</v>
      </c>
      <c r="IG42" s="430">
        <v>0.36</v>
      </c>
      <c r="IH42" s="430">
        <v>0.48</v>
      </c>
      <c r="II42" s="430">
        <v>0.56000000000000005</v>
      </c>
      <c r="IJ42" s="430">
        <v>0.24</v>
      </c>
      <c r="IK42" s="430">
        <v>0.49</v>
      </c>
      <c r="IL42" s="430">
        <v>0.27</v>
      </c>
      <c r="IM42" s="430">
        <v>0.55000000000000004</v>
      </c>
      <c r="IN42" s="430">
        <v>0.41</v>
      </c>
      <c r="IO42" s="430">
        <v>0.51</v>
      </c>
      <c r="IP42" s="430">
        <v>0.37</v>
      </c>
      <c r="IQ42" s="430">
        <v>0.64</v>
      </c>
      <c r="IR42" s="430">
        <v>0.66</v>
      </c>
      <c r="IS42" s="430">
        <v>0.63</v>
      </c>
      <c r="IT42" s="430">
        <v>0.5</v>
      </c>
      <c r="IU42" s="426" t="s">
        <v>283</v>
      </c>
      <c r="IV42" s="430">
        <v>0.61</v>
      </c>
      <c r="IW42" s="430">
        <v>0.37</v>
      </c>
      <c r="IX42" s="430">
        <v>0.21</v>
      </c>
      <c r="IY42" s="430">
        <v>0.56000000000000005</v>
      </c>
      <c r="IZ42" s="466">
        <v>51</v>
      </c>
      <c r="JA42" s="466" t="s">
        <v>874</v>
      </c>
      <c r="JB42" s="466">
        <v>9</v>
      </c>
      <c r="JC42" s="466" t="s">
        <v>874</v>
      </c>
      <c r="JD42" s="480">
        <v>0.16</v>
      </c>
      <c r="JE42" s="480">
        <v>0.52</v>
      </c>
      <c r="JF42" s="480">
        <v>0.32</v>
      </c>
      <c r="JG42" s="480">
        <v>0</v>
      </c>
      <c r="JH42" s="480">
        <v>0.54</v>
      </c>
      <c r="JI42" s="480">
        <v>0.4</v>
      </c>
      <c r="JJ42" s="480">
        <v>0.34</v>
      </c>
      <c r="JK42" s="480">
        <v>0.48</v>
      </c>
      <c r="JL42" s="480">
        <v>0.62</v>
      </c>
      <c r="JM42" s="480">
        <v>0.46</v>
      </c>
      <c r="JN42" s="480">
        <v>0.61</v>
      </c>
      <c r="JO42" s="480">
        <v>0.45</v>
      </c>
      <c r="JP42" s="480">
        <v>0.65</v>
      </c>
      <c r="JQ42" s="480">
        <v>0.14000000000000001</v>
      </c>
      <c r="JR42" s="480">
        <v>0.56999999999999995</v>
      </c>
      <c r="JS42" s="480">
        <v>0.65</v>
      </c>
      <c r="JT42" s="480">
        <v>0.39</v>
      </c>
      <c r="JU42" s="480">
        <v>0.48</v>
      </c>
      <c r="JV42" s="480">
        <v>0.48</v>
      </c>
      <c r="JW42" s="480">
        <v>0.44</v>
      </c>
      <c r="JX42" s="480">
        <v>0.35</v>
      </c>
      <c r="JY42" s="480">
        <v>0.54</v>
      </c>
      <c r="JZ42" s="480">
        <v>0.53</v>
      </c>
      <c r="KA42" s="480">
        <v>0.54</v>
      </c>
      <c r="KB42" s="480">
        <v>0.46</v>
      </c>
      <c r="KC42" s="480">
        <v>0.64</v>
      </c>
      <c r="KD42" s="480">
        <v>0.43</v>
      </c>
      <c r="KE42" s="480">
        <v>0.55000000000000004</v>
      </c>
      <c r="KF42" s="480">
        <v>0.43</v>
      </c>
      <c r="KG42" s="480">
        <v>0.59</v>
      </c>
    </row>
    <row r="43" spans="1:293" ht="24.95" customHeight="1" x14ac:dyDescent="0.2">
      <c r="A43" s="36" t="s">
        <v>267</v>
      </c>
      <c r="B43" s="14" t="s">
        <v>221</v>
      </c>
      <c r="C43" s="2">
        <v>6</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t="s">
        <v>224</v>
      </c>
      <c r="AI43" s="12" t="s">
        <v>224</v>
      </c>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12" t="s">
        <v>224</v>
      </c>
      <c r="BN43" s="12" t="s">
        <v>224</v>
      </c>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t="s">
        <v>224</v>
      </c>
      <c r="CT43" s="12" t="s">
        <v>224</v>
      </c>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35">
        <v>56</v>
      </c>
      <c r="DY43" s="35">
        <v>3</v>
      </c>
      <c r="DZ43" s="40">
        <v>0</v>
      </c>
      <c r="EA43" s="40">
        <v>0.5</v>
      </c>
      <c r="EB43" s="40">
        <v>0.5</v>
      </c>
      <c r="EC43" s="40">
        <v>0</v>
      </c>
      <c r="ED43" s="40">
        <v>0.75</v>
      </c>
      <c r="EE43" s="40">
        <v>0</v>
      </c>
      <c r="EF43" s="40">
        <v>0.5</v>
      </c>
      <c r="EG43" s="40">
        <v>0</v>
      </c>
      <c r="EH43" s="40">
        <v>0.67</v>
      </c>
      <c r="EI43" s="40">
        <v>1</v>
      </c>
      <c r="EJ43" s="40">
        <v>0.75</v>
      </c>
      <c r="EK43" s="40">
        <v>1</v>
      </c>
      <c r="EL43" s="40">
        <v>0.5</v>
      </c>
      <c r="EM43" s="40">
        <v>0.5</v>
      </c>
      <c r="EN43" s="40">
        <v>0</v>
      </c>
      <c r="EO43" s="40">
        <v>0.67</v>
      </c>
      <c r="EP43" s="40">
        <v>0.25</v>
      </c>
      <c r="EQ43" s="40">
        <v>0</v>
      </c>
      <c r="ER43" s="40">
        <v>0.33</v>
      </c>
      <c r="ES43" s="40">
        <v>0.25</v>
      </c>
      <c r="ET43" s="40">
        <v>0</v>
      </c>
      <c r="EU43" s="40">
        <v>0.5</v>
      </c>
      <c r="EV43" s="40">
        <v>0</v>
      </c>
      <c r="EW43" s="40">
        <v>0</v>
      </c>
      <c r="EX43" s="35" t="s">
        <v>283</v>
      </c>
      <c r="EY43" s="40">
        <v>0.5</v>
      </c>
      <c r="EZ43" s="35" t="s">
        <v>283</v>
      </c>
      <c r="FA43" s="40">
        <v>1</v>
      </c>
      <c r="FB43" s="247">
        <v>46</v>
      </c>
      <c r="FC43" s="247" t="s">
        <v>874</v>
      </c>
      <c r="FD43" s="247">
        <v>0</v>
      </c>
      <c r="FE43" s="247" t="s">
        <v>876</v>
      </c>
      <c r="FF43" s="264">
        <v>0</v>
      </c>
      <c r="FG43" s="264">
        <v>1</v>
      </c>
      <c r="FH43" s="264">
        <v>0</v>
      </c>
      <c r="FI43" s="264">
        <v>0</v>
      </c>
      <c r="FJ43" s="264">
        <v>0</v>
      </c>
      <c r="FK43" s="264">
        <v>1</v>
      </c>
      <c r="FL43" s="264">
        <v>1</v>
      </c>
      <c r="FM43" s="264">
        <v>0</v>
      </c>
      <c r="FN43" s="264">
        <v>1</v>
      </c>
      <c r="FO43" s="264">
        <v>0</v>
      </c>
      <c r="FP43" s="264">
        <v>0</v>
      </c>
      <c r="FQ43" s="264">
        <v>0.67</v>
      </c>
      <c r="FR43" s="264">
        <v>1</v>
      </c>
      <c r="FS43" s="264">
        <v>1</v>
      </c>
      <c r="FT43" s="264">
        <v>0.5</v>
      </c>
      <c r="FU43" s="247" t="s">
        <v>283</v>
      </c>
      <c r="FV43" s="264">
        <v>1</v>
      </c>
      <c r="FW43" s="264">
        <v>0.5</v>
      </c>
      <c r="FX43" s="247" t="s">
        <v>283</v>
      </c>
      <c r="FY43" s="264">
        <v>0.67</v>
      </c>
      <c r="FZ43" s="264">
        <v>0</v>
      </c>
      <c r="GA43" s="264">
        <v>0.5</v>
      </c>
      <c r="GB43" s="264">
        <v>0.5</v>
      </c>
      <c r="GC43" s="264">
        <v>0</v>
      </c>
      <c r="GD43" s="264">
        <v>0.25</v>
      </c>
      <c r="GE43" s="264">
        <v>0.5</v>
      </c>
      <c r="GF43" s="264">
        <v>0.5</v>
      </c>
      <c r="GG43" s="264">
        <v>0.5</v>
      </c>
      <c r="GH43" s="264">
        <v>0</v>
      </c>
      <c r="GI43" s="264">
        <v>0</v>
      </c>
      <c r="GJ43" s="311">
        <v>47</v>
      </c>
      <c r="GK43" s="311" t="s">
        <v>874</v>
      </c>
      <c r="GL43" s="311">
        <v>10</v>
      </c>
      <c r="GM43" s="311" t="s">
        <v>874</v>
      </c>
      <c r="GN43" s="329">
        <v>0.33</v>
      </c>
      <c r="GO43" s="329">
        <v>0.67</v>
      </c>
      <c r="GP43" s="329">
        <v>0</v>
      </c>
      <c r="GQ43" s="329">
        <v>0</v>
      </c>
      <c r="GR43" s="329">
        <v>0.5</v>
      </c>
      <c r="GS43" s="329">
        <v>0.8</v>
      </c>
      <c r="GT43" s="329">
        <v>0.43</v>
      </c>
      <c r="GU43" s="311" t="s">
        <v>283</v>
      </c>
      <c r="GV43" s="329">
        <v>0.83</v>
      </c>
      <c r="GW43" s="329">
        <v>0.67</v>
      </c>
      <c r="GX43" s="329">
        <v>0.75</v>
      </c>
      <c r="GY43" s="311" t="s">
        <v>283</v>
      </c>
      <c r="GZ43" s="329">
        <v>0.25</v>
      </c>
      <c r="HA43" s="329">
        <v>1</v>
      </c>
      <c r="HB43" s="329">
        <v>0.38</v>
      </c>
      <c r="HC43" s="329">
        <v>0.25</v>
      </c>
      <c r="HD43" s="329">
        <v>0.6</v>
      </c>
      <c r="HE43" s="329">
        <v>0.71</v>
      </c>
      <c r="HF43" s="329">
        <v>0.36</v>
      </c>
      <c r="HG43" s="329">
        <v>0.6</v>
      </c>
      <c r="HH43" s="329">
        <v>0.4</v>
      </c>
      <c r="HI43" s="329">
        <v>0.71</v>
      </c>
      <c r="HJ43" s="329">
        <v>0.55000000000000004</v>
      </c>
      <c r="HK43" s="329">
        <v>0.25</v>
      </c>
      <c r="HL43" s="329">
        <v>0.67</v>
      </c>
      <c r="HM43" s="329">
        <v>0.56999999999999995</v>
      </c>
      <c r="HN43" s="329">
        <v>0.67</v>
      </c>
      <c r="HO43" s="329">
        <v>0.5</v>
      </c>
      <c r="HP43" s="311" t="s">
        <v>283</v>
      </c>
      <c r="HQ43" s="329">
        <v>0.56000000000000005</v>
      </c>
      <c r="HR43" s="426">
        <v>52</v>
      </c>
      <c r="HS43" s="426" t="s">
        <v>874</v>
      </c>
      <c r="HT43" s="426">
        <v>7</v>
      </c>
      <c r="HU43" s="426" t="s">
        <v>874</v>
      </c>
      <c r="HV43" s="430">
        <v>0.08</v>
      </c>
      <c r="HW43" s="430">
        <v>0.57999999999999996</v>
      </c>
      <c r="HX43" s="430">
        <v>0.33</v>
      </c>
      <c r="HY43" s="430">
        <v>0</v>
      </c>
      <c r="HZ43" s="430">
        <v>0.18</v>
      </c>
      <c r="IA43" s="430">
        <v>0.45</v>
      </c>
      <c r="IB43" s="430">
        <v>0.45</v>
      </c>
      <c r="IC43" s="430">
        <v>0.46</v>
      </c>
      <c r="ID43" s="430">
        <v>0.67</v>
      </c>
      <c r="IE43" s="430">
        <v>0.27</v>
      </c>
      <c r="IF43" s="430">
        <v>0.43</v>
      </c>
      <c r="IG43" s="430">
        <v>0.62</v>
      </c>
      <c r="IH43" s="430">
        <v>0.41</v>
      </c>
      <c r="II43" s="430">
        <v>0.25</v>
      </c>
      <c r="IJ43" s="430">
        <v>0.32</v>
      </c>
      <c r="IK43" s="430">
        <v>0.63</v>
      </c>
      <c r="IL43" s="430">
        <v>0.44</v>
      </c>
      <c r="IM43" s="430">
        <v>0.6</v>
      </c>
      <c r="IN43" s="430">
        <v>0.44</v>
      </c>
      <c r="IO43" s="430">
        <v>0.45</v>
      </c>
      <c r="IP43" s="430">
        <v>0.47</v>
      </c>
      <c r="IQ43" s="430">
        <v>0.63</v>
      </c>
      <c r="IR43" s="430">
        <v>0.39</v>
      </c>
      <c r="IS43" s="430">
        <v>0.46</v>
      </c>
      <c r="IT43" s="430">
        <v>0.57999999999999996</v>
      </c>
      <c r="IU43" s="426" t="s">
        <v>283</v>
      </c>
      <c r="IV43" s="430">
        <v>0.7</v>
      </c>
      <c r="IW43" s="430">
        <v>0.48</v>
      </c>
      <c r="IX43" s="430">
        <v>0.35</v>
      </c>
      <c r="IY43" s="430">
        <v>0.5</v>
      </c>
      <c r="IZ43" s="466">
        <v>55</v>
      </c>
      <c r="JA43" s="466" t="s">
        <v>874</v>
      </c>
      <c r="JB43" s="466">
        <v>9</v>
      </c>
      <c r="JC43" s="466" t="s">
        <v>874</v>
      </c>
      <c r="JD43" s="480">
        <v>0</v>
      </c>
      <c r="JE43" s="480">
        <v>0.63</v>
      </c>
      <c r="JF43" s="480">
        <v>0.38</v>
      </c>
      <c r="JG43" s="480">
        <v>0</v>
      </c>
      <c r="JH43" s="480">
        <v>0.45</v>
      </c>
      <c r="JI43" s="480">
        <v>0.24</v>
      </c>
      <c r="JJ43" s="480">
        <v>0.24</v>
      </c>
      <c r="JK43" s="480">
        <v>0.33</v>
      </c>
      <c r="JL43" s="480">
        <v>0.36</v>
      </c>
      <c r="JM43" s="480">
        <v>0.52</v>
      </c>
      <c r="JN43" s="480">
        <v>0.19</v>
      </c>
      <c r="JO43" s="480">
        <v>0.33</v>
      </c>
      <c r="JP43" s="480">
        <v>0.57999999999999996</v>
      </c>
      <c r="JQ43" s="480">
        <v>0.38</v>
      </c>
      <c r="JR43" s="480">
        <v>0.27</v>
      </c>
      <c r="JS43" s="480">
        <v>0.33</v>
      </c>
      <c r="JT43" s="480">
        <v>0.5</v>
      </c>
      <c r="JU43" s="480">
        <v>0.54</v>
      </c>
      <c r="JV43" s="480">
        <v>0.43</v>
      </c>
      <c r="JW43" s="480">
        <v>0.54</v>
      </c>
      <c r="JX43" s="480">
        <v>0.38</v>
      </c>
      <c r="JY43" s="480">
        <v>0.43</v>
      </c>
      <c r="JZ43" s="480">
        <v>0.43</v>
      </c>
      <c r="KA43" s="480">
        <v>0.6</v>
      </c>
      <c r="KB43" s="480">
        <v>0.5</v>
      </c>
      <c r="KC43" s="480">
        <v>0.28999999999999998</v>
      </c>
      <c r="KD43" s="480">
        <v>0.27</v>
      </c>
      <c r="KE43" s="480">
        <v>0.44</v>
      </c>
      <c r="KF43" s="480">
        <v>0.62</v>
      </c>
      <c r="KG43" s="480">
        <v>0.57999999999999996</v>
      </c>
    </row>
    <row r="44" spans="1:293" ht="24.95" customHeight="1" x14ac:dyDescent="0.2">
      <c r="A44" s="126" t="s">
        <v>189</v>
      </c>
      <c r="B44" s="1" t="s">
        <v>221</v>
      </c>
      <c r="C44" s="2">
        <v>2</v>
      </c>
      <c r="D44" s="12">
        <v>65</v>
      </c>
      <c r="E44" s="12">
        <v>0</v>
      </c>
      <c r="F44" s="66">
        <v>0</v>
      </c>
      <c r="G44" s="66">
        <v>0</v>
      </c>
      <c r="H44" s="66">
        <v>1</v>
      </c>
      <c r="I44" s="66">
        <v>0</v>
      </c>
      <c r="J44" s="66">
        <v>0</v>
      </c>
      <c r="K44" s="66">
        <v>0</v>
      </c>
      <c r="L44" s="66">
        <v>0</v>
      </c>
      <c r="M44" s="66">
        <v>0</v>
      </c>
      <c r="N44" s="66">
        <v>0.2</v>
      </c>
      <c r="O44" s="66">
        <v>0.5</v>
      </c>
      <c r="P44" s="66">
        <v>0</v>
      </c>
      <c r="Q44" s="66">
        <v>0</v>
      </c>
      <c r="R44" s="66">
        <v>0</v>
      </c>
      <c r="S44" s="66">
        <v>0</v>
      </c>
      <c r="T44" s="66">
        <v>1</v>
      </c>
      <c r="U44" s="66">
        <v>1</v>
      </c>
      <c r="V44" s="66">
        <v>0</v>
      </c>
      <c r="W44" s="66">
        <v>0</v>
      </c>
      <c r="X44" s="66">
        <v>0.5</v>
      </c>
      <c r="Y44" s="66">
        <v>0.5</v>
      </c>
      <c r="Z44" s="12" t="s">
        <v>283</v>
      </c>
      <c r="AA44" s="66">
        <v>0</v>
      </c>
      <c r="AB44" s="66">
        <v>0</v>
      </c>
      <c r="AC44" s="66">
        <v>0</v>
      </c>
      <c r="AD44" s="66">
        <v>0</v>
      </c>
      <c r="AE44" s="66">
        <v>0</v>
      </c>
      <c r="AF44" s="66">
        <v>0</v>
      </c>
      <c r="AG44" s="66">
        <v>0.33</v>
      </c>
      <c r="AH44" s="12" t="s">
        <v>224</v>
      </c>
      <c r="AI44" s="12" t="s">
        <v>224</v>
      </c>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12" t="s">
        <v>224</v>
      </c>
      <c r="BN44" s="12" t="s">
        <v>224</v>
      </c>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t="s">
        <v>224</v>
      </c>
      <c r="CT44" s="12" t="s">
        <v>224</v>
      </c>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35">
        <v>38</v>
      </c>
      <c r="DY44" s="35">
        <v>0</v>
      </c>
      <c r="DZ44" s="40">
        <v>1</v>
      </c>
      <c r="EA44" s="40">
        <v>0</v>
      </c>
      <c r="EB44" s="40">
        <v>0</v>
      </c>
      <c r="EC44" s="40">
        <v>0</v>
      </c>
      <c r="ED44" s="40">
        <v>1</v>
      </c>
      <c r="EE44" s="40">
        <v>1</v>
      </c>
      <c r="EF44" s="40">
        <v>0</v>
      </c>
      <c r="EG44" s="40">
        <v>0</v>
      </c>
      <c r="EH44" s="40">
        <v>0.5</v>
      </c>
      <c r="EI44" s="40">
        <v>0</v>
      </c>
      <c r="EJ44" s="40">
        <v>0.67</v>
      </c>
      <c r="EK44" s="40">
        <v>1</v>
      </c>
      <c r="EL44" s="40">
        <v>1</v>
      </c>
      <c r="EM44" s="40">
        <v>1</v>
      </c>
      <c r="EN44" s="40">
        <v>1</v>
      </c>
      <c r="EO44" s="40">
        <v>0.67</v>
      </c>
      <c r="EP44" s="40">
        <v>1</v>
      </c>
      <c r="EQ44" s="35" t="s">
        <v>283</v>
      </c>
      <c r="ER44" s="40">
        <v>1</v>
      </c>
      <c r="ES44" s="40">
        <v>0.67</v>
      </c>
      <c r="ET44" s="40">
        <v>0.67</v>
      </c>
      <c r="EU44" s="40">
        <v>1</v>
      </c>
      <c r="EV44" s="40">
        <v>0</v>
      </c>
      <c r="EW44" s="40">
        <v>1</v>
      </c>
      <c r="EX44" s="35" t="s">
        <v>283</v>
      </c>
      <c r="EY44" s="40">
        <v>0.67</v>
      </c>
      <c r="EZ44" s="40">
        <v>0</v>
      </c>
      <c r="FA44" s="40">
        <v>0.67</v>
      </c>
      <c r="FB44" s="652"/>
      <c r="FC44" s="652"/>
      <c r="FD44" s="652"/>
      <c r="FE44" s="652"/>
      <c r="FF44" s="652"/>
      <c r="FG44" s="652"/>
      <c r="FH44" s="652"/>
      <c r="FI44" s="652"/>
      <c r="FJ44" s="652"/>
      <c r="FK44" s="652"/>
      <c r="FL44" s="652"/>
      <c r="FM44" s="652"/>
      <c r="FN44" s="652"/>
      <c r="FO44" s="652"/>
      <c r="FP44" s="652"/>
      <c r="FQ44" s="652"/>
      <c r="FR44" s="652"/>
      <c r="FS44" s="652"/>
      <c r="FT44" s="652"/>
      <c r="FU44" s="652"/>
      <c r="FV44" s="652"/>
      <c r="FW44" s="652"/>
      <c r="FX44" s="652"/>
      <c r="FY44" s="652"/>
      <c r="FZ44" s="652"/>
      <c r="GA44" s="652"/>
      <c r="GB44" s="652"/>
      <c r="GC44" s="652"/>
      <c r="GD44" s="652"/>
      <c r="GE44" s="652"/>
      <c r="GF44" s="652"/>
      <c r="GG44" s="652"/>
      <c r="GH44" s="652"/>
      <c r="GI44" s="652"/>
      <c r="GJ44" s="655"/>
      <c r="GK44" s="655"/>
      <c r="GL44" s="655"/>
      <c r="GM44" s="655"/>
      <c r="GN44" s="655"/>
      <c r="GO44" s="655"/>
      <c r="GP44" s="655"/>
      <c r="GQ44" s="655"/>
      <c r="GR44" s="655"/>
      <c r="GS44" s="655"/>
      <c r="GT44" s="655"/>
      <c r="GU44" s="655"/>
      <c r="GV44" s="655"/>
      <c r="GW44" s="655"/>
      <c r="GX44" s="655"/>
      <c r="GY44" s="655"/>
      <c r="GZ44" s="655"/>
      <c r="HA44" s="655"/>
      <c r="HB44" s="655"/>
      <c r="HC44" s="655"/>
      <c r="HD44" s="655"/>
      <c r="HE44" s="655"/>
      <c r="HF44" s="655"/>
      <c r="HG44" s="655"/>
      <c r="HH44" s="655"/>
      <c r="HI44" s="655"/>
      <c r="HJ44" s="655"/>
      <c r="HK44" s="655"/>
      <c r="HL44" s="655"/>
      <c r="HM44" s="655"/>
      <c r="HN44" s="655"/>
      <c r="HO44" s="655"/>
      <c r="HP44" s="655"/>
      <c r="HQ44" s="655"/>
      <c r="HR44" s="657"/>
      <c r="HS44" s="657"/>
      <c r="HT44" s="657"/>
      <c r="HU44" s="657"/>
      <c r="HV44" s="657"/>
      <c r="HW44" s="657"/>
      <c r="HX44" s="657"/>
      <c r="HY44" s="657"/>
      <c r="HZ44" s="657"/>
      <c r="IA44" s="657"/>
      <c r="IB44" s="657"/>
      <c r="IC44" s="657"/>
      <c r="ID44" s="657"/>
      <c r="IE44" s="657"/>
      <c r="IF44" s="657"/>
      <c r="IG44" s="657"/>
      <c r="IH44" s="657"/>
      <c r="II44" s="657"/>
      <c r="IJ44" s="657"/>
      <c r="IK44" s="657"/>
      <c r="IL44" s="657"/>
      <c r="IM44" s="657"/>
      <c r="IN44" s="657"/>
      <c r="IO44" s="657"/>
      <c r="IP44" s="657"/>
      <c r="IQ44" s="657"/>
      <c r="IR44" s="657"/>
      <c r="IS44" s="657"/>
      <c r="IT44" s="657"/>
      <c r="IU44" s="657"/>
      <c r="IV44" s="657"/>
      <c r="IW44" s="657"/>
      <c r="IX44" s="657"/>
      <c r="IY44" s="657"/>
      <c r="IZ44" s="656"/>
      <c r="JA44" s="656"/>
      <c r="JB44" s="656"/>
      <c r="JC44" s="656"/>
      <c r="JD44" s="656"/>
      <c r="JE44" s="656"/>
      <c r="JF44" s="656"/>
      <c r="JG44" s="656"/>
      <c r="JH44" s="656"/>
      <c r="JI44" s="656"/>
      <c r="JJ44" s="656"/>
      <c r="JK44" s="656"/>
      <c r="JL44" s="656"/>
      <c r="JM44" s="656"/>
      <c r="JN44" s="656"/>
      <c r="JO44" s="656"/>
      <c r="JP44" s="656"/>
      <c r="JQ44" s="656"/>
      <c r="JR44" s="656"/>
      <c r="JS44" s="656"/>
      <c r="JT44" s="656"/>
      <c r="JU44" s="656"/>
      <c r="JV44" s="656"/>
      <c r="JW44" s="656"/>
      <c r="JX44" s="656"/>
      <c r="JY44" s="656"/>
      <c r="JZ44" s="656"/>
      <c r="KA44" s="656"/>
      <c r="KB44" s="656"/>
      <c r="KC44" s="656"/>
      <c r="KD44" s="656"/>
      <c r="KE44" s="656"/>
      <c r="KF44" s="656"/>
      <c r="KG44" s="656"/>
    </row>
    <row r="45" spans="1:293" ht="24.95" customHeight="1" x14ac:dyDescent="0.2">
      <c r="A45" s="126" t="s">
        <v>918</v>
      </c>
      <c r="B45" s="14" t="s">
        <v>221</v>
      </c>
      <c r="C45" s="2">
        <v>2</v>
      </c>
      <c r="D45" s="12"/>
      <c r="E45" s="12"/>
      <c r="F45" s="66"/>
      <c r="G45" s="66"/>
      <c r="H45" s="66"/>
      <c r="I45" s="66"/>
      <c r="J45" s="66"/>
      <c r="K45" s="66"/>
      <c r="L45" s="66"/>
      <c r="M45" s="66"/>
      <c r="N45" s="66"/>
      <c r="O45" s="66"/>
      <c r="P45" s="66"/>
      <c r="Q45" s="66"/>
      <c r="R45" s="66"/>
      <c r="S45" s="66"/>
      <c r="T45" s="66"/>
      <c r="U45" s="66"/>
      <c r="V45" s="66"/>
      <c r="W45" s="66"/>
      <c r="X45" s="66"/>
      <c r="Y45" s="66"/>
      <c r="Z45" s="12"/>
      <c r="AA45" s="66"/>
      <c r="AB45" s="66"/>
      <c r="AC45" s="66"/>
      <c r="AD45" s="66"/>
      <c r="AE45" s="66"/>
      <c r="AF45" s="66"/>
      <c r="AG45" s="66"/>
      <c r="AH45" s="12"/>
      <c r="AI45" s="12"/>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35"/>
      <c r="DY45" s="35"/>
      <c r="DZ45" s="40"/>
      <c r="EA45" s="40"/>
      <c r="EB45" s="40"/>
      <c r="EC45" s="40"/>
      <c r="ED45" s="40"/>
      <c r="EE45" s="40"/>
      <c r="EF45" s="40"/>
      <c r="EG45" s="40"/>
      <c r="EH45" s="40"/>
      <c r="EI45" s="40"/>
      <c r="EJ45" s="40"/>
      <c r="EK45" s="40"/>
      <c r="EL45" s="40"/>
      <c r="EM45" s="40"/>
      <c r="EN45" s="40"/>
      <c r="EO45" s="40"/>
      <c r="EP45" s="40"/>
      <c r="EQ45" s="35"/>
      <c r="ER45" s="40"/>
      <c r="ES45" s="40"/>
      <c r="ET45" s="40"/>
      <c r="EU45" s="40"/>
      <c r="EV45" s="40"/>
      <c r="EW45" s="40"/>
      <c r="EX45" s="35"/>
      <c r="EY45" s="40"/>
      <c r="EZ45" s="40"/>
      <c r="FA45" s="40"/>
      <c r="FB45" s="652"/>
      <c r="FC45" s="652"/>
      <c r="FD45" s="652"/>
      <c r="FE45" s="652"/>
      <c r="FF45" s="652"/>
      <c r="FG45" s="652"/>
      <c r="FH45" s="652"/>
      <c r="FI45" s="652"/>
      <c r="FJ45" s="652"/>
      <c r="FK45" s="652"/>
      <c r="FL45" s="652"/>
      <c r="FM45" s="652"/>
      <c r="FN45" s="652"/>
      <c r="FO45" s="652"/>
      <c r="FP45" s="652"/>
      <c r="FQ45" s="652"/>
      <c r="FR45" s="652"/>
      <c r="FS45" s="652"/>
      <c r="FT45" s="652"/>
      <c r="FU45" s="652"/>
      <c r="FV45" s="652"/>
      <c r="FW45" s="652"/>
      <c r="FX45" s="652"/>
      <c r="FY45" s="652"/>
      <c r="FZ45" s="652"/>
      <c r="GA45" s="652"/>
      <c r="GB45" s="652"/>
      <c r="GC45" s="652"/>
      <c r="GD45" s="652"/>
      <c r="GE45" s="652"/>
      <c r="GF45" s="652"/>
      <c r="GG45" s="652"/>
      <c r="GH45" s="652"/>
      <c r="GI45" s="652"/>
      <c r="GJ45" s="311">
        <v>59</v>
      </c>
      <c r="GK45" s="311" t="s">
        <v>875</v>
      </c>
      <c r="GL45" s="311">
        <v>8</v>
      </c>
      <c r="GM45" s="311" t="s">
        <v>874</v>
      </c>
      <c r="GN45" s="329">
        <v>0</v>
      </c>
      <c r="GO45" s="329">
        <v>0.33</v>
      </c>
      <c r="GP45" s="329">
        <v>0.67</v>
      </c>
      <c r="GQ45" s="329">
        <v>0</v>
      </c>
      <c r="GR45" s="329">
        <v>0.2</v>
      </c>
      <c r="GS45" s="329">
        <v>0.5</v>
      </c>
      <c r="GT45" s="329">
        <v>0.4</v>
      </c>
      <c r="GU45" s="329">
        <v>0</v>
      </c>
      <c r="GV45" s="329">
        <v>0.5</v>
      </c>
      <c r="GW45" s="329">
        <v>0</v>
      </c>
      <c r="GX45" s="329">
        <v>0.33</v>
      </c>
      <c r="GY45" s="311" t="s">
        <v>283</v>
      </c>
      <c r="GZ45" s="329">
        <v>0.2</v>
      </c>
      <c r="HA45" s="329">
        <v>0.67</v>
      </c>
      <c r="HB45" s="329">
        <v>0.18</v>
      </c>
      <c r="HC45" s="329">
        <v>0.33</v>
      </c>
      <c r="HD45" s="329">
        <v>0.3</v>
      </c>
      <c r="HE45" s="329">
        <v>0.43</v>
      </c>
      <c r="HF45" s="329">
        <v>0.23</v>
      </c>
      <c r="HG45" s="329">
        <v>0.55000000000000004</v>
      </c>
      <c r="HH45" s="329">
        <v>0.25</v>
      </c>
      <c r="HI45" s="329">
        <v>0.6</v>
      </c>
      <c r="HJ45" s="329">
        <v>0.55000000000000004</v>
      </c>
      <c r="HK45" s="329">
        <v>0.67</v>
      </c>
      <c r="HL45" s="329">
        <v>0</v>
      </c>
      <c r="HM45" s="329">
        <v>0.28999999999999998</v>
      </c>
      <c r="HN45" s="329">
        <v>0.38</v>
      </c>
      <c r="HO45" s="329">
        <v>0</v>
      </c>
      <c r="HP45" s="311" t="s">
        <v>283</v>
      </c>
      <c r="HQ45" s="329">
        <v>0.33</v>
      </c>
      <c r="HR45" s="426">
        <v>51</v>
      </c>
      <c r="HS45" s="426" t="s">
        <v>874</v>
      </c>
      <c r="HT45" s="426">
        <v>7</v>
      </c>
      <c r="HU45" s="426" t="s">
        <v>874</v>
      </c>
      <c r="HV45" s="430">
        <v>0.14000000000000001</v>
      </c>
      <c r="HW45" s="430">
        <v>0.56999999999999995</v>
      </c>
      <c r="HX45" s="430">
        <v>0.28999999999999998</v>
      </c>
      <c r="HY45" s="430">
        <v>0</v>
      </c>
      <c r="HZ45" s="430">
        <v>0.25</v>
      </c>
      <c r="IA45" s="430">
        <v>0.5</v>
      </c>
      <c r="IB45" s="430">
        <v>0.38</v>
      </c>
      <c r="IC45" s="430">
        <v>0.33</v>
      </c>
      <c r="ID45" s="430">
        <v>0.79</v>
      </c>
      <c r="IE45" s="430">
        <v>0.19</v>
      </c>
      <c r="IF45" s="430">
        <v>0.59</v>
      </c>
      <c r="IG45" s="430">
        <v>0.55000000000000004</v>
      </c>
      <c r="IH45" s="430">
        <v>0.38</v>
      </c>
      <c r="II45" s="430">
        <v>0.5</v>
      </c>
      <c r="IJ45" s="430">
        <v>0.26</v>
      </c>
      <c r="IK45" s="430">
        <v>0.64</v>
      </c>
      <c r="IL45" s="430">
        <v>0.13</v>
      </c>
      <c r="IM45" s="430">
        <v>0.69</v>
      </c>
      <c r="IN45" s="430">
        <v>0.45</v>
      </c>
      <c r="IO45" s="430">
        <v>0.63</v>
      </c>
      <c r="IP45" s="430">
        <v>0.2</v>
      </c>
      <c r="IQ45" s="430">
        <v>0.4</v>
      </c>
      <c r="IR45" s="430">
        <v>0.64</v>
      </c>
      <c r="IS45" s="430">
        <v>0.82</v>
      </c>
      <c r="IT45" s="430">
        <v>0.48</v>
      </c>
      <c r="IU45" s="426" t="s">
        <v>283</v>
      </c>
      <c r="IV45" s="430">
        <v>0.67</v>
      </c>
      <c r="IW45" s="430">
        <v>0.44</v>
      </c>
      <c r="IX45" s="430">
        <v>0.3</v>
      </c>
      <c r="IY45" s="430">
        <v>0.62</v>
      </c>
      <c r="IZ45" s="647"/>
      <c r="JA45" s="647"/>
      <c r="JB45" s="647"/>
      <c r="JC45" s="647"/>
      <c r="JD45" s="648"/>
      <c r="JE45" s="648"/>
      <c r="JF45" s="648"/>
      <c r="JG45" s="648"/>
      <c r="JH45" s="648"/>
      <c r="JI45" s="648"/>
      <c r="JJ45" s="648"/>
      <c r="JK45" s="648"/>
      <c r="JL45" s="648"/>
      <c r="JM45" s="648"/>
      <c r="JN45" s="648"/>
      <c r="JO45" s="648"/>
      <c r="JP45" s="648"/>
      <c r="JQ45" s="648"/>
      <c r="JR45" s="648"/>
      <c r="JS45" s="648"/>
      <c r="JT45" s="648"/>
      <c r="JU45" s="648"/>
      <c r="JV45" s="648"/>
      <c r="JW45" s="648"/>
      <c r="JX45" s="648"/>
      <c r="JY45" s="648"/>
      <c r="JZ45" s="647"/>
      <c r="KA45" s="648"/>
      <c r="KB45" s="648"/>
      <c r="KC45" s="648"/>
      <c r="KD45" s="648"/>
      <c r="KE45" s="648"/>
      <c r="KF45" s="648"/>
      <c r="KG45" s="648"/>
    </row>
    <row r="46" spans="1:293" ht="24.95" customHeight="1" x14ac:dyDescent="0.2">
      <c r="A46" s="126" t="s">
        <v>63</v>
      </c>
      <c r="B46" s="1" t="s">
        <v>221</v>
      </c>
      <c r="C46" s="2">
        <v>4</v>
      </c>
      <c r="D46" s="12">
        <v>51</v>
      </c>
      <c r="E46" s="12">
        <v>8</v>
      </c>
      <c r="F46" s="66">
        <v>0.1</v>
      </c>
      <c r="G46" s="66">
        <v>0.6</v>
      </c>
      <c r="H46" s="66">
        <v>0.3</v>
      </c>
      <c r="I46" s="66">
        <v>0</v>
      </c>
      <c r="J46" s="66">
        <v>0.5</v>
      </c>
      <c r="K46" s="66">
        <v>0.57999999999999996</v>
      </c>
      <c r="L46" s="66">
        <v>0.71</v>
      </c>
      <c r="M46" s="66">
        <v>0.38</v>
      </c>
      <c r="N46" s="66">
        <v>0.37</v>
      </c>
      <c r="O46" s="66">
        <v>0.67</v>
      </c>
      <c r="P46" s="66">
        <v>0.39</v>
      </c>
      <c r="Q46" s="66">
        <v>0.3</v>
      </c>
      <c r="R46" s="66">
        <v>0.52</v>
      </c>
      <c r="S46" s="66">
        <v>0.4</v>
      </c>
      <c r="T46" s="66">
        <v>0.21</v>
      </c>
      <c r="U46" s="66">
        <v>0.83</v>
      </c>
      <c r="V46" s="66">
        <v>0</v>
      </c>
      <c r="W46" s="66">
        <v>0.17</v>
      </c>
      <c r="X46" s="66">
        <v>0.56000000000000005</v>
      </c>
      <c r="Y46" s="66">
        <v>0.56000000000000005</v>
      </c>
      <c r="Z46" s="12" t="s">
        <v>283</v>
      </c>
      <c r="AA46" s="66">
        <v>0.21</v>
      </c>
      <c r="AB46" s="66">
        <v>0.54</v>
      </c>
      <c r="AC46" s="66">
        <v>0.5</v>
      </c>
      <c r="AD46" s="66">
        <v>0.46</v>
      </c>
      <c r="AE46" s="66">
        <v>0.46</v>
      </c>
      <c r="AF46" s="66">
        <v>0.5</v>
      </c>
      <c r="AG46" s="66">
        <v>0.56000000000000005</v>
      </c>
      <c r="AH46" s="12">
        <v>54</v>
      </c>
      <c r="AI46" s="12">
        <v>7</v>
      </c>
      <c r="AJ46" s="40">
        <v>0</v>
      </c>
      <c r="AK46" s="40">
        <v>0.6</v>
      </c>
      <c r="AL46" s="40">
        <v>0.4</v>
      </c>
      <c r="AM46" s="40">
        <v>0</v>
      </c>
      <c r="AN46" s="40">
        <v>0</v>
      </c>
      <c r="AO46" s="40">
        <v>0.19</v>
      </c>
      <c r="AP46" s="40">
        <v>0.2</v>
      </c>
      <c r="AQ46" s="40">
        <v>0.28999999999999998</v>
      </c>
      <c r="AR46" s="40">
        <v>1</v>
      </c>
      <c r="AS46" s="40">
        <v>0.45</v>
      </c>
      <c r="AT46" s="40">
        <v>0.89</v>
      </c>
      <c r="AU46" s="40">
        <v>0.64</v>
      </c>
      <c r="AV46" s="40">
        <v>0.67</v>
      </c>
      <c r="AW46" s="40">
        <v>0.75</v>
      </c>
      <c r="AX46" s="40">
        <v>0.5</v>
      </c>
      <c r="AY46" s="40">
        <v>0.35</v>
      </c>
      <c r="AZ46" s="40">
        <v>0.38</v>
      </c>
      <c r="BA46" s="40">
        <v>0.23</v>
      </c>
      <c r="BB46" s="40">
        <v>0.75</v>
      </c>
      <c r="BC46" s="40">
        <v>0.56000000000000005</v>
      </c>
      <c r="BD46" s="40">
        <v>0.64</v>
      </c>
      <c r="BE46" s="40">
        <v>0</v>
      </c>
      <c r="BF46" s="40">
        <v>1</v>
      </c>
      <c r="BG46" s="40">
        <v>0.22</v>
      </c>
      <c r="BH46" s="40">
        <v>0.39</v>
      </c>
      <c r="BI46" s="40">
        <v>0.36</v>
      </c>
      <c r="BJ46" s="40">
        <v>0.6</v>
      </c>
      <c r="BK46" s="40">
        <v>0.22</v>
      </c>
      <c r="BL46" s="40">
        <v>0.5</v>
      </c>
      <c r="BM46" s="12">
        <v>55</v>
      </c>
      <c r="BN46" s="12">
        <v>9</v>
      </c>
      <c r="BO46" s="66">
        <v>0.09</v>
      </c>
      <c r="BP46" s="66">
        <v>0.36</v>
      </c>
      <c r="BQ46" s="66">
        <v>0.55000000000000004</v>
      </c>
      <c r="BR46" s="66">
        <v>0</v>
      </c>
      <c r="BS46" s="66">
        <v>0.28000000000000003</v>
      </c>
      <c r="BT46" s="66">
        <v>0.5</v>
      </c>
      <c r="BU46" s="66">
        <v>0.64</v>
      </c>
      <c r="BV46" s="66">
        <v>0.5</v>
      </c>
      <c r="BW46" s="66">
        <v>0.6</v>
      </c>
      <c r="BX46" s="66">
        <v>0.36</v>
      </c>
      <c r="BY46" s="66">
        <v>0.36</v>
      </c>
      <c r="BZ46" s="66">
        <v>0.36</v>
      </c>
      <c r="CA46" s="66">
        <v>0.47</v>
      </c>
      <c r="CB46" s="66">
        <v>0.33</v>
      </c>
      <c r="CC46" s="66">
        <v>0.04</v>
      </c>
      <c r="CD46" s="66">
        <v>0.34</v>
      </c>
      <c r="CE46" s="66">
        <v>0.22</v>
      </c>
      <c r="CF46" s="66">
        <v>0.78</v>
      </c>
      <c r="CG46" s="66">
        <v>0.59</v>
      </c>
      <c r="CH46" s="66">
        <v>0.52</v>
      </c>
      <c r="CI46" s="66">
        <v>0.54</v>
      </c>
      <c r="CJ46" s="66">
        <v>0.14000000000000001</v>
      </c>
      <c r="CK46" s="66">
        <v>0.67</v>
      </c>
      <c r="CL46" s="66">
        <v>0.32</v>
      </c>
      <c r="CM46" s="66">
        <v>0.46</v>
      </c>
      <c r="CN46" s="66">
        <v>0.28999999999999998</v>
      </c>
      <c r="CO46" s="66">
        <v>0.44</v>
      </c>
      <c r="CP46" s="66">
        <v>0.19</v>
      </c>
      <c r="CQ46" s="66">
        <v>0.51</v>
      </c>
      <c r="CR46" s="66">
        <v>0.42</v>
      </c>
      <c r="CS46" s="12">
        <v>56</v>
      </c>
      <c r="CT46" s="12">
        <v>8</v>
      </c>
      <c r="CU46" s="63">
        <v>0</v>
      </c>
      <c r="CV46" s="63">
        <v>0.6</v>
      </c>
      <c r="CW46" s="63">
        <v>0.4</v>
      </c>
      <c r="CX46" s="63">
        <v>0</v>
      </c>
      <c r="CY46" s="63">
        <v>0.44</v>
      </c>
      <c r="CZ46" s="63">
        <v>0.2</v>
      </c>
      <c r="DA46" s="63">
        <v>0.44</v>
      </c>
      <c r="DB46" s="63">
        <v>0.22</v>
      </c>
      <c r="DC46" s="63">
        <v>0.18</v>
      </c>
      <c r="DD46" s="63">
        <v>0.67</v>
      </c>
      <c r="DE46" s="63">
        <v>0.36</v>
      </c>
      <c r="DF46" s="63">
        <v>0.62</v>
      </c>
      <c r="DG46" s="63">
        <v>0.28000000000000003</v>
      </c>
      <c r="DH46" s="63">
        <v>0.19</v>
      </c>
      <c r="DI46" s="63">
        <v>0.33</v>
      </c>
      <c r="DJ46" s="63">
        <v>0.46</v>
      </c>
      <c r="DK46" s="63">
        <v>0.21</v>
      </c>
      <c r="DL46" s="63">
        <v>0.2</v>
      </c>
      <c r="DM46" s="63">
        <v>0.44</v>
      </c>
      <c r="DN46" s="63">
        <v>0.28999999999999998</v>
      </c>
      <c r="DO46" s="63">
        <v>0.15</v>
      </c>
      <c r="DP46" s="63">
        <v>0.23</v>
      </c>
      <c r="DQ46" s="63">
        <v>0.44</v>
      </c>
      <c r="DR46" s="63">
        <v>0.05</v>
      </c>
      <c r="DS46" s="63">
        <v>0.3</v>
      </c>
      <c r="DT46" s="63">
        <v>0.35</v>
      </c>
      <c r="DU46" s="63">
        <v>0.13</v>
      </c>
      <c r="DV46" s="63">
        <v>0.72</v>
      </c>
      <c r="DW46" s="63">
        <v>0.28000000000000003</v>
      </c>
      <c r="DX46" s="35">
        <v>46</v>
      </c>
      <c r="DY46" s="35">
        <v>9</v>
      </c>
      <c r="DZ46" s="40">
        <v>0.23</v>
      </c>
      <c r="EA46" s="40">
        <v>0.62</v>
      </c>
      <c r="EB46" s="40">
        <v>0.15</v>
      </c>
      <c r="EC46" s="40">
        <v>0</v>
      </c>
      <c r="ED46" s="40">
        <v>0.56000000000000005</v>
      </c>
      <c r="EE46" s="40">
        <v>0.55000000000000004</v>
      </c>
      <c r="EF46" s="40">
        <v>0.53</v>
      </c>
      <c r="EG46" s="40">
        <v>0.14000000000000001</v>
      </c>
      <c r="EH46" s="40">
        <v>0.48</v>
      </c>
      <c r="EI46" s="40">
        <v>0.63</v>
      </c>
      <c r="EJ46" s="40">
        <v>0.77</v>
      </c>
      <c r="EK46" s="40">
        <v>0.17</v>
      </c>
      <c r="EL46" s="40">
        <v>0.65</v>
      </c>
      <c r="EM46" s="40">
        <v>0.71</v>
      </c>
      <c r="EN46" s="40">
        <v>0.5</v>
      </c>
      <c r="EO46" s="40">
        <v>0.69</v>
      </c>
      <c r="EP46" s="40">
        <v>0.33</v>
      </c>
      <c r="EQ46" s="40">
        <v>0.42</v>
      </c>
      <c r="ER46" s="40">
        <v>0.67</v>
      </c>
      <c r="ES46" s="40">
        <v>0.41</v>
      </c>
      <c r="ET46" s="40">
        <v>0.53</v>
      </c>
      <c r="EU46" s="40">
        <v>0.67</v>
      </c>
      <c r="EV46" s="40">
        <v>0.25</v>
      </c>
      <c r="EW46" s="40">
        <v>0.55000000000000004</v>
      </c>
      <c r="EX46" s="40">
        <v>1</v>
      </c>
      <c r="EY46" s="40">
        <v>0.64</v>
      </c>
      <c r="EZ46" s="40">
        <v>0.67</v>
      </c>
      <c r="FA46" s="40">
        <v>0.64</v>
      </c>
      <c r="FB46" s="653">
        <v>49</v>
      </c>
      <c r="FC46" s="653" t="s">
        <v>874</v>
      </c>
      <c r="FD46" s="653">
        <v>9</v>
      </c>
      <c r="FE46" s="653" t="s">
        <v>874</v>
      </c>
      <c r="FF46" s="654">
        <v>0.19</v>
      </c>
      <c r="FG46" s="654">
        <v>0.52</v>
      </c>
      <c r="FH46" s="654">
        <v>0.28999999999999998</v>
      </c>
      <c r="FI46" s="654">
        <v>0</v>
      </c>
      <c r="FJ46" s="654">
        <v>0.55000000000000004</v>
      </c>
      <c r="FK46" s="654">
        <v>0.68</v>
      </c>
      <c r="FL46" s="654">
        <v>0.42</v>
      </c>
      <c r="FM46" s="654">
        <v>0.5</v>
      </c>
      <c r="FN46" s="654">
        <v>0.27</v>
      </c>
      <c r="FO46" s="654">
        <v>0.26</v>
      </c>
      <c r="FP46" s="654">
        <v>0.5</v>
      </c>
      <c r="FQ46" s="654">
        <v>0.41</v>
      </c>
      <c r="FR46" s="654">
        <v>0.6</v>
      </c>
      <c r="FS46" s="654">
        <v>0.48</v>
      </c>
      <c r="FT46" s="654">
        <v>0.5</v>
      </c>
      <c r="FU46" s="654">
        <v>0.5</v>
      </c>
      <c r="FV46" s="654">
        <v>0.56999999999999995</v>
      </c>
      <c r="FW46" s="654">
        <v>0.55000000000000004</v>
      </c>
      <c r="FX46" s="654">
        <v>0.39</v>
      </c>
      <c r="FY46" s="654">
        <v>0.38</v>
      </c>
      <c r="FZ46" s="654">
        <v>0.33</v>
      </c>
      <c r="GA46" s="654">
        <v>0.52</v>
      </c>
      <c r="GB46" s="654">
        <v>0.59</v>
      </c>
      <c r="GC46" s="654">
        <v>0.43</v>
      </c>
      <c r="GD46" s="654">
        <v>0.71</v>
      </c>
      <c r="GE46" s="654">
        <v>0.56999999999999995</v>
      </c>
      <c r="GF46" s="654">
        <v>0.37</v>
      </c>
      <c r="GG46" s="654">
        <v>0.38</v>
      </c>
      <c r="GH46" s="654">
        <v>0.6</v>
      </c>
      <c r="GI46" s="654">
        <v>0.33</v>
      </c>
      <c r="GJ46" s="74">
        <v>50</v>
      </c>
      <c r="GK46" s="74" t="s">
        <v>874</v>
      </c>
      <c r="GL46" s="74">
        <v>7</v>
      </c>
      <c r="GM46" s="74" t="s">
        <v>874</v>
      </c>
      <c r="GN46" s="96">
        <v>0.08</v>
      </c>
      <c r="GO46" s="96">
        <v>0.72</v>
      </c>
      <c r="GP46" s="96">
        <v>0.2</v>
      </c>
      <c r="GQ46" s="96">
        <v>0</v>
      </c>
      <c r="GR46" s="96">
        <v>0.49</v>
      </c>
      <c r="GS46" s="96">
        <v>0.66</v>
      </c>
      <c r="GT46" s="96">
        <v>0.56999999999999995</v>
      </c>
      <c r="GU46" s="96">
        <v>0.31</v>
      </c>
      <c r="GV46" s="96">
        <v>0.66</v>
      </c>
      <c r="GW46" s="96">
        <v>0.42</v>
      </c>
      <c r="GX46" s="96">
        <v>0.46</v>
      </c>
      <c r="GY46" s="74" t="s">
        <v>283</v>
      </c>
      <c r="GZ46" s="96">
        <v>0.32</v>
      </c>
      <c r="HA46" s="96">
        <v>0.6</v>
      </c>
      <c r="HB46" s="96">
        <v>0.52</v>
      </c>
      <c r="HC46" s="96">
        <v>0.46</v>
      </c>
      <c r="HD46" s="96">
        <v>0.62</v>
      </c>
      <c r="HE46" s="96">
        <v>0.38</v>
      </c>
      <c r="HF46" s="96">
        <v>0.56000000000000005</v>
      </c>
      <c r="HG46" s="96">
        <v>0.55000000000000004</v>
      </c>
      <c r="HH46" s="96">
        <v>0.38</v>
      </c>
      <c r="HI46" s="96">
        <v>0.68</v>
      </c>
      <c r="HJ46" s="96">
        <v>0.63</v>
      </c>
      <c r="HK46" s="96">
        <v>0.34</v>
      </c>
      <c r="HL46" s="96">
        <v>0.36</v>
      </c>
      <c r="HM46" s="96">
        <v>0.59</v>
      </c>
      <c r="HN46" s="96">
        <v>0.47</v>
      </c>
      <c r="HO46" s="96">
        <v>0.41</v>
      </c>
      <c r="HP46" s="74" t="s">
        <v>283</v>
      </c>
      <c r="HQ46" s="96">
        <v>0.43</v>
      </c>
      <c r="HR46" s="658">
        <v>51</v>
      </c>
      <c r="HS46" s="658" t="s">
        <v>874</v>
      </c>
      <c r="HT46" s="658">
        <v>8</v>
      </c>
      <c r="HU46" s="658" t="s">
        <v>874</v>
      </c>
      <c r="HV46" s="659">
        <v>0.11</v>
      </c>
      <c r="HW46" s="659">
        <v>0.61</v>
      </c>
      <c r="HX46" s="659">
        <v>0.28000000000000003</v>
      </c>
      <c r="HY46" s="659">
        <v>0</v>
      </c>
      <c r="HZ46" s="659">
        <v>0.27</v>
      </c>
      <c r="IA46" s="659">
        <v>0.49</v>
      </c>
      <c r="IB46" s="659">
        <v>0.13</v>
      </c>
      <c r="IC46" s="659">
        <v>0.47</v>
      </c>
      <c r="ID46" s="659">
        <v>0.61</v>
      </c>
      <c r="IE46" s="659">
        <v>0.36</v>
      </c>
      <c r="IF46" s="659">
        <v>0.49</v>
      </c>
      <c r="IG46" s="659">
        <v>0.55000000000000004</v>
      </c>
      <c r="IH46" s="659">
        <v>0.65</v>
      </c>
      <c r="II46" s="659">
        <v>0.56999999999999995</v>
      </c>
      <c r="IJ46" s="659">
        <v>0.24</v>
      </c>
      <c r="IK46" s="659">
        <v>0.66</v>
      </c>
      <c r="IL46" s="659">
        <v>0.21</v>
      </c>
      <c r="IM46" s="659">
        <v>0.64</v>
      </c>
      <c r="IN46" s="659">
        <v>0.41</v>
      </c>
      <c r="IO46" s="659">
        <v>0.53</v>
      </c>
      <c r="IP46" s="659">
        <v>0.48</v>
      </c>
      <c r="IQ46" s="659">
        <v>0.72</v>
      </c>
      <c r="IR46" s="659">
        <v>0.44</v>
      </c>
      <c r="IS46" s="659">
        <v>0.39</v>
      </c>
      <c r="IT46" s="659">
        <v>0.44</v>
      </c>
      <c r="IU46" s="658" t="s">
        <v>283</v>
      </c>
      <c r="IV46" s="659">
        <v>0.74</v>
      </c>
      <c r="IW46" s="659">
        <v>0.49</v>
      </c>
      <c r="IX46" s="659">
        <v>0.52</v>
      </c>
      <c r="IY46" s="659">
        <v>0.55000000000000004</v>
      </c>
      <c r="IZ46" s="74">
        <v>46</v>
      </c>
      <c r="JA46" s="74" t="s">
        <v>874</v>
      </c>
      <c r="JB46" s="74">
        <v>9</v>
      </c>
      <c r="JC46" s="74" t="s">
        <v>874</v>
      </c>
      <c r="JD46" s="96">
        <v>0.23</v>
      </c>
      <c r="JE46" s="96">
        <v>0.65</v>
      </c>
      <c r="JF46" s="96">
        <v>0.1</v>
      </c>
      <c r="JG46" s="96">
        <v>0.03</v>
      </c>
      <c r="JH46" s="96">
        <v>0.55000000000000004</v>
      </c>
      <c r="JI46" s="96">
        <v>0.59</v>
      </c>
      <c r="JJ46" s="96">
        <v>0.57999999999999996</v>
      </c>
      <c r="JK46" s="96">
        <v>0.52</v>
      </c>
      <c r="JL46" s="96">
        <v>0.6</v>
      </c>
      <c r="JM46" s="96">
        <v>0.68</v>
      </c>
      <c r="JN46" s="96">
        <v>0.44</v>
      </c>
      <c r="JO46" s="96">
        <v>0.6</v>
      </c>
      <c r="JP46" s="96">
        <v>0.6</v>
      </c>
      <c r="JQ46" s="96">
        <v>0.45</v>
      </c>
      <c r="JR46" s="96">
        <v>0.7</v>
      </c>
      <c r="JS46" s="96">
        <v>0.73</v>
      </c>
      <c r="JT46" s="96">
        <v>0.65</v>
      </c>
      <c r="JU46" s="96">
        <v>0.75</v>
      </c>
      <c r="JV46" s="96">
        <v>0.63</v>
      </c>
      <c r="JW46" s="96">
        <v>0.56000000000000005</v>
      </c>
      <c r="JX46" s="96">
        <v>0.48</v>
      </c>
      <c r="JY46" s="96">
        <v>0.55000000000000004</v>
      </c>
      <c r="JZ46" s="96">
        <v>0.55000000000000004</v>
      </c>
      <c r="KA46" s="96">
        <v>0.71</v>
      </c>
      <c r="KB46" s="96">
        <v>0.6</v>
      </c>
      <c r="KC46" s="96">
        <v>0.76</v>
      </c>
      <c r="KD46" s="96">
        <v>0.44</v>
      </c>
      <c r="KE46" s="96">
        <v>0.64</v>
      </c>
      <c r="KF46" s="96">
        <v>0.49</v>
      </c>
      <c r="KG46" s="96">
        <v>0.59</v>
      </c>
    </row>
    <row r="47" spans="1:293" ht="24.95" customHeight="1" x14ac:dyDescent="0.2">
      <c r="A47" s="560" t="s">
        <v>44</v>
      </c>
      <c r="B47" s="1" t="s">
        <v>221</v>
      </c>
      <c r="C47" s="311">
        <v>1</v>
      </c>
      <c r="D47" s="330">
        <v>49</v>
      </c>
      <c r="E47" s="330">
        <v>8</v>
      </c>
      <c r="F47" s="335">
        <v>0.2</v>
      </c>
      <c r="G47" s="335">
        <v>0.6</v>
      </c>
      <c r="H47" s="335">
        <v>0.2</v>
      </c>
      <c r="I47" s="335">
        <v>0</v>
      </c>
      <c r="J47" s="335">
        <v>0.57999999999999996</v>
      </c>
      <c r="K47" s="335">
        <v>0.6</v>
      </c>
      <c r="L47" s="335">
        <v>0.79</v>
      </c>
      <c r="M47" s="335">
        <v>0.28999999999999998</v>
      </c>
      <c r="N47" s="335">
        <v>0.39</v>
      </c>
      <c r="O47" s="335">
        <v>0.78</v>
      </c>
      <c r="P47" s="335">
        <v>0.38</v>
      </c>
      <c r="Q47" s="335">
        <v>0.49</v>
      </c>
      <c r="R47" s="335">
        <v>0.61</v>
      </c>
      <c r="S47" s="335">
        <v>0.72</v>
      </c>
      <c r="T47" s="335">
        <v>0.46</v>
      </c>
      <c r="U47" s="335">
        <v>0.65</v>
      </c>
      <c r="V47" s="335">
        <v>0.13</v>
      </c>
      <c r="W47" s="335">
        <v>0.06</v>
      </c>
      <c r="X47" s="335">
        <v>0.49</v>
      </c>
      <c r="Y47" s="335">
        <v>0.6</v>
      </c>
      <c r="Z47" s="330" t="s">
        <v>283</v>
      </c>
      <c r="AA47" s="335">
        <v>0.27</v>
      </c>
      <c r="AB47" s="335">
        <v>0.53</v>
      </c>
      <c r="AC47" s="335">
        <v>0.3</v>
      </c>
      <c r="AD47" s="335">
        <v>0.6</v>
      </c>
      <c r="AE47" s="335">
        <v>0.5</v>
      </c>
      <c r="AF47" s="335">
        <v>0.75</v>
      </c>
      <c r="AG47" s="335">
        <v>0.56000000000000005</v>
      </c>
      <c r="AH47" s="330" t="s">
        <v>224</v>
      </c>
      <c r="AI47" s="330" t="s">
        <v>224</v>
      </c>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0" t="s">
        <v>224</v>
      </c>
      <c r="BN47" s="330" t="s">
        <v>224</v>
      </c>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t="s">
        <v>224</v>
      </c>
      <c r="CT47" s="330" t="s">
        <v>224</v>
      </c>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3"/>
      <c r="DY47" s="31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GJ47" s="655"/>
      <c r="GK47" s="655"/>
      <c r="GL47" s="655"/>
      <c r="GM47" s="655"/>
      <c r="GN47" s="655"/>
      <c r="GO47" s="655"/>
      <c r="GP47" s="655"/>
      <c r="GQ47" s="655"/>
      <c r="GR47" s="655"/>
      <c r="GS47" s="655"/>
      <c r="GT47" s="655"/>
      <c r="GU47" s="655"/>
      <c r="GV47" s="655"/>
      <c r="GW47" s="655"/>
      <c r="GX47" s="655"/>
      <c r="GY47" s="655"/>
      <c r="GZ47" s="655"/>
      <c r="HA47" s="655"/>
      <c r="HB47" s="655"/>
      <c r="HC47" s="655"/>
      <c r="HD47" s="655"/>
      <c r="HE47" s="655"/>
      <c r="HF47" s="655"/>
      <c r="HG47" s="655"/>
      <c r="HH47" s="655"/>
      <c r="HI47" s="655"/>
      <c r="HJ47" s="655"/>
      <c r="HK47" s="655"/>
      <c r="HL47" s="655"/>
      <c r="HM47" s="655"/>
      <c r="HN47" s="655"/>
      <c r="HO47" s="655"/>
      <c r="HP47" s="655"/>
      <c r="HQ47" s="655"/>
      <c r="HR47" s="657"/>
      <c r="HS47" s="657"/>
      <c r="HT47" s="657"/>
      <c r="HU47" s="657"/>
      <c r="HV47" s="657"/>
      <c r="HW47" s="657"/>
      <c r="HX47" s="657"/>
      <c r="HY47" s="657"/>
      <c r="HZ47" s="657"/>
      <c r="IA47" s="657"/>
      <c r="IB47" s="657"/>
      <c r="IC47" s="657"/>
      <c r="ID47" s="657"/>
      <c r="IE47" s="657"/>
      <c r="IF47" s="657"/>
      <c r="IG47" s="657"/>
      <c r="IH47" s="657"/>
      <c r="II47" s="657"/>
      <c r="IJ47" s="657"/>
      <c r="IK47" s="657"/>
      <c r="IL47" s="657"/>
      <c r="IM47" s="657"/>
      <c r="IN47" s="657"/>
      <c r="IO47" s="657"/>
      <c r="IP47" s="657"/>
      <c r="IQ47" s="657"/>
      <c r="IR47" s="657"/>
      <c r="IS47" s="657"/>
      <c r="IT47" s="657"/>
      <c r="IU47" s="657"/>
      <c r="IV47" s="657"/>
      <c r="IW47" s="657"/>
      <c r="IX47" s="657"/>
      <c r="IY47" s="657"/>
      <c r="IZ47" s="657"/>
      <c r="JA47" s="657"/>
      <c r="JB47" s="657"/>
      <c r="JC47" s="657"/>
      <c r="JD47" s="657"/>
      <c r="JE47" s="657"/>
      <c r="JF47" s="657"/>
      <c r="JG47" s="657"/>
      <c r="JH47" s="657"/>
      <c r="JI47" s="657"/>
      <c r="JJ47" s="657"/>
      <c r="JK47" s="657"/>
      <c r="JL47" s="657"/>
      <c r="JM47" s="657"/>
      <c r="JN47" s="657"/>
      <c r="JO47" s="657"/>
      <c r="JP47" s="657"/>
      <c r="JQ47" s="657"/>
      <c r="JR47" s="657"/>
      <c r="JS47" s="657"/>
      <c r="JT47" s="657"/>
      <c r="JU47" s="657"/>
      <c r="JV47" s="657"/>
      <c r="JW47" s="657"/>
      <c r="JX47" s="657"/>
      <c r="JY47" s="657"/>
      <c r="JZ47" s="657"/>
      <c r="KA47" s="657"/>
      <c r="KB47" s="657"/>
      <c r="KC47" s="657"/>
      <c r="KD47" s="657"/>
      <c r="KE47" s="657"/>
      <c r="KF47" s="657"/>
      <c r="KG47" s="657"/>
    </row>
    <row r="48" spans="1:293" ht="24.95" customHeight="1" x14ac:dyDescent="0.2">
      <c r="A48" s="126" t="s">
        <v>69</v>
      </c>
      <c r="B48" s="1" t="s">
        <v>221</v>
      </c>
      <c r="C48" s="2">
        <v>2</v>
      </c>
      <c r="D48" s="12">
        <v>48</v>
      </c>
      <c r="E48" s="12">
        <v>7</v>
      </c>
      <c r="F48" s="66">
        <v>0.17</v>
      </c>
      <c r="G48" s="66">
        <v>0.75</v>
      </c>
      <c r="H48" s="66">
        <v>0.08</v>
      </c>
      <c r="I48" s="66">
        <v>0</v>
      </c>
      <c r="J48" s="66">
        <v>0.75</v>
      </c>
      <c r="K48" s="66">
        <v>0.5</v>
      </c>
      <c r="L48" s="66">
        <v>0.79</v>
      </c>
      <c r="M48" s="66">
        <v>0.5</v>
      </c>
      <c r="N48" s="66">
        <v>0.33</v>
      </c>
      <c r="O48" s="66">
        <v>0.78</v>
      </c>
      <c r="P48" s="66">
        <v>0.46</v>
      </c>
      <c r="Q48" s="66">
        <v>0.48</v>
      </c>
      <c r="R48" s="66">
        <v>0.67</v>
      </c>
      <c r="S48" s="66">
        <v>0.57999999999999996</v>
      </c>
      <c r="T48" s="66">
        <v>0.33</v>
      </c>
      <c r="U48" s="66">
        <v>0.83</v>
      </c>
      <c r="V48" s="66">
        <v>0.33</v>
      </c>
      <c r="W48" s="66">
        <v>0.33</v>
      </c>
      <c r="X48" s="66">
        <v>0.67</v>
      </c>
      <c r="Y48" s="66">
        <v>0.67</v>
      </c>
      <c r="Z48" s="12" t="s">
        <v>283</v>
      </c>
      <c r="AA48" s="66">
        <v>0.08</v>
      </c>
      <c r="AB48" s="66">
        <v>0.64</v>
      </c>
      <c r="AC48" s="66">
        <v>0.33</v>
      </c>
      <c r="AD48" s="66">
        <v>0.57999999999999996</v>
      </c>
      <c r="AE48" s="66">
        <v>0.57999999999999996</v>
      </c>
      <c r="AF48" s="66">
        <v>0.46</v>
      </c>
      <c r="AG48" s="66">
        <v>0.57999999999999996</v>
      </c>
      <c r="AH48" s="12" t="s">
        <v>224</v>
      </c>
      <c r="AI48" s="12" t="s">
        <v>224</v>
      </c>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12">
        <v>44</v>
      </c>
      <c r="BN48" s="12">
        <v>5</v>
      </c>
      <c r="BO48" s="66">
        <v>0.28999999999999998</v>
      </c>
      <c r="BP48" s="66">
        <v>0.71</v>
      </c>
      <c r="BQ48" s="66">
        <v>0</v>
      </c>
      <c r="BR48" s="66">
        <v>0</v>
      </c>
      <c r="BS48" s="66">
        <v>0.6</v>
      </c>
      <c r="BT48" s="66">
        <v>0.75</v>
      </c>
      <c r="BU48" s="66">
        <v>0.5</v>
      </c>
      <c r="BV48" s="66">
        <v>0.25</v>
      </c>
      <c r="BW48" s="66">
        <v>0.92</v>
      </c>
      <c r="BX48" s="66">
        <v>0.6</v>
      </c>
      <c r="BY48" s="66">
        <v>0.56999999999999995</v>
      </c>
      <c r="BZ48" s="66">
        <v>0.73</v>
      </c>
      <c r="CA48" s="66">
        <v>0.25</v>
      </c>
      <c r="CB48" s="66">
        <v>0.75</v>
      </c>
      <c r="CC48" s="66">
        <v>0.33</v>
      </c>
      <c r="CD48" s="66">
        <v>0.69</v>
      </c>
      <c r="CE48" s="66">
        <v>0.43</v>
      </c>
      <c r="CF48" s="66">
        <v>0.33</v>
      </c>
      <c r="CG48" s="66">
        <v>0.7</v>
      </c>
      <c r="CH48" s="66">
        <v>0.68</v>
      </c>
      <c r="CI48" s="66">
        <v>0.72</v>
      </c>
      <c r="CJ48" s="66">
        <v>0.83</v>
      </c>
      <c r="CK48" s="66">
        <v>0.77</v>
      </c>
      <c r="CL48" s="66">
        <v>0.43</v>
      </c>
      <c r="CM48" s="66">
        <v>0.5</v>
      </c>
      <c r="CN48" s="66">
        <v>0.7</v>
      </c>
      <c r="CO48" s="66">
        <v>0.5</v>
      </c>
      <c r="CP48" s="66">
        <v>0.23</v>
      </c>
      <c r="CQ48" s="66">
        <v>0.57999999999999996</v>
      </c>
      <c r="CR48" s="66">
        <v>0.79</v>
      </c>
      <c r="CS48" s="12">
        <v>48</v>
      </c>
      <c r="CT48" s="12">
        <v>6</v>
      </c>
      <c r="CU48" s="63">
        <v>0.08</v>
      </c>
      <c r="CV48" s="63">
        <v>0.77</v>
      </c>
      <c r="CW48" s="63">
        <v>0.15</v>
      </c>
      <c r="CX48" s="63">
        <v>0</v>
      </c>
      <c r="CY48" s="63">
        <v>0.53</v>
      </c>
      <c r="CZ48" s="63">
        <v>0.25</v>
      </c>
      <c r="DA48" s="63">
        <v>0.67</v>
      </c>
      <c r="DB48" s="63">
        <v>0.48</v>
      </c>
      <c r="DC48" s="63">
        <v>0.48</v>
      </c>
      <c r="DD48" s="63">
        <v>0.6</v>
      </c>
      <c r="DE48" s="63">
        <v>0.46</v>
      </c>
      <c r="DF48" s="63">
        <v>0.48</v>
      </c>
      <c r="DG48" s="63">
        <v>0.39</v>
      </c>
      <c r="DH48" s="63">
        <v>0.42</v>
      </c>
      <c r="DI48" s="63">
        <v>0.48</v>
      </c>
      <c r="DJ48" s="63">
        <v>0.72</v>
      </c>
      <c r="DK48" s="63">
        <v>0.52</v>
      </c>
      <c r="DL48" s="63">
        <v>0</v>
      </c>
      <c r="DM48" s="63">
        <v>0.68</v>
      </c>
      <c r="DN48" s="63">
        <v>0.52</v>
      </c>
      <c r="DO48" s="63">
        <v>0.31</v>
      </c>
      <c r="DP48" s="63">
        <v>0.52</v>
      </c>
      <c r="DQ48" s="63">
        <v>0.56000000000000005</v>
      </c>
      <c r="DR48" s="63">
        <v>0.21</v>
      </c>
      <c r="DS48" s="63">
        <v>0.46</v>
      </c>
      <c r="DT48" s="63">
        <v>0.78</v>
      </c>
      <c r="DU48" s="63">
        <v>0.5</v>
      </c>
      <c r="DV48" s="63">
        <v>0.48</v>
      </c>
      <c r="DW48" s="63">
        <v>0.18</v>
      </c>
      <c r="DX48" s="35">
        <v>51</v>
      </c>
      <c r="DY48" s="35">
        <v>5</v>
      </c>
      <c r="DZ48" s="40">
        <v>0</v>
      </c>
      <c r="EA48" s="40">
        <v>0.83</v>
      </c>
      <c r="EB48" s="40">
        <v>0.17</v>
      </c>
      <c r="EC48" s="40">
        <v>0</v>
      </c>
      <c r="ED48" s="40">
        <v>0.42</v>
      </c>
      <c r="EE48" s="40">
        <v>0.44</v>
      </c>
      <c r="EF48" s="40">
        <v>0.5</v>
      </c>
      <c r="EG48" s="40">
        <v>0.33</v>
      </c>
      <c r="EH48" s="40">
        <v>0.4</v>
      </c>
      <c r="EI48" s="40">
        <v>0.33</v>
      </c>
      <c r="EJ48" s="40">
        <v>0.64</v>
      </c>
      <c r="EK48" s="40">
        <v>0.2</v>
      </c>
      <c r="EL48" s="40">
        <v>0.42</v>
      </c>
      <c r="EM48" s="40">
        <v>0.86</v>
      </c>
      <c r="EN48" s="40">
        <v>0.54</v>
      </c>
      <c r="EO48" s="40">
        <v>0.47</v>
      </c>
      <c r="EP48" s="40">
        <v>0.36</v>
      </c>
      <c r="EQ48" s="40">
        <v>0.17</v>
      </c>
      <c r="ER48" s="40">
        <v>0.45</v>
      </c>
      <c r="ES48" s="40">
        <v>0.3</v>
      </c>
      <c r="ET48" s="40">
        <v>0.56999999999999995</v>
      </c>
      <c r="EU48" s="40">
        <v>0.6</v>
      </c>
      <c r="EV48" s="40">
        <v>0.25</v>
      </c>
      <c r="EW48" s="40">
        <v>0.11</v>
      </c>
      <c r="EX48" s="40">
        <v>0.33</v>
      </c>
      <c r="EY48" s="40">
        <v>0.56999999999999995</v>
      </c>
      <c r="EZ48" s="40">
        <v>0</v>
      </c>
      <c r="FA48" s="40">
        <v>0.67</v>
      </c>
      <c r="FB48" s="247">
        <v>46</v>
      </c>
      <c r="FC48" s="247" t="s">
        <v>874</v>
      </c>
      <c r="FD48" s="247">
        <v>10</v>
      </c>
      <c r="FE48" s="247" t="s">
        <v>874</v>
      </c>
      <c r="FF48" s="264">
        <v>0.33</v>
      </c>
      <c r="FG48" s="264">
        <v>0.5</v>
      </c>
      <c r="FH48" s="264">
        <v>0.17</v>
      </c>
      <c r="FI48" s="264">
        <v>0</v>
      </c>
      <c r="FJ48" s="264">
        <v>0.57999999999999996</v>
      </c>
      <c r="FK48" s="264">
        <v>0.61</v>
      </c>
      <c r="FL48" s="264">
        <v>0.6</v>
      </c>
      <c r="FM48" s="264">
        <v>0.64</v>
      </c>
      <c r="FN48" s="264">
        <v>0.38</v>
      </c>
      <c r="FO48" s="264">
        <v>0.33</v>
      </c>
      <c r="FP48" s="264">
        <v>0.41</v>
      </c>
      <c r="FQ48" s="264">
        <v>0.33</v>
      </c>
      <c r="FR48" s="264">
        <v>0.64</v>
      </c>
      <c r="FS48" s="264">
        <v>0.65</v>
      </c>
      <c r="FT48" s="264">
        <v>0.5</v>
      </c>
      <c r="FU48" s="264">
        <v>0.5</v>
      </c>
      <c r="FV48" s="264">
        <v>0.59</v>
      </c>
      <c r="FW48" s="264">
        <v>0.54</v>
      </c>
      <c r="FX48" s="264">
        <v>0.61</v>
      </c>
      <c r="FY48" s="264">
        <v>0.52</v>
      </c>
      <c r="FZ48" s="264">
        <v>0.59</v>
      </c>
      <c r="GA48" s="264">
        <v>0.44</v>
      </c>
      <c r="GB48" s="264">
        <v>0.64</v>
      </c>
      <c r="GC48" s="264">
        <v>0.59</v>
      </c>
      <c r="GD48" s="264">
        <v>0.61</v>
      </c>
      <c r="GE48" s="264">
        <v>0.48</v>
      </c>
      <c r="GF48" s="264">
        <v>0.42</v>
      </c>
      <c r="GG48" s="264">
        <v>0.55000000000000004</v>
      </c>
      <c r="GH48" s="264">
        <v>0.79</v>
      </c>
      <c r="GI48" s="264">
        <v>0.45</v>
      </c>
      <c r="GJ48" s="655"/>
      <c r="GK48" s="655"/>
      <c r="GL48" s="655"/>
      <c r="GM48" s="655"/>
      <c r="GN48" s="655"/>
      <c r="GO48" s="655"/>
      <c r="GP48" s="655"/>
      <c r="GQ48" s="655"/>
      <c r="GR48" s="655"/>
      <c r="GS48" s="655"/>
      <c r="GT48" s="655"/>
      <c r="GU48" s="655"/>
      <c r="GV48" s="655"/>
      <c r="GW48" s="655"/>
      <c r="GX48" s="655"/>
      <c r="GY48" s="655"/>
      <c r="GZ48" s="655"/>
      <c r="HA48" s="655"/>
      <c r="HB48" s="655"/>
      <c r="HC48" s="655"/>
      <c r="HD48" s="655"/>
      <c r="HE48" s="655"/>
      <c r="HF48" s="655"/>
      <c r="HG48" s="655"/>
      <c r="HH48" s="655"/>
      <c r="HI48" s="655"/>
      <c r="HJ48" s="655"/>
      <c r="HK48" s="655"/>
      <c r="HL48" s="655"/>
      <c r="HM48" s="655"/>
      <c r="HN48" s="655"/>
      <c r="HO48" s="655"/>
      <c r="HP48" s="655"/>
      <c r="HQ48" s="655"/>
      <c r="HR48" s="426">
        <v>52</v>
      </c>
      <c r="HS48" s="426" t="s">
        <v>874</v>
      </c>
      <c r="HT48" s="426">
        <v>8</v>
      </c>
      <c r="HU48" s="426" t="s">
        <v>874</v>
      </c>
      <c r="HV48" s="430">
        <v>0</v>
      </c>
      <c r="HW48" s="430">
        <v>0.71</v>
      </c>
      <c r="HX48" s="430">
        <v>0.28999999999999998</v>
      </c>
      <c r="HY48" s="430">
        <v>0</v>
      </c>
      <c r="HZ48" s="430">
        <v>0.36</v>
      </c>
      <c r="IA48" s="430">
        <v>0.56000000000000005</v>
      </c>
      <c r="IB48" s="430">
        <v>0.17</v>
      </c>
      <c r="IC48" s="430">
        <v>0.41</v>
      </c>
      <c r="ID48" s="430">
        <v>0.59</v>
      </c>
      <c r="IE48" s="430">
        <v>0.21</v>
      </c>
      <c r="IF48" s="430">
        <v>0.38</v>
      </c>
      <c r="IG48" s="430">
        <v>0.64</v>
      </c>
      <c r="IH48" s="430">
        <v>0.47</v>
      </c>
      <c r="II48" s="430">
        <v>0.5</v>
      </c>
      <c r="IJ48" s="430">
        <v>0.26</v>
      </c>
      <c r="IK48" s="430">
        <v>0.56000000000000005</v>
      </c>
      <c r="IL48" s="430">
        <v>0.5</v>
      </c>
      <c r="IM48" s="430">
        <v>0.52</v>
      </c>
      <c r="IN48" s="430">
        <v>0.46</v>
      </c>
      <c r="IO48" s="430">
        <v>0.6</v>
      </c>
      <c r="IP48" s="430">
        <v>0.75</v>
      </c>
      <c r="IQ48" s="430">
        <v>0.76</v>
      </c>
      <c r="IR48" s="430">
        <v>0.45</v>
      </c>
      <c r="IS48" s="430">
        <v>0.45</v>
      </c>
      <c r="IT48" s="430">
        <v>0.33</v>
      </c>
      <c r="IU48" s="426" t="s">
        <v>283</v>
      </c>
      <c r="IV48" s="430">
        <v>0.59</v>
      </c>
      <c r="IW48" s="430">
        <v>0.43</v>
      </c>
      <c r="IX48" s="430">
        <v>0.6</v>
      </c>
      <c r="IY48" s="430">
        <v>0.76</v>
      </c>
      <c r="IZ48" s="466">
        <v>55</v>
      </c>
      <c r="JA48" s="466" t="s">
        <v>874</v>
      </c>
      <c r="JB48" s="466">
        <v>11</v>
      </c>
      <c r="JC48" s="466" t="s">
        <v>874</v>
      </c>
      <c r="JD48" s="480">
        <v>0.08</v>
      </c>
      <c r="JE48" s="480">
        <v>0.54</v>
      </c>
      <c r="JF48" s="480">
        <v>0.31</v>
      </c>
      <c r="JG48" s="480">
        <v>0.08</v>
      </c>
      <c r="JH48" s="480">
        <v>0.5</v>
      </c>
      <c r="JI48" s="480">
        <v>0.43</v>
      </c>
      <c r="JJ48" s="480">
        <v>0.26</v>
      </c>
      <c r="JK48" s="480">
        <v>0.32</v>
      </c>
      <c r="JL48" s="480">
        <v>0.26</v>
      </c>
      <c r="JM48" s="480">
        <v>0.45</v>
      </c>
      <c r="JN48" s="480">
        <v>0.47</v>
      </c>
      <c r="JO48" s="480">
        <v>0.41</v>
      </c>
      <c r="JP48" s="480">
        <v>0.43</v>
      </c>
      <c r="JQ48" s="480">
        <v>0.25</v>
      </c>
      <c r="JR48" s="480">
        <v>0.44</v>
      </c>
      <c r="JS48" s="480">
        <v>0.43</v>
      </c>
      <c r="JT48" s="480">
        <v>0.65</v>
      </c>
      <c r="JU48" s="480">
        <v>0.41</v>
      </c>
      <c r="JV48" s="480">
        <v>0.33</v>
      </c>
      <c r="JW48" s="480">
        <v>0.41</v>
      </c>
      <c r="JX48" s="480">
        <v>0.31</v>
      </c>
      <c r="JY48" s="480">
        <v>0.53</v>
      </c>
      <c r="JZ48" s="480">
        <v>0.59</v>
      </c>
      <c r="KA48" s="480">
        <v>0.28999999999999998</v>
      </c>
      <c r="KB48" s="480">
        <v>0.37</v>
      </c>
      <c r="KC48" s="480">
        <v>0.36</v>
      </c>
      <c r="KD48" s="480">
        <v>0.2</v>
      </c>
      <c r="KE48" s="480">
        <v>0.61</v>
      </c>
      <c r="KF48" s="480">
        <v>0.32</v>
      </c>
      <c r="KG48" s="480">
        <v>0.33</v>
      </c>
    </row>
    <row r="49" spans="1:293" ht="24.95" customHeight="1" x14ac:dyDescent="0.2">
      <c r="A49" s="36" t="s">
        <v>268</v>
      </c>
      <c r="B49" s="1" t="s">
        <v>221</v>
      </c>
      <c r="C49" s="2">
        <v>6</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t="s">
        <v>224</v>
      </c>
      <c r="AI49" s="12" t="s">
        <v>224</v>
      </c>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12" t="s">
        <v>224</v>
      </c>
      <c r="BN49" s="12" t="s">
        <v>224</v>
      </c>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t="s">
        <v>224</v>
      </c>
      <c r="CT49" s="12" t="s">
        <v>224</v>
      </c>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35">
        <v>47</v>
      </c>
      <c r="DY49" s="35">
        <v>7</v>
      </c>
      <c r="DZ49" s="40">
        <v>0.24</v>
      </c>
      <c r="EA49" s="40">
        <v>0.6</v>
      </c>
      <c r="EB49" s="40">
        <v>0.16</v>
      </c>
      <c r="EC49" s="40">
        <v>0</v>
      </c>
      <c r="ED49" s="40">
        <v>0.47</v>
      </c>
      <c r="EE49" s="40">
        <v>0.44</v>
      </c>
      <c r="EF49" s="40">
        <v>0.53</v>
      </c>
      <c r="EG49" s="40">
        <v>0.2</v>
      </c>
      <c r="EH49" s="40">
        <v>0.54</v>
      </c>
      <c r="EI49" s="40">
        <v>0.67</v>
      </c>
      <c r="EJ49" s="40">
        <v>0.71</v>
      </c>
      <c r="EK49" s="40">
        <v>0.33</v>
      </c>
      <c r="EL49" s="40">
        <v>0.42</v>
      </c>
      <c r="EM49" s="40">
        <v>0.57999999999999996</v>
      </c>
      <c r="EN49" s="40">
        <v>0.51</v>
      </c>
      <c r="EO49" s="40">
        <v>0.57999999999999996</v>
      </c>
      <c r="EP49" s="40">
        <v>0.56999999999999995</v>
      </c>
      <c r="EQ49" s="40">
        <v>0.4</v>
      </c>
      <c r="ER49" s="40">
        <v>0.79</v>
      </c>
      <c r="ES49" s="40">
        <v>0.45</v>
      </c>
      <c r="ET49" s="40">
        <v>0.4</v>
      </c>
      <c r="EU49" s="40">
        <v>0.67</v>
      </c>
      <c r="EV49" s="40">
        <v>0.67</v>
      </c>
      <c r="EW49" s="40">
        <v>0.48</v>
      </c>
      <c r="EX49" s="40">
        <v>0.69</v>
      </c>
      <c r="EY49" s="40">
        <v>0.69</v>
      </c>
      <c r="EZ49" s="40">
        <v>0.28999999999999998</v>
      </c>
      <c r="FA49" s="40">
        <v>0.63</v>
      </c>
      <c r="FB49" s="653">
        <v>51</v>
      </c>
      <c r="FC49" s="653" t="s">
        <v>874</v>
      </c>
      <c r="FD49" s="653">
        <v>8</v>
      </c>
      <c r="FE49" s="653" t="s">
        <v>874</v>
      </c>
      <c r="FF49" s="654">
        <v>0.08</v>
      </c>
      <c r="FG49" s="654">
        <v>0.65</v>
      </c>
      <c r="FH49" s="654">
        <v>0.27</v>
      </c>
      <c r="FI49" s="654">
        <v>0</v>
      </c>
      <c r="FJ49" s="654">
        <v>0.55000000000000004</v>
      </c>
      <c r="FK49" s="654">
        <v>0.47</v>
      </c>
      <c r="FL49" s="654">
        <v>0.51</v>
      </c>
      <c r="FM49" s="654">
        <v>0.41</v>
      </c>
      <c r="FN49" s="654">
        <v>0.24</v>
      </c>
      <c r="FO49" s="654">
        <v>0.21</v>
      </c>
      <c r="FP49" s="654">
        <v>0.4</v>
      </c>
      <c r="FQ49" s="654">
        <v>0.52</v>
      </c>
      <c r="FR49" s="654">
        <v>0.57999999999999996</v>
      </c>
      <c r="FS49" s="654">
        <v>0.51</v>
      </c>
      <c r="FT49" s="654">
        <v>0.44</v>
      </c>
      <c r="FU49" s="654">
        <v>0.22</v>
      </c>
      <c r="FV49" s="654">
        <v>0.49</v>
      </c>
      <c r="FW49" s="654">
        <v>0.51</v>
      </c>
      <c r="FX49" s="654">
        <v>0.44</v>
      </c>
      <c r="FY49" s="654">
        <v>0.28999999999999998</v>
      </c>
      <c r="FZ49" s="654">
        <v>0.49</v>
      </c>
      <c r="GA49" s="654">
        <v>0.43</v>
      </c>
      <c r="GB49" s="654">
        <v>0.53</v>
      </c>
      <c r="GC49" s="654">
        <v>0.45</v>
      </c>
      <c r="GD49" s="654">
        <v>0.63</v>
      </c>
      <c r="GE49" s="654">
        <v>0.53</v>
      </c>
      <c r="GF49" s="654">
        <v>0.56999999999999995</v>
      </c>
      <c r="GG49" s="654">
        <v>0.37</v>
      </c>
      <c r="GH49" s="654">
        <v>0.53</v>
      </c>
      <c r="GI49" s="654">
        <v>0.21</v>
      </c>
      <c r="GJ49" s="74">
        <v>43</v>
      </c>
      <c r="GK49" s="74" t="s">
        <v>876</v>
      </c>
      <c r="GL49" s="74">
        <v>10</v>
      </c>
      <c r="GM49" s="74" t="s">
        <v>874</v>
      </c>
      <c r="GN49" s="96">
        <v>0.56000000000000005</v>
      </c>
      <c r="GO49" s="96">
        <v>0.34</v>
      </c>
      <c r="GP49" s="96">
        <v>0.09</v>
      </c>
      <c r="GQ49" s="96">
        <v>0</v>
      </c>
      <c r="GR49" s="96">
        <v>0.6</v>
      </c>
      <c r="GS49" s="96">
        <v>0.64</v>
      </c>
      <c r="GT49" s="96">
        <v>0.7</v>
      </c>
      <c r="GU49" s="96">
        <v>0.43</v>
      </c>
      <c r="GV49" s="96">
        <v>0.62</v>
      </c>
      <c r="GW49" s="96">
        <v>0.83</v>
      </c>
      <c r="GX49" s="96">
        <v>0.55000000000000004</v>
      </c>
      <c r="GY49" s="74" t="s">
        <v>283</v>
      </c>
      <c r="GZ49" s="96">
        <v>0.46</v>
      </c>
      <c r="HA49" s="96">
        <v>0.78</v>
      </c>
      <c r="HB49" s="96">
        <v>0.55000000000000004</v>
      </c>
      <c r="HC49" s="96">
        <v>0.67</v>
      </c>
      <c r="HD49" s="96">
        <v>0.72</v>
      </c>
      <c r="HE49" s="96">
        <v>0.57999999999999996</v>
      </c>
      <c r="HF49" s="96">
        <v>0.67</v>
      </c>
      <c r="HG49" s="96">
        <v>0.72</v>
      </c>
      <c r="HH49" s="96">
        <v>0.54</v>
      </c>
      <c r="HI49" s="96">
        <v>0.66</v>
      </c>
      <c r="HJ49" s="96">
        <v>0.63</v>
      </c>
      <c r="HK49" s="96">
        <v>0.63</v>
      </c>
      <c r="HL49" s="96">
        <v>0.51</v>
      </c>
      <c r="HM49" s="96">
        <v>0.6</v>
      </c>
      <c r="HN49" s="96">
        <v>0.68</v>
      </c>
      <c r="HO49" s="96">
        <v>0.53</v>
      </c>
      <c r="HP49" s="74" t="s">
        <v>283</v>
      </c>
      <c r="HQ49" s="96">
        <v>0.59</v>
      </c>
      <c r="HR49" s="658">
        <v>50</v>
      </c>
      <c r="HS49" s="658" t="s">
        <v>874</v>
      </c>
      <c r="HT49" s="658">
        <v>10</v>
      </c>
      <c r="HU49" s="658" t="s">
        <v>874</v>
      </c>
      <c r="HV49" s="659">
        <v>0.25</v>
      </c>
      <c r="HW49" s="659">
        <v>0.43</v>
      </c>
      <c r="HX49" s="659">
        <v>0.32</v>
      </c>
      <c r="HY49" s="659">
        <v>0</v>
      </c>
      <c r="HZ49" s="659">
        <v>0.35</v>
      </c>
      <c r="IA49" s="659">
        <v>0.56999999999999995</v>
      </c>
      <c r="IB49" s="659">
        <v>0.23</v>
      </c>
      <c r="IC49" s="659">
        <v>0.52</v>
      </c>
      <c r="ID49" s="659">
        <v>0.59</v>
      </c>
      <c r="IE49" s="659">
        <v>0.37</v>
      </c>
      <c r="IF49" s="659">
        <v>0.42</v>
      </c>
      <c r="IG49" s="659">
        <v>0.4</v>
      </c>
      <c r="IH49" s="659">
        <v>0.51</v>
      </c>
      <c r="II49" s="659">
        <v>0.31</v>
      </c>
      <c r="IJ49" s="659">
        <v>0.45</v>
      </c>
      <c r="IK49" s="659">
        <v>0.57999999999999996</v>
      </c>
      <c r="IL49" s="659">
        <v>0.37</v>
      </c>
      <c r="IM49" s="659">
        <v>0.62</v>
      </c>
      <c r="IN49" s="659">
        <v>0.41</v>
      </c>
      <c r="IO49" s="659">
        <v>0.56999999999999995</v>
      </c>
      <c r="IP49" s="659">
        <v>0.53</v>
      </c>
      <c r="IQ49" s="659">
        <v>0.7</v>
      </c>
      <c r="IR49" s="659">
        <v>0.57999999999999996</v>
      </c>
      <c r="IS49" s="659">
        <v>0.47</v>
      </c>
      <c r="IT49" s="659">
        <v>0.47</v>
      </c>
      <c r="IU49" s="658" t="s">
        <v>283</v>
      </c>
      <c r="IV49" s="659">
        <v>0.57999999999999996</v>
      </c>
      <c r="IW49" s="659">
        <v>0.42</v>
      </c>
      <c r="IX49" s="659">
        <v>0.47</v>
      </c>
      <c r="IY49" s="659">
        <v>0.55000000000000004</v>
      </c>
      <c r="IZ49" s="74">
        <v>50</v>
      </c>
      <c r="JA49" s="74" t="s">
        <v>874</v>
      </c>
      <c r="JB49" s="74">
        <v>8</v>
      </c>
      <c r="JC49" s="74" t="s">
        <v>874</v>
      </c>
      <c r="JD49" s="96">
        <v>0.13</v>
      </c>
      <c r="JE49" s="96">
        <v>0.64</v>
      </c>
      <c r="JF49" s="96">
        <v>0.23</v>
      </c>
      <c r="JG49" s="96">
        <v>0</v>
      </c>
      <c r="JH49" s="96">
        <v>0.51</v>
      </c>
      <c r="JI49" s="96">
        <v>0.54</v>
      </c>
      <c r="JJ49" s="96">
        <v>0.43</v>
      </c>
      <c r="JK49" s="96">
        <v>0.52</v>
      </c>
      <c r="JL49" s="96">
        <v>0.51</v>
      </c>
      <c r="JM49" s="96">
        <v>0.56999999999999995</v>
      </c>
      <c r="JN49" s="96">
        <v>0.49</v>
      </c>
      <c r="JO49" s="96">
        <v>0.5</v>
      </c>
      <c r="JP49" s="96">
        <v>0.54</v>
      </c>
      <c r="JQ49" s="96">
        <v>0.28999999999999998</v>
      </c>
      <c r="JR49" s="96">
        <v>0.66</v>
      </c>
      <c r="JS49" s="96">
        <v>0.54</v>
      </c>
      <c r="JT49" s="96">
        <v>0.49</v>
      </c>
      <c r="JU49" s="96">
        <v>0.65</v>
      </c>
      <c r="JV49" s="96">
        <v>0.53</v>
      </c>
      <c r="JW49" s="96">
        <v>0.52</v>
      </c>
      <c r="JX49" s="96">
        <v>0.43</v>
      </c>
      <c r="JY49" s="96">
        <v>0.54</v>
      </c>
      <c r="JZ49" s="96">
        <v>0.44</v>
      </c>
      <c r="KA49" s="96">
        <v>0.68</v>
      </c>
      <c r="KB49" s="96">
        <v>0.54</v>
      </c>
      <c r="KC49" s="96">
        <v>0.79</v>
      </c>
      <c r="KD49" s="96">
        <v>0.39</v>
      </c>
      <c r="KE49" s="96">
        <v>0.49</v>
      </c>
      <c r="KF49" s="96">
        <v>0.47</v>
      </c>
      <c r="KG49" s="96">
        <v>0.48</v>
      </c>
    </row>
    <row r="50" spans="1:293" ht="24.95" customHeight="1" x14ac:dyDescent="0.2">
      <c r="A50" s="126" t="s">
        <v>223</v>
      </c>
      <c r="B50" s="1" t="s">
        <v>221</v>
      </c>
      <c r="C50" s="2">
        <v>3</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v>52</v>
      </c>
      <c r="AI50" s="12">
        <v>8</v>
      </c>
      <c r="AJ50" s="40">
        <v>0.1</v>
      </c>
      <c r="AK50" s="40">
        <v>0.56999999999999995</v>
      </c>
      <c r="AL50" s="40">
        <v>0.32</v>
      </c>
      <c r="AM50" s="40">
        <v>0</v>
      </c>
      <c r="AN50" s="40">
        <v>0.3</v>
      </c>
      <c r="AO50" s="40">
        <v>0.48</v>
      </c>
      <c r="AP50" s="40">
        <v>0.62</v>
      </c>
      <c r="AQ50" s="40">
        <v>0.34</v>
      </c>
      <c r="AR50" s="40">
        <v>0.57999999999999996</v>
      </c>
      <c r="AS50" s="40">
        <v>0.48</v>
      </c>
      <c r="AT50" s="40">
        <v>0.56000000000000005</v>
      </c>
      <c r="AU50" s="40">
        <v>0.52</v>
      </c>
      <c r="AV50" s="40">
        <v>0.6</v>
      </c>
      <c r="AW50" s="40">
        <v>0.51</v>
      </c>
      <c r="AX50" s="40">
        <v>0.55000000000000004</v>
      </c>
      <c r="AY50" s="40">
        <v>0.33</v>
      </c>
      <c r="AZ50" s="40">
        <v>0.36</v>
      </c>
      <c r="BA50" s="40">
        <v>0.55000000000000004</v>
      </c>
      <c r="BB50" s="40">
        <v>0.62</v>
      </c>
      <c r="BC50" s="40">
        <v>0.69</v>
      </c>
      <c r="BD50" s="40">
        <v>0.37</v>
      </c>
      <c r="BE50" s="40">
        <v>0.68</v>
      </c>
      <c r="BF50" s="40">
        <v>0.51</v>
      </c>
      <c r="BG50" s="40">
        <v>0.56000000000000005</v>
      </c>
      <c r="BH50" s="40">
        <v>0.41</v>
      </c>
      <c r="BI50" s="40">
        <v>0.43</v>
      </c>
      <c r="BJ50" s="40">
        <v>0.35</v>
      </c>
      <c r="BK50" s="40">
        <v>0.41</v>
      </c>
      <c r="BL50" s="40">
        <v>0.48</v>
      </c>
      <c r="BM50" s="12">
        <v>48</v>
      </c>
      <c r="BN50" s="12">
        <v>8</v>
      </c>
      <c r="BO50" s="66">
        <v>0.19</v>
      </c>
      <c r="BP50" s="66">
        <v>0.57999999999999996</v>
      </c>
      <c r="BQ50" s="66">
        <v>0.23</v>
      </c>
      <c r="BR50" s="66">
        <v>0</v>
      </c>
      <c r="BS50" s="66">
        <v>0.42</v>
      </c>
      <c r="BT50" s="66">
        <v>0.74</v>
      </c>
      <c r="BU50" s="66">
        <v>0.7</v>
      </c>
      <c r="BV50" s="66">
        <v>0.49</v>
      </c>
      <c r="BW50" s="66">
        <v>0.54</v>
      </c>
      <c r="BX50" s="66">
        <v>0.41</v>
      </c>
      <c r="BY50" s="66">
        <v>0.47</v>
      </c>
      <c r="BZ50" s="66">
        <v>0.51</v>
      </c>
      <c r="CA50" s="66">
        <v>0.48</v>
      </c>
      <c r="CB50" s="66">
        <v>0.44</v>
      </c>
      <c r="CC50" s="66">
        <v>0.23</v>
      </c>
      <c r="CD50" s="66">
        <v>0.44</v>
      </c>
      <c r="CE50" s="66">
        <v>0.41</v>
      </c>
      <c r="CF50" s="66">
        <v>0.59</v>
      </c>
      <c r="CG50" s="66">
        <v>0.61</v>
      </c>
      <c r="CH50" s="66">
        <v>0.5</v>
      </c>
      <c r="CI50" s="66">
        <v>0.62</v>
      </c>
      <c r="CJ50" s="66">
        <v>0.39</v>
      </c>
      <c r="CK50" s="66">
        <v>0.73</v>
      </c>
      <c r="CL50" s="66">
        <v>0.34</v>
      </c>
      <c r="CM50" s="66">
        <v>0.47</v>
      </c>
      <c r="CN50" s="66">
        <v>0.51</v>
      </c>
      <c r="CO50" s="66">
        <v>0.53</v>
      </c>
      <c r="CP50" s="66">
        <v>0.44</v>
      </c>
      <c r="CQ50" s="66">
        <v>0.62</v>
      </c>
      <c r="CR50" s="66">
        <v>0.59</v>
      </c>
      <c r="CS50" s="12">
        <v>49</v>
      </c>
      <c r="CT50" s="12">
        <v>9</v>
      </c>
      <c r="CU50" s="63">
        <v>0.15</v>
      </c>
      <c r="CV50" s="63">
        <v>0.64</v>
      </c>
      <c r="CW50" s="63">
        <v>0.21</v>
      </c>
      <c r="CX50" s="63">
        <v>0.01</v>
      </c>
      <c r="CY50" s="63">
        <v>0.48</v>
      </c>
      <c r="CZ50" s="63">
        <v>0.28999999999999998</v>
      </c>
      <c r="DA50" s="63">
        <v>0.64</v>
      </c>
      <c r="DB50" s="63">
        <v>0.35</v>
      </c>
      <c r="DC50" s="63">
        <v>0.45</v>
      </c>
      <c r="DD50" s="63">
        <v>0.63</v>
      </c>
      <c r="DE50" s="63">
        <v>0.5</v>
      </c>
      <c r="DF50" s="63">
        <v>0.54</v>
      </c>
      <c r="DG50" s="63">
        <v>0.46</v>
      </c>
      <c r="DH50" s="63">
        <v>0.38</v>
      </c>
      <c r="DI50" s="63">
        <v>0.55000000000000004</v>
      </c>
      <c r="DJ50" s="63">
        <v>0.52</v>
      </c>
      <c r="DK50" s="63">
        <v>0.38</v>
      </c>
      <c r="DL50" s="63">
        <v>0.36</v>
      </c>
      <c r="DM50" s="63">
        <v>0.55000000000000004</v>
      </c>
      <c r="DN50" s="63">
        <v>0.54</v>
      </c>
      <c r="DO50" s="63">
        <v>0.52</v>
      </c>
      <c r="DP50" s="63">
        <v>0.49</v>
      </c>
      <c r="DQ50" s="63">
        <v>0.56999999999999995</v>
      </c>
      <c r="DR50" s="63">
        <v>0.2</v>
      </c>
      <c r="DS50" s="63">
        <v>0.37</v>
      </c>
      <c r="DT50" s="63">
        <v>0.59</v>
      </c>
      <c r="DU50" s="63">
        <v>0.56999999999999995</v>
      </c>
      <c r="DV50" s="63">
        <v>0.61</v>
      </c>
      <c r="DW50" s="63">
        <v>0.34</v>
      </c>
      <c r="DX50" s="35">
        <v>47</v>
      </c>
      <c r="DY50" s="35">
        <v>9</v>
      </c>
      <c r="DZ50" s="40">
        <v>0.26</v>
      </c>
      <c r="EA50" s="40">
        <v>0.55000000000000004</v>
      </c>
      <c r="EB50" s="40">
        <v>0.19</v>
      </c>
      <c r="EC50" s="40">
        <v>0</v>
      </c>
      <c r="ED50" s="40">
        <v>0.53</v>
      </c>
      <c r="EE50" s="40">
        <v>0.49</v>
      </c>
      <c r="EF50" s="40">
        <v>0.47</v>
      </c>
      <c r="EG50" s="40">
        <v>0.46</v>
      </c>
      <c r="EH50" s="40">
        <v>0.48</v>
      </c>
      <c r="EI50" s="40">
        <v>0.55000000000000004</v>
      </c>
      <c r="EJ50" s="40">
        <v>0.63</v>
      </c>
      <c r="EK50" s="40">
        <v>0.28000000000000003</v>
      </c>
      <c r="EL50" s="40">
        <v>0.53</v>
      </c>
      <c r="EM50" s="40">
        <v>0.67</v>
      </c>
      <c r="EN50" s="40">
        <v>0.47</v>
      </c>
      <c r="EO50" s="40">
        <v>0.62</v>
      </c>
      <c r="EP50" s="40">
        <v>0.47</v>
      </c>
      <c r="EQ50" s="40">
        <v>0.38</v>
      </c>
      <c r="ER50" s="40">
        <v>0.64</v>
      </c>
      <c r="ES50" s="40">
        <v>0.53</v>
      </c>
      <c r="ET50" s="40">
        <v>0.42</v>
      </c>
      <c r="EU50" s="40">
        <v>0.69</v>
      </c>
      <c r="EV50" s="40">
        <v>0.42</v>
      </c>
      <c r="EW50" s="40">
        <v>0.41</v>
      </c>
      <c r="EX50" s="40">
        <v>0.78</v>
      </c>
      <c r="EY50" s="40">
        <v>0.64</v>
      </c>
      <c r="EZ50" s="40">
        <v>0.37</v>
      </c>
      <c r="FA50" s="40">
        <v>0.67</v>
      </c>
      <c r="FB50" s="247">
        <v>47</v>
      </c>
      <c r="FC50" s="247" t="s">
        <v>874</v>
      </c>
      <c r="FD50" s="247">
        <v>8</v>
      </c>
      <c r="FE50" s="247" t="s">
        <v>874</v>
      </c>
      <c r="FF50" s="264">
        <v>0.22</v>
      </c>
      <c r="FG50" s="264">
        <v>0.64</v>
      </c>
      <c r="FH50" s="264">
        <v>0.13</v>
      </c>
      <c r="FI50" s="264">
        <v>0.01</v>
      </c>
      <c r="FJ50" s="264">
        <v>0.52</v>
      </c>
      <c r="FK50" s="264">
        <v>0.68</v>
      </c>
      <c r="FL50" s="264">
        <v>0.57999999999999996</v>
      </c>
      <c r="FM50" s="264">
        <v>0.47</v>
      </c>
      <c r="FN50" s="264">
        <v>0.3</v>
      </c>
      <c r="FO50" s="264">
        <v>0.4</v>
      </c>
      <c r="FP50" s="264">
        <v>0.49</v>
      </c>
      <c r="FQ50" s="264">
        <v>0.47</v>
      </c>
      <c r="FR50" s="264">
        <v>0.63</v>
      </c>
      <c r="FS50" s="264">
        <v>0.53</v>
      </c>
      <c r="FT50" s="264">
        <v>0.55000000000000004</v>
      </c>
      <c r="FU50" s="264">
        <v>0.49</v>
      </c>
      <c r="FV50" s="264">
        <v>0.6</v>
      </c>
      <c r="FW50" s="264">
        <v>0.59</v>
      </c>
      <c r="FX50" s="264">
        <v>0.5</v>
      </c>
      <c r="FY50" s="264">
        <v>0.42</v>
      </c>
      <c r="FZ50" s="264">
        <v>0.49</v>
      </c>
      <c r="GA50" s="264">
        <v>0.57999999999999996</v>
      </c>
      <c r="GB50" s="264">
        <v>0.59</v>
      </c>
      <c r="GC50" s="264">
        <v>0.54</v>
      </c>
      <c r="GD50" s="264">
        <v>0.63</v>
      </c>
      <c r="GE50" s="264">
        <v>0.61</v>
      </c>
      <c r="GF50" s="264">
        <v>0.52</v>
      </c>
      <c r="GG50" s="264">
        <v>0.53</v>
      </c>
      <c r="GH50" s="264">
        <v>0.63</v>
      </c>
      <c r="GI50" s="264">
        <v>0.33</v>
      </c>
      <c r="GJ50" s="74">
        <v>47</v>
      </c>
      <c r="GK50" s="74" t="s">
        <v>874</v>
      </c>
      <c r="GL50" s="74">
        <v>8</v>
      </c>
      <c r="GM50" s="74" t="s">
        <v>874</v>
      </c>
      <c r="GN50" s="96">
        <v>0.18</v>
      </c>
      <c r="GO50" s="96">
        <v>0.7</v>
      </c>
      <c r="GP50" s="96">
        <v>0.11</v>
      </c>
      <c r="GQ50" s="96">
        <v>0.01</v>
      </c>
      <c r="GR50" s="96">
        <v>0.5</v>
      </c>
      <c r="GS50" s="96">
        <v>0.57999999999999996</v>
      </c>
      <c r="GT50" s="96">
        <v>0.67</v>
      </c>
      <c r="GU50" s="96">
        <v>0.39</v>
      </c>
      <c r="GV50" s="96">
        <v>0.62</v>
      </c>
      <c r="GW50" s="96">
        <v>0.56000000000000005</v>
      </c>
      <c r="GX50" s="96">
        <v>0.54</v>
      </c>
      <c r="GY50" s="74" t="s">
        <v>283</v>
      </c>
      <c r="GZ50" s="96">
        <v>0.33</v>
      </c>
      <c r="HA50" s="96">
        <v>0.72</v>
      </c>
      <c r="HB50" s="96">
        <v>0.51</v>
      </c>
      <c r="HC50" s="96">
        <v>0.56999999999999995</v>
      </c>
      <c r="HD50" s="96">
        <v>0.63</v>
      </c>
      <c r="HE50" s="96">
        <v>0.56000000000000005</v>
      </c>
      <c r="HF50" s="96">
        <v>0.54</v>
      </c>
      <c r="HG50" s="96">
        <v>0.72</v>
      </c>
      <c r="HH50" s="96">
        <v>0.44</v>
      </c>
      <c r="HI50" s="96">
        <v>0.59</v>
      </c>
      <c r="HJ50" s="96">
        <v>0.62</v>
      </c>
      <c r="HK50" s="96">
        <v>0.56999999999999995</v>
      </c>
      <c r="HL50" s="96">
        <v>0.45</v>
      </c>
      <c r="HM50" s="96">
        <v>0.56000000000000005</v>
      </c>
      <c r="HN50" s="96">
        <v>0.51</v>
      </c>
      <c r="HO50" s="96">
        <v>0.51</v>
      </c>
      <c r="HP50" s="74" t="s">
        <v>283</v>
      </c>
      <c r="HQ50" s="96">
        <v>0.5</v>
      </c>
      <c r="HR50" s="426">
        <v>51</v>
      </c>
      <c r="HS50" s="426" t="s">
        <v>874</v>
      </c>
      <c r="HT50" s="426">
        <v>9</v>
      </c>
      <c r="HU50" s="426" t="s">
        <v>874</v>
      </c>
      <c r="HV50" s="430">
        <v>0.13</v>
      </c>
      <c r="HW50" s="430">
        <v>0.6</v>
      </c>
      <c r="HX50" s="430">
        <v>0.27</v>
      </c>
      <c r="HY50" s="430">
        <v>0.01</v>
      </c>
      <c r="HZ50" s="430">
        <v>0.35</v>
      </c>
      <c r="IA50" s="430">
        <v>0.51</v>
      </c>
      <c r="IB50" s="430">
        <v>0.4</v>
      </c>
      <c r="IC50" s="430">
        <v>0.47</v>
      </c>
      <c r="ID50" s="430">
        <v>0.63</v>
      </c>
      <c r="IE50" s="430">
        <v>0.36</v>
      </c>
      <c r="IF50" s="430">
        <v>0.42</v>
      </c>
      <c r="IG50" s="430">
        <v>0.55000000000000004</v>
      </c>
      <c r="IH50" s="430">
        <v>0.55000000000000004</v>
      </c>
      <c r="II50" s="430">
        <v>0.33</v>
      </c>
      <c r="IJ50" s="430">
        <v>0.26</v>
      </c>
      <c r="IK50" s="430">
        <v>0.6</v>
      </c>
      <c r="IL50" s="430">
        <v>0.38</v>
      </c>
      <c r="IM50" s="430">
        <v>0.57999999999999996</v>
      </c>
      <c r="IN50" s="430">
        <v>0.45</v>
      </c>
      <c r="IO50" s="430">
        <v>0.53</v>
      </c>
      <c r="IP50" s="430">
        <v>0.37</v>
      </c>
      <c r="IQ50" s="430">
        <v>0.69</v>
      </c>
      <c r="IR50" s="430">
        <v>0.62</v>
      </c>
      <c r="IS50" s="430">
        <v>0.59</v>
      </c>
      <c r="IT50" s="430">
        <v>0.45</v>
      </c>
      <c r="IU50" s="426" t="s">
        <v>283</v>
      </c>
      <c r="IV50" s="430">
        <v>0.62</v>
      </c>
      <c r="IW50" s="430">
        <v>0.45</v>
      </c>
      <c r="IX50" s="430">
        <v>0.45</v>
      </c>
      <c r="IY50" s="430">
        <v>0.57999999999999996</v>
      </c>
      <c r="IZ50" s="466">
        <v>49</v>
      </c>
      <c r="JA50" s="466" t="s">
        <v>874</v>
      </c>
      <c r="JB50" s="466">
        <v>9</v>
      </c>
      <c r="JC50" s="466" t="s">
        <v>874</v>
      </c>
      <c r="JD50" s="480">
        <v>0.21</v>
      </c>
      <c r="JE50" s="480">
        <v>0.52</v>
      </c>
      <c r="JF50" s="480">
        <v>0.26</v>
      </c>
      <c r="JG50" s="480">
        <v>0.01</v>
      </c>
      <c r="JH50" s="480">
        <v>0.5</v>
      </c>
      <c r="JI50" s="480">
        <v>0.47</v>
      </c>
      <c r="JJ50" s="480">
        <v>0.44</v>
      </c>
      <c r="JK50" s="480">
        <v>0.49</v>
      </c>
      <c r="JL50" s="480">
        <v>0.49</v>
      </c>
      <c r="JM50" s="480">
        <v>0.48</v>
      </c>
      <c r="JN50" s="480">
        <v>0.5</v>
      </c>
      <c r="JO50" s="480">
        <v>0.52</v>
      </c>
      <c r="JP50" s="480">
        <v>0.59</v>
      </c>
      <c r="JQ50" s="480">
        <v>0.37</v>
      </c>
      <c r="JR50" s="480">
        <v>0.61</v>
      </c>
      <c r="JS50" s="480">
        <v>0.48</v>
      </c>
      <c r="JT50" s="480">
        <v>0.45</v>
      </c>
      <c r="JU50" s="480">
        <v>0.53</v>
      </c>
      <c r="JV50" s="480">
        <v>0.55000000000000004</v>
      </c>
      <c r="JW50" s="480">
        <v>0.49</v>
      </c>
      <c r="JX50" s="480">
        <v>0.45</v>
      </c>
      <c r="JY50" s="480">
        <v>0.54</v>
      </c>
      <c r="JZ50" s="480">
        <v>0.47</v>
      </c>
      <c r="KA50" s="480">
        <v>0.68</v>
      </c>
      <c r="KB50" s="480">
        <v>0.53</v>
      </c>
      <c r="KC50" s="480">
        <v>0.71</v>
      </c>
      <c r="KD50" s="480">
        <v>0.36</v>
      </c>
      <c r="KE50" s="480">
        <v>0.55000000000000004</v>
      </c>
      <c r="KF50" s="480">
        <v>0.49</v>
      </c>
      <c r="KG50" s="480">
        <v>0.57999999999999996</v>
      </c>
    </row>
    <row r="51" spans="1:293" ht="24.95" customHeight="1" x14ac:dyDescent="0.2">
      <c r="A51" s="126" t="s">
        <v>126</v>
      </c>
      <c r="B51" s="1" t="s">
        <v>221</v>
      </c>
      <c r="C51" s="2">
        <v>2</v>
      </c>
      <c r="D51" s="12">
        <v>60</v>
      </c>
      <c r="E51" s="12">
        <v>7</v>
      </c>
      <c r="F51" s="66">
        <v>0</v>
      </c>
      <c r="G51" s="66">
        <v>0.28000000000000003</v>
      </c>
      <c r="H51" s="66">
        <v>0.66</v>
      </c>
      <c r="I51" s="66">
        <v>7.0000000000000007E-2</v>
      </c>
      <c r="J51" s="66">
        <v>0.22</v>
      </c>
      <c r="K51" s="66">
        <v>0.2</v>
      </c>
      <c r="L51" s="66">
        <v>0.52</v>
      </c>
      <c r="M51" s="66">
        <v>7.0000000000000007E-2</v>
      </c>
      <c r="N51" s="66">
        <v>0.18</v>
      </c>
      <c r="O51" s="66">
        <v>0.53</v>
      </c>
      <c r="P51" s="66">
        <v>0.2</v>
      </c>
      <c r="Q51" s="66">
        <v>0.31</v>
      </c>
      <c r="R51" s="66">
        <v>0.4</v>
      </c>
      <c r="S51" s="66">
        <v>0.51</v>
      </c>
      <c r="T51" s="66">
        <v>0.42</v>
      </c>
      <c r="U51" s="66">
        <v>0.38</v>
      </c>
      <c r="V51" s="66">
        <v>0</v>
      </c>
      <c r="W51" s="66">
        <v>0.04</v>
      </c>
      <c r="X51" s="66">
        <v>0.28000000000000003</v>
      </c>
      <c r="Y51" s="66">
        <v>0.34</v>
      </c>
      <c r="Z51" s="66">
        <v>0.75</v>
      </c>
      <c r="AA51" s="66">
        <v>0.02</v>
      </c>
      <c r="AB51" s="66">
        <v>0.31</v>
      </c>
      <c r="AC51" s="66">
        <v>0.09</v>
      </c>
      <c r="AD51" s="66">
        <v>0.31</v>
      </c>
      <c r="AE51" s="66">
        <v>0.23</v>
      </c>
      <c r="AF51" s="66">
        <v>0.51</v>
      </c>
      <c r="AG51" s="66">
        <v>0.38</v>
      </c>
      <c r="AH51" s="12">
        <v>59</v>
      </c>
      <c r="AI51" s="12">
        <v>8</v>
      </c>
      <c r="AJ51" s="40">
        <v>0.02</v>
      </c>
      <c r="AK51" s="40">
        <v>0.31</v>
      </c>
      <c r="AL51" s="40">
        <v>0.61</v>
      </c>
      <c r="AM51" s="40">
        <v>0.06</v>
      </c>
      <c r="AN51" s="40">
        <v>0.11</v>
      </c>
      <c r="AO51" s="40">
        <v>0.34</v>
      </c>
      <c r="AP51" s="40">
        <v>0.41</v>
      </c>
      <c r="AQ51" s="40">
        <v>0.25</v>
      </c>
      <c r="AR51" s="40">
        <v>0.49</v>
      </c>
      <c r="AS51" s="40">
        <v>0.41</v>
      </c>
      <c r="AT51" s="40">
        <v>0.33</v>
      </c>
      <c r="AU51" s="40">
        <v>0.35</v>
      </c>
      <c r="AV51" s="40">
        <v>0.47</v>
      </c>
      <c r="AW51" s="40">
        <v>0.24</v>
      </c>
      <c r="AX51" s="40">
        <v>0.39</v>
      </c>
      <c r="AY51" s="40">
        <v>0.18</v>
      </c>
      <c r="AZ51" s="40">
        <v>0.16</v>
      </c>
      <c r="BA51" s="40">
        <v>0.3</v>
      </c>
      <c r="BB51" s="40">
        <v>0.56000000000000005</v>
      </c>
      <c r="BC51" s="40">
        <v>0.52</v>
      </c>
      <c r="BD51" s="40">
        <v>0.34</v>
      </c>
      <c r="BE51" s="40">
        <v>0.35</v>
      </c>
      <c r="BF51" s="40">
        <v>0.39</v>
      </c>
      <c r="BG51" s="40">
        <v>0.36</v>
      </c>
      <c r="BH51" s="40">
        <v>0.32</v>
      </c>
      <c r="BI51" s="40">
        <v>0.32</v>
      </c>
      <c r="BJ51" s="40">
        <v>0.28999999999999998</v>
      </c>
      <c r="BK51" s="40">
        <v>0.32</v>
      </c>
      <c r="BL51" s="40">
        <v>0.33</v>
      </c>
      <c r="BM51" s="12">
        <v>58</v>
      </c>
      <c r="BN51" s="12">
        <v>7</v>
      </c>
      <c r="BO51" s="66">
        <v>0.01</v>
      </c>
      <c r="BP51" s="66">
        <v>0.3</v>
      </c>
      <c r="BQ51" s="66">
        <v>0.66</v>
      </c>
      <c r="BR51" s="66">
        <v>0.02</v>
      </c>
      <c r="BS51" s="66">
        <v>0.2</v>
      </c>
      <c r="BT51" s="66">
        <v>0.48</v>
      </c>
      <c r="BU51" s="66">
        <v>0.54</v>
      </c>
      <c r="BV51" s="66">
        <v>0.13</v>
      </c>
      <c r="BW51" s="66">
        <v>0.52</v>
      </c>
      <c r="BX51" s="66">
        <v>0.2</v>
      </c>
      <c r="BY51" s="66">
        <v>0.34</v>
      </c>
      <c r="BZ51" s="66">
        <v>0.43</v>
      </c>
      <c r="CA51" s="66">
        <v>0.4</v>
      </c>
      <c r="CB51" s="66">
        <v>0.19</v>
      </c>
      <c r="CC51" s="66">
        <v>7.0000000000000007E-2</v>
      </c>
      <c r="CD51" s="66">
        <v>0.27</v>
      </c>
      <c r="CE51" s="66">
        <v>0.18</v>
      </c>
      <c r="CF51" s="66">
        <v>0.45</v>
      </c>
      <c r="CG51" s="66">
        <v>0.48</v>
      </c>
      <c r="CH51" s="66">
        <v>0.33</v>
      </c>
      <c r="CI51" s="66">
        <v>0.45</v>
      </c>
      <c r="CJ51" s="66">
        <v>0.18</v>
      </c>
      <c r="CK51" s="66">
        <v>0.56999999999999995</v>
      </c>
      <c r="CL51" s="66">
        <v>0.18</v>
      </c>
      <c r="CM51" s="66">
        <v>0.28999999999999998</v>
      </c>
      <c r="CN51" s="66">
        <v>0.28000000000000003</v>
      </c>
      <c r="CO51" s="66">
        <v>0.27</v>
      </c>
      <c r="CP51" s="66">
        <v>0.23</v>
      </c>
      <c r="CQ51" s="66">
        <v>0.42</v>
      </c>
      <c r="CR51" s="66">
        <v>0.45</v>
      </c>
      <c r="CS51" s="12">
        <v>57</v>
      </c>
      <c r="CT51" s="12">
        <v>8</v>
      </c>
      <c r="CU51" s="63">
        <v>0.02</v>
      </c>
      <c r="CV51" s="63">
        <v>0.43</v>
      </c>
      <c r="CW51" s="63">
        <v>0.52</v>
      </c>
      <c r="CX51" s="63">
        <v>0.03</v>
      </c>
      <c r="CY51" s="63">
        <v>0.39</v>
      </c>
      <c r="CZ51" s="63">
        <v>0.23</v>
      </c>
      <c r="DA51" s="63">
        <v>0.48</v>
      </c>
      <c r="DB51" s="63">
        <v>0.2</v>
      </c>
      <c r="DC51" s="63">
        <v>0.39</v>
      </c>
      <c r="DD51" s="63">
        <v>0.6</v>
      </c>
      <c r="DE51" s="63">
        <v>0.31</v>
      </c>
      <c r="DF51" s="63">
        <v>0.43</v>
      </c>
      <c r="DG51" s="63">
        <v>0.32</v>
      </c>
      <c r="DH51" s="63">
        <v>0.28000000000000003</v>
      </c>
      <c r="DI51" s="63">
        <v>0.37</v>
      </c>
      <c r="DJ51" s="63">
        <v>0.31</v>
      </c>
      <c r="DK51" s="63">
        <v>0.23</v>
      </c>
      <c r="DL51" s="63">
        <v>0.15</v>
      </c>
      <c r="DM51" s="63">
        <v>0.41</v>
      </c>
      <c r="DN51" s="63">
        <v>0.46</v>
      </c>
      <c r="DO51" s="63">
        <v>0.28000000000000003</v>
      </c>
      <c r="DP51" s="63">
        <v>0.33</v>
      </c>
      <c r="DQ51" s="63">
        <v>0.48</v>
      </c>
      <c r="DR51" s="63">
        <v>0.06</v>
      </c>
      <c r="DS51" s="63">
        <v>0.3</v>
      </c>
      <c r="DT51" s="63">
        <v>0.38</v>
      </c>
      <c r="DU51" s="63">
        <v>0.35</v>
      </c>
      <c r="DV51" s="63">
        <v>0.48</v>
      </c>
      <c r="DW51" s="63">
        <v>0.18</v>
      </c>
      <c r="DX51" s="35">
        <v>57</v>
      </c>
      <c r="DY51" s="35">
        <v>8</v>
      </c>
      <c r="DZ51" s="40">
        <v>0.03</v>
      </c>
      <c r="EA51" s="40">
        <v>0.36</v>
      </c>
      <c r="EB51" s="40">
        <v>0.55000000000000004</v>
      </c>
      <c r="EC51" s="40">
        <v>0.06</v>
      </c>
      <c r="ED51" s="40">
        <v>0.41</v>
      </c>
      <c r="EE51" s="40">
        <v>0.39</v>
      </c>
      <c r="EF51" s="40">
        <v>0.35</v>
      </c>
      <c r="EG51" s="40">
        <v>0.18</v>
      </c>
      <c r="EH51" s="40">
        <v>0.24</v>
      </c>
      <c r="EI51" s="40">
        <v>0.33</v>
      </c>
      <c r="EJ51" s="40">
        <v>0.43</v>
      </c>
      <c r="EK51" s="40">
        <v>0.19</v>
      </c>
      <c r="EL51" s="40">
        <v>0.37</v>
      </c>
      <c r="EM51" s="40">
        <v>0.69</v>
      </c>
      <c r="EN51" s="40">
        <v>0.22</v>
      </c>
      <c r="EO51" s="40">
        <v>0.47</v>
      </c>
      <c r="EP51" s="40">
        <v>0.19</v>
      </c>
      <c r="EQ51" s="40">
        <v>0.17</v>
      </c>
      <c r="ER51" s="40">
        <v>0.56000000000000005</v>
      </c>
      <c r="ES51" s="40">
        <v>0.31</v>
      </c>
      <c r="ET51" s="40">
        <v>0.17</v>
      </c>
      <c r="EU51" s="40">
        <v>0.4</v>
      </c>
      <c r="EV51" s="40">
        <v>0.2</v>
      </c>
      <c r="EW51" s="40">
        <v>0.24</v>
      </c>
      <c r="EX51" s="40">
        <v>0.69</v>
      </c>
      <c r="EY51" s="40">
        <v>0.39</v>
      </c>
      <c r="EZ51" s="40">
        <v>0.06</v>
      </c>
      <c r="FA51" s="40">
        <v>0.54</v>
      </c>
      <c r="FB51" s="247">
        <v>55</v>
      </c>
      <c r="FC51" s="247" t="s">
        <v>874</v>
      </c>
      <c r="FD51" s="247">
        <v>9</v>
      </c>
      <c r="FE51" s="247" t="s">
        <v>874</v>
      </c>
      <c r="FF51" s="264">
        <v>0.04</v>
      </c>
      <c r="FG51" s="264">
        <v>0.46</v>
      </c>
      <c r="FH51" s="264">
        <v>0.46</v>
      </c>
      <c r="FI51" s="264">
        <v>0.04</v>
      </c>
      <c r="FJ51" s="264">
        <v>0.34</v>
      </c>
      <c r="FK51" s="264">
        <v>0.59</v>
      </c>
      <c r="FL51" s="264">
        <v>0.37</v>
      </c>
      <c r="FM51" s="264">
        <v>0.25</v>
      </c>
      <c r="FN51" s="264">
        <v>0.25</v>
      </c>
      <c r="FO51" s="264">
        <v>0.21</v>
      </c>
      <c r="FP51" s="264">
        <v>0.28999999999999998</v>
      </c>
      <c r="FQ51" s="264">
        <v>0.4</v>
      </c>
      <c r="FR51" s="264">
        <v>0.46</v>
      </c>
      <c r="FS51" s="264">
        <v>0.5</v>
      </c>
      <c r="FT51" s="264">
        <v>0.39</v>
      </c>
      <c r="FU51" s="264">
        <v>0.24</v>
      </c>
      <c r="FV51" s="264">
        <v>0.46</v>
      </c>
      <c r="FW51" s="264">
        <v>0.46</v>
      </c>
      <c r="FX51" s="264">
        <v>0.26</v>
      </c>
      <c r="FY51" s="264">
        <v>0.25</v>
      </c>
      <c r="FZ51" s="264">
        <v>0.3</v>
      </c>
      <c r="GA51" s="264">
        <v>0.47</v>
      </c>
      <c r="GB51" s="264">
        <v>0.42</v>
      </c>
      <c r="GC51" s="264">
        <v>0.34</v>
      </c>
      <c r="GD51" s="264">
        <v>0.51</v>
      </c>
      <c r="GE51" s="264">
        <v>0.4</v>
      </c>
      <c r="GF51" s="264">
        <v>0.34</v>
      </c>
      <c r="GG51" s="264">
        <v>0.36</v>
      </c>
      <c r="GH51" s="264">
        <v>0.47</v>
      </c>
      <c r="GI51" s="264">
        <v>0.22</v>
      </c>
      <c r="GJ51" s="311">
        <v>56</v>
      </c>
      <c r="GK51" s="311" t="s">
        <v>874</v>
      </c>
      <c r="GL51" s="311">
        <v>9</v>
      </c>
      <c r="GM51" s="311" t="s">
        <v>874</v>
      </c>
      <c r="GN51" s="329">
        <v>0.03</v>
      </c>
      <c r="GO51" s="329">
        <v>0.44</v>
      </c>
      <c r="GP51" s="329">
        <v>0.48</v>
      </c>
      <c r="GQ51" s="329">
        <v>0.06</v>
      </c>
      <c r="GR51" s="329">
        <v>0.39</v>
      </c>
      <c r="GS51" s="329">
        <v>0.37</v>
      </c>
      <c r="GT51" s="329">
        <v>0.47</v>
      </c>
      <c r="GU51" s="329">
        <v>0.15</v>
      </c>
      <c r="GV51" s="329">
        <v>0.43</v>
      </c>
      <c r="GW51" s="329">
        <v>0.39</v>
      </c>
      <c r="GX51" s="329">
        <v>0.31</v>
      </c>
      <c r="GY51" s="311" t="s">
        <v>283</v>
      </c>
      <c r="GZ51" s="329">
        <v>0.2</v>
      </c>
      <c r="HA51" s="329">
        <v>0.59</v>
      </c>
      <c r="HB51" s="329">
        <v>0.36</v>
      </c>
      <c r="HC51" s="329">
        <v>0.46</v>
      </c>
      <c r="HD51" s="329">
        <v>0.47</v>
      </c>
      <c r="HE51" s="329">
        <v>0.32</v>
      </c>
      <c r="HF51" s="329">
        <v>0.36</v>
      </c>
      <c r="HG51" s="329">
        <v>0.56000000000000005</v>
      </c>
      <c r="HH51" s="329">
        <v>0.28000000000000003</v>
      </c>
      <c r="HI51" s="329">
        <v>0.42</v>
      </c>
      <c r="HJ51" s="329">
        <v>0.48</v>
      </c>
      <c r="HK51" s="329">
        <v>0.52</v>
      </c>
      <c r="HL51" s="329">
        <v>0.34</v>
      </c>
      <c r="HM51" s="329">
        <v>0.43</v>
      </c>
      <c r="HN51" s="329">
        <v>0.4</v>
      </c>
      <c r="HO51" s="329">
        <v>0.3</v>
      </c>
      <c r="HP51" s="311" t="s">
        <v>283</v>
      </c>
      <c r="HQ51" s="329">
        <v>0.34</v>
      </c>
      <c r="HR51" s="426">
        <v>58</v>
      </c>
      <c r="HS51" s="426" t="s">
        <v>874</v>
      </c>
      <c r="HT51" s="426">
        <v>8</v>
      </c>
      <c r="HU51" s="426" t="s">
        <v>874</v>
      </c>
      <c r="HV51" s="430">
        <v>0.03</v>
      </c>
      <c r="HW51" s="430">
        <v>0.37</v>
      </c>
      <c r="HX51" s="430">
        <v>0.56000000000000005</v>
      </c>
      <c r="HY51" s="430">
        <v>0.04</v>
      </c>
      <c r="HZ51" s="430">
        <v>0.24</v>
      </c>
      <c r="IA51" s="430">
        <v>0.39</v>
      </c>
      <c r="IB51" s="430">
        <v>0.21</v>
      </c>
      <c r="IC51" s="430">
        <v>0.4</v>
      </c>
      <c r="ID51" s="430">
        <v>0.54</v>
      </c>
      <c r="IE51" s="430">
        <v>0.19</v>
      </c>
      <c r="IF51" s="430">
        <v>0.34</v>
      </c>
      <c r="IG51" s="430">
        <v>0.47</v>
      </c>
      <c r="IH51" s="430">
        <v>0.35</v>
      </c>
      <c r="II51" s="430">
        <v>0.22</v>
      </c>
      <c r="IJ51" s="430">
        <v>0.16</v>
      </c>
      <c r="IK51" s="430">
        <v>0.46</v>
      </c>
      <c r="IL51" s="430">
        <v>0.19</v>
      </c>
      <c r="IM51" s="430">
        <v>0.49</v>
      </c>
      <c r="IN51" s="430">
        <v>0.36</v>
      </c>
      <c r="IO51" s="430">
        <v>0.39</v>
      </c>
      <c r="IP51" s="430">
        <v>0.28000000000000003</v>
      </c>
      <c r="IQ51" s="430">
        <v>0.56000000000000005</v>
      </c>
      <c r="IR51" s="430">
        <v>0.46</v>
      </c>
      <c r="IS51" s="430">
        <v>0.41</v>
      </c>
      <c r="IT51" s="430">
        <v>0.34</v>
      </c>
      <c r="IU51" s="426" t="s">
        <v>283</v>
      </c>
      <c r="IV51" s="430">
        <v>0.53</v>
      </c>
      <c r="IW51" s="430">
        <v>0.28999999999999998</v>
      </c>
      <c r="IX51" s="430">
        <v>0.4</v>
      </c>
      <c r="IY51" s="430">
        <v>0.36</v>
      </c>
      <c r="IZ51" s="466">
        <v>58</v>
      </c>
      <c r="JA51" s="466" t="s">
        <v>874</v>
      </c>
      <c r="JB51" s="466">
        <v>8</v>
      </c>
      <c r="JC51" s="466" t="s">
        <v>874</v>
      </c>
      <c r="JD51" s="480">
        <v>0.01</v>
      </c>
      <c r="JE51" s="480">
        <v>0.33</v>
      </c>
      <c r="JF51" s="480">
        <v>0.62</v>
      </c>
      <c r="JG51" s="480">
        <v>0.04</v>
      </c>
      <c r="JH51" s="480">
        <v>0.35</v>
      </c>
      <c r="JI51" s="480">
        <v>0.38</v>
      </c>
      <c r="JJ51" s="480">
        <v>0.23</v>
      </c>
      <c r="JK51" s="480">
        <v>0.37</v>
      </c>
      <c r="JL51" s="480">
        <v>0.39</v>
      </c>
      <c r="JM51" s="480">
        <v>0.35</v>
      </c>
      <c r="JN51" s="480">
        <v>0.25</v>
      </c>
      <c r="JO51" s="480">
        <v>0.33</v>
      </c>
      <c r="JP51" s="480">
        <v>0.43</v>
      </c>
      <c r="JQ51" s="480">
        <v>0.13</v>
      </c>
      <c r="JR51" s="480">
        <v>0.44</v>
      </c>
      <c r="JS51" s="480">
        <v>0.3</v>
      </c>
      <c r="JT51" s="480">
        <v>0.32</v>
      </c>
      <c r="JU51" s="480">
        <v>0.36</v>
      </c>
      <c r="JV51" s="480">
        <v>0.38</v>
      </c>
      <c r="JW51" s="480">
        <v>0.41</v>
      </c>
      <c r="JX51" s="480">
        <v>0.25</v>
      </c>
      <c r="JY51" s="480">
        <v>0.35</v>
      </c>
      <c r="JZ51" s="480">
        <v>0.32</v>
      </c>
      <c r="KA51" s="480">
        <v>0.42</v>
      </c>
      <c r="KB51" s="480">
        <v>0.28999999999999998</v>
      </c>
      <c r="KC51" s="480">
        <v>0.41</v>
      </c>
      <c r="KD51" s="480">
        <v>0.21</v>
      </c>
      <c r="KE51" s="480">
        <v>0.34</v>
      </c>
      <c r="KF51" s="480">
        <v>0.39</v>
      </c>
      <c r="KG51" s="480">
        <v>0.4</v>
      </c>
    </row>
    <row r="52" spans="1:293" ht="24.95" customHeight="1" x14ac:dyDescent="0.2">
      <c r="A52" s="36" t="s">
        <v>269</v>
      </c>
      <c r="B52" s="1" t="s">
        <v>221</v>
      </c>
      <c r="C52" s="2">
        <v>2</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t="s">
        <v>224</v>
      </c>
      <c r="AI52" s="12" t="s">
        <v>224</v>
      </c>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12" t="s">
        <v>224</v>
      </c>
      <c r="BN52" s="12" t="s">
        <v>224</v>
      </c>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t="s">
        <v>224</v>
      </c>
      <c r="CT52" s="12" t="s">
        <v>224</v>
      </c>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35">
        <v>40</v>
      </c>
      <c r="DY52" s="35">
        <v>0</v>
      </c>
      <c r="DZ52" s="40">
        <v>1</v>
      </c>
      <c r="EA52" s="40">
        <v>0</v>
      </c>
      <c r="EB52" s="40">
        <v>0</v>
      </c>
      <c r="EC52" s="40">
        <v>0</v>
      </c>
      <c r="ED52" s="40">
        <v>0.5</v>
      </c>
      <c r="EE52" s="40">
        <v>1</v>
      </c>
      <c r="EF52" s="40">
        <v>0.67</v>
      </c>
      <c r="EG52" s="40">
        <v>0</v>
      </c>
      <c r="EH52" s="40">
        <v>1</v>
      </c>
      <c r="EI52" s="40">
        <v>0</v>
      </c>
      <c r="EJ52" s="40">
        <v>0</v>
      </c>
      <c r="EK52" s="40">
        <v>0.5</v>
      </c>
      <c r="EL52" s="40">
        <v>1</v>
      </c>
      <c r="EM52" s="35" t="s">
        <v>283</v>
      </c>
      <c r="EN52" s="40">
        <v>0</v>
      </c>
      <c r="EO52" s="40">
        <v>1</v>
      </c>
      <c r="EP52" s="40">
        <v>1</v>
      </c>
      <c r="EQ52" s="40">
        <v>1</v>
      </c>
      <c r="ER52" s="40">
        <v>1</v>
      </c>
      <c r="ES52" s="40">
        <v>0.5</v>
      </c>
      <c r="ET52" s="40">
        <v>0.33</v>
      </c>
      <c r="EU52" s="40">
        <v>1</v>
      </c>
      <c r="EV52" s="35" t="s">
        <v>283</v>
      </c>
      <c r="EW52" s="40">
        <v>0.5</v>
      </c>
      <c r="EX52" s="35" t="s">
        <v>283</v>
      </c>
      <c r="EY52" s="40">
        <v>1</v>
      </c>
      <c r="EZ52" s="40">
        <v>1</v>
      </c>
      <c r="FA52" s="40">
        <v>0.67</v>
      </c>
      <c r="FB52" s="652"/>
      <c r="FC52" s="652"/>
      <c r="FD52" s="652"/>
      <c r="FE52" s="652"/>
      <c r="FF52" s="652"/>
      <c r="FG52" s="652"/>
      <c r="FH52" s="652"/>
      <c r="FI52" s="652"/>
      <c r="FJ52" s="652"/>
      <c r="FK52" s="652"/>
      <c r="FL52" s="652"/>
      <c r="FM52" s="652"/>
      <c r="FN52" s="652"/>
      <c r="FO52" s="652"/>
      <c r="FP52" s="652"/>
      <c r="FQ52" s="652"/>
      <c r="FR52" s="652"/>
      <c r="FS52" s="652"/>
      <c r="FT52" s="652"/>
      <c r="FU52" s="652"/>
      <c r="FV52" s="652"/>
      <c r="FW52" s="652"/>
      <c r="FX52" s="652"/>
      <c r="FY52" s="652"/>
      <c r="FZ52" s="652"/>
      <c r="GA52" s="652"/>
      <c r="GB52" s="652"/>
      <c r="GC52" s="652"/>
      <c r="GD52" s="652"/>
      <c r="GE52" s="652"/>
      <c r="GF52" s="652"/>
      <c r="GG52" s="652"/>
      <c r="GH52" s="652"/>
      <c r="GI52" s="652"/>
      <c r="GJ52" s="655"/>
      <c r="GK52" s="655"/>
      <c r="GL52" s="655"/>
      <c r="GM52" s="655"/>
      <c r="GN52" s="655"/>
      <c r="GO52" s="655"/>
      <c r="GP52" s="655"/>
      <c r="GQ52" s="655"/>
      <c r="GR52" s="655"/>
      <c r="GS52" s="655"/>
      <c r="GT52" s="655"/>
      <c r="GU52" s="655"/>
      <c r="GV52" s="655"/>
      <c r="GW52" s="655"/>
      <c r="GX52" s="655"/>
      <c r="GY52" s="655"/>
      <c r="GZ52" s="655"/>
      <c r="HA52" s="655"/>
      <c r="HB52" s="655"/>
      <c r="HC52" s="655"/>
      <c r="HD52" s="655"/>
      <c r="HE52" s="655"/>
      <c r="HF52" s="655"/>
      <c r="HG52" s="655"/>
      <c r="HH52" s="655"/>
      <c r="HI52" s="655"/>
      <c r="HJ52" s="655"/>
      <c r="HK52" s="655"/>
      <c r="HL52" s="655"/>
      <c r="HM52" s="655"/>
      <c r="HN52" s="655"/>
      <c r="HO52" s="655"/>
      <c r="HP52" s="655"/>
      <c r="HQ52" s="655"/>
      <c r="HR52" s="657"/>
      <c r="HS52" s="657"/>
      <c r="HT52" s="657"/>
      <c r="HU52" s="657"/>
      <c r="HV52" s="657"/>
      <c r="HW52" s="657"/>
      <c r="HX52" s="657"/>
      <c r="HY52" s="657"/>
      <c r="HZ52" s="657"/>
      <c r="IA52" s="657"/>
      <c r="IB52" s="657"/>
      <c r="IC52" s="657"/>
      <c r="ID52" s="657"/>
      <c r="IE52" s="657"/>
      <c r="IF52" s="657"/>
      <c r="IG52" s="657"/>
      <c r="IH52" s="657"/>
      <c r="II52" s="657"/>
      <c r="IJ52" s="657"/>
      <c r="IK52" s="657"/>
      <c r="IL52" s="657"/>
      <c r="IM52" s="657"/>
      <c r="IN52" s="657"/>
      <c r="IO52" s="657"/>
      <c r="IP52" s="657"/>
      <c r="IQ52" s="657"/>
      <c r="IR52" s="657"/>
      <c r="IS52" s="657"/>
      <c r="IT52" s="657"/>
      <c r="IU52" s="657"/>
      <c r="IV52" s="657"/>
      <c r="IW52" s="657"/>
      <c r="IX52" s="657"/>
      <c r="IY52" s="657"/>
      <c r="IZ52" s="656"/>
      <c r="JA52" s="656"/>
      <c r="JB52" s="656"/>
      <c r="JC52" s="656"/>
      <c r="JD52" s="656"/>
      <c r="JE52" s="656"/>
      <c r="JF52" s="656"/>
      <c r="JG52" s="656"/>
      <c r="JH52" s="656"/>
      <c r="JI52" s="656"/>
      <c r="JJ52" s="656"/>
      <c r="JK52" s="656"/>
      <c r="JL52" s="656"/>
      <c r="JM52" s="656"/>
      <c r="JN52" s="656"/>
      <c r="JO52" s="656"/>
      <c r="JP52" s="656"/>
      <c r="JQ52" s="656"/>
      <c r="JR52" s="656"/>
      <c r="JS52" s="656"/>
      <c r="JT52" s="656"/>
      <c r="JU52" s="656"/>
      <c r="JV52" s="656"/>
      <c r="JW52" s="656"/>
      <c r="JX52" s="656"/>
      <c r="JY52" s="656"/>
      <c r="JZ52" s="656"/>
      <c r="KA52" s="656"/>
      <c r="KB52" s="656"/>
      <c r="KC52" s="656"/>
      <c r="KD52" s="656"/>
      <c r="KE52" s="656"/>
      <c r="KF52" s="656"/>
      <c r="KG52" s="656"/>
    </row>
    <row r="53" spans="1:293" ht="24.95" customHeight="1" x14ac:dyDescent="0.2">
      <c r="A53" s="126" t="s">
        <v>134</v>
      </c>
      <c r="B53" s="1" t="s">
        <v>221</v>
      </c>
      <c r="C53" s="2">
        <v>5</v>
      </c>
      <c r="D53" s="12">
        <v>55</v>
      </c>
      <c r="E53" s="12">
        <v>6</v>
      </c>
      <c r="F53" s="66">
        <v>0</v>
      </c>
      <c r="G53" s="66">
        <v>0.57999999999999996</v>
      </c>
      <c r="H53" s="66">
        <v>0.42</v>
      </c>
      <c r="I53" s="66">
        <v>0</v>
      </c>
      <c r="J53" s="66">
        <v>0.59</v>
      </c>
      <c r="K53" s="66">
        <v>0.39</v>
      </c>
      <c r="L53" s="66">
        <v>0.72</v>
      </c>
      <c r="M53" s="66">
        <v>0.2</v>
      </c>
      <c r="N53" s="66">
        <v>0.24</v>
      </c>
      <c r="O53" s="66">
        <v>0.8</v>
      </c>
      <c r="P53" s="66">
        <v>0.28999999999999998</v>
      </c>
      <c r="Q53" s="66">
        <v>0.46</v>
      </c>
      <c r="R53" s="66">
        <v>0.46</v>
      </c>
      <c r="S53" s="66">
        <v>0.63</v>
      </c>
      <c r="T53" s="66">
        <v>0.27</v>
      </c>
      <c r="U53" s="66">
        <v>0.49</v>
      </c>
      <c r="V53" s="66">
        <v>0.05</v>
      </c>
      <c r="W53" s="66">
        <v>0.1</v>
      </c>
      <c r="X53" s="66">
        <v>0.51</v>
      </c>
      <c r="Y53" s="66">
        <v>0.44</v>
      </c>
      <c r="Z53" s="66">
        <v>1</v>
      </c>
      <c r="AA53" s="66">
        <v>0.04</v>
      </c>
      <c r="AB53" s="66">
        <v>0.46</v>
      </c>
      <c r="AC53" s="66">
        <v>0.18</v>
      </c>
      <c r="AD53" s="66">
        <v>0.38</v>
      </c>
      <c r="AE53" s="66">
        <v>0.38</v>
      </c>
      <c r="AF53" s="66">
        <v>0.52</v>
      </c>
      <c r="AG53" s="66">
        <v>0.6</v>
      </c>
      <c r="AH53" s="12">
        <v>53</v>
      </c>
      <c r="AI53" s="12">
        <v>9</v>
      </c>
      <c r="AJ53" s="40">
        <v>0.06</v>
      </c>
      <c r="AK53" s="40">
        <v>0.5</v>
      </c>
      <c r="AL53" s="40">
        <v>0.44</v>
      </c>
      <c r="AM53" s="40">
        <v>0</v>
      </c>
      <c r="AN53" s="40">
        <v>0.28999999999999998</v>
      </c>
      <c r="AO53" s="40">
        <v>0.41</v>
      </c>
      <c r="AP53" s="40">
        <v>0.56000000000000005</v>
      </c>
      <c r="AQ53" s="40">
        <v>0.26</v>
      </c>
      <c r="AR53" s="40">
        <v>0.56999999999999995</v>
      </c>
      <c r="AS53" s="40">
        <v>0.55000000000000004</v>
      </c>
      <c r="AT53" s="40">
        <v>0.56000000000000005</v>
      </c>
      <c r="AU53" s="40">
        <v>0.46</v>
      </c>
      <c r="AV53" s="40">
        <v>0.7</v>
      </c>
      <c r="AW53" s="40">
        <v>0.5</v>
      </c>
      <c r="AX53" s="40">
        <v>0.39</v>
      </c>
      <c r="AY53" s="40">
        <v>0.3</v>
      </c>
      <c r="AZ53" s="40">
        <v>0.21</v>
      </c>
      <c r="BA53" s="40">
        <v>0.42</v>
      </c>
      <c r="BB53" s="40">
        <v>0.49</v>
      </c>
      <c r="BC53" s="40">
        <v>0.69</v>
      </c>
      <c r="BD53" s="40">
        <v>0.46</v>
      </c>
      <c r="BE53" s="40">
        <v>0.38</v>
      </c>
      <c r="BF53" s="40">
        <v>0.64</v>
      </c>
      <c r="BG53" s="40">
        <v>0.48</v>
      </c>
      <c r="BH53" s="40">
        <v>0.44</v>
      </c>
      <c r="BI53" s="40">
        <v>0.44</v>
      </c>
      <c r="BJ53" s="40">
        <v>0.15</v>
      </c>
      <c r="BK53" s="40">
        <v>0.44</v>
      </c>
      <c r="BL53" s="40">
        <v>0.56000000000000005</v>
      </c>
      <c r="BM53" s="12">
        <v>52</v>
      </c>
      <c r="BN53" s="12">
        <v>8</v>
      </c>
      <c r="BO53" s="66">
        <v>0</v>
      </c>
      <c r="BP53" s="66">
        <v>0.72</v>
      </c>
      <c r="BQ53" s="66">
        <v>0.28000000000000003</v>
      </c>
      <c r="BR53" s="66">
        <v>0</v>
      </c>
      <c r="BS53" s="66">
        <v>0.24</v>
      </c>
      <c r="BT53" s="66">
        <v>0.4</v>
      </c>
      <c r="BU53" s="66">
        <v>0.61</v>
      </c>
      <c r="BV53" s="66">
        <v>0.25</v>
      </c>
      <c r="BW53" s="66">
        <v>0.7</v>
      </c>
      <c r="BX53" s="66">
        <v>0.35</v>
      </c>
      <c r="BY53" s="66">
        <v>0.32</v>
      </c>
      <c r="BZ53" s="66">
        <v>0.48</v>
      </c>
      <c r="CA53" s="66">
        <v>0.36</v>
      </c>
      <c r="CB53" s="66">
        <v>0.28999999999999998</v>
      </c>
      <c r="CC53" s="66">
        <v>0.17</v>
      </c>
      <c r="CD53" s="66">
        <v>0.43</v>
      </c>
      <c r="CE53" s="66">
        <v>0.28999999999999998</v>
      </c>
      <c r="CF53" s="66">
        <v>0.57999999999999996</v>
      </c>
      <c r="CG53" s="66">
        <v>0.67</v>
      </c>
      <c r="CH53" s="66">
        <v>0.53</v>
      </c>
      <c r="CI53" s="66">
        <v>0.6</v>
      </c>
      <c r="CJ53" s="66">
        <v>0.13</v>
      </c>
      <c r="CK53" s="66">
        <v>0.75</v>
      </c>
      <c r="CL53" s="66">
        <v>0.22</v>
      </c>
      <c r="CM53" s="66">
        <v>0.48</v>
      </c>
      <c r="CN53" s="66">
        <v>0.37</v>
      </c>
      <c r="CO53" s="66">
        <v>0.37</v>
      </c>
      <c r="CP53" s="66">
        <v>0.28999999999999998</v>
      </c>
      <c r="CQ53" s="66">
        <v>0.55000000000000004</v>
      </c>
      <c r="CR53" s="66">
        <v>0.43</v>
      </c>
      <c r="CS53" s="12">
        <v>54</v>
      </c>
      <c r="CT53" s="12">
        <v>7</v>
      </c>
      <c r="CU53" s="63">
        <v>0</v>
      </c>
      <c r="CV53" s="63">
        <v>0.47</v>
      </c>
      <c r="CW53" s="63">
        <v>0.53</v>
      </c>
      <c r="CX53" s="63">
        <v>0</v>
      </c>
      <c r="CY53" s="63">
        <v>0.44</v>
      </c>
      <c r="CZ53" s="63">
        <v>0.21</v>
      </c>
      <c r="DA53" s="63">
        <v>0.63</v>
      </c>
      <c r="DB53" s="63">
        <v>0.32</v>
      </c>
      <c r="DC53" s="63">
        <v>0.47</v>
      </c>
      <c r="DD53" s="63">
        <v>0.56999999999999995</v>
      </c>
      <c r="DE53" s="63">
        <v>0.41</v>
      </c>
      <c r="DF53" s="63">
        <v>0.4</v>
      </c>
      <c r="DG53" s="63">
        <v>0.48</v>
      </c>
      <c r="DH53" s="63">
        <v>0.44</v>
      </c>
      <c r="DI53" s="63">
        <v>0.35</v>
      </c>
      <c r="DJ53" s="63">
        <v>0.45</v>
      </c>
      <c r="DK53" s="63">
        <v>0.24</v>
      </c>
      <c r="DL53" s="63">
        <v>0.3</v>
      </c>
      <c r="DM53" s="63">
        <v>0.4</v>
      </c>
      <c r="DN53" s="63">
        <v>0.35</v>
      </c>
      <c r="DO53" s="63">
        <v>0.28000000000000003</v>
      </c>
      <c r="DP53" s="63">
        <v>0.42</v>
      </c>
      <c r="DQ53" s="63">
        <v>0.44</v>
      </c>
      <c r="DR53" s="63">
        <v>0.14000000000000001</v>
      </c>
      <c r="DS53" s="63">
        <v>0.35</v>
      </c>
      <c r="DT53" s="63">
        <v>0.59</v>
      </c>
      <c r="DU53" s="63">
        <v>0.14000000000000001</v>
      </c>
      <c r="DV53" s="63">
        <v>0.44</v>
      </c>
      <c r="DW53" s="63">
        <v>0.09</v>
      </c>
      <c r="DX53" s="35">
        <v>56</v>
      </c>
      <c r="DY53" s="35">
        <v>7</v>
      </c>
      <c r="DZ53" s="40">
        <v>0.05</v>
      </c>
      <c r="EA53" s="40">
        <v>0.52</v>
      </c>
      <c r="EB53" s="40">
        <v>0.43</v>
      </c>
      <c r="EC53" s="40">
        <v>0</v>
      </c>
      <c r="ED53" s="40">
        <v>0.33</v>
      </c>
      <c r="EE53" s="40">
        <v>0.38</v>
      </c>
      <c r="EF53" s="40">
        <v>0.35</v>
      </c>
      <c r="EG53" s="40">
        <v>0.14000000000000001</v>
      </c>
      <c r="EH53" s="40">
        <v>0.21</v>
      </c>
      <c r="EI53" s="40">
        <v>0.42</v>
      </c>
      <c r="EJ53" s="40">
        <v>0.54</v>
      </c>
      <c r="EK53" s="40">
        <v>0.15</v>
      </c>
      <c r="EL53" s="40">
        <v>0.36</v>
      </c>
      <c r="EM53" s="40">
        <v>0.47</v>
      </c>
      <c r="EN53" s="40">
        <v>0.24</v>
      </c>
      <c r="EO53" s="40">
        <v>0.49</v>
      </c>
      <c r="EP53" s="40">
        <v>0.35</v>
      </c>
      <c r="EQ53" s="40">
        <v>0.26</v>
      </c>
      <c r="ER53" s="40">
        <v>0.52</v>
      </c>
      <c r="ES53" s="40">
        <v>0.4</v>
      </c>
      <c r="ET53" s="40">
        <v>0.2</v>
      </c>
      <c r="EU53" s="40">
        <v>0.48</v>
      </c>
      <c r="EV53" s="40">
        <v>0</v>
      </c>
      <c r="EW53" s="40">
        <v>0.33</v>
      </c>
      <c r="EX53" s="40">
        <v>0.57999999999999996</v>
      </c>
      <c r="EY53" s="40">
        <v>0.49</v>
      </c>
      <c r="EZ53" s="40">
        <v>0</v>
      </c>
      <c r="FA53" s="40">
        <v>0.47</v>
      </c>
      <c r="FB53" s="247">
        <v>57</v>
      </c>
      <c r="FC53" s="247" t="s">
        <v>874</v>
      </c>
      <c r="FD53" s="247">
        <v>8</v>
      </c>
      <c r="FE53" s="247" t="s">
        <v>874</v>
      </c>
      <c r="FF53" s="264">
        <v>0</v>
      </c>
      <c r="FG53" s="264">
        <v>0.43</v>
      </c>
      <c r="FH53" s="264">
        <v>0.52</v>
      </c>
      <c r="FI53" s="264">
        <v>0.05</v>
      </c>
      <c r="FJ53" s="264">
        <v>0.35</v>
      </c>
      <c r="FK53" s="264">
        <v>0.56000000000000005</v>
      </c>
      <c r="FL53" s="264">
        <v>0.33</v>
      </c>
      <c r="FM53" s="264">
        <v>0.33</v>
      </c>
      <c r="FN53" s="264">
        <v>0.19</v>
      </c>
      <c r="FO53" s="264">
        <v>0.15</v>
      </c>
      <c r="FP53" s="264">
        <v>0.2</v>
      </c>
      <c r="FQ53" s="264">
        <v>0.24</v>
      </c>
      <c r="FR53" s="264">
        <v>0.4</v>
      </c>
      <c r="FS53" s="264">
        <v>0.32</v>
      </c>
      <c r="FT53" s="264">
        <v>0.4</v>
      </c>
      <c r="FU53" s="264">
        <v>0.11</v>
      </c>
      <c r="FV53" s="264">
        <v>0.48</v>
      </c>
      <c r="FW53" s="264">
        <v>0.51</v>
      </c>
      <c r="FX53" s="264">
        <v>0.28000000000000003</v>
      </c>
      <c r="FY53" s="264">
        <v>0.21</v>
      </c>
      <c r="FZ53" s="264">
        <v>0.41</v>
      </c>
      <c r="GA53" s="264">
        <v>0.43</v>
      </c>
      <c r="GB53" s="264">
        <v>0.35</v>
      </c>
      <c r="GC53" s="264">
        <v>0.3</v>
      </c>
      <c r="GD53" s="264">
        <v>0.45</v>
      </c>
      <c r="GE53" s="264">
        <v>0.42</v>
      </c>
      <c r="GF53" s="264">
        <v>0.27</v>
      </c>
      <c r="GG53" s="264">
        <v>0.26</v>
      </c>
      <c r="GH53" s="264">
        <v>0.49</v>
      </c>
      <c r="GI53" s="264">
        <v>0.17</v>
      </c>
      <c r="GJ53" s="311">
        <v>56</v>
      </c>
      <c r="GK53" s="311" t="s">
        <v>874</v>
      </c>
      <c r="GL53" s="311">
        <v>6</v>
      </c>
      <c r="GM53" s="311" t="s">
        <v>874</v>
      </c>
      <c r="GN53" s="329">
        <v>0</v>
      </c>
      <c r="GO53" s="329">
        <v>0.28000000000000003</v>
      </c>
      <c r="GP53" s="329">
        <v>0.72</v>
      </c>
      <c r="GQ53" s="329">
        <v>0</v>
      </c>
      <c r="GR53" s="329">
        <v>0.37</v>
      </c>
      <c r="GS53" s="329">
        <v>0.36</v>
      </c>
      <c r="GT53" s="329">
        <v>0.67</v>
      </c>
      <c r="GU53" s="329">
        <v>0.14000000000000001</v>
      </c>
      <c r="GV53" s="329">
        <v>0.44</v>
      </c>
      <c r="GW53" s="329">
        <v>0.18</v>
      </c>
      <c r="GX53" s="329">
        <v>0.39</v>
      </c>
      <c r="GY53" s="311" t="s">
        <v>283</v>
      </c>
      <c r="GZ53" s="329">
        <v>0.2</v>
      </c>
      <c r="HA53" s="329">
        <v>0.67</v>
      </c>
      <c r="HB53" s="329">
        <v>0.28999999999999998</v>
      </c>
      <c r="HC53" s="329">
        <v>0.52</v>
      </c>
      <c r="HD53" s="329">
        <v>0.49</v>
      </c>
      <c r="HE53" s="329">
        <v>0.41</v>
      </c>
      <c r="HF53" s="329">
        <v>0.45</v>
      </c>
      <c r="HG53" s="329">
        <v>0.7</v>
      </c>
      <c r="HH53" s="329">
        <v>0.27</v>
      </c>
      <c r="HI53" s="329">
        <v>0.39</v>
      </c>
      <c r="HJ53" s="329">
        <v>0.52</v>
      </c>
      <c r="HK53" s="329">
        <v>0.43</v>
      </c>
      <c r="HL53" s="329">
        <v>0.27</v>
      </c>
      <c r="HM53" s="329">
        <v>0.39</v>
      </c>
      <c r="HN53" s="329">
        <v>0.33</v>
      </c>
      <c r="HO53" s="329">
        <v>0.28999999999999998</v>
      </c>
      <c r="HP53" s="311" t="s">
        <v>283</v>
      </c>
      <c r="HQ53" s="329">
        <v>0.25</v>
      </c>
      <c r="HR53" s="426">
        <v>56</v>
      </c>
      <c r="HS53" s="426" t="s">
        <v>874</v>
      </c>
      <c r="HT53" s="426">
        <v>7</v>
      </c>
      <c r="HU53" s="426" t="s">
        <v>874</v>
      </c>
      <c r="HV53" s="430">
        <v>0</v>
      </c>
      <c r="HW53" s="430">
        <v>0.56999999999999995</v>
      </c>
      <c r="HX53" s="430">
        <v>0.43</v>
      </c>
      <c r="HY53" s="430">
        <v>0</v>
      </c>
      <c r="HZ53" s="430">
        <v>0.19</v>
      </c>
      <c r="IA53" s="430">
        <v>0.39</v>
      </c>
      <c r="IB53" s="430">
        <v>0.26</v>
      </c>
      <c r="IC53" s="430">
        <v>0.43</v>
      </c>
      <c r="ID53" s="430">
        <v>0.65</v>
      </c>
      <c r="IE53" s="430">
        <v>0.12</v>
      </c>
      <c r="IF53" s="430">
        <v>0.33</v>
      </c>
      <c r="IG53" s="430">
        <v>0.56000000000000005</v>
      </c>
      <c r="IH53" s="430">
        <v>0.4</v>
      </c>
      <c r="II53" s="430">
        <v>0.11</v>
      </c>
      <c r="IJ53" s="430">
        <v>0.17</v>
      </c>
      <c r="IK53" s="430">
        <v>0.53</v>
      </c>
      <c r="IL53" s="430">
        <v>0.33</v>
      </c>
      <c r="IM53" s="430">
        <v>0.54</v>
      </c>
      <c r="IN53" s="430">
        <v>0.25</v>
      </c>
      <c r="IO53" s="430">
        <v>0.49</v>
      </c>
      <c r="IP53" s="430">
        <v>0.32</v>
      </c>
      <c r="IQ53" s="430">
        <v>0.65</v>
      </c>
      <c r="IR53" s="430">
        <v>0.5</v>
      </c>
      <c r="IS53" s="430">
        <v>0.31</v>
      </c>
      <c r="IT53" s="430">
        <v>0.35</v>
      </c>
      <c r="IU53" s="426" t="s">
        <v>283</v>
      </c>
      <c r="IV53" s="430">
        <v>0.63</v>
      </c>
      <c r="IW53" s="430">
        <v>0.23</v>
      </c>
      <c r="IX53" s="430">
        <v>0.5</v>
      </c>
      <c r="IY53" s="430">
        <v>0.31</v>
      </c>
      <c r="IZ53" s="466">
        <v>55</v>
      </c>
      <c r="JA53" s="466" t="s">
        <v>874</v>
      </c>
      <c r="JB53" s="466">
        <v>9</v>
      </c>
      <c r="JC53" s="466" t="s">
        <v>874</v>
      </c>
      <c r="JD53" s="480">
        <v>0.05</v>
      </c>
      <c r="JE53" s="480">
        <v>0.43</v>
      </c>
      <c r="JF53" s="480">
        <v>0.52</v>
      </c>
      <c r="JG53" s="480">
        <v>0</v>
      </c>
      <c r="JH53" s="480">
        <v>0.31</v>
      </c>
      <c r="JI53" s="480">
        <v>0.4</v>
      </c>
      <c r="JJ53" s="480">
        <v>0.26</v>
      </c>
      <c r="JK53" s="480">
        <v>0.4</v>
      </c>
      <c r="JL53" s="480">
        <v>0.38</v>
      </c>
      <c r="JM53" s="480">
        <v>0.41</v>
      </c>
      <c r="JN53" s="480">
        <v>0.3</v>
      </c>
      <c r="JO53" s="480">
        <v>0.3</v>
      </c>
      <c r="JP53" s="480">
        <v>0.59</v>
      </c>
      <c r="JQ53" s="480">
        <v>0.14000000000000001</v>
      </c>
      <c r="JR53" s="480">
        <v>0.62</v>
      </c>
      <c r="JS53" s="480">
        <v>0.6</v>
      </c>
      <c r="JT53" s="480">
        <v>0.24</v>
      </c>
      <c r="JU53" s="480">
        <v>0.63</v>
      </c>
      <c r="JV53" s="480">
        <v>0.48</v>
      </c>
      <c r="JW53" s="480">
        <v>0.36</v>
      </c>
      <c r="JX53" s="480">
        <v>0.32</v>
      </c>
      <c r="JY53" s="480">
        <v>0.48</v>
      </c>
      <c r="JZ53" s="480">
        <v>0.42</v>
      </c>
      <c r="KA53" s="480">
        <v>0.5</v>
      </c>
      <c r="KB53" s="480">
        <v>0.41</v>
      </c>
      <c r="KC53" s="480">
        <v>0.48</v>
      </c>
      <c r="KD53" s="480">
        <v>0.35</v>
      </c>
      <c r="KE53" s="480">
        <v>0.53</v>
      </c>
      <c r="KF53" s="480">
        <v>0.35</v>
      </c>
      <c r="KG53" s="480">
        <v>0.35</v>
      </c>
    </row>
    <row r="54" spans="1:293" ht="24.95" customHeight="1" x14ac:dyDescent="0.2">
      <c r="A54" s="126" t="s">
        <v>920</v>
      </c>
      <c r="B54" s="14" t="s">
        <v>221</v>
      </c>
      <c r="C54" s="2">
        <v>6</v>
      </c>
      <c r="D54" s="12"/>
      <c r="E54" s="12"/>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12"/>
      <c r="AI54" s="12"/>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12"/>
      <c r="BN54" s="12"/>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12"/>
      <c r="CT54" s="12"/>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35"/>
      <c r="DY54" s="35"/>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653"/>
      <c r="FC54" s="653"/>
      <c r="FD54" s="653"/>
      <c r="FE54" s="653"/>
      <c r="FF54" s="654"/>
      <c r="FG54" s="654"/>
      <c r="FH54" s="654"/>
      <c r="FI54" s="654"/>
      <c r="FJ54" s="654"/>
      <c r="FK54" s="654"/>
      <c r="FL54" s="654"/>
      <c r="FM54" s="654"/>
      <c r="FN54" s="654"/>
      <c r="FO54" s="654"/>
      <c r="FP54" s="654"/>
      <c r="FQ54" s="654"/>
      <c r="FR54" s="654"/>
      <c r="FS54" s="654"/>
      <c r="FT54" s="654"/>
      <c r="FU54" s="654"/>
      <c r="FV54" s="654"/>
      <c r="FW54" s="654"/>
      <c r="FX54" s="654"/>
      <c r="FY54" s="654"/>
      <c r="FZ54" s="654"/>
      <c r="GA54" s="654"/>
      <c r="GB54" s="654"/>
      <c r="GC54" s="654"/>
      <c r="GD54" s="654"/>
      <c r="GE54" s="654"/>
      <c r="GF54" s="654"/>
      <c r="GG54" s="654"/>
      <c r="GH54" s="654"/>
      <c r="GI54" s="654"/>
      <c r="GJ54" s="74">
        <v>60</v>
      </c>
      <c r="GK54" s="74" t="s">
        <v>875</v>
      </c>
      <c r="GL54" s="74">
        <v>9</v>
      </c>
      <c r="GM54" s="74" t="s">
        <v>874</v>
      </c>
      <c r="GN54" s="96">
        <v>0.06</v>
      </c>
      <c r="GO54" s="96">
        <v>0.31</v>
      </c>
      <c r="GP54" s="96">
        <v>0.5</v>
      </c>
      <c r="GQ54" s="96">
        <v>0.13</v>
      </c>
      <c r="GR54" s="96">
        <v>0.42</v>
      </c>
      <c r="GS54" s="96">
        <v>0.48</v>
      </c>
      <c r="GT54" s="96">
        <v>0.31</v>
      </c>
      <c r="GU54" s="96">
        <v>0.17</v>
      </c>
      <c r="GV54" s="96">
        <v>0.33</v>
      </c>
      <c r="GW54" s="96">
        <v>0.24</v>
      </c>
      <c r="GX54" s="96">
        <v>0.37</v>
      </c>
      <c r="GY54" s="74" t="s">
        <v>283</v>
      </c>
      <c r="GZ54" s="96">
        <v>0.22</v>
      </c>
      <c r="HA54" s="96">
        <v>0.36</v>
      </c>
      <c r="HB54" s="96">
        <v>0.34</v>
      </c>
      <c r="HC54" s="96">
        <v>0.32</v>
      </c>
      <c r="HD54" s="96">
        <v>0.43</v>
      </c>
      <c r="HE54" s="96">
        <v>0.11</v>
      </c>
      <c r="HF54" s="96">
        <v>0.27</v>
      </c>
      <c r="HG54" s="96">
        <v>0.56000000000000005</v>
      </c>
      <c r="HH54" s="96">
        <v>0.18</v>
      </c>
      <c r="HI54" s="96">
        <v>0.45</v>
      </c>
      <c r="HJ54" s="96">
        <v>0.46</v>
      </c>
      <c r="HK54" s="96">
        <v>0.28000000000000003</v>
      </c>
      <c r="HL54" s="96">
        <v>0.12</v>
      </c>
      <c r="HM54" s="96">
        <v>0.32</v>
      </c>
      <c r="HN54" s="96">
        <v>0.33</v>
      </c>
      <c r="HO54" s="96">
        <v>0.1</v>
      </c>
      <c r="HP54" s="74" t="s">
        <v>283</v>
      </c>
      <c r="HQ54" s="96">
        <v>0.28000000000000003</v>
      </c>
      <c r="HR54" s="658">
        <v>58</v>
      </c>
      <c r="HS54" s="658" t="s">
        <v>874</v>
      </c>
      <c r="HT54" s="658">
        <v>8</v>
      </c>
      <c r="HU54" s="658" t="s">
        <v>874</v>
      </c>
      <c r="HV54" s="659">
        <v>0</v>
      </c>
      <c r="HW54" s="659">
        <v>0.44</v>
      </c>
      <c r="HX54" s="659">
        <v>0.52</v>
      </c>
      <c r="HY54" s="659">
        <v>0.04</v>
      </c>
      <c r="HZ54" s="659">
        <v>0.25</v>
      </c>
      <c r="IA54" s="659">
        <v>0.44</v>
      </c>
      <c r="IB54" s="659">
        <v>0.28999999999999998</v>
      </c>
      <c r="IC54" s="659">
        <v>0.38</v>
      </c>
      <c r="ID54" s="659">
        <v>0.62</v>
      </c>
      <c r="IE54" s="659">
        <v>0.18</v>
      </c>
      <c r="IF54" s="659">
        <v>0.24</v>
      </c>
      <c r="IG54" s="659">
        <v>0.52</v>
      </c>
      <c r="IH54" s="659">
        <v>0.47</v>
      </c>
      <c r="II54" s="659">
        <v>0</v>
      </c>
      <c r="IJ54" s="659">
        <v>0.21</v>
      </c>
      <c r="IK54" s="659">
        <v>0.48</v>
      </c>
      <c r="IL54" s="659">
        <v>0.17</v>
      </c>
      <c r="IM54" s="659">
        <v>0.56000000000000005</v>
      </c>
      <c r="IN54" s="659">
        <v>0.42</v>
      </c>
      <c r="IO54" s="659">
        <v>0.42</v>
      </c>
      <c r="IP54" s="659">
        <v>0.26</v>
      </c>
      <c r="IQ54" s="659">
        <v>0.54</v>
      </c>
      <c r="IR54" s="659">
        <v>0.24</v>
      </c>
      <c r="IS54" s="659">
        <v>0.5</v>
      </c>
      <c r="IT54" s="659">
        <v>0.3</v>
      </c>
      <c r="IU54" s="658" t="s">
        <v>283</v>
      </c>
      <c r="IV54" s="659">
        <v>0.39</v>
      </c>
      <c r="IW54" s="659">
        <v>0.3</v>
      </c>
      <c r="IX54" s="659">
        <v>0.38</v>
      </c>
      <c r="IY54" s="659">
        <v>0.27</v>
      </c>
      <c r="IZ54" s="74">
        <v>63</v>
      </c>
      <c r="JA54" s="74" t="s">
        <v>875</v>
      </c>
      <c r="JB54" s="74">
        <v>11</v>
      </c>
      <c r="JC54" s="74" t="s">
        <v>874</v>
      </c>
      <c r="JD54" s="96">
        <v>0</v>
      </c>
      <c r="JE54" s="96">
        <v>0.14000000000000001</v>
      </c>
      <c r="JF54" s="96">
        <v>0.73</v>
      </c>
      <c r="JG54" s="96">
        <v>0.14000000000000001</v>
      </c>
      <c r="JH54" s="96">
        <v>0.12</v>
      </c>
      <c r="JI54" s="96">
        <v>0.33</v>
      </c>
      <c r="JJ54" s="96">
        <v>0.25</v>
      </c>
      <c r="JK54" s="96">
        <v>0.36</v>
      </c>
      <c r="JL54" s="96">
        <v>0.24</v>
      </c>
      <c r="JM54" s="96">
        <v>0.25</v>
      </c>
      <c r="JN54" s="96">
        <v>0.22</v>
      </c>
      <c r="JO54" s="96">
        <v>0.32</v>
      </c>
      <c r="JP54" s="96">
        <v>0.4</v>
      </c>
      <c r="JQ54" s="96">
        <v>0.08</v>
      </c>
      <c r="JR54" s="96">
        <v>0.39</v>
      </c>
      <c r="JS54" s="96">
        <v>0.26</v>
      </c>
      <c r="JT54" s="96">
        <v>0.26</v>
      </c>
      <c r="JU54" s="96">
        <v>0.19</v>
      </c>
      <c r="JV54" s="96">
        <v>0.28999999999999998</v>
      </c>
      <c r="JW54" s="96">
        <v>0.27</v>
      </c>
      <c r="JX54" s="96">
        <v>0.17</v>
      </c>
      <c r="JY54" s="96">
        <v>0.3</v>
      </c>
      <c r="JZ54" s="96">
        <v>0.32</v>
      </c>
      <c r="KA54" s="96">
        <v>0.33</v>
      </c>
      <c r="KB54" s="96">
        <v>0.24</v>
      </c>
      <c r="KC54" s="96">
        <v>0.48</v>
      </c>
      <c r="KD54" s="96">
        <v>0.09</v>
      </c>
      <c r="KE54" s="96">
        <v>0.33</v>
      </c>
      <c r="KF54" s="96">
        <v>0.24</v>
      </c>
      <c r="KG54" s="96">
        <v>0.22</v>
      </c>
    </row>
    <row r="55" spans="1:293" ht="24.95" customHeight="1" x14ac:dyDescent="0.2">
      <c r="A55" s="126" t="s">
        <v>101</v>
      </c>
      <c r="B55" s="1" t="s">
        <v>221</v>
      </c>
      <c r="C55" s="2">
        <v>1</v>
      </c>
      <c r="D55" s="12">
        <v>55</v>
      </c>
      <c r="E55" s="12">
        <v>7</v>
      </c>
      <c r="F55" s="66">
        <v>0</v>
      </c>
      <c r="G55" s="66">
        <v>0.55000000000000004</v>
      </c>
      <c r="H55" s="66">
        <v>0.43</v>
      </c>
      <c r="I55" s="66">
        <v>0.02</v>
      </c>
      <c r="J55" s="66">
        <v>0.27</v>
      </c>
      <c r="K55" s="66">
        <v>0.37</v>
      </c>
      <c r="L55" s="66">
        <v>0.73</v>
      </c>
      <c r="M55" s="66">
        <v>0.18</v>
      </c>
      <c r="N55" s="66">
        <v>0.28000000000000003</v>
      </c>
      <c r="O55" s="66">
        <v>0.55000000000000004</v>
      </c>
      <c r="P55" s="66">
        <v>0.25</v>
      </c>
      <c r="Q55" s="66">
        <v>0.49</v>
      </c>
      <c r="R55" s="66">
        <v>0.52</v>
      </c>
      <c r="S55" s="66">
        <v>0.7</v>
      </c>
      <c r="T55" s="66">
        <v>0.56000000000000005</v>
      </c>
      <c r="U55" s="66">
        <v>0.64</v>
      </c>
      <c r="V55" s="66">
        <v>0.06</v>
      </c>
      <c r="W55" s="66">
        <v>0.15</v>
      </c>
      <c r="X55" s="66">
        <v>0.34</v>
      </c>
      <c r="Y55" s="66">
        <v>0.52</v>
      </c>
      <c r="Z55" s="66">
        <v>0</v>
      </c>
      <c r="AA55" s="66">
        <v>0.11</v>
      </c>
      <c r="AB55" s="66">
        <v>0.52</v>
      </c>
      <c r="AC55" s="66">
        <v>0.15</v>
      </c>
      <c r="AD55" s="66">
        <v>0.41</v>
      </c>
      <c r="AE55" s="66">
        <v>0.45</v>
      </c>
      <c r="AF55" s="66">
        <v>0.49</v>
      </c>
      <c r="AG55" s="66">
        <v>0.43</v>
      </c>
      <c r="AH55" s="12">
        <v>53</v>
      </c>
      <c r="AI55" s="12">
        <v>7</v>
      </c>
      <c r="AJ55" s="40">
        <v>0.02</v>
      </c>
      <c r="AK55" s="40">
        <v>0.56000000000000005</v>
      </c>
      <c r="AL55" s="40">
        <v>0.4</v>
      </c>
      <c r="AM55" s="40">
        <v>0.02</v>
      </c>
      <c r="AN55" s="40">
        <v>0.28000000000000003</v>
      </c>
      <c r="AO55" s="40">
        <v>0.45</v>
      </c>
      <c r="AP55" s="40">
        <v>0.69</v>
      </c>
      <c r="AQ55" s="40">
        <v>0.32</v>
      </c>
      <c r="AR55" s="40">
        <v>0.46</v>
      </c>
      <c r="AS55" s="40">
        <v>0.5</v>
      </c>
      <c r="AT55" s="40">
        <v>0.54</v>
      </c>
      <c r="AU55" s="40">
        <v>0.46</v>
      </c>
      <c r="AV55" s="40">
        <v>0.67</v>
      </c>
      <c r="AW55" s="40">
        <v>0.52</v>
      </c>
      <c r="AX55" s="40">
        <v>0.6</v>
      </c>
      <c r="AY55" s="40">
        <v>0.26</v>
      </c>
      <c r="AZ55" s="40">
        <v>0.23</v>
      </c>
      <c r="BA55" s="40">
        <v>0.43</v>
      </c>
      <c r="BB55" s="40">
        <v>0.73</v>
      </c>
      <c r="BC55" s="40">
        <v>0.69</v>
      </c>
      <c r="BD55" s="40">
        <v>0.34</v>
      </c>
      <c r="BE55" s="40">
        <v>0.56000000000000005</v>
      </c>
      <c r="BF55" s="40">
        <v>0.63</v>
      </c>
      <c r="BG55" s="40">
        <v>0.52</v>
      </c>
      <c r="BH55" s="40">
        <v>0.43</v>
      </c>
      <c r="BI55" s="40">
        <v>0.4</v>
      </c>
      <c r="BJ55" s="40">
        <v>0.36</v>
      </c>
      <c r="BK55" s="40">
        <v>0.37</v>
      </c>
      <c r="BL55" s="40">
        <v>0.52</v>
      </c>
      <c r="BM55" s="12">
        <v>54</v>
      </c>
      <c r="BN55" s="12">
        <v>8</v>
      </c>
      <c r="BO55" s="66">
        <v>0.02</v>
      </c>
      <c r="BP55" s="66">
        <v>0.63</v>
      </c>
      <c r="BQ55" s="66">
        <v>0.32</v>
      </c>
      <c r="BR55" s="66">
        <v>0.04</v>
      </c>
      <c r="BS55" s="66">
        <v>0.26</v>
      </c>
      <c r="BT55" s="66">
        <v>0.5</v>
      </c>
      <c r="BU55" s="66">
        <v>0.71</v>
      </c>
      <c r="BV55" s="66">
        <v>0.1</v>
      </c>
      <c r="BW55" s="66">
        <v>0.62</v>
      </c>
      <c r="BX55" s="66">
        <v>0.34</v>
      </c>
      <c r="BY55" s="66">
        <v>0.37</v>
      </c>
      <c r="BZ55" s="66">
        <v>0.43</v>
      </c>
      <c r="CA55" s="66">
        <v>0.44</v>
      </c>
      <c r="CB55" s="66">
        <v>0.27</v>
      </c>
      <c r="CC55" s="66">
        <v>0.1</v>
      </c>
      <c r="CD55" s="66">
        <v>0.31</v>
      </c>
      <c r="CE55" s="66">
        <v>0.3</v>
      </c>
      <c r="CF55" s="66">
        <v>0.55000000000000004</v>
      </c>
      <c r="CG55" s="66">
        <v>0.56999999999999995</v>
      </c>
      <c r="CH55" s="66">
        <v>0.38</v>
      </c>
      <c r="CI55" s="66">
        <v>0.54</v>
      </c>
      <c r="CJ55" s="66">
        <v>0.28000000000000003</v>
      </c>
      <c r="CK55" s="66">
        <v>0.62</v>
      </c>
      <c r="CL55" s="66">
        <v>0.23</v>
      </c>
      <c r="CM55" s="66">
        <v>0.42</v>
      </c>
      <c r="CN55" s="66">
        <v>0.46</v>
      </c>
      <c r="CO55" s="66">
        <v>0.4</v>
      </c>
      <c r="CP55" s="66">
        <v>0.28999999999999998</v>
      </c>
      <c r="CQ55" s="66">
        <v>0.5</v>
      </c>
      <c r="CR55" s="66">
        <v>0.52</v>
      </c>
      <c r="CS55" s="12">
        <v>53</v>
      </c>
      <c r="CT55" s="12">
        <v>8</v>
      </c>
      <c r="CU55" s="63">
        <v>0.04</v>
      </c>
      <c r="CV55" s="63">
        <v>0.6</v>
      </c>
      <c r="CW55" s="63">
        <v>0.35</v>
      </c>
      <c r="CX55" s="63">
        <v>0.02</v>
      </c>
      <c r="CY55" s="63">
        <v>0.42</v>
      </c>
      <c r="CZ55" s="63">
        <v>0.26</v>
      </c>
      <c r="DA55" s="63">
        <v>0.52</v>
      </c>
      <c r="DB55" s="63">
        <v>0.28999999999999998</v>
      </c>
      <c r="DC55" s="63">
        <v>0.42</v>
      </c>
      <c r="DD55" s="63">
        <v>0.56000000000000005</v>
      </c>
      <c r="DE55" s="63">
        <v>0.37</v>
      </c>
      <c r="DF55" s="63">
        <v>0.49</v>
      </c>
      <c r="DG55" s="63">
        <v>0.42</v>
      </c>
      <c r="DH55" s="63">
        <v>0.33</v>
      </c>
      <c r="DI55" s="63">
        <v>0.48</v>
      </c>
      <c r="DJ55" s="63">
        <v>0.48</v>
      </c>
      <c r="DK55" s="63">
        <v>0.31</v>
      </c>
      <c r="DL55" s="63">
        <v>0.21</v>
      </c>
      <c r="DM55" s="63">
        <v>0.42</v>
      </c>
      <c r="DN55" s="63">
        <v>0.4</v>
      </c>
      <c r="DO55" s="63">
        <v>0.48</v>
      </c>
      <c r="DP55" s="63">
        <v>0.44</v>
      </c>
      <c r="DQ55" s="63">
        <v>0.5</v>
      </c>
      <c r="DR55" s="63">
        <v>0.12</v>
      </c>
      <c r="DS55" s="63">
        <v>0.38</v>
      </c>
      <c r="DT55" s="63">
        <v>0.51</v>
      </c>
      <c r="DU55" s="63">
        <v>0.4</v>
      </c>
      <c r="DV55" s="63">
        <v>0.56000000000000005</v>
      </c>
      <c r="DW55" s="63">
        <v>0.26</v>
      </c>
      <c r="DX55" s="35">
        <v>52</v>
      </c>
      <c r="DY55" s="35">
        <v>9</v>
      </c>
      <c r="DZ55" s="40">
        <v>0.05</v>
      </c>
      <c r="EA55" s="40">
        <v>0.62</v>
      </c>
      <c r="EB55" s="40">
        <v>0.28999999999999998</v>
      </c>
      <c r="EC55" s="40">
        <v>0.04</v>
      </c>
      <c r="ED55" s="40">
        <v>0.44</v>
      </c>
      <c r="EE55" s="40">
        <v>0.39</v>
      </c>
      <c r="EF55" s="40">
        <v>0.34</v>
      </c>
      <c r="EG55" s="40">
        <v>0.48</v>
      </c>
      <c r="EH55" s="40">
        <v>0.36</v>
      </c>
      <c r="EI55" s="40">
        <v>0.48</v>
      </c>
      <c r="EJ55" s="40">
        <v>0.56000000000000005</v>
      </c>
      <c r="EK55" s="40">
        <v>0.16</v>
      </c>
      <c r="EL55" s="40">
        <v>0.4</v>
      </c>
      <c r="EM55" s="40">
        <v>0.54</v>
      </c>
      <c r="EN55" s="40">
        <v>0.4</v>
      </c>
      <c r="EO55" s="40">
        <v>0.56999999999999995</v>
      </c>
      <c r="EP55" s="40">
        <v>0.35</v>
      </c>
      <c r="EQ55" s="40">
        <v>0.33</v>
      </c>
      <c r="ER55" s="40">
        <v>0.57999999999999996</v>
      </c>
      <c r="ES55" s="40">
        <v>0.47</v>
      </c>
      <c r="ET55" s="40">
        <v>0.28000000000000003</v>
      </c>
      <c r="EU55" s="40">
        <v>0.67</v>
      </c>
      <c r="EV55" s="40">
        <v>0.32</v>
      </c>
      <c r="EW55" s="40">
        <v>0.28999999999999998</v>
      </c>
      <c r="EX55" s="40">
        <v>0.66</v>
      </c>
      <c r="EY55" s="40">
        <v>0.52</v>
      </c>
      <c r="EZ55" s="40">
        <v>0.25</v>
      </c>
      <c r="FA55" s="40">
        <v>0.56000000000000005</v>
      </c>
      <c r="FB55" s="247">
        <v>52</v>
      </c>
      <c r="FC55" s="247" t="s">
        <v>874</v>
      </c>
      <c r="FD55" s="247">
        <v>8</v>
      </c>
      <c r="FE55" s="247" t="s">
        <v>874</v>
      </c>
      <c r="FF55" s="264">
        <v>7.0000000000000007E-2</v>
      </c>
      <c r="FG55" s="264">
        <v>0.6</v>
      </c>
      <c r="FH55" s="264">
        <v>0.33</v>
      </c>
      <c r="FI55" s="264">
        <v>0</v>
      </c>
      <c r="FJ55" s="264">
        <v>0.4</v>
      </c>
      <c r="FK55" s="264">
        <v>0.65</v>
      </c>
      <c r="FL55" s="264">
        <v>0.48</v>
      </c>
      <c r="FM55" s="264">
        <v>0.35</v>
      </c>
      <c r="FN55" s="264">
        <v>0.24</v>
      </c>
      <c r="FO55" s="264">
        <v>0.27</v>
      </c>
      <c r="FP55" s="264">
        <v>0.32</v>
      </c>
      <c r="FQ55" s="264">
        <v>0.36</v>
      </c>
      <c r="FR55" s="264">
        <v>0.52</v>
      </c>
      <c r="FS55" s="264">
        <v>0.53</v>
      </c>
      <c r="FT55" s="264">
        <v>0.43</v>
      </c>
      <c r="FU55" s="264">
        <v>0.32</v>
      </c>
      <c r="FV55" s="264">
        <v>0.56999999999999995</v>
      </c>
      <c r="FW55" s="264">
        <v>0.5</v>
      </c>
      <c r="FX55" s="264">
        <v>0.39</v>
      </c>
      <c r="FY55" s="264">
        <v>0.3</v>
      </c>
      <c r="FZ55" s="264">
        <v>0.4</v>
      </c>
      <c r="GA55" s="264">
        <v>0.49</v>
      </c>
      <c r="GB55" s="264">
        <v>0.43</v>
      </c>
      <c r="GC55" s="264">
        <v>0.37</v>
      </c>
      <c r="GD55" s="264">
        <v>0.6</v>
      </c>
      <c r="GE55" s="264">
        <v>0.52</v>
      </c>
      <c r="GF55" s="264">
        <v>0.39</v>
      </c>
      <c r="GG55" s="264">
        <v>0.5</v>
      </c>
      <c r="GH55" s="264">
        <v>0.56999999999999995</v>
      </c>
      <c r="GI55" s="264">
        <v>0.28000000000000003</v>
      </c>
      <c r="GJ55" s="311">
        <v>52</v>
      </c>
      <c r="GK55" s="311" t="s">
        <v>874</v>
      </c>
      <c r="GL55" s="311">
        <v>7</v>
      </c>
      <c r="GM55" s="311" t="s">
        <v>874</v>
      </c>
      <c r="GN55" s="329">
        <v>0.02</v>
      </c>
      <c r="GO55" s="329">
        <v>0.68</v>
      </c>
      <c r="GP55" s="329">
        <v>0.3</v>
      </c>
      <c r="GQ55" s="329">
        <v>0</v>
      </c>
      <c r="GR55" s="329">
        <v>0.42</v>
      </c>
      <c r="GS55" s="329">
        <v>0.56999999999999995</v>
      </c>
      <c r="GT55" s="329">
        <v>0.67</v>
      </c>
      <c r="GU55" s="329">
        <v>0.13</v>
      </c>
      <c r="GV55" s="329">
        <v>0.54</v>
      </c>
      <c r="GW55" s="329">
        <v>0.62</v>
      </c>
      <c r="GX55" s="329">
        <v>0.43</v>
      </c>
      <c r="GY55" s="311" t="s">
        <v>283</v>
      </c>
      <c r="GZ55" s="329">
        <v>0.2</v>
      </c>
      <c r="HA55" s="329">
        <v>0.32</v>
      </c>
      <c r="HB55" s="329">
        <v>0.41</v>
      </c>
      <c r="HC55" s="329">
        <v>0.49</v>
      </c>
      <c r="HD55" s="329">
        <v>0.53</v>
      </c>
      <c r="HE55" s="329">
        <v>0.47</v>
      </c>
      <c r="HF55" s="329">
        <v>0.41</v>
      </c>
      <c r="HG55" s="329">
        <v>0.68</v>
      </c>
      <c r="HH55" s="329">
        <v>0.33</v>
      </c>
      <c r="HI55" s="329">
        <v>0.49</v>
      </c>
      <c r="HJ55" s="329">
        <v>0.56000000000000005</v>
      </c>
      <c r="HK55" s="329">
        <v>0.46</v>
      </c>
      <c r="HL55" s="329">
        <v>0.37</v>
      </c>
      <c r="HM55" s="329">
        <v>0.44</v>
      </c>
      <c r="HN55" s="329">
        <v>0.49</v>
      </c>
      <c r="HO55" s="329">
        <v>0.47</v>
      </c>
      <c r="HP55" s="311" t="s">
        <v>283</v>
      </c>
      <c r="HQ55" s="329">
        <v>0.48</v>
      </c>
      <c r="HR55" s="426">
        <v>53</v>
      </c>
      <c r="HS55" s="426" t="s">
        <v>874</v>
      </c>
      <c r="HT55" s="426">
        <v>9</v>
      </c>
      <c r="HU55" s="426" t="s">
        <v>874</v>
      </c>
      <c r="HV55" s="430">
        <v>0.09</v>
      </c>
      <c r="HW55" s="430">
        <v>0.51</v>
      </c>
      <c r="HX55" s="430">
        <v>0.35</v>
      </c>
      <c r="HY55" s="430">
        <v>0.05</v>
      </c>
      <c r="HZ55" s="430">
        <v>0.34</v>
      </c>
      <c r="IA55" s="430">
        <v>0.59</v>
      </c>
      <c r="IB55" s="430">
        <v>0.32</v>
      </c>
      <c r="IC55" s="430">
        <v>0.47</v>
      </c>
      <c r="ID55" s="430">
        <v>0.59</v>
      </c>
      <c r="IE55" s="430">
        <v>0.32</v>
      </c>
      <c r="IF55" s="430">
        <v>0.35</v>
      </c>
      <c r="IG55" s="430">
        <v>0.53</v>
      </c>
      <c r="IH55" s="430">
        <v>0.49</v>
      </c>
      <c r="II55" s="430">
        <v>0.28000000000000003</v>
      </c>
      <c r="IJ55" s="430">
        <v>0.18</v>
      </c>
      <c r="IK55" s="430">
        <v>0.48</v>
      </c>
      <c r="IL55" s="430">
        <v>0.28000000000000003</v>
      </c>
      <c r="IM55" s="430">
        <v>0.56000000000000005</v>
      </c>
      <c r="IN55" s="430">
        <v>0.41</v>
      </c>
      <c r="IO55" s="430">
        <v>0.49</v>
      </c>
      <c r="IP55" s="430">
        <v>0.44</v>
      </c>
      <c r="IQ55" s="430">
        <v>0.63</v>
      </c>
      <c r="IR55" s="430">
        <v>0.56999999999999995</v>
      </c>
      <c r="IS55" s="430">
        <v>0.48</v>
      </c>
      <c r="IT55" s="430">
        <v>0.36</v>
      </c>
      <c r="IU55" s="426" t="s">
        <v>283</v>
      </c>
      <c r="IV55" s="430">
        <v>0.63</v>
      </c>
      <c r="IW55" s="430">
        <v>0.32</v>
      </c>
      <c r="IX55" s="430">
        <v>0.47</v>
      </c>
      <c r="IY55" s="430">
        <v>0.47</v>
      </c>
      <c r="IZ55" s="466">
        <v>52</v>
      </c>
      <c r="JA55" s="466" t="s">
        <v>874</v>
      </c>
      <c r="JB55" s="466">
        <v>9</v>
      </c>
      <c r="JC55" s="466" t="s">
        <v>874</v>
      </c>
      <c r="JD55" s="480">
        <v>0.06</v>
      </c>
      <c r="JE55" s="480">
        <v>0.6</v>
      </c>
      <c r="JF55" s="480">
        <v>0.28999999999999998</v>
      </c>
      <c r="JG55" s="480">
        <v>0.05</v>
      </c>
      <c r="JH55" s="480">
        <v>0.46</v>
      </c>
      <c r="JI55" s="480">
        <v>0.41</v>
      </c>
      <c r="JJ55" s="480">
        <v>0.47</v>
      </c>
      <c r="JK55" s="480">
        <v>0.47</v>
      </c>
      <c r="JL55" s="480">
        <v>0.5</v>
      </c>
      <c r="JM55" s="480">
        <v>0.53</v>
      </c>
      <c r="JN55" s="480">
        <v>0.41</v>
      </c>
      <c r="JO55" s="480">
        <v>0.41</v>
      </c>
      <c r="JP55" s="480">
        <v>0.46</v>
      </c>
      <c r="JQ55" s="480">
        <v>0.18</v>
      </c>
      <c r="JR55" s="480">
        <v>0.5</v>
      </c>
      <c r="JS55" s="480">
        <v>0.63</v>
      </c>
      <c r="JT55" s="480">
        <v>0.43</v>
      </c>
      <c r="JU55" s="480">
        <v>0.48</v>
      </c>
      <c r="JV55" s="480">
        <v>0.46</v>
      </c>
      <c r="JW55" s="480">
        <v>0.48</v>
      </c>
      <c r="JX55" s="480">
        <v>0.4</v>
      </c>
      <c r="JY55" s="480">
        <v>0.47</v>
      </c>
      <c r="JZ55" s="480">
        <v>0.4</v>
      </c>
      <c r="KA55" s="480">
        <v>0.59</v>
      </c>
      <c r="KB55" s="480">
        <v>0.46</v>
      </c>
      <c r="KC55" s="480">
        <v>0.65</v>
      </c>
      <c r="KD55" s="480">
        <v>0.34</v>
      </c>
      <c r="KE55" s="480">
        <v>0.45</v>
      </c>
      <c r="KF55" s="480">
        <v>0.46</v>
      </c>
      <c r="KG55" s="480">
        <v>0.54</v>
      </c>
    </row>
    <row r="56" spans="1:293" ht="24.95" customHeight="1" x14ac:dyDescent="0.2">
      <c r="A56" s="560" t="s">
        <v>229</v>
      </c>
      <c r="B56" s="1" t="s">
        <v>221</v>
      </c>
      <c r="C56" s="311">
        <v>1</v>
      </c>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t="s">
        <v>224</v>
      </c>
      <c r="AI56" s="330" t="s">
        <v>224</v>
      </c>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0">
        <v>50</v>
      </c>
      <c r="BN56" s="330">
        <v>6</v>
      </c>
      <c r="BO56" s="335">
        <v>0</v>
      </c>
      <c r="BP56" s="335">
        <v>0.83</v>
      </c>
      <c r="BQ56" s="335">
        <v>0.17</v>
      </c>
      <c r="BR56" s="335">
        <v>0</v>
      </c>
      <c r="BS56" s="335">
        <v>0.4</v>
      </c>
      <c r="BT56" s="335">
        <v>1</v>
      </c>
      <c r="BU56" s="335">
        <v>0.75</v>
      </c>
      <c r="BV56" s="335">
        <v>0.5</v>
      </c>
      <c r="BW56" s="335">
        <v>0.28999999999999998</v>
      </c>
      <c r="BX56" s="335">
        <v>0.5</v>
      </c>
      <c r="BY56" s="335">
        <v>0.5</v>
      </c>
      <c r="BZ56" s="335">
        <v>0.61</v>
      </c>
      <c r="CA56" s="335">
        <v>0.2</v>
      </c>
      <c r="CB56" s="335">
        <v>0.43</v>
      </c>
      <c r="CC56" s="335">
        <v>0.09</v>
      </c>
      <c r="CD56" s="335">
        <v>0.35</v>
      </c>
      <c r="CE56" s="335">
        <v>0.21</v>
      </c>
      <c r="CF56" s="335">
        <v>0.5</v>
      </c>
      <c r="CG56" s="335">
        <v>0.75</v>
      </c>
      <c r="CH56" s="335">
        <v>0.26</v>
      </c>
      <c r="CI56" s="335">
        <v>0.53</v>
      </c>
      <c r="CJ56" s="335">
        <v>0.17</v>
      </c>
      <c r="CK56" s="335">
        <v>0.76</v>
      </c>
      <c r="CL56" s="335">
        <v>0.31</v>
      </c>
      <c r="CM56" s="335">
        <v>0.4</v>
      </c>
      <c r="CN56" s="335">
        <v>0.67</v>
      </c>
      <c r="CO56" s="335">
        <v>0.5</v>
      </c>
      <c r="CP56" s="335">
        <v>0.35</v>
      </c>
      <c r="CQ56" s="335">
        <v>0.71</v>
      </c>
      <c r="CR56" s="335">
        <v>0.45</v>
      </c>
      <c r="CS56" s="330">
        <v>49</v>
      </c>
      <c r="CT56" s="330">
        <v>7</v>
      </c>
      <c r="CU56" s="329">
        <v>0.1</v>
      </c>
      <c r="CV56" s="329">
        <v>0.7</v>
      </c>
      <c r="CW56" s="329">
        <v>0.2</v>
      </c>
      <c r="CX56" s="329">
        <v>0</v>
      </c>
      <c r="CY56" s="329">
        <v>0.54</v>
      </c>
      <c r="CZ56" s="329">
        <v>0.27</v>
      </c>
      <c r="DA56" s="329">
        <v>0.52</v>
      </c>
      <c r="DB56" s="329">
        <v>0.4</v>
      </c>
      <c r="DC56" s="329">
        <v>0.38</v>
      </c>
      <c r="DD56" s="329">
        <v>0.89</v>
      </c>
      <c r="DE56" s="329">
        <v>0.64</v>
      </c>
      <c r="DF56" s="329">
        <v>0.47</v>
      </c>
      <c r="DG56" s="329">
        <v>0.43</v>
      </c>
      <c r="DH56" s="329">
        <v>0.44</v>
      </c>
      <c r="DI56" s="329">
        <v>0.5</v>
      </c>
      <c r="DJ56" s="329">
        <v>0.59</v>
      </c>
      <c r="DK56" s="329">
        <v>0.33</v>
      </c>
      <c r="DL56" s="329">
        <v>0.44</v>
      </c>
      <c r="DM56" s="329">
        <v>0.56999999999999995</v>
      </c>
      <c r="DN56" s="329">
        <v>0.64</v>
      </c>
      <c r="DO56" s="329">
        <v>0.3</v>
      </c>
      <c r="DP56" s="329">
        <v>0.46</v>
      </c>
      <c r="DQ56" s="329">
        <v>0.55000000000000004</v>
      </c>
      <c r="DR56" s="329">
        <v>0.18</v>
      </c>
      <c r="DS56" s="329">
        <v>0.32</v>
      </c>
      <c r="DT56" s="329">
        <v>0.73</v>
      </c>
      <c r="DU56" s="329">
        <v>0.25</v>
      </c>
      <c r="DV56" s="329">
        <v>0.59</v>
      </c>
      <c r="DW56" s="329">
        <v>0.3</v>
      </c>
      <c r="DX56" s="313">
        <v>49</v>
      </c>
      <c r="DY56" s="313">
        <v>5</v>
      </c>
      <c r="DZ56" s="333">
        <v>0</v>
      </c>
      <c r="EA56" s="333">
        <v>0.8</v>
      </c>
      <c r="EB56" s="333">
        <v>0.2</v>
      </c>
      <c r="EC56" s="333">
        <v>0</v>
      </c>
      <c r="ED56" s="333">
        <v>0.48</v>
      </c>
      <c r="EE56" s="333">
        <v>0.38</v>
      </c>
      <c r="EF56" s="333">
        <v>0.35</v>
      </c>
      <c r="EG56" s="333">
        <v>0.38</v>
      </c>
      <c r="EH56" s="333">
        <v>0.35</v>
      </c>
      <c r="EI56" s="333">
        <v>0.33</v>
      </c>
      <c r="EJ56" s="333">
        <v>0.87</v>
      </c>
      <c r="EK56" s="333">
        <v>0.44</v>
      </c>
      <c r="EL56" s="333">
        <v>0.59</v>
      </c>
      <c r="EM56" s="333">
        <v>0.67</v>
      </c>
      <c r="EN56" s="333">
        <v>0.22</v>
      </c>
      <c r="EO56" s="333">
        <v>0.6</v>
      </c>
      <c r="EP56" s="333">
        <v>0.39</v>
      </c>
      <c r="EQ56" s="333">
        <v>0.44</v>
      </c>
      <c r="ER56" s="333">
        <v>0.53</v>
      </c>
      <c r="ES56" s="333">
        <v>0.57999999999999996</v>
      </c>
      <c r="ET56" s="333">
        <v>0.3</v>
      </c>
      <c r="EU56" s="333">
        <v>0.63</v>
      </c>
      <c r="EV56" s="333">
        <v>0.67</v>
      </c>
      <c r="EW56" s="333">
        <v>0.33</v>
      </c>
      <c r="EX56" s="333">
        <v>0.5</v>
      </c>
      <c r="EY56" s="333">
        <v>0.68</v>
      </c>
      <c r="EZ56" s="333">
        <v>0.25</v>
      </c>
      <c r="FA56" s="333">
        <v>0.65</v>
      </c>
      <c r="FB56" s="314">
        <v>54</v>
      </c>
      <c r="FC56" s="314" t="s">
        <v>874</v>
      </c>
      <c r="FD56" s="314">
        <v>4</v>
      </c>
      <c r="FE56" s="314" t="s">
        <v>876</v>
      </c>
      <c r="FF56" s="334">
        <v>0</v>
      </c>
      <c r="FG56" s="334">
        <v>0.5</v>
      </c>
      <c r="FH56" s="334">
        <v>0.5</v>
      </c>
      <c r="FI56" s="334">
        <v>0</v>
      </c>
      <c r="FJ56" s="334">
        <v>0.17</v>
      </c>
      <c r="FK56" s="334">
        <v>0.43</v>
      </c>
      <c r="FL56" s="334">
        <v>0.2</v>
      </c>
      <c r="FM56" s="334">
        <v>0</v>
      </c>
      <c r="FN56" s="334">
        <v>0</v>
      </c>
      <c r="FO56" s="334">
        <v>0</v>
      </c>
      <c r="FP56" s="334">
        <v>0.6</v>
      </c>
      <c r="FQ56" s="334">
        <v>0.4</v>
      </c>
      <c r="FR56" s="334">
        <v>0.28999999999999998</v>
      </c>
      <c r="FS56" s="334">
        <v>0.2</v>
      </c>
      <c r="FT56" s="334">
        <v>0.75</v>
      </c>
      <c r="FU56" s="334">
        <v>0.5</v>
      </c>
      <c r="FV56" s="334">
        <v>0.5</v>
      </c>
      <c r="FW56" s="334">
        <v>0.5</v>
      </c>
      <c r="FX56" s="334">
        <v>1</v>
      </c>
      <c r="FY56" s="334">
        <v>0.6</v>
      </c>
      <c r="FZ56" s="334">
        <v>0</v>
      </c>
      <c r="GA56" s="334">
        <v>0</v>
      </c>
      <c r="GB56" s="334">
        <v>0.5</v>
      </c>
      <c r="GC56" s="334">
        <v>0.2</v>
      </c>
      <c r="GD56" s="334">
        <v>0.8</v>
      </c>
      <c r="GE56" s="334">
        <v>0.4</v>
      </c>
      <c r="GF56" s="334">
        <v>0</v>
      </c>
      <c r="GG56" s="334">
        <v>0.5</v>
      </c>
      <c r="GH56" s="334">
        <v>1</v>
      </c>
      <c r="GI56" s="334">
        <v>0</v>
      </c>
      <c r="GJ56" s="311">
        <v>50</v>
      </c>
      <c r="GK56" s="311" t="s">
        <v>874</v>
      </c>
      <c r="GL56" s="311">
        <v>10</v>
      </c>
      <c r="GM56" s="311" t="s">
        <v>874</v>
      </c>
      <c r="GN56" s="329">
        <v>0.2</v>
      </c>
      <c r="GO56" s="329">
        <v>0.6</v>
      </c>
      <c r="GP56" s="329">
        <v>0.2</v>
      </c>
      <c r="GQ56" s="329">
        <v>0</v>
      </c>
      <c r="GR56" s="329">
        <v>0.43</v>
      </c>
      <c r="GS56" s="329">
        <v>0.53</v>
      </c>
      <c r="GT56" s="329">
        <v>0.61</v>
      </c>
      <c r="GU56" s="329">
        <v>0.28999999999999998</v>
      </c>
      <c r="GV56" s="329">
        <v>0.42</v>
      </c>
      <c r="GW56" s="329">
        <v>0.3</v>
      </c>
      <c r="GX56" s="329">
        <v>0.54</v>
      </c>
      <c r="GY56" s="311" t="s">
        <v>283</v>
      </c>
      <c r="GZ56" s="329">
        <v>0.2</v>
      </c>
      <c r="HA56" s="329">
        <v>1</v>
      </c>
      <c r="HB56" s="329">
        <v>0.41</v>
      </c>
      <c r="HC56" s="329">
        <v>0.33</v>
      </c>
      <c r="HD56" s="329">
        <v>0.5</v>
      </c>
      <c r="HE56" s="329">
        <v>0.47</v>
      </c>
      <c r="HF56" s="329">
        <v>0.48</v>
      </c>
      <c r="HG56" s="329">
        <v>0.54</v>
      </c>
      <c r="HH56" s="329">
        <v>0.42</v>
      </c>
      <c r="HI56" s="329">
        <v>0.56999999999999995</v>
      </c>
      <c r="HJ56" s="329">
        <v>0.64</v>
      </c>
      <c r="HK56" s="329">
        <v>0.56000000000000005</v>
      </c>
      <c r="HL56" s="329">
        <v>0.39</v>
      </c>
      <c r="HM56" s="329">
        <v>0.43</v>
      </c>
      <c r="HN56" s="329">
        <v>0.71</v>
      </c>
      <c r="HO56" s="329">
        <v>0.38</v>
      </c>
      <c r="HP56" s="311" t="s">
        <v>283</v>
      </c>
      <c r="HQ56" s="329">
        <v>0.5</v>
      </c>
      <c r="HR56" s="426">
        <v>56</v>
      </c>
      <c r="HS56" s="426" t="s">
        <v>874</v>
      </c>
      <c r="HT56" s="426">
        <v>8</v>
      </c>
      <c r="HU56" s="426" t="s">
        <v>874</v>
      </c>
      <c r="HV56" s="430">
        <v>0.05</v>
      </c>
      <c r="HW56" s="430">
        <v>0.45</v>
      </c>
      <c r="HX56" s="430">
        <v>0.5</v>
      </c>
      <c r="HY56" s="430">
        <v>0</v>
      </c>
      <c r="HZ56" s="430">
        <v>0.33</v>
      </c>
      <c r="IA56" s="430">
        <v>0.37</v>
      </c>
      <c r="IB56" s="430">
        <v>0.25</v>
      </c>
      <c r="IC56" s="430">
        <v>0.49</v>
      </c>
      <c r="ID56" s="430">
        <v>0.64</v>
      </c>
      <c r="IE56" s="430">
        <v>0.28999999999999998</v>
      </c>
      <c r="IF56" s="430">
        <v>0.33</v>
      </c>
      <c r="IG56" s="430">
        <v>0.56000000000000005</v>
      </c>
      <c r="IH56" s="430">
        <v>0.38</v>
      </c>
      <c r="II56" s="430">
        <v>0</v>
      </c>
      <c r="IJ56" s="430">
        <v>0.2</v>
      </c>
      <c r="IK56" s="430">
        <v>0.4</v>
      </c>
      <c r="IL56" s="430">
        <v>0.22</v>
      </c>
      <c r="IM56" s="430">
        <v>0.56999999999999995</v>
      </c>
      <c r="IN56" s="430">
        <v>0.35</v>
      </c>
      <c r="IO56" s="430">
        <v>0.51</v>
      </c>
      <c r="IP56" s="430">
        <v>0.37</v>
      </c>
      <c r="IQ56" s="430">
        <v>0.6</v>
      </c>
      <c r="IR56" s="430">
        <v>0.46</v>
      </c>
      <c r="IS56" s="430">
        <v>0.39</v>
      </c>
      <c r="IT56" s="430">
        <v>0.39</v>
      </c>
      <c r="IU56" s="426" t="s">
        <v>283</v>
      </c>
      <c r="IV56" s="430">
        <v>0.44</v>
      </c>
      <c r="IW56" s="430">
        <v>0.33</v>
      </c>
      <c r="IX56" s="430">
        <v>0.49</v>
      </c>
      <c r="IY56" s="430">
        <v>0.44</v>
      </c>
      <c r="IZ56" s="466">
        <v>48</v>
      </c>
      <c r="JA56" s="466" t="s">
        <v>874</v>
      </c>
      <c r="JB56" s="466">
        <v>8</v>
      </c>
      <c r="JC56" s="466" t="s">
        <v>874</v>
      </c>
      <c r="JD56" s="480">
        <v>0.14000000000000001</v>
      </c>
      <c r="JE56" s="480">
        <v>0.71</v>
      </c>
      <c r="JF56" s="480">
        <v>0.14000000000000001</v>
      </c>
      <c r="JG56" s="480">
        <v>0</v>
      </c>
      <c r="JH56" s="480">
        <v>0.5</v>
      </c>
      <c r="JI56" s="480">
        <v>0.56999999999999995</v>
      </c>
      <c r="JJ56" s="480">
        <v>0.38</v>
      </c>
      <c r="JK56" s="480">
        <v>0.56000000000000005</v>
      </c>
      <c r="JL56" s="480">
        <v>0.56000000000000005</v>
      </c>
      <c r="JM56" s="480">
        <v>0.55000000000000004</v>
      </c>
      <c r="JN56" s="480">
        <v>0.69</v>
      </c>
      <c r="JO56" s="480">
        <v>0.4</v>
      </c>
      <c r="JP56" s="480">
        <v>0.8</v>
      </c>
      <c r="JQ56" s="480">
        <v>0.28999999999999998</v>
      </c>
      <c r="JR56" s="480">
        <v>0.52</v>
      </c>
      <c r="JS56" s="480">
        <v>0.63</v>
      </c>
      <c r="JT56" s="480">
        <v>0.67</v>
      </c>
      <c r="JU56" s="480">
        <v>0.71</v>
      </c>
      <c r="JV56" s="480">
        <v>0.46</v>
      </c>
      <c r="JW56" s="480">
        <v>0.56000000000000005</v>
      </c>
      <c r="JX56" s="480">
        <v>0.71</v>
      </c>
      <c r="JY56" s="480">
        <v>0.44</v>
      </c>
      <c r="JZ56" s="480">
        <v>0.33</v>
      </c>
      <c r="KA56" s="480">
        <v>0</v>
      </c>
      <c r="KB56" s="480">
        <v>0.38</v>
      </c>
      <c r="KC56" s="480">
        <v>0.56999999999999995</v>
      </c>
      <c r="KD56" s="480">
        <v>0.31</v>
      </c>
      <c r="KE56" s="480">
        <v>0.5</v>
      </c>
      <c r="KF56" s="480">
        <v>0.56000000000000005</v>
      </c>
      <c r="KG56" s="480">
        <v>0.82</v>
      </c>
    </row>
    <row r="57" spans="1:293" ht="24.95" customHeight="1" x14ac:dyDescent="0.2">
      <c r="A57" s="126" t="s">
        <v>116</v>
      </c>
      <c r="B57" s="1" t="s">
        <v>221</v>
      </c>
      <c r="C57" s="2">
        <v>2</v>
      </c>
      <c r="D57" s="12">
        <v>56</v>
      </c>
      <c r="E57" s="12">
        <v>7</v>
      </c>
      <c r="F57" s="66">
        <v>0.01</v>
      </c>
      <c r="G57" s="66">
        <v>0.42</v>
      </c>
      <c r="H57" s="66">
        <v>0.56999999999999995</v>
      </c>
      <c r="I57" s="66">
        <v>0</v>
      </c>
      <c r="J57" s="66">
        <v>0.43</v>
      </c>
      <c r="K57" s="66">
        <v>0.28000000000000003</v>
      </c>
      <c r="L57" s="66">
        <v>0.64</v>
      </c>
      <c r="M57" s="66">
        <v>0.13</v>
      </c>
      <c r="N57" s="66">
        <v>0.27</v>
      </c>
      <c r="O57" s="66">
        <v>0.62</v>
      </c>
      <c r="P57" s="66">
        <v>0.35</v>
      </c>
      <c r="Q57" s="66">
        <v>0.36</v>
      </c>
      <c r="R57" s="66">
        <v>0.51</v>
      </c>
      <c r="S57" s="66">
        <v>0.54</v>
      </c>
      <c r="T57" s="66">
        <v>0.44</v>
      </c>
      <c r="U57" s="66">
        <v>0.56000000000000005</v>
      </c>
      <c r="V57" s="66">
        <v>0.05</v>
      </c>
      <c r="W57" s="66">
        <v>7.0000000000000007E-2</v>
      </c>
      <c r="X57" s="66">
        <v>0.43</v>
      </c>
      <c r="Y57" s="66">
        <v>0.45</v>
      </c>
      <c r="Z57" s="12" t="s">
        <v>283</v>
      </c>
      <c r="AA57" s="66">
        <v>0.04</v>
      </c>
      <c r="AB57" s="66">
        <v>0.42</v>
      </c>
      <c r="AC57" s="66">
        <v>0.24</v>
      </c>
      <c r="AD57" s="66">
        <v>0.35</v>
      </c>
      <c r="AE57" s="66">
        <v>0.39</v>
      </c>
      <c r="AF57" s="66">
        <v>0.42</v>
      </c>
      <c r="AG57" s="66">
        <v>0.5</v>
      </c>
      <c r="AH57" s="12">
        <v>54</v>
      </c>
      <c r="AI57" s="12">
        <v>8</v>
      </c>
      <c r="AJ57" s="40">
        <v>0.06</v>
      </c>
      <c r="AK57" s="40">
        <v>0.52</v>
      </c>
      <c r="AL57" s="40">
        <v>0.43</v>
      </c>
      <c r="AM57" s="40">
        <v>0</v>
      </c>
      <c r="AN57" s="40">
        <v>0.17</v>
      </c>
      <c r="AO57" s="40">
        <v>0.43</v>
      </c>
      <c r="AP57" s="40">
        <v>0.51</v>
      </c>
      <c r="AQ57" s="40">
        <v>0.34</v>
      </c>
      <c r="AR57" s="40">
        <v>0.5</v>
      </c>
      <c r="AS57" s="40">
        <v>0.45</v>
      </c>
      <c r="AT57" s="40">
        <v>0.5</v>
      </c>
      <c r="AU57" s="40">
        <v>0.39</v>
      </c>
      <c r="AV57" s="40">
        <v>0.53</v>
      </c>
      <c r="AW57" s="40">
        <v>0.48</v>
      </c>
      <c r="AX57" s="40">
        <v>0.46</v>
      </c>
      <c r="AY57" s="40">
        <v>0.27</v>
      </c>
      <c r="AZ57" s="40">
        <v>0.28999999999999998</v>
      </c>
      <c r="BA57" s="40">
        <v>0.45</v>
      </c>
      <c r="BB57" s="40">
        <v>0.57999999999999996</v>
      </c>
      <c r="BC57" s="40">
        <v>0.62</v>
      </c>
      <c r="BD57" s="40">
        <v>0.41</v>
      </c>
      <c r="BE57" s="40">
        <v>0.59</v>
      </c>
      <c r="BF57" s="40">
        <v>0.5</v>
      </c>
      <c r="BG57" s="40">
        <v>0.39</v>
      </c>
      <c r="BH57" s="40">
        <v>0.41</v>
      </c>
      <c r="BI57" s="40">
        <v>0.39</v>
      </c>
      <c r="BJ57" s="40">
        <v>0.31</v>
      </c>
      <c r="BK57" s="40">
        <v>0.43</v>
      </c>
      <c r="BL57" s="40">
        <v>0.54</v>
      </c>
      <c r="BM57" s="12">
        <v>51</v>
      </c>
      <c r="BN57" s="12">
        <v>9</v>
      </c>
      <c r="BO57" s="66">
        <v>0.12</v>
      </c>
      <c r="BP57" s="66">
        <v>0.55000000000000004</v>
      </c>
      <c r="BQ57" s="66">
        <v>0.32</v>
      </c>
      <c r="BR57" s="66">
        <v>0.01</v>
      </c>
      <c r="BS57" s="66">
        <v>0.4</v>
      </c>
      <c r="BT57" s="66">
        <v>0.53</v>
      </c>
      <c r="BU57" s="66">
        <v>0.56999999999999995</v>
      </c>
      <c r="BV57" s="66">
        <v>0.22</v>
      </c>
      <c r="BW57" s="66">
        <v>0.61</v>
      </c>
      <c r="BX57" s="66">
        <v>0.37</v>
      </c>
      <c r="BY57" s="66">
        <v>0.47</v>
      </c>
      <c r="BZ57" s="66">
        <v>0.5</v>
      </c>
      <c r="CA57" s="66">
        <v>0.42</v>
      </c>
      <c r="CB57" s="66">
        <v>0.41</v>
      </c>
      <c r="CC57" s="66">
        <v>0.2</v>
      </c>
      <c r="CD57" s="66">
        <v>0.45</v>
      </c>
      <c r="CE57" s="66">
        <v>0.33</v>
      </c>
      <c r="CF57" s="66">
        <v>0.64</v>
      </c>
      <c r="CG57" s="66">
        <v>0.6</v>
      </c>
      <c r="CH57" s="66">
        <v>0.42</v>
      </c>
      <c r="CI57" s="66">
        <v>0.56999999999999995</v>
      </c>
      <c r="CJ57" s="66">
        <v>0.4</v>
      </c>
      <c r="CK57" s="66">
        <v>0.6</v>
      </c>
      <c r="CL57" s="66">
        <v>0.31</v>
      </c>
      <c r="CM57" s="66">
        <v>0.46</v>
      </c>
      <c r="CN57" s="66">
        <v>0.43</v>
      </c>
      <c r="CO57" s="66">
        <v>0.44</v>
      </c>
      <c r="CP57" s="66">
        <v>0.39</v>
      </c>
      <c r="CQ57" s="66">
        <v>0.49</v>
      </c>
      <c r="CR57" s="66">
        <v>0.52</v>
      </c>
      <c r="CS57" s="12">
        <v>52</v>
      </c>
      <c r="CT57" s="12">
        <v>9</v>
      </c>
      <c r="CU57" s="63">
        <v>0.14000000000000001</v>
      </c>
      <c r="CV57" s="63">
        <v>0.47</v>
      </c>
      <c r="CW57" s="63">
        <v>0.38</v>
      </c>
      <c r="CX57" s="63">
        <v>0.02</v>
      </c>
      <c r="CY57" s="63">
        <v>0.45</v>
      </c>
      <c r="CZ57" s="63">
        <v>0.27</v>
      </c>
      <c r="DA57" s="63">
        <v>0.53</v>
      </c>
      <c r="DB57" s="63">
        <v>0.36</v>
      </c>
      <c r="DC57" s="63">
        <v>0.44</v>
      </c>
      <c r="DD57" s="63">
        <v>0.69</v>
      </c>
      <c r="DE57" s="63">
        <v>0.39</v>
      </c>
      <c r="DF57" s="63">
        <v>0.52</v>
      </c>
      <c r="DG57" s="63">
        <v>0.34</v>
      </c>
      <c r="DH57" s="63">
        <v>0.31</v>
      </c>
      <c r="DI57" s="63">
        <v>0.48</v>
      </c>
      <c r="DJ57" s="63">
        <v>0.42</v>
      </c>
      <c r="DK57" s="63">
        <v>0.31</v>
      </c>
      <c r="DL57" s="63">
        <v>0.38</v>
      </c>
      <c r="DM57" s="63">
        <v>0.52</v>
      </c>
      <c r="DN57" s="63">
        <v>0.43</v>
      </c>
      <c r="DO57" s="63">
        <v>0.33</v>
      </c>
      <c r="DP57" s="63">
        <v>0.39</v>
      </c>
      <c r="DQ57" s="63">
        <v>0.5</v>
      </c>
      <c r="DR57" s="63">
        <v>0.18</v>
      </c>
      <c r="DS57" s="63">
        <v>0.45</v>
      </c>
      <c r="DT57" s="63">
        <v>0.59</v>
      </c>
      <c r="DU57" s="63">
        <v>0.54</v>
      </c>
      <c r="DV57" s="63">
        <v>0.51</v>
      </c>
      <c r="DW57" s="63">
        <v>0.27</v>
      </c>
      <c r="DX57" s="35">
        <v>48</v>
      </c>
      <c r="DY57" s="35">
        <v>9</v>
      </c>
      <c r="DZ57" s="40">
        <v>0.2</v>
      </c>
      <c r="EA57" s="40">
        <v>0.57999999999999996</v>
      </c>
      <c r="EB57" s="40">
        <v>0.21</v>
      </c>
      <c r="EC57" s="40">
        <v>0.01</v>
      </c>
      <c r="ED57" s="40">
        <v>0.52</v>
      </c>
      <c r="EE57" s="40">
        <v>0.44</v>
      </c>
      <c r="EF57" s="40">
        <v>0.57999999999999996</v>
      </c>
      <c r="EG57" s="40">
        <v>0.46</v>
      </c>
      <c r="EH57" s="40">
        <v>0.39</v>
      </c>
      <c r="EI57" s="40">
        <v>0.55000000000000004</v>
      </c>
      <c r="EJ57" s="40">
        <v>0.61</v>
      </c>
      <c r="EK57" s="40">
        <v>0.23</v>
      </c>
      <c r="EL57" s="40">
        <v>0.44</v>
      </c>
      <c r="EM57" s="40">
        <v>0.65</v>
      </c>
      <c r="EN57" s="40">
        <v>0.41</v>
      </c>
      <c r="EO57" s="40">
        <v>0.57999999999999996</v>
      </c>
      <c r="EP57" s="40">
        <v>0.46</v>
      </c>
      <c r="EQ57" s="40">
        <v>0.26</v>
      </c>
      <c r="ER57" s="40">
        <v>0.61</v>
      </c>
      <c r="ES57" s="40">
        <v>0.54</v>
      </c>
      <c r="ET57" s="40">
        <v>0.39</v>
      </c>
      <c r="EU57" s="40">
        <v>0.63</v>
      </c>
      <c r="EV57" s="40">
        <v>0.41</v>
      </c>
      <c r="EW57" s="40">
        <v>0.34</v>
      </c>
      <c r="EX57" s="40">
        <v>0.65</v>
      </c>
      <c r="EY57" s="40">
        <v>0.54</v>
      </c>
      <c r="EZ57" s="40">
        <v>0.35</v>
      </c>
      <c r="FA57" s="40">
        <v>0.65</v>
      </c>
      <c r="FB57" s="247">
        <v>53</v>
      </c>
      <c r="FC57" s="247" t="s">
        <v>874</v>
      </c>
      <c r="FD57" s="247">
        <v>8</v>
      </c>
      <c r="FE57" s="247" t="s">
        <v>874</v>
      </c>
      <c r="FF57" s="264">
        <v>7.0000000000000007E-2</v>
      </c>
      <c r="FG57" s="264">
        <v>0.53</v>
      </c>
      <c r="FH57" s="264">
        <v>0.4</v>
      </c>
      <c r="FI57" s="264">
        <v>0</v>
      </c>
      <c r="FJ57" s="264">
        <v>0.39</v>
      </c>
      <c r="FK57" s="264">
        <v>0.61</v>
      </c>
      <c r="FL57" s="264">
        <v>0.43</v>
      </c>
      <c r="FM57" s="264">
        <v>0.43</v>
      </c>
      <c r="FN57" s="264">
        <v>0.27</v>
      </c>
      <c r="FO57" s="264">
        <v>0.31</v>
      </c>
      <c r="FP57" s="264">
        <v>0.38</v>
      </c>
      <c r="FQ57" s="264">
        <v>0.36</v>
      </c>
      <c r="FR57" s="264">
        <v>0.54</v>
      </c>
      <c r="FS57" s="264">
        <v>0.51</v>
      </c>
      <c r="FT57" s="264">
        <v>0.45</v>
      </c>
      <c r="FU57" s="264">
        <v>0.3</v>
      </c>
      <c r="FV57" s="264">
        <v>0.51</v>
      </c>
      <c r="FW57" s="264">
        <v>0.49</v>
      </c>
      <c r="FX57" s="264">
        <v>0.41</v>
      </c>
      <c r="FY57" s="264">
        <v>0.31</v>
      </c>
      <c r="FZ57" s="264">
        <v>0.42</v>
      </c>
      <c r="GA57" s="264">
        <v>0.39</v>
      </c>
      <c r="GB57" s="264">
        <v>0.44</v>
      </c>
      <c r="GC57" s="264">
        <v>0.37</v>
      </c>
      <c r="GD57" s="264">
        <v>0.5</v>
      </c>
      <c r="GE57" s="264">
        <v>0.41</v>
      </c>
      <c r="GF57" s="264">
        <v>0.38</v>
      </c>
      <c r="GG57" s="264">
        <v>0.39</v>
      </c>
      <c r="GH57" s="264">
        <v>0.62</v>
      </c>
      <c r="GI57" s="264">
        <v>0.23</v>
      </c>
      <c r="GJ57" s="311">
        <v>54</v>
      </c>
      <c r="GK57" s="311" t="s">
        <v>874</v>
      </c>
      <c r="GL57" s="311">
        <v>10</v>
      </c>
      <c r="GM57" s="311" t="s">
        <v>874</v>
      </c>
      <c r="GN57" s="329">
        <v>0.13</v>
      </c>
      <c r="GO57" s="329">
        <v>0.41</v>
      </c>
      <c r="GP57" s="329">
        <v>0.47</v>
      </c>
      <c r="GQ57" s="329">
        <v>0</v>
      </c>
      <c r="GR57" s="329">
        <v>0.42</v>
      </c>
      <c r="GS57" s="329">
        <v>0.46</v>
      </c>
      <c r="GT57" s="329">
        <v>0.55000000000000004</v>
      </c>
      <c r="GU57" s="329">
        <v>0.28000000000000003</v>
      </c>
      <c r="GV57" s="329">
        <v>0.47</v>
      </c>
      <c r="GW57" s="329">
        <v>0.38</v>
      </c>
      <c r="GX57" s="329">
        <v>0.44</v>
      </c>
      <c r="GY57" s="311" t="s">
        <v>283</v>
      </c>
      <c r="GZ57" s="329">
        <v>0.27</v>
      </c>
      <c r="HA57" s="329">
        <v>0.52</v>
      </c>
      <c r="HB57" s="329">
        <v>0.41</v>
      </c>
      <c r="HC57" s="329">
        <v>0.42</v>
      </c>
      <c r="HD57" s="329">
        <v>0.41</v>
      </c>
      <c r="HE57" s="329">
        <v>0.37</v>
      </c>
      <c r="HF57" s="329">
        <v>0.4</v>
      </c>
      <c r="HG57" s="329">
        <v>0.57999999999999996</v>
      </c>
      <c r="HH57" s="329">
        <v>0.3</v>
      </c>
      <c r="HI57" s="329">
        <v>0.39</v>
      </c>
      <c r="HJ57" s="329">
        <v>0.55000000000000004</v>
      </c>
      <c r="HK57" s="329">
        <v>0.48</v>
      </c>
      <c r="HL57" s="329">
        <v>0.37</v>
      </c>
      <c r="HM57" s="329">
        <v>0.48</v>
      </c>
      <c r="HN57" s="329">
        <v>0.47</v>
      </c>
      <c r="HO57" s="329">
        <v>0.35</v>
      </c>
      <c r="HP57" s="311" t="s">
        <v>283</v>
      </c>
      <c r="HQ57" s="329">
        <v>0.37</v>
      </c>
      <c r="HR57" s="426">
        <v>54</v>
      </c>
      <c r="HS57" s="426" t="s">
        <v>874</v>
      </c>
      <c r="HT57" s="426">
        <v>10</v>
      </c>
      <c r="HU57" s="426" t="s">
        <v>874</v>
      </c>
      <c r="HV57" s="430">
        <v>0.09</v>
      </c>
      <c r="HW57" s="430">
        <v>0.4</v>
      </c>
      <c r="HX57" s="430">
        <v>0.49</v>
      </c>
      <c r="HY57" s="430">
        <v>0.03</v>
      </c>
      <c r="HZ57" s="430">
        <v>0.32</v>
      </c>
      <c r="IA57" s="430">
        <v>0.53</v>
      </c>
      <c r="IB57" s="430">
        <v>0.28999999999999998</v>
      </c>
      <c r="IC57" s="430">
        <v>0.45</v>
      </c>
      <c r="ID57" s="430">
        <v>0.56999999999999995</v>
      </c>
      <c r="IE57" s="430">
        <v>0.28000000000000003</v>
      </c>
      <c r="IF57" s="430">
        <v>0.36</v>
      </c>
      <c r="IG57" s="430">
        <v>0.56999999999999995</v>
      </c>
      <c r="IH57" s="430">
        <v>0.45</v>
      </c>
      <c r="II57" s="430">
        <v>0.24</v>
      </c>
      <c r="IJ57" s="430">
        <v>0.25</v>
      </c>
      <c r="IK57" s="430">
        <v>0.51</v>
      </c>
      <c r="IL57" s="430">
        <v>0.35</v>
      </c>
      <c r="IM57" s="430">
        <v>0.52</v>
      </c>
      <c r="IN57" s="430">
        <v>0.41</v>
      </c>
      <c r="IO57" s="430">
        <v>0.4</v>
      </c>
      <c r="IP57" s="430">
        <v>0.43</v>
      </c>
      <c r="IQ57" s="430">
        <v>0.56999999999999995</v>
      </c>
      <c r="IR57" s="430">
        <v>0.46</v>
      </c>
      <c r="IS57" s="430">
        <v>0.47</v>
      </c>
      <c r="IT57" s="430">
        <v>0.35</v>
      </c>
      <c r="IU57" s="426" t="s">
        <v>283</v>
      </c>
      <c r="IV57" s="430">
        <v>0.55000000000000004</v>
      </c>
      <c r="IW57" s="430">
        <v>0.38</v>
      </c>
      <c r="IX57" s="430">
        <v>0.42</v>
      </c>
      <c r="IY57" s="430">
        <v>0.43</v>
      </c>
      <c r="IZ57" s="466">
        <v>55</v>
      </c>
      <c r="JA57" s="466" t="s">
        <v>874</v>
      </c>
      <c r="JB57" s="466">
        <v>10</v>
      </c>
      <c r="JC57" s="466" t="s">
        <v>874</v>
      </c>
      <c r="JD57" s="480">
        <v>0.06</v>
      </c>
      <c r="JE57" s="480">
        <v>0.4</v>
      </c>
      <c r="JF57" s="480">
        <v>0.47</v>
      </c>
      <c r="JG57" s="480">
        <v>7.0000000000000007E-2</v>
      </c>
      <c r="JH57" s="480">
        <v>0.39</v>
      </c>
      <c r="JI57" s="480">
        <v>0.42</v>
      </c>
      <c r="JJ57" s="480">
        <v>0.33</v>
      </c>
      <c r="JK57" s="480">
        <v>0.41</v>
      </c>
      <c r="JL57" s="480">
        <v>0.37</v>
      </c>
      <c r="JM57" s="480">
        <v>0.43</v>
      </c>
      <c r="JN57" s="480">
        <v>0.34</v>
      </c>
      <c r="JO57" s="480">
        <v>0.39</v>
      </c>
      <c r="JP57" s="480">
        <v>0.54</v>
      </c>
      <c r="JQ57" s="480">
        <v>0.19</v>
      </c>
      <c r="JR57" s="480">
        <v>0.54</v>
      </c>
      <c r="JS57" s="480">
        <v>0.49</v>
      </c>
      <c r="JT57" s="480">
        <v>0.34</v>
      </c>
      <c r="JU57" s="480">
        <v>0.47</v>
      </c>
      <c r="JV57" s="480">
        <v>0.39</v>
      </c>
      <c r="JW57" s="480">
        <v>0.43</v>
      </c>
      <c r="JX57" s="480">
        <v>0.26</v>
      </c>
      <c r="JY57" s="480">
        <v>0.49</v>
      </c>
      <c r="JZ57" s="480">
        <v>0.38</v>
      </c>
      <c r="KA57" s="480">
        <v>0.71</v>
      </c>
      <c r="KB57" s="480">
        <v>0.37</v>
      </c>
      <c r="KC57" s="480">
        <v>0.56999999999999995</v>
      </c>
      <c r="KD57" s="480">
        <v>0.25</v>
      </c>
      <c r="KE57" s="480">
        <v>0.45</v>
      </c>
      <c r="KF57" s="480">
        <v>0.33</v>
      </c>
      <c r="KG57" s="480">
        <v>0.45</v>
      </c>
    </row>
    <row r="58" spans="1:293" ht="24.95" customHeight="1" x14ac:dyDescent="0.2">
      <c r="A58" s="126" t="s">
        <v>151</v>
      </c>
      <c r="B58" s="1" t="s">
        <v>221</v>
      </c>
      <c r="C58" s="2">
        <v>3</v>
      </c>
      <c r="D58" s="12">
        <v>56</v>
      </c>
      <c r="E58" s="12">
        <v>8</v>
      </c>
      <c r="F58" s="66">
        <v>7.0000000000000007E-2</v>
      </c>
      <c r="G58" s="66">
        <v>0.37</v>
      </c>
      <c r="H58" s="66">
        <v>0.56000000000000005</v>
      </c>
      <c r="I58" s="66">
        <v>0</v>
      </c>
      <c r="J58" s="66">
        <v>0.26</v>
      </c>
      <c r="K58" s="66">
        <v>0.23</v>
      </c>
      <c r="L58" s="66">
        <v>0.56999999999999995</v>
      </c>
      <c r="M58" s="66">
        <v>0.15</v>
      </c>
      <c r="N58" s="66">
        <v>0.24</v>
      </c>
      <c r="O58" s="66">
        <v>0.66</v>
      </c>
      <c r="P58" s="66">
        <v>0.31</v>
      </c>
      <c r="Q58" s="66">
        <v>0.35</v>
      </c>
      <c r="R58" s="66">
        <v>0.46</v>
      </c>
      <c r="S58" s="66">
        <v>0.56000000000000005</v>
      </c>
      <c r="T58" s="66">
        <v>0.33</v>
      </c>
      <c r="U58" s="66">
        <v>0.6</v>
      </c>
      <c r="V58" s="66">
        <v>7.0000000000000007E-2</v>
      </c>
      <c r="W58" s="66">
        <v>0.14000000000000001</v>
      </c>
      <c r="X58" s="66">
        <v>0.49</v>
      </c>
      <c r="Y58" s="66">
        <v>0.37</v>
      </c>
      <c r="Z58" s="12" t="s">
        <v>283</v>
      </c>
      <c r="AA58" s="66">
        <v>0.11</v>
      </c>
      <c r="AB58" s="66">
        <v>0.5</v>
      </c>
      <c r="AC58" s="66">
        <v>0.17</v>
      </c>
      <c r="AD58" s="66">
        <v>0.46</v>
      </c>
      <c r="AE58" s="66">
        <v>0.42</v>
      </c>
      <c r="AF58" s="66">
        <v>0.53</v>
      </c>
      <c r="AG58" s="66">
        <v>0.48</v>
      </c>
      <c r="AH58" s="12">
        <v>50</v>
      </c>
      <c r="AI58" s="12">
        <v>7</v>
      </c>
      <c r="AJ58" s="40">
        <v>7.0000000000000007E-2</v>
      </c>
      <c r="AK58" s="40">
        <v>0.71</v>
      </c>
      <c r="AL58" s="40">
        <v>0.21</v>
      </c>
      <c r="AM58" s="40">
        <v>0</v>
      </c>
      <c r="AN58" s="40">
        <v>0.38</v>
      </c>
      <c r="AO58" s="40">
        <v>0.55000000000000004</v>
      </c>
      <c r="AP58" s="40">
        <v>0.57999999999999996</v>
      </c>
      <c r="AQ58" s="40">
        <v>0.32</v>
      </c>
      <c r="AR58" s="40">
        <v>0.76</v>
      </c>
      <c r="AS58" s="40">
        <v>0.62</v>
      </c>
      <c r="AT58" s="40">
        <v>0.62</v>
      </c>
      <c r="AU58" s="40">
        <v>0.48</v>
      </c>
      <c r="AV58" s="40">
        <v>0.59</v>
      </c>
      <c r="AW58" s="40">
        <v>0.5</v>
      </c>
      <c r="AX58" s="40">
        <v>0.63</v>
      </c>
      <c r="AY58" s="40">
        <v>0.33</v>
      </c>
      <c r="AZ58" s="40">
        <v>0.24</v>
      </c>
      <c r="BA58" s="40">
        <v>0.61</v>
      </c>
      <c r="BB58" s="40">
        <v>0.76</v>
      </c>
      <c r="BC58" s="40">
        <v>0.67</v>
      </c>
      <c r="BD58" s="40">
        <v>0.41</v>
      </c>
      <c r="BE58" s="40">
        <v>0.8</v>
      </c>
      <c r="BF58" s="40">
        <v>0.67</v>
      </c>
      <c r="BG58" s="40">
        <v>0.71</v>
      </c>
      <c r="BH58" s="40">
        <v>0.38</v>
      </c>
      <c r="BI58" s="40">
        <v>0.43</v>
      </c>
      <c r="BJ58" s="40">
        <v>0.5</v>
      </c>
      <c r="BK58" s="40">
        <v>0.54</v>
      </c>
      <c r="BL58" s="40">
        <v>0.75</v>
      </c>
      <c r="BM58" s="12">
        <v>52</v>
      </c>
      <c r="BN58" s="12">
        <v>7</v>
      </c>
      <c r="BO58" s="66">
        <v>0.04</v>
      </c>
      <c r="BP58" s="66">
        <v>0.52</v>
      </c>
      <c r="BQ58" s="66">
        <v>0.43</v>
      </c>
      <c r="BR58" s="66">
        <v>0</v>
      </c>
      <c r="BS58" s="66">
        <v>0.2</v>
      </c>
      <c r="BT58" s="66">
        <v>0.67</v>
      </c>
      <c r="BU58" s="66">
        <v>0.67</v>
      </c>
      <c r="BV58" s="66">
        <v>0.15</v>
      </c>
      <c r="BW58" s="66">
        <v>0.62</v>
      </c>
      <c r="BX58" s="66">
        <v>0.27</v>
      </c>
      <c r="BY58" s="66">
        <v>0.34</v>
      </c>
      <c r="BZ58" s="66">
        <v>0.39</v>
      </c>
      <c r="CA58" s="66">
        <v>0.46</v>
      </c>
      <c r="CB58" s="66">
        <v>0.43</v>
      </c>
      <c r="CC58" s="66">
        <v>0.16</v>
      </c>
      <c r="CD58" s="66">
        <v>0.53</v>
      </c>
      <c r="CE58" s="66">
        <v>0.32</v>
      </c>
      <c r="CF58" s="66">
        <v>0.52</v>
      </c>
      <c r="CG58" s="66">
        <v>0.68</v>
      </c>
      <c r="CH58" s="66">
        <v>0.45</v>
      </c>
      <c r="CI58" s="66">
        <v>0.47</v>
      </c>
      <c r="CJ58" s="66">
        <v>0.35</v>
      </c>
      <c r="CK58" s="66">
        <v>0.67</v>
      </c>
      <c r="CL58" s="66">
        <v>0.28000000000000003</v>
      </c>
      <c r="CM58" s="66">
        <v>0.38</v>
      </c>
      <c r="CN58" s="66">
        <v>0.38</v>
      </c>
      <c r="CO58" s="66">
        <v>0.33</v>
      </c>
      <c r="CP58" s="66">
        <v>0.37</v>
      </c>
      <c r="CQ58" s="66">
        <v>0.55000000000000004</v>
      </c>
      <c r="CR58" s="66">
        <v>0.54</v>
      </c>
      <c r="CS58" s="12">
        <v>47</v>
      </c>
      <c r="CT58" s="12">
        <v>9</v>
      </c>
      <c r="CU58" s="63">
        <v>0.27</v>
      </c>
      <c r="CV58" s="63">
        <v>0.41</v>
      </c>
      <c r="CW58" s="63">
        <v>0.32</v>
      </c>
      <c r="CX58" s="63">
        <v>0</v>
      </c>
      <c r="CY58" s="63">
        <v>0.53</v>
      </c>
      <c r="CZ58" s="63">
        <v>0.3</v>
      </c>
      <c r="DA58" s="63">
        <v>0.57999999999999996</v>
      </c>
      <c r="DB58" s="63">
        <v>0.46</v>
      </c>
      <c r="DC58" s="63">
        <v>0.57999999999999996</v>
      </c>
      <c r="DD58" s="63">
        <v>0.46</v>
      </c>
      <c r="DE58" s="63">
        <v>0.47</v>
      </c>
      <c r="DF58" s="63">
        <v>0.56000000000000005</v>
      </c>
      <c r="DG58" s="63">
        <v>0.52</v>
      </c>
      <c r="DH58" s="63">
        <v>0.48</v>
      </c>
      <c r="DI58" s="63">
        <v>0.47</v>
      </c>
      <c r="DJ58" s="63">
        <v>0.57999999999999996</v>
      </c>
      <c r="DK58" s="63">
        <v>0.59</v>
      </c>
      <c r="DL58" s="63">
        <v>0.27</v>
      </c>
      <c r="DM58" s="63">
        <v>0.51</v>
      </c>
      <c r="DN58" s="63">
        <v>0.53</v>
      </c>
      <c r="DO58" s="63">
        <v>0.53</v>
      </c>
      <c r="DP58" s="63">
        <v>0.5</v>
      </c>
      <c r="DQ58" s="63">
        <v>0.61</v>
      </c>
      <c r="DR58" s="63">
        <v>0.18</v>
      </c>
      <c r="DS58" s="63">
        <v>0.32</v>
      </c>
      <c r="DT58" s="63">
        <v>0.56000000000000005</v>
      </c>
      <c r="DU58" s="63">
        <v>0.5</v>
      </c>
      <c r="DV58" s="63">
        <v>0.6</v>
      </c>
      <c r="DW58" s="63">
        <v>0.41</v>
      </c>
      <c r="DX58" s="35">
        <v>51</v>
      </c>
      <c r="DY58" s="35">
        <v>8</v>
      </c>
      <c r="DZ58" s="40">
        <v>0.14000000000000001</v>
      </c>
      <c r="EA58" s="40">
        <v>0.62</v>
      </c>
      <c r="EB58" s="40">
        <v>0.24</v>
      </c>
      <c r="EC58" s="40">
        <v>0</v>
      </c>
      <c r="ED58" s="40">
        <v>0.51</v>
      </c>
      <c r="EE58" s="40">
        <v>0.46</v>
      </c>
      <c r="EF58" s="40">
        <v>0.46</v>
      </c>
      <c r="EG58" s="40">
        <v>0.38</v>
      </c>
      <c r="EH58" s="40">
        <v>0.47</v>
      </c>
      <c r="EI58" s="40">
        <v>0.43</v>
      </c>
      <c r="EJ58" s="40">
        <v>0.48</v>
      </c>
      <c r="EK58" s="40">
        <v>0.24</v>
      </c>
      <c r="EL58" s="40">
        <v>0.44</v>
      </c>
      <c r="EM58" s="40">
        <v>0.56999999999999995</v>
      </c>
      <c r="EN58" s="40">
        <v>0.26</v>
      </c>
      <c r="EO58" s="40">
        <v>0.55000000000000004</v>
      </c>
      <c r="EP58" s="40">
        <v>0.42</v>
      </c>
      <c r="EQ58" s="40">
        <v>0.28999999999999998</v>
      </c>
      <c r="ER58" s="40">
        <v>0.61</v>
      </c>
      <c r="ES58" s="40">
        <v>0.47</v>
      </c>
      <c r="ET58" s="40">
        <v>0.28999999999999998</v>
      </c>
      <c r="EU58" s="40">
        <v>0.56999999999999995</v>
      </c>
      <c r="EV58" s="40">
        <v>0.5</v>
      </c>
      <c r="EW58" s="40">
        <v>0.26</v>
      </c>
      <c r="EX58" s="40">
        <v>0.69</v>
      </c>
      <c r="EY58" s="40">
        <v>0.61</v>
      </c>
      <c r="EZ58" s="40">
        <v>0.19</v>
      </c>
      <c r="FA58" s="40">
        <v>0.66</v>
      </c>
      <c r="FB58" s="247">
        <v>50</v>
      </c>
      <c r="FC58" s="247" t="s">
        <v>874</v>
      </c>
      <c r="FD58" s="247">
        <v>8</v>
      </c>
      <c r="FE58" s="247" t="s">
        <v>874</v>
      </c>
      <c r="FF58" s="264">
        <v>0.13</v>
      </c>
      <c r="FG58" s="264">
        <v>0.61</v>
      </c>
      <c r="FH58" s="264">
        <v>0.26</v>
      </c>
      <c r="FI58" s="264">
        <v>0</v>
      </c>
      <c r="FJ58" s="264">
        <v>0.46</v>
      </c>
      <c r="FK58" s="264">
        <v>0.67</v>
      </c>
      <c r="FL58" s="264">
        <v>0.5</v>
      </c>
      <c r="FM58" s="264">
        <v>0.37</v>
      </c>
      <c r="FN58" s="264">
        <v>0.28000000000000003</v>
      </c>
      <c r="FO58" s="264">
        <v>0.42</v>
      </c>
      <c r="FP58" s="264">
        <v>0.35</v>
      </c>
      <c r="FQ58" s="264">
        <v>0.41</v>
      </c>
      <c r="FR58" s="264">
        <v>0.55000000000000004</v>
      </c>
      <c r="FS58" s="264">
        <v>0.49</v>
      </c>
      <c r="FT58" s="264">
        <v>0.48</v>
      </c>
      <c r="FU58" s="264">
        <v>0.39</v>
      </c>
      <c r="FV58" s="264">
        <v>0.67</v>
      </c>
      <c r="FW58" s="264">
        <v>0.55000000000000004</v>
      </c>
      <c r="FX58" s="264">
        <v>0.44</v>
      </c>
      <c r="FY58" s="264">
        <v>0.38</v>
      </c>
      <c r="FZ58" s="264">
        <v>0.37</v>
      </c>
      <c r="GA58" s="264">
        <v>0.46</v>
      </c>
      <c r="GB58" s="264">
        <v>0.61</v>
      </c>
      <c r="GC58" s="264">
        <v>0.46</v>
      </c>
      <c r="GD58" s="264">
        <v>0.6</v>
      </c>
      <c r="GE58" s="264">
        <v>0.52</v>
      </c>
      <c r="GF58" s="264">
        <v>0.47</v>
      </c>
      <c r="GG58" s="264">
        <v>0.43</v>
      </c>
      <c r="GH58" s="264">
        <v>0.6</v>
      </c>
      <c r="GI58" s="264">
        <v>0.26</v>
      </c>
      <c r="GJ58" s="311">
        <v>47</v>
      </c>
      <c r="GK58" s="311" t="s">
        <v>874</v>
      </c>
      <c r="GL58" s="311">
        <v>9</v>
      </c>
      <c r="GM58" s="311" t="s">
        <v>874</v>
      </c>
      <c r="GN58" s="329">
        <v>0.26</v>
      </c>
      <c r="GO58" s="329">
        <v>0.59</v>
      </c>
      <c r="GP58" s="329">
        <v>0.15</v>
      </c>
      <c r="GQ58" s="329">
        <v>0</v>
      </c>
      <c r="GR58" s="329">
        <v>0.56000000000000005</v>
      </c>
      <c r="GS58" s="329">
        <v>0.63</v>
      </c>
      <c r="GT58" s="329">
        <v>0.6</v>
      </c>
      <c r="GU58" s="329">
        <v>0.27</v>
      </c>
      <c r="GV58" s="329">
        <v>0.65</v>
      </c>
      <c r="GW58" s="329">
        <v>0.46</v>
      </c>
      <c r="GX58" s="329">
        <v>0.52</v>
      </c>
      <c r="GY58" s="311" t="s">
        <v>283</v>
      </c>
      <c r="GZ58" s="329">
        <v>0.33</v>
      </c>
      <c r="HA58" s="329">
        <v>0.62</v>
      </c>
      <c r="HB58" s="329">
        <v>0.52</v>
      </c>
      <c r="HC58" s="329">
        <v>0.59</v>
      </c>
      <c r="HD58" s="329">
        <v>0.68</v>
      </c>
      <c r="HE58" s="329">
        <v>0.57999999999999996</v>
      </c>
      <c r="HF58" s="329">
        <v>0.55000000000000004</v>
      </c>
      <c r="HG58" s="329">
        <v>0.72</v>
      </c>
      <c r="HH58" s="329">
        <v>0.41</v>
      </c>
      <c r="HI58" s="329">
        <v>0.62</v>
      </c>
      <c r="HJ58" s="329">
        <v>0.61</v>
      </c>
      <c r="HK58" s="329">
        <v>0.62</v>
      </c>
      <c r="HL58" s="329">
        <v>0.57999999999999996</v>
      </c>
      <c r="HM58" s="329">
        <v>0.56999999999999995</v>
      </c>
      <c r="HN58" s="329">
        <v>0.57999999999999996</v>
      </c>
      <c r="HO58" s="329">
        <v>0.52</v>
      </c>
      <c r="HP58" s="311" t="s">
        <v>283</v>
      </c>
      <c r="HQ58" s="329">
        <v>0.44</v>
      </c>
      <c r="HR58" s="426">
        <v>50</v>
      </c>
      <c r="HS58" s="426" t="s">
        <v>874</v>
      </c>
      <c r="HT58" s="426">
        <v>8</v>
      </c>
      <c r="HU58" s="426" t="s">
        <v>874</v>
      </c>
      <c r="HV58" s="430">
        <v>0.16</v>
      </c>
      <c r="HW58" s="430">
        <v>0.57999999999999996</v>
      </c>
      <c r="HX58" s="430">
        <v>0.26</v>
      </c>
      <c r="HY58" s="430">
        <v>0</v>
      </c>
      <c r="HZ58" s="430">
        <v>0.47</v>
      </c>
      <c r="IA58" s="430">
        <v>0.6</v>
      </c>
      <c r="IB58" s="430">
        <v>0.28999999999999998</v>
      </c>
      <c r="IC58" s="430">
        <v>0.43</v>
      </c>
      <c r="ID58" s="430">
        <v>0.66</v>
      </c>
      <c r="IE58" s="430">
        <v>0.39</v>
      </c>
      <c r="IF58" s="430">
        <v>0.42</v>
      </c>
      <c r="IG58" s="430">
        <v>0.55000000000000004</v>
      </c>
      <c r="IH58" s="430">
        <v>0.54</v>
      </c>
      <c r="II58" s="430">
        <v>0.32</v>
      </c>
      <c r="IJ58" s="430">
        <v>0.28000000000000003</v>
      </c>
      <c r="IK58" s="430">
        <v>0.59</v>
      </c>
      <c r="IL58" s="430">
        <v>0.44</v>
      </c>
      <c r="IM58" s="430">
        <v>0.56000000000000005</v>
      </c>
      <c r="IN58" s="430">
        <v>0.49</v>
      </c>
      <c r="IO58" s="430">
        <v>0.59</v>
      </c>
      <c r="IP58" s="430">
        <v>0.3</v>
      </c>
      <c r="IQ58" s="430">
        <v>0.75</v>
      </c>
      <c r="IR58" s="430">
        <v>0.67</v>
      </c>
      <c r="IS58" s="430">
        <v>0.56000000000000005</v>
      </c>
      <c r="IT58" s="430">
        <v>0.4</v>
      </c>
      <c r="IU58" s="426" t="s">
        <v>283</v>
      </c>
      <c r="IV58" s="430">
        <v>0.6</v>
      </c>
      <c r="IW58" s="430">
        <v>0.42</v>
      </c>
      <c r="IX58" s="430">
        <v>0.61</v>
      </c>
      <c r="IY58" s="430">
        <v>0.51</v>
      </c>
      <c r="IZ58" s="466">
        <v>51</v>
      </c>
      <c r="JA58" s="466" t="s">
        <v>874</v>
      </c>
      <c r="JB58" s="466">
        <v>9</v>
      </c>
      <c r="JC58" s="466" t="s">
        <v>874</v>
      </c>
      <c r="JD58" s="480">
        <v>0.11</v>
      </c>
      <c r="JE58" s="480">
        <v>0.56999999999999995</v>
      </c>
      <c r="JF58" s="480">
        <v>0.31</v>
      </c>
      <c r="JG58" s="480">
        <v>0</v>
      </c>
      <c r="JH58" s="480">
        <v>0.6</v>
      </c>
      <c r="JI58" s="480">
        <v>0.38</v>
      </c>
      <c r="JJ58" s="480">
        <v>0.44</v>
      </c>
      <c r="JK58" s="480">
        <v>0.46</v>
      </c>
      <c r="JL58" s="480">
        <v>0.46</v>
      </c>
      <c r="JM58" s="480">
        <v>0.55000000000000004</v>
      </c>
      <c r="JN58" s="480">
        <v>0.33</v>
      </c>
      <c r="JO58" s="480">
        <v>0.52</v>
      </c>
      <c r="JP58" s="480">
        <v>0.59</v>
      </c>
      <c r="JQ58" s="480">
        <v>0.26</v>
      </c>
      <c r="JR58" s="480">
        <v>0.62</v>
      </c>
      <c r="JS58" s="480">
        <v>0.43</v>
      </c>
      <c r="JT58" s="480">
        <v>0.49</v>
      </c>
      <c r="JU58" s="480">
        <v>0.47</v>
      </c>
      <c r="JV58" s="480">
        <v>0.5</v>
      </c>
      <c r="JW58" s="480">
        <v>0.56999999999999995</v>
      </c>
      <c r="JX58" s="480">
        <v>0.44</v>
      </c>
      <c r="JY58" s="480">
        <v>0.56000000000000005</v>
      </c>
      <c r="JZ58" s="480">
        <v>0.51</v>
      </c>
      <c r="KA58" s="480">
        <v>0.5</v>
      </c>
      <c r="KB58" s="480">
        <v>0.4</v>
      </c>
      <c r="KC58" s="480">
        <v>0.65</v>
      </c>
      <c r="KD58" s="480">
        <v>0.31</v>
      </c>
      <c r="KE58" s="480">
        <v>0.55000000000000004</v>
      </c>
      <c r="KF58" s="480">
        <v>0.45</v>
      </c>
      <c r="KG58" s="480">
        <v>0.52</v>
      </c>
    </row>
    <row r="59" spans="1:293" ht="24.95" customHeight="1" x14ac:dyDescent="0.2">
      <c r="A59" s="126" t="s">
        <v>843</v>
      </c>
      <c r="B59" s="1" t="s">
        <v>221</v>
      </c>
      <c r="C59" s="2">
        <v>4</v>
      </c>
      <c r="D59" s="12"/>
      <c r="E59" s="12"/>
      <c r="F59" s="66"/>
      <c r="G59" s="66"/>
      <c r="H59" s="66"/>
      <c r="I59" s="66"/>
      <c r="J59" s="66"/>
      <c r="K59" s="66"/>
      <c r="L59" s="66"/>
      <c r="M59" s="66"/>
      <c r="N59" s="66"/>
      <c r="O59" s="66"/>
      <c r="P59" s="66"/>
      <c r="Q59" s="66"/>
      <c r="R59" s="66"/>
      <c r="S59" s="66"/>
      <c r="T59" s="66"/>
      <c r="U59" s="66"/>
      <c r="V59" s="66"/>
      <c r="W59" s="66"/>
      <c r="X59" s="66"/>
      <c r="Y59" s="66"/>
      <c r="Z59" s="12"/>
      <c r="AA59" s="66"/>
      <c r="AB59" s="66"/>
      <c r="AC59" s="66"/>
      <c r="AD59" s="66"/>
      <c r="AE59" s="66"/>
      <c r="AF59" s="66"/>
      <c r="AG59" s="66"/>
      <c r="AH59" s="12"/>
      <c r="AI59" s="12"/>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12"/>
      <c r="BN59" s="12"/>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12"/>
      <c r="CT59" s="12"/>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35"/>
      <c r="DY59" s="35"/>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652"/>
      <c r="FC59" s="652"/>
      <c r="FD59" s="652"/>
      <c r="FE59" s="652"/>
      <c r="FF59" s="652"/>
      <c r="FG59" s="652"/>
      <c r="FH59" s="652"/>
      <c r="FI59" s="652"/>
      <c r="FJ59" s="652"/>
      <c r="FK59" s="652"/>
      <c r="FL59" s="652"/>
      <c r="FM59" s="652"/>
      <c r="FN59" s="652"/>
      <c r="FO59" s="652"/>
      <c r="FP59" s="652"/>
      <c r="FQ59" s="652"/>
      <c r="FR59" s="652"/>
      <c r="FS59" s="652"/>
      <c r="FT59" s="652"/>
      <c r="FU59" s="652"/>
      <c r="FV59" s="652"/>
      <c r="FW59" s="652"/>
      <c r="FX59" s="652"/>
      <c r="FY59" s="652"/>
      <c r="FZ59" s="652"/>
      <c r="GA59" s="652"/>
      <c r="GB59" s="652"/>
      <c r="GC59" s="652"/>
      <c r="GD59" s="652"/>
      <c r="GE59" s="652"/>
      <c r="GF59" s="652"/>
      <c r="GG59" s="652"/>
      <c r="GH59" s="652"/>
      <c r="GI59" s="652"/>
      <c r="GJ59" s="655"/>
      <c r="GK59" s="655"/>
      <c r="GL59" s="655"/>
      <c r="GM59" s="655"/>
      <c r="GN59" s="655"/>
      <c r="GO59" s="655"/>
      <c r="GP59" s="655"/>
      <c r="GQ59" s="655"/>
      <c r="GR59" s="655"/>
      <c r="GS59" s="655"/>
      <c r="GT59" s="655"/>
      <c r="GU59" s="655"/>
      <c r="GV59" s="655"/>
      <c r="GW59" s="655"/>
      <c r="GX59" s="655"/>
      <c r="GY59" s="655"/>
      <c r="GZ59" s="655"/>
      <c r="HA59" s="655"/>
      <c r="HB59" s="655"/>
      <c r="HC59" s="655"/>
      <c r="HD59" s="655"/>
      <c r="HE59" s="655"/>
      <c r="HF59" s="655"/>
      <c r="HG59" s="655"/>
      <c r="HH59" s="655"/>
      <c r="HI59" s="655"/>
      <c r="HJ59" s="655"/>
      <c r="HK59" s="655"/>
      <c r="HL59" s="655"/>
      <c r="HM59" s="655"/>
      <c r="HN59" s="655"/>
      <c r="HO59" s="655"/>
      <c r="HP59" s="655"/>
      <c r="HQ59" s="655"/>
      <c r="HR59" s="657"/>
      <c r="HS59" s="657"/>
      <c r="HT59" s="657"/>
      <c r="HU59" s="657"/>
      <c r="HV59" s="657"/>
      <c r="HW59" s="657"/>
      <c r="HX59" s="657"/>
      <c r="HY59" s="657"/>
      <c r="HZ59" s="657"/>
      <c r="IA59" s="657"/>
      <c r="IB59" s="657"/>
      <c r="IC59" s="657"/>
      <c r="ID59" s="657"/>
      <c r="IE59" s="657"/>
      <c r="IF59" s="657"/>
      <c r="IG59" s="657"/>
      <c r="IH59" s="657"/>
      <c r="II59" s="657"/>
      <c r="IJ59" s="657"/>
      <c r="IK59" s="657"/>
      <c r="IL59" s="657"/>
      <c r="IM59" s="657"/>
      <c r="IN59" s="657"/>
      <c r="IO59" s="657"/>
      <c r="IP59" s="657"/>
      <c r="IQ59" s="657"/>
      <c r="IR59" s="657"/>
      <c r="IS59" s="657"/>
      <c r="IT59" s="657"/>
      <c r="IU59" s="657"/>
      <c r="IV59" s="657"/>
      <c r="IW59" s="657"/>
      <c r="IX59" s="657"/>
      <c r="IY59" s="657"/>
      <c r="IZ59" s="656"/>
      <c r="JA59" s="656"/>
      <c r="JB59" s="656"/>
      <c r="JC59" s="656"/>
      <c r="JD59" s="656"/>
      <c r="JE59" s="656"/>
      <c r="JF59" s="656"/>
      <c r="JG59" s="656"/>
      <c r="JH59" s="656"/>
      <c r="JI59" s="656"/>
      <c r="JJ59" s="656"/>
      <c r="JK59" s="656"/>
      <c r="JL59" s="656"/>
      <c r="JM59" s="656"/>
      <c r="JN59" s="656"/>
      <c r="JO59" s="656"/>
      <c r="JP59" s="656"/>
      <c r="JQ59" s="656"/>
      <c r="JR59" s="656"/>
      <c r="JS59" s="656"/>
      <c r="JT59" s="656"/>
      <c r="JU59" s="656"/>
      <c r="JV59" s="656"/>
      <c r="JW59" s="656"/>
      <c r="JX59" s="656"/>
      <c r="JY59" s="656"/>
      <c r="JZ59" s="656"/>
      <c r="KA59" s="656"/>
      <c r="KB59" s="656"/>
      <c r="KC59" s="656"/>
      <c r="KD59" s="656"/>
      <c r="KE59" s="656"/>
      <c r="KF59" s="656"/>
      <c r="KG59" s="656"/>
    </row>
    <row r="60" spans="1:293" ht="24.95" customHeight="1" x14ac:dyDescent="0.2">
      <c r="A60" s="126" t="s">
        <v>199</v>
      </c>
      <c r="B60" s="1" t="s">
        <v>221</v>
      </c>
      <c r="C60" s="2">
        <v>3</v>
      </c>
      <c r="D60" s="12">
        <v>56</v>
      </c>
      <c r="E60" s="12">
        <v>8</v>
      </c>
      <c r="F60" s="66">
        <v>0.04</v>
      </c>
      <c r="G60" s="66">
        <v>0.45</v>
      </c>
      <c r="H60" s="66">
        <v>0.5</v>
      </c>
      <c r="I60" s="66">
        <v>0.01</v>
      </c>
      <c r="J60" s="66">
        <v>0.33</v>
      </c>
      <c r="K60" s="66">
        <v>0.31</v>
      </c>
      <c r="L60" s="66">
        <v>0.72</v>
      </c>
      <c r="M60" s="66">
        <v>0.17</v>
      </c>
      <c r="N60" s="66">
        <v>0.24</v>
      </c>
      <c r="O60" s="66">
        <v>0.53</v>
      </c>
      <c r="P60" s="66">
        <v>0.23</v>
      </c>
      <c r="Q60" s="66">
        <v>0.44</v>
      </c>
      <c r="R60" s="66">
        <v>0.42</v>
      </c>
      <c r="S60" s="66">
        <v>0.64</v>
      </c>
      <c r="T60" s="66">
        <v>0.43</v>
      </c>
      <c r="U60" s="66">
        <v>0.54</v>
      </c>
      <c r="V60" s="66">
        <v>0.02</v>
      </c>
      <c r="W60" s="66">
        <v>0.19</v>
      </c>
      <c r="X60" s="66">
        <v>0.39</v>
      </c>
      <c r="Y60" s="66">
        <v>0.44</v>
      </c>
      <c r="Z60" s="66">
        <v>1</v>
      </c>
      <c r="AA60" s="66">
        <v>0.09</v>
      </c>
      <c r="AB60" s="66">
        <v>0.28999999999999998</v>
      </c>
      <c r="AC60" s="66">
        <v>0.11</v>
      </c>
      <c r="AD60" s="66">
        <v>0.4</v>
      </c>
      <c r="AE60" s="66">
        <v>0.24</v>
      </c>
      <c r="AF60" s="66">
        <v>0.52</v>
      </c>
      <c r="AG60" s="66">
        <v>0.47</v>
      </c>
      <c r="AH60" s="12">
        <v>57</v>
      </c>
      <c r="AI60" s="12">
        <v>7</v>
      </c>
      <c r="AJ60" s="40">
        <v>0.02</v>
      </c>
      <c r="AK60" s="40">
        <v>0.42</v>
      </c>
      <c r="AL60" s="40">
        <v>0.53</v>
      </c>
      <c r="AM60" s="40">
        <v>0.03</v>
      </c>
      <c r="AN60" s="40">
        <v>0.18</v>
      </c>
      <c r="AO60" s="40">
        <v>0.41</v>
      </c>
      <c r="AP60" s="40">
        <v>0.46</v>
      </c>
      <c r="AQ60" s="40">
        <v>0.28000000000000003</v>
      </c>
      <c r="AR60" s="40">
        <v>0.47</v>
      </c>
      <c r="AS60" s="40">
        <v>0.4</v>
      </c>
      <c r="AT60" s="40">
        <v>0.45</v>
      </c>
      <c r="AU60" s="40">
        <v>0.41</v>
      </c>
      <c r="AV60" s="40">
        <v>0.52</v>
      </c>
      <c r="AW60" s="40">
        <v>0.38</v>
      </c>
      <c r="AX60" s="40">
        <v>0.4</v>
      </c>
      <c r="AY60" s="40">
        <v>0.17</v>
      </c>
      <c r="AZ60" s="40">
        <v>0.18</v>
      </c>
      <c r="BA60" s="40">
        <v>0.38</v>
      </c>
      <c r="BB60" s="40">
        <v>0.63</v>
      </c>
      <c r="BC60" s="40">
        <v>0.59</v>
      </c>
      <c r="BD60" s="40">
        <v>0.26</v>
      </c>
      <c r="BE60" s="40">
        <v>0.48</v>
      </c>
      <c r="BF60" s="40">
        <v>0.55000000000000004</v>
      </c>
      <c r="BG60" s="40">
        <v>0.4</v>
      </c>
      <c r="BH60" s="40">
        <v>0.35</v>
      </c>
      <c r="BI60" s="40">
        <v>0.35</v>
      </c>
      <c r="BJ60" s="40">
        <v>0.25</v>
      </c>
      <c r="BK60" s="40">
        <v>0.32</v>
      </c>
      <c r="BL60" s="40">
        <v>0.44</v>
      </c>
      <c r="BM60" s="12">
        <v>55</v>
      </c>
      <c r="BN60" s="12">
        <v>8</v>
      </c>
      <c r="BO60" s="66">
        <v>0.05</v>
      </c>
      <c r="BP60" s="66">
        <v>0.4</v>
      </c>
      <c r="BQ60" s="66">
        <v>0.55000000000000004</v>
      </c>
      <c r="BR60" s="66">
        <v>0.01</v>
      </c>
      <c r="BS60" s="66">
        <v>0.26</v>
      </c>
      <c r="BT60" s="66">
        <v>0.48</v>
      </c>
      <c r="BU60" s="66">
        <v>0.62</v>
      </c>
      <c r="BV60" s="66">
        <v>0.19</v>
      </c>
      <c r="BW60" s="66">
        <v>0.59</v>
      </c>
      <c r="BX60" s="66">
        <v>0.25</v>
      </c>
      <c r="BY60" s="66">
        <v>0.39</v>
      </c>
      <c r="BZ60" s="66">
        <v>0.47</v>
      </c>
      <c r="CA60" s="66">
        <v>0.4</v>
      </c>
      <c r="CB60" s="66">
        <v>0.24</v>
      </c>
      <c r="CC60" s="66">
        <v>0.11</v>
      </c>
      <c r="CD60" s="66">
        <v>0.35</v>
      </c>
      <c r="CE60" s="66">
        <v>0.26</v>
      </c>
      <c r="CF60" s="66">
        <v>0.54</v>
      </c>
      <c r="CG60" s="66">
        <v>0.51</v>
      </c>
      <c r="CH60" s="66">
        <v>0.36</v>
      </c>
      <c r="CI60" s="66">
        <v>0.52</v>
      </c>
      <c r="CJ60" s="66">
        <v>0.21</v>
      </c>
      <c r="CK60" s="66">
        <v>0.59</v>
      </c>
      <c r="CL60" s="66">
        <v>0.18</v>
      </c>
      <c r="CM60" s="66">
        <v>0.34</v>
      </c>
      <c r="CN60" s="66">
        <v>0.32</v>
      </c>
      <c r="CO60" s="66">
        <v>0.4</v>
      </c>
      <c r="CP60" s="66">
        <v>0.26</v>
      </c>
      <c r="CQ60" s="66">
        <v>0.48</v>
      </c>
      <c r="CR60" s="66">
        <v>0.47</v>
      </c>
      <c r="CS60" s="12">
        <v>54</v>
      </c>
      <c r="CT60" s="12">
        <v>8</v>
      </c>
      <c r="CU60" s="63">
        <v>0.04</v>
      </c>
      <c r="CV60" s="63">
        <v>0.54</v>
      </c>
      <c r="CW60" s="63">
        <v>0.41</v>
      </c>
      <c r="CX60" s="63">
        <v>0.01</v>
      </c>
      <c r="CY60" s="63">
        <v>0.46</v>
      </c>
      <c r="CZ60" s="63">
        <v>0.24</v>
      </c>
      <c r="DA60" s="63">
        <v>0.46</v>
      </c>
      <c r="DB60" s="63">
        <v>0.28000000000000003</v>
      </c>
      <c r="DC60" s="63">
        <v>0.4</v>
      </c>
      <c r="DD60" s="63">
        <v>0.56000000000000005</v>
      </c>
      <c r="DE60" s="63">
        <v>0.36</v>
      </c>
      <c r="DF60" s="63">
        <v>0.43</v>
      </c>
      <c r="DG60" s="63">
        <v>0.36</v>
      </c>
      <c r="DH60" s="63">
        <v>0.33</v>
      </c>
      <c r="DI60" s="63">
        <v>0.37</v>
      </c>
      <c r="DJ60" s="63">
        <v>0.43</v>
      </c>
      <c r="DK60" s="63">
        <v>0.27</v>
      </c>
      <c r="DL60" s="63">
        <v>0.21</v>
      </c>
      <c r="DM60" s="63">
        <v>0.44</v>
      </c>
      <c r="DN60" s="63">
        <v>0.43</v>
      </c>
      <c r="DO60" s="63">
        <v>0.36</v>
      </c>
      <c r="DP60" s="63">
        <v>0.44</v>
      </c>
      <c r="DQ60" s="63">
        <v>0.46</v>
      </c>
      <c r="DR60" s="63">
        <v>0.19</v>
      </c>
      <c r="DS60" s="63">
        <v>0.32</v>
      </c>
      <c r="DT60" s="63">
        <v>0.48</v>
      </c>
      <c r="DU60" s="63">
        <v>0.4</v>
      </c>
      <c r="DV60" s="63">
        <v>0.5</v>
      </c>
      <c r="DW60" s="63">
        <v>0.25</v>
      </c>
      <c r="DX60" s="35">
        <v>54</v>
      </c>
      <c r="DY60" s="35">
        <v>9</v>
      </c>
      <c r="DZ60" s="40">
        <v>0.09</v>
      </c>
      <c r="EA60" s="40">
        <v>0.44</v>
      </c>
      <c r="EB60" s="40">
        <v>0.47</v>
      </c>
      <c r="EC60" s="40">
        <v>0.01</v>
      </c>
      <c r="ED60" s="40">
        <v>0.4</v>
      </c>
      <c r="EE60" s="40">
        <v>0.4</v>
      </c>
      <c r="EF60" s="40">
        <v>0.5</v>
      </c>
      <c r="EG60" s="40">
        <v>0.22</v>
      </c>
      <c r="EH60" s="40">
        <v>0.34</v>
      </c>
      <c r="EI60" s="40">
        <v>0.42</v>
      </c>
      <c r="EJ60" s="40">
        <v>0.49</v>
      </c>
      <c r="EK60" s="40">
        <v>0.19</v>
      </c>
      <c r="EL60" s="40">
        <v>0.36</v>
      </c>
      <c r="EM60" s="40">
        <v>0.64</v>
      </c>
      <c r="EN60" s="40">
        <v>0.35</v>
      </c>
      <c r="EO60" s="40">
        <v>0.55000000000000004</v>
      </c>
      <c r="EP60" s="40">
        <v>0.28999999999999998</v>
      </c>
      <c r="EQ60" s="40">
        <v>0.17</v>
      </c>
      <c r="ER60" s="40">
        <v>0.6</v>
      </c>
      <c r="ES60" s="40">
        <v>0.35</v>
      </c>
      <c r="ET60" s="40">
        <v>0.25</v>
      </c>
      <c r="EU60" s="40">
        <v>0.49</v>
      </c>
      <c r="EV60" s="40">
        <v>0.33</v>
      </c>
      <c r="EW60" s="40">
        <v>0.2</v>
      </c>
      <c r="EX60" s="40">
        <v>0.62</v>
      </c>
      <c r="EY60" s="40">
        <v>0.48</v>
      </c>
      <c r="EZ60" s="40">
        <v>0.13</v>
      </c>
      <c r="FA60" s="40">
        <v>0.52</v>
      </c>
      <c r="FB60" s="247">
        <v>54</v>
      </c>
      <c r="FC60" s="247" t="s">
        <v>874</v>
      </c>
      <c r="FD60" s="247">
        <v>9</v>
      </c>
      <c r="FE60" s="247" t="s">
        <v>874</v>
      </c>
      <c r="FF60" s="264">
        <v>0.09</v>
      </c>
      <c r="FG60" s="264">
        <v>0.44</v>
      </c>
      <c r="FH60" s="264">
        <v>0.45</v>
      </c>
      <c r="FI60" s="264">
        <v>0.01</v>
      </c>
      <c r="FJ60" s="264">
        <v>0.38</v>
      </c>
      <c r="FK60" s="264">
        <v>0.59</v>
      </c>
      <c r="FL60" s="264">
        <v>0.38</v>
      </c>
      <c r="FM60" s="264">
        <v>0.3</v>
      </c>
      <c r="FN60" s="264">
        <v>0.2</v>
      </c>
      <c r="FO60" s="264">
        <v>0.27</v>
      </c>
      <c r="FP60" s="264">
        <v>0.33</v>
      </c>
      <c r="FQ60" s="264">
        <v>0.34</v>
      </c>
      <c r="FR60" s="264">
        <v>0.52</v>
      </c>
      <c r="FS60" s="264">
        <v>0.51</v>
      </c>
      <c r="FT60" s="264">
        <v>0.38</v>
      </c>
      <c r="FU60" s="264">
        <v>0.28000000000000003</v>
      </c>
      <c r="FV60" s="264">
        <v>0.54</v>
      </c>
      <c r="FW60" s="264">
        <v>0.46</v>
      </c>
      <c r="FX60" s="264">
        <v>0.34</v>
      </c>
      <c r="FY60" s="264">
        <v>0.26</v>
      </c>
      <c r="FZ60" s="264">
        <v>0.36</v>
      </c>
      <c r="GA60" s="264">
        <v>0.43</v>
      </c>
      <c r="GB60" s="264">
        <v>0.43</v>
      </c>
      <c r="GC60" s="264">
        <v>0.3</v>
      </c>
      <c r="GD60" s="264">
        <v>0.52</v>
      </c>
      <c r="GE60" s="264">
        <v>0.48</v>
      </c>
      <c r="GF60" s="264">
        <v>0.32</v>
      </c>
      <c r="GG60" s="264">
        <v>0.35</v>
      </c>
      <c r="GH60" s="264">
        <v>0.44</v>
      </c>
      <c r="GI60" s="264">
        <v>0.21</v>
      </c>
      <c r="GJ60" s="311">
        <v>56</v>
      </c>
      <c r="GK60" s="311" t="s">
        <v>874</v>
      </c>
      <c r="GL60" s="311">
        <v>10</v>
      </c>
      <c r="GM60" s="311" t="s">
        <v>874</v>
      </c>
      <c r="GN60" s="329">
        <v>0.09</v>
      </c>
      <c r="GO60" s="329">
        <v>0.39</v>
      </c>
      <c r="GP60" s="329">
        <v>0.45</v>
      </c>
      <c r="GQ60" s="329">
        <v>7.0000000000000007E-2</v>
      </c>
      <c r="GR60" s="329">
        <v>0.4</v>
      </c>
      <c r="GS60" s="329">
        <v>0.42</v>
      </c>
      <c r="GT60" s="329">
        <v>0.53</v>
      </c>
      <c r="GU60" s="329">
        <v>0.2</v>
      </c>
      <c r="GV60" s="329">
        <v>0.48</v>
      </c>
      <c r="GW60" s="329">
        <v>0.37</v>
      </c>
      <c r="GX60" s="329">
        <v>0.34</v>
      </c>
      <c r="GY60" s="311" t="s">
        <v>283</v>
      </c>
      <c r="GZ60" s="329">
        <v>0.24</v>
      </c>
      <c r="HA60" s="329">
        <v>0.69</v>
      </c>
      <c r="HB60" s="329">
        <v>0.37</v>
      </c>
      <c r="HC60" s="329">
        <v>0.41</v>
      </c>
      <c r="HD60" s="329">
        <v>0.44</v>
      </c>
      <c r="HE60" s="329">
        <v>0.38</v>
      </c>
      <c r="HF60" s="329">
        <v>0.37</v>
      </c>
      <c r="HG60" s="329">
        <v>0.54</v>
      </c>
      <c r="HH60" s="329">
        <v>0.3</v>
      </c>
      <c r="HI60" s="329">
        <v>0.37</v>
      </c>
      <c r="HJ60" s="329">
        <v>0.49</v>
      </c>
      <c r="HK60" s="329">
        <v>0.42</v>
      </c>
      <c r="HL60" s="329">
        <v>0.31</v>
      </c>
      <c r="HM60" s="329">
        <v>0.43</v>
      </c>
      <c r="HN60" s="329">
        <v>0.45</v>
      </c>
      <c r="HO60" s="329">
        <v>0.31</v>
      </c>
      <c r="HP60" s="311" t="s">
        <v>283</v>
      </c>
      <c r="HQ60" s="329">
        <v>0.28999999999999998</v>
      </c>
      <c r="HR60" s="426">
        <v>55</v>
      </c>
      <c r="HS60" s="426" t="s">
        <v>874</v>
      </c>
      <c r="HT60" s="426">
        <v>9</v>
      </c>
      <c r="HU60" s="426" t="s">
        <v>874</v>
      </c>
      <c r="HV60" s="430">
        <v>0.05</v>
      </c>
      <c r="HW60" s="430">
        <v>0.43</v>
      </c>
      <c r="HX60" s="430">
        <v>0.5</v>
      </c>
      <c r="HY60" s="430">
        <v>0.02</v>
      </c>
      <c r="HZ60" s="430">
        <v>0.31</v>
      </c>
      <c r="IA60" s="430">
        <v>0.47</v>
      </c>
      <c r="IB60" s="430">
        <v>0.28999999999999998</v>
      </c>
      <c r="IC60" s="430">
        <v>0.45</v>
      </c>
      <c r="ID60" s="430">
        <v>0.6</v>
      </c>
      <c r="IE60" s="430">
        <v>0.24</v>
      </c>
      <c r="IF60" s="430">
        <v>0.36</v>
      </c>
      <c r="IG60" s="430">
        <v>0.47</v>
      </c>
      <c r="IH60" s="430">
        <v>0.42</v>
      </c>
      <c r="II60" s="430">
        <v>0.16</v>
      </c>
      <c r="IJ60" s="430">
        <v>0.21</v>
      </c>
      <c r="IK60" s="430">
        <v>0.51</v>
      </c>
      <c r="IL60" s="430">
        <v>0.33</v>
      </c>
      <c r="IM60" s="430">
        <v>0.48</v>
      </c>
      <c r="IN60" s="430">
        <v>0.34</v>
      </c>
      <c r="IO60" s="430">
        <v>0.46</v>
      </c>
      <c r="IP60" s="430">
        <v>0.34</v>
      </c>
      <c r="IQ60" s="430">
        <v>0.62</v>
      </c>
      <c r="IR60" s="430">
        <v>0.5</v>
      </c>
      <c r="IS60" s="430">
        <v>0.43</v>
      </c>
      <c r="IT60" s="430">
        <v>0.35</v>
      </c>
      <c r="IU60" s="426" t="s">
        <v>283</v>
      </c>
      <c r="IV60" s="430">
        <v>0.56000000000000005</v>
      </c>
      <c r="IW60" s="430">
        <v>0.31</v>
      </c>
      <c r="IX60" s="430">
        <v>0.47</v>
      </c>
      <c r="IY60" s="430">
        <v>0.39</v>
      </c>
      <c r="IZ60" s="466">
        <v>58</v>
      </c>
      <c r="JA60" s="466" t="s">
        <v>874</v>
      </c>
      <c r="JB60" s="466">
        <v>8</v>
      </c>
      <c r="JC60" s="466" t="s">
        <v>874</v>
      </c>
      <c r="JD60" s="480">
        <v>0.03</v>
      </c>
      <c r="JE60" s="480">
        <v>0.33</v>
      </c>
      <c r="JF60" s="480">
        <v>0.57999999999999996</v>
      </c>
      <c r="JG60" s="480">
        <v>0.06</v>
      </c>
      <c r="JH60" s="480">
        <v>0.3</v>
      </c>
      <c r="JI60" s="480">
        <v>0.34</v>
      </c>
      <c r="JJ60" s="480">
        <v>0.3</v>
      </c>
      <c r="JK60" s="480">
        <v>0.34</v>
      </c>
      <c r="JL60" s="480">
        <v>0.38</v>
      </c>
      <c r="JM60" s="480">
        <v>0.38</v>
      </c>
      <c r="JN60" s="480">
        <v>0.26</v>
      </c>
      <c r="JO60" s="480">
        <v>0.33</v>
      </c>
      <c r="JP60" s="480">
        <v>0.44</v>
      </c>
      <c r="JQ60" s="480">
        <v>0.14000000000000001</v>
      </c>
      <c r="JR60" s="480">
        <v>0.46</v>
      </c>
      <c r="JS60" s="480">
        <v>0.43</v>
      </c>
      <c r="JT60" s="480">
        <v>0.28999999999999998</v>
      </c>
      <c r="JU60" s="480">
        <v>0.41</v>
      </c>
      <c r="JV60" s="480">
        <v>0.35</v>
      </c>
      <c r="JW60" s="480">
        <v>0.34</v>
      </c>
      <c r="JX60" s="480">
        <v>0.28000000000000003</v>
      </c>
      <c r="JY60" s="480">
        <v>0.44</v>
      </c>
      <c r="JZ60" s="480">
        <v>0.34</v>
      </c>
      <c r="KA60" s="480">
        <v>0.44</v>
      </c>
      <c r="KB60" s="480">
        <v>0.28999999999999998</v>
      </c>
      <c r="KC60" s="480">
        <v>0.56000000000000005</v>
      </c>
      <c r="KD60" s="480">
        <v>0.25</v>
      </c>
      <c r="KE60" s="480">
        <v>0.37</v>
      </c>
      <c r="KF60" s="480">
        <v>0.3</v>
      </c>
      <c r="KG60" s="480">
        <v>0.39</v>
      </c>
    </row>
    <row r="61" spans="1:293" ht="24.95" customHeight="1" x14ac:dyDescent="0.2">
      <c r="A61" s="126" t="s">
        <v>174</v>
      </c>
      <c r="B61" s="1" t="s">
        <v>221</v>
      </c>
      <c r="C61" s="2">
        <v>2</v>
      </c>
      <c r="D61" s="12">
        <v>52</v>
      </c>
      <c r="E61" s="12">
        <v>8</v>
      </c>
      <c r="F61" s="66">
        <v>0.05</v>
      </c>
      <c r="G61" s="66">
        <v>0.64</v>
      </c>
      <c r="H61" s="66">
        <v>0.31</v>
      </c>
      <c r="I61" s="66">
        <v>0</v>
      </c>
      <c r="J61" s="66">
        <v>0.49</v>
      </c>
      <c r="K61" s="66">
        <v>0.35</v>
      </c>
      <c r="L61" s="66">
        <v>0.74</v>
      </c>
      <c r="M61" s="66">
        <v>0.46</v>
      </c>
      <c r="N61" s="66">
        <v>0.31</v>
      </c>
      <c r="O61" s="66">
        <v>0.71</v>
      </c>
      <c r="P61" s="66">
        <v>0.35</v>
      </c>
      <c r="Q61" s="66">
        <v>0.36</v>
      </c>
      <c r="R61" s="66">
        <v>0.52</v>
      </c>
      <c r="S61" s="66">
        <v>0.54</v>
      </c>
      <c r="T61" s="66">
        <v>0.51</v>
      </c>
      <c r="U61" s="66">
        <v>0.59</v>
      </c>
      <c r="V61" s="66">
        <v>0.08</v>
      </c>
      <c r="W61" s="66">
        <v>0.2</v>
      </c>
      <c r="X61" s="66">
        <v>0.54</v>
      </c>
      <c r="Y61" s="66">
        <v>0.64</v>
      </c>
      <c r="Z61" s="12" t="s">
        <v>283</v>
      </c>
      <c r="AA61" s="66">
        <v>0.1</v>
      </c>
      <c r="AB61" s="66">
        <v>0.46</v>
      </c>
      <c r="AC61" s="66">
        <v>0.28000000000000003</v>
      </c>
      <c r="AD61" s="66">
        <v>0.49</v>
      </c>
      <c r="AE61" s="66">
        <v>0.52</v>
      </c>
      <c r="AF61" s="66">
        <v>0.47</v>
      </c>
      <c r="AG61" s="66">
        <v>0.52</v>
      </c>
      <c r="AH61" s="12">
        <v>50</v>
      </c>
      <c r="AI61" s="12">
        <v>7</v>
      </c>
      <c r="AJ61" s="40">
        <v>0.13</v>
      </c>
      <c r="AK61" s="40">
        <v>0.63</v>
      </c>
      <c r="AL61" s="40">
        <v>0.23</v>
      </c>
      <c r="AM61" s="40">
        <v>0</v>
      </c>
      <c r="AN61" s="40">
        <v>0.43</v>
      </c>
      <c r="AO61" s="40">
        <v>0.52</v>
      </c>
      <c r="AP61" s="40">
        <v>0.55000000000000004</v>
      </c>
      <c r="AQ61" s="40">
        <v>0.46</v>
      </c>
      <c r="AR61" s="40">
        <v>0.56999999999999995</v>
      </c>
      <c r="AS61" s="40">
        <v>0.54</v>
      </c>
      <c r="AT61" s="40">
        <v>0.59</v>
      </c>
      <c r="AU61" s="40">
        <v>0.6</v>
      </c>
      <c r="AV61" s="40">
        <v>0.65</v>
      </c>
      <c r="AW61" s="40">
        <v>0.67</v>
      </c>
      <c r="AX61" s="40">
        <v>0.62</v>
      </c>
      <c r="AY61" s="40">
        <v>0.43</v>
      </c>
      <c r="AZ61" s="40">
        <v>0.26</v>
      </c>
      <c r="BA61" s="40">
        <v>0.62</v>
      </c>
      <c r="BB61" s="40">
        <v>0.68</v>
      </c>
      <c r="BC61" s="40">
        <v>0.73</v>
      </c>
      <c r="BD61" s="40">
        <v>0.43</v>
      </c>
      <c r="BE61" s="40">
        <v>0.59</v>
      </c>
      <c r="BF61" s="40">
        <v>0.72</v>
      </c>
      <c r="BG61" s="40">
        <v>0.56000000000000005</v>
      </c>
      <c r="BH61" s="40">
        <v>0.5</v>
      </c>
      <c r="BI61" s="40">
        <v>0.48</v>
      </c>
      <c r="BJ61" s="40">
        <v>0.35</v>
      </c>
      <c r="BK61" s="40">
        <v>0.53</v>
      </c>
      <c r="BL61" s="40">
        <v>0.77</v>
      </c>
      <c r="BM61" s="12">
        <v>50</v>
      </c>
      <c r="BN61" s="12">
        <v>8</v>
      </c>
      <c r="BO61" s="66">
        <v>0.11</v>
      </c>
      <c r="BP61" s="66">
        <v>0.69</v>
      </c>
      <c r="BQ61" s="66">
        <v>0.19</v>
      </c>
      <c r="BR61" s="66">
        <v>0</v>
      </c>
      <c r="BS61" s="66">
        <v>0.3</v>
      </c>
      <c r="BT61" s="66">
        <v>0.71</v>
      </c>
      <c r="BU61" s="66">
        <v>0.7</v>
      </c>
      <c r="BV61" s="66">
        <v>0.4</v>
      </c>
      <c r="BW61" s="66">
        <v>0.65</v>
      </c>
      <c r="BX61" s="66">
        <v>0.39</v>
      </c>
      <c r="BY61" s="66">
        <v>0.42</v>
      </c>
      <c r="BZ61" s="66">
        <v>0.5</v>
      </c>
      <c r="CA61" s="66">
        <v>0.35</v>
      </c>
      <c r="CB61" s="66">
        <v>0.49</v>
      </c>
      <c r="CC61" s="66">
        <v>0.21</v>
      </c>
      <c r="CD61" s="66">
        <v>0.37</v>
      </c>
      <c r="CE61" s="66">
        <v>0.35</v>
      </c>
      <c r="CF61" s="66">
        <v>0.56999999999999995</v>
      </c>
      <c r="CG61" s="66">
        <v>0.66</v>
      </c>
      <c r="CH61" s="66">
        <v>0.47</v>
      </c>
      <c r="CI61" s="66">
        <v>0.56999999999999995</v>
      </c>
      <c r="CJ61" s="66">
        <v>0.39</v>
      </c>
      <c r="CK61" s="66">
        <v>0.75</v>
      </c>
      <c r="CL61" s="66">
        <v>0.33</v>
      </c>
      <c r="CM61" s="66">
        <v>0.48</v>
      </c>
      <c r="CN61" s="66">
        <v>0.47</v>
      </c>
      <c r="CO61" s="66">
        <v>0.42</v>
      </c>
      <c r="CP61" s="66">
        <v>0.36</v>
      </c>
      <c r="CQ61" s="66">
        <v>0.6</v>
      </c>
      <c r="CR61" s="66">
        <v>0.51</v>
      </c>
      <c r="CS61" s="12">
        <v>53</v>
      </c>
      <c r="CT61" s="12">
        <v>8</v>
      </c>
      <c r="CU61" s="63">
        <v>0.15</v>
      </c>
      <c r="CV61" s="63">
        <v>0.5</v>
      </c>
      <c r="CW61" s="63">
        <v>0.35</v>
      </c>
      <c r="CX61" s="63">
        <v>0</v>
      </c>
      <c r="CY61" s="63">
        <v>0.48</v>
      </c>
      <c r="CZ61" s="63">
        <v>0.25</v>
      </c>
      <c r="DA61" s="63">
        <v>0.52</v>
      </c>
      <c r="DB61" s="63">
        <v>0.18</v>
      </c>
      <c r="DC61" s="63">
        <v>0.45</v>
      </c>
      <c r="DD61" s="63">
        <v>0.61</v>
      </c>
      <c r="DE61" s="63">
        <v>0.34</v>
      </c>
      <c r="DF61" s="63">
        <v>0.56999999999999995</v>
      </c>
      <c r="DG61" s="63">
        <v>0.38</v>
      </c>
      <c r="DH61" s="63">
        <v>0.16</v>
      </c>
      <c r="DI61" s="63">
        <v>0.48</v>
      </c>
      <c r="DJ61" s="63">
        <v>0.42</v>
      </c>
      <c r="DK61" s="63">
        <v>0.36</v>
      </c>
      <c r="DL61" s="63">
        <v>0.21</v>
      </c>
      <c r="DM61" s="63">
        <v>0.48</v>
      </c>
      <c r="DN61" s="63">
        <v>0.46</v>
      </c>
      <c r="DO61" s="63">
        <v>0.48</v>
      </c>
      <c r="DP61" s="63">
        <v>0.43</v>
      </c>
      <c r="DQ61" s="63">
        <v>0.52</v>
      </c>
      <c r="DR61" s="63">
        <v>0.12</v>
      </c>
      <c r="DS61" s="63">
        <v>0.4</v>
      </c>
      <c r="DT61" s="63">
        <v>0.57999999999999996</v>
      </c>
      <c r="DU61" s="63">
        <v>0.38</v>
      </c>
      <c r="DV61" s="63">
        <v>0.6</v>
      </c>
      <c r="DW61" s="63">
        <v>0.38</v>
      </c>
      <c r="DX61" s="35">
        <v>48</v>
      </c>
      <c r="DY61" s="35">
        <v>9</v>
      </c>
      <c r="DZ61" s="40">
        <v>0.22</v>
      </c>
      <c r="EA61" s="40">
        <v>0.61</v>
      </c>
      <c r="EB61" s="40">
        <v>0.17</v>
      </c>
      <c r="EC61" s="40">
        <v>0</v>
      </c>
      <c r="ED61" s="40">
        <v>0.55000000000000004</v>
      </c>
      <c r="EE61" s="40">
        <v>0.49</v>
      </c>
      <c r="EF61" s="40">
        <v>0.45</v>
      </c>
      <c r="EG61" s="40">
        <v>0.36</v>
      </c>
      <c r="EH61" s="40">
        <v>0.48</v>
      </c>
      <c r="EI61" s="40">
        <v>0.52</v>
      </c>
      <c r="EJ61" s="40">
        <v>0.56999999999999995</v>
      </c>
      <c r="EK61" s="40">
        <v>0.3</v>
      </c>
      <c r="EL61" s="40">
        <v>0.45</v>
      </c>
      <c r="EM61" s="40">
        <v>0.72</v>
      </c>
      <c r="EN61" s="40">
        <v>0.43</v>
      </c>
      <c r="EO61" s="40">
        <v>0.55000000000000004</v>
      </c>
      <c r="EP61" s="40">
        <v>0.34</v>
      </c>
      <c r="EQ61" s="40">
        <v>0.31</v>
      </c>
      <c r="ER61" s="40">
        <v>0.67</v>
      </c>
      <c r="ES61" s="40">
        <v>0.53</v>
      </c>
      <c r="ET61" s="40">
        <v>0.38</v>
      </c>
      <c r="EU61" s="40">
        <v>0.63</v>
      </c>
      <c r="EV61" s="40">
        <v>0.43</v>
      </c>
      <c r="EW61" s="40">
        <v>0.34</v>
      </c>
      <c r="EX61" s="40">
        <v>0.64</v>
      </c>
      <c r="EY61" s="40">
        <v>0.65</v>
      </c>
      <c r="EZ61" s="40">
        <v>0.33</v>
      </c>
      <c r="FA61" s="40">
        <v>0.49</v>
      </c>
      <c r="FB61" s="653">
        <v>51</v>
      </c>
      <c r="FC61" s="653" t="s">
        <v>874</v>
      </c>
      <c r="FD61" s="653">
        <v>10</v>
      </c>
      <c r="FE61" s="653" t="s">
        <v>874</v>
      </c>
      <c r="FF61" s="654">
        <v>0.22</v>
      </c>
      <c r="FG61" s="654">
        <v>0.41</v>
      </c>
      <c r="FH61" s="654">
        <v>0.38</v>
      </c>
      <c r="FI61" s="654">
        <v>0</v>
      </c>
      <c r="FJ61" s="654">
        <v>0.41</v>
      </c>
      <c r="FK61" s="654">
        <v>0.67</v>
      </c>
      <c r="FL61" s="654">
        <v>0.51</v>
      </c>
      <c r="FM61" s="654">
        <v>0.4</v>
      </c>
      <c r="FN61" s="654">
        <v>0.26</v>
      </c>
      <c r="FO61" s="654">
        <v>0.36</v>
      </c>
      <c r="FP61" s="654">
        <v>0.32</v>
      </c>
      <c r="FQ61" s="654">
        <v>0.49</v>
      </c>
      <c r="FR61" s="654">
        <v>0.65</v>
      </c>
      <c r="FS61" s="654">
        <v>0.47</v>
      </c>
      <c r="FT61" s="654">
        <v>0.54</v>
      </c>
      <c r="FU61" s="654">
        <v>0.41</v>
      </c>
      <c r="FV61" s="654">
        <v>0.56999999999999995</v>
      </c>
      <c r="FW61" s="654">
        <v>0.52</v>
      </c>
      <c r="FX61" s="654">
        <v>0.55000000000000004</v>
      </c>
      <c r="FY61" s="654">
        <v>0.34</v>
      </c>
      <c r="FZ61" s="654">
        <v>0.44</v>
      </c>
      <c r="GA61" s="654">
        <v>0.48</v>
      </c>
      <c r="GB61" s="654">
        <v>0.48</v>
      </c>
      <c r="GC61" s="654">
        <v>0.41</v>
      </c>
      <c r="GD61" s="654">
        <v>0.64</v>
      </c>
      <c r="GE61" s="654">
        <v>0.51</v>
      </c>
      <c r="GF61" s="654">
        <v>0.51</v>
      </c>
      <c r="GG61" s="654">
        <v>0.36</v>
      </c>
      <c r="GH61" s="654">
        <v>0.61</v>
      </c>
      <c r="GI61" s="654">
        <v>0.22</v>
      </c>
      <c r="GJ61" s="74">
        <v>54</v>
      </c>
      <c r="GK61" s="74" t="s">
        <v>874</v>
      </c>
      <c r="GL61" s="74">
        <v>9</v>
      </c>
      <c r="GM61" s="74" t="s">
        <v>874</v>
      </c>
      <c r="GN61" s="96">
        <v>0.11</v>
      </c>
      <c r="GO61" s="96">
        <v>0.45</v>
      </c>
      <c r="GP61" s="96">
        <v>0.42</v>
      </c>
      <c r="GQ61" s="96">
        <v>0.03</v>
      </c>
      <c r="GR61" s="96">
        <v>0.48</v>
      </c>
      <c r="GS61" s="96">
        <v>0.54</v>
      </c>
      <c r="GT61" s="96">
        <v>0.57999999999999996</v>
      </c>
      <c r="GU61" s="96">
        <v>0.12</v>
      </c>
      <c r="GV61" s="96">
        <v>0.53</v>
      </c>
      <c r="GW61" s="96">
        <v>0.31</v>
      </c>
      <c r="GX61" s="96">
        <v>0.4</v>
      </c>
      <c r="GY61" s="74" t="s">
        <v>283</v>
      </c>
      <c r="GZ61" s="96">
        <v>0.18</v>
      </c>
      <c r="HA61" s="96">
        <v>0.86</v>
      </c>
      <c r="HB61" s="96">
        <v>0.39</v>
      </c>
      <c r="HC61" s="96">
        <v>0.52</v>
      </c>
      <c r="HD61" s="96">
        <v>0.48</v>
      </c>
      <c r="HE61" s="96">
        <v>0.33</v>
      </c>
      <c r="HF61" s="96">
        <v>0.42</v>
      </c>
      <c r="HG61" s="96">
        <v>0.61</v>
      </c>
      <c r="HH61" s="96">
        <v>0.33</v>
      </c>
      <c r="HI61" s="96">
        <v>0.39</v>
      </c>
      <c r="HJ61" s="96">
        <v>0.56999999999999995</v>
      </c>
      <c r="HK61" s="96">
        <v>0.42</v>
      </c>
      <c r="HL61" s="96">
        <v>0.34</v>
      </c>
      <c r="HM61" s="96">
        <v>0.41</v>
      </c>
      <c r="HN61" s="96">
        <v>0.47</v>
      </c>
      <c r="HO61" s="96">
        <v>0.27</v>
      </c>
      <c r="HP61" s="74" t="s">
        <v>283</v>
      </c>
      <c r="HQ61" s="96">
        <v>0.31</v>
      </c>
      <c r="HR61" s="658">
        <v>53</v>
      </c>
      <c r="HS61" s="658" t="s">
        <v>874</v>
      </c>
      <c r="HT61" s="658">
        <v>10</v>
      </c>
      <c r="HU61" s="658" t="s">
        <v>874</v>
      </c>
      <c r="HV61" s="659">
        <v>0.12</v>
      </c>
      <c r="HW61" s="659">
        <v>0.45</v>
      </c>
      <c r="HX61" s="659">
        <v>0.42</v>
      </c>
      <c r="HY61" s="659">
        <v>0</v>
      </c>
      <c r="HZ61" s="659">
        <v>0.28000000000000003</v>
      </c>
      <c r="IA61" s="659">
        <v>0.47</v>
      </c>
      <c r="IB61" s="659">
        <v>0.26</v>
      </c>
      <c r="IC61" s="659">
        <v>0.5</v>
      </c>
      <c r="ID61" s="659">
        <v>0.68</v>
      </c>
      <c r="IE61" s="659">
        <v>0.3</v>
      </c>
      <c r="IF61" s="659">
        <v>0.42</v>
      </c>
      <c r="IG61" s="659">
        <v>0.48</v>
      </c>
      <c r="IH61" s="659">
        <v>0.52</v>
      </c>
      <c r="II61" s="659">
        <v>0.31</v>
      </c>
      <c r="IJ61" s="659">
        <v>0.27</v>
      </c>
      <c r="IK61" s="659">
        <v>0.56000000000000005</v>
      </c>
      <c r="IL61" s="659">
        <v>0.23</v>
      </c>
      <c r="IM61" s="659">
        <v>0.46</v>
      </c>
      <c r="IN61" s="659">
        <v>0.41</v>
      </c>
      <c r="IO61" s="659">
        <v>0.4</v>
      </c>
      <c r="IP61" s="659">
        <v>0.44</v>
      </c>
      <c r="IQ61" s="659">
        <v>0.73</v>
      </c>
      <c r="IR61" s="659">
        <v>0.55000000000000004</v>
      </c>
      <c r="IS61" s="659">
        <v>0.59</v>
      </c>
      <c r="IT61" s="659">
        <v>0.4</v>
      </c>
      <c r="IU61" s="658" t="s">
        <v>283</v>
      </c>
      <c r="IV61" s="659">
        <v>0.55000000000000004</v>
      </c>
      <c r="IW61" s="659">
        <v>0.4</v>
      </c>
      <c r="IX61" s="659">
        <v>0.52</v>
      </c>
      <c r="IY61" s="659">
        <v>0.51</v>
      </c>
      <c r="IZ61" s="74">
        <v>50</v>
      </c>
      <c r="JA61" s="74" t="s">
        <v>874</v>
      </c>
      <c r="JB61" s="74">
        <v>10</v>
      </c>
      <c r="JC61" s="74" t="s">
        <v>874</v>
      </c>
      <c r="JD61" s="96">
        <v>0.11</v>
      </c>
      <c r="JE61" s="96">
        <v>0.63</v>
      </c>
      <c r="JF61" s="96">
        <v>0.26</v>
      </c>
      <c r="JG61" s="96">
        <v>0</v>
      </c>
      <c r="JH61" s="96">
        <v>0.43</v>
      </c>
      <c r="JI61" s="96">
        <v>0.44</v>
      </c>
      <c r="JJ61" s="96">
        <v>0.5</v>
      </c>
      <c r="JK61" s="96">
        <v>0.55000000000000004</v>
      </c>
      <c r="JL61" s="96">
        <v>0.47</v>
      </c>
      <c r="JM61" s="96">
        <v>0.62</v>
      </c>
      <c r="JN61" s="96">
        <v>0.47</v>
      </c>
      <c r="JO61" s="96">
        <v>0.5</v>
      </c>
      <c r="JP61" s="96">
        <v>0.51</v>
      </c>
      <c r="JQ61" s="96">
        <v>0.3</v>
      </c>
      <c r="JR61" s="96">
        <v>0.63</v>
      </c>
      <c r="JS61" s="96">
        <v>0.51</v>
      </c>
      <c r="JT61" s="96">
        <v>0.42</v>
      </c>
      <c r="JU61" s="96">
        <v>0.56000000000000005</v>
      </c>
      <c r="JV61" s="96">
        <v>0.48</v>
      </c>
      <c r="JW61" s="96">
        <v>0.45</v>
      </c>
      <c r="JX61" s="96">
        <v>0.51</v>
      </c>
      <c r="JY61" s="96">
        <v>0.33</v>
      </c>
      <c r="JZ61" s="96">
        <v>0.44</v>
      </c>
      <c r="KA61" s="96">
        <v>0.83</v>
      </c>
      <c r="KB61" s="96">
        <v>0.54</v>
      </c>
      <c r="KC61" s="96">
        <v>0.71</v>
      </c>
      <c r="KD61" s="96">
        <v>0.44</v>
      </c>
      <c r="KE61" s="96">
        <v>0.37</v>
      </c>
      <c r="KF61" s="96">
        <v>0.46</v>
      </c>
      <c r="KG61" s="96">
        <v>0.43</v>
      </c>
    </row>
    <row r="62" spans="1:293" ht="24.95" customHeight="1" x14ac:dyDescent="0.2">
      <c r="A62" s="126" t="s">
        <v>84</v>
      </c>
      <c r="B62" s="1" t="s">
        <v>221</v>
      </c>
      <c r="C62" s="2">
        <v>2</v>
      </c>
      <c r="D62" s="12">
        <v>58</v>
      </c>
      <c r="E62" s="12">
        <v>4</v>
      </c>
      <c r="F62" s="66">
        <v>0</v>
      </c>
      <c r="G62" s="66">
        <v>0.43</v>
      </c>
      <c r="H62" s="66">
        <v>0.56999999999999995</v>
      </c>
      <c r="I62" s="66">
        <v>0</v>
      </c>
      <c r="J62" s="66">
        <v>0.22</v>
      </c>
      <c r="K62" s="66">
        <v>0.26</v>
      </c>
      <c r="L62" s="66">
        <v>0.75</v>
      </c>
      <c r="M62" s="66">
        <v>0.04</v>
      </c>
      <c r="N62" s="66">
        <v>0.25</v>
      </c>
      <c r="O62" s="66">
        <v>0.69</v>
      </c>
      <c r="P62" s="66">
        <v>0.23</v>
      </c>
      <c r="Q62" s="66">
        <v>0.28000000000000003</v>
      </c>
      <c r="R62" s="66">
        <v>0.49</v>
      </c>
      <c r="S62" s="66">
        <v>0.46</v>
      </c>
      <c r="T62" s="66">
        <v>0.36</v>
      </c>
      <c r="U62" s="66">
        <v>0.45</v>
      </c>
      <c r="V62" s="66">
        <v>0</v>
      </c>
      <c r="W62" s="66">
        <v>0.04</v>
      </c>
      <c r="X62" s="66">
        <v>0.39</v>
      </c>
      <c r="Y62" s="66">
        <v>0.48</v>
      </c>
      <c r="Z62" s="12" t="s">
        <v>283</v>
      </c>
      <c r="AA62" s="66">
        <v>0.09</v>
      </c>
      <c r="AB62" s="66">
        <v>0.33</v>
      </c>
      <c r="AC62" s="66">
        <v>7.0000000000000007E-2</v>
      </c>
      <c r="AD62" s="66">
        <v>0.43</v>
      </c>
      <c r="AE62" s="66">
        <v>0.23</v>
      </c>
      <c r="AF62" s="66">
        <v>0.35</v>
      </c>
      <c r="AG62" s="66">
        <v>0.51</v>
      </c>
      <c r="AH62" s="12">
        <v>59</v>
      </c>
      <c r="AI62" s="12">
        <v>3</v>
      </c>
      <c r="AJ62" s="40">
        <v>0</v>
      </c>
      <c r="AK62" s="40">
        <v>0.21</v>
      </c>
      <c r="AL62" s="40">
        <v>0.79</v>
      </c>
      <c r="AM62" s="40">
        <v>0</v>
      </c>
      <c r="AN62" s="40">
        <v>0.1</v>
      </c>
      <c r="AO62" s="40">
        <v>0.39</v>
      </c>
      <c r="AP62" s="40">
        <v>0.46</v>
      </c>
      <c r="AQ62" s="40">
        <v>0.1</v>
      </c>
      <c r="AR62" s="40">
        <v>0.37</v>
      </c>
      <c r="AS62" s="40">
        <v>0.4</v>
      </c>
      <c r="AT62" s="40">
        <v>0.44</v>
      </c>
      <c r="AU62" s="40">
        <v>0.47</v>
      </c>
      <c r="AV62" s="40">
        <v>0.4</v>
      </c>
      <c r="AW62" s="40">
        <v>0.43</v>
      </c>
      <c r="AX62" s="40">
        <v>0.28000000000000003</v>
      </c>
      <c r="AY62" s="40">
        <v>0.18</v>
      </c>
      <c r="AZ62" s="40">
        <v>7.0000000000000007E-2</v>
      </c>
      <c r="BA62" s="40">
        <v>0.4</v>
      </c>
      <c r="BB62" s="40">
        <v>0.57999999999999996</v>
      </c>
      <c r="BC62" s="40">
        <v>0.51</v>
      </c>
      <c r="BD62" s="40">
        <v>0.32</v>
      </c>
      <c r="BE62" s="40">
        <v>0.33</v>
      </c>
      <c r="BF62" s="40">
        <v>0.73</v>
      </c>
      <c r="BG62" s="40">
        <v>0.26</v>
      </c>
      <c r="BH62" s="40">
        <v>0.31</v>
      </c>
      <c r="BI62" s="40">
        <v>0.31</v>
      </c>
      <c r="BJ62" s="40">
        <v>0.2</v>
      </c>
      <c r="BK62" s="40">
        <v>0.46</v>
      </c>
      <c r="BL62" s="40">
        <v>0.56000000000000005</v>
      </c>
      <c r="BM62" s="12">
        <v>59</v>
      </c>
      <c r="BN62" s="12">
        <v>7</v>
      </c>
      <c r="BO62" s="66">
        <v>0</v>
      </c>
      <c r="BP62" s="66">
        <v>0.44</v>
      </c>
      <c r="BQ62" s="66">
        <v>0.5</v>
      </c>
      <c r="BR62" s="66">
        <v>0.06</v>
      </c>
      <c r="BS62" s="66">
        <v>0.26</v>
      </c>
      <c r="BT62" s="66">
        <v>0.28999999999999998</v>
      </c>
      <c r="BU62" s="66">
        <v>0.5</v>
      </c>
      <c r="BV62" s="66">
        <v>0.17</v>
      </c>
      <c r="BW62" s="66">
        <v>0.52</v>
      </c>
      <c r="BX62" s="66">
        <v>0.25</v>
      </c>
      <c r="BY62" s="66">
        <v>0.23</v>
      </c>
      <c r="BZ62" s="66">
        <v>0.44</v>
      </c>
      <c r="CA62" s="66">
        <v>0.22</v>
      </c>
      <c r="CB62" s="66">
        <v>0.09</v>
      </c>
      <c r="CC62" s="66">
        <v>0.03</v>
      </c>
      <c r="CD62" s="66">
        <v>0.19</v>
      </c>
      <c r="CE62" s="66">
        <v>0.12</v>
      </c>
      <c r="CF62" s="66">
        <v>0.5</v>
      </c>
      <c r="CG62" s="66">
        <v>0.56999999999999995</v>
      </c>
      <c r="CH62" s="66">
        <v>0.31</v>
      </c>
      <c r="CI62" s="66">
        <v>0.53</v>
      </c>
      <c r="CJ62" s="66">
        <v>0.16</v>
      </c>
      <c r="CK62" s="66">
        <v>0.52</v>
      </c>
      <c r="CL62" s="66">
        <v>0.21</v>
      </c>
      <c r="CM62" s="66">
        <v>0.2</v>
      </c>
      <c r="CN62" s="66">
        <v>0.31</v>
      </c>
      <c r="CO62" s="66">
        <v>0.22</v>
      </c>
      <c r="CP62" s="66">
        <v>0.23</v>
      </c>
      <c r="CQ62" s="66">
        <v>0.43</v>
      </c>
      <c r="CR62" s="66">
        <v>0.41</v>
      </c>
      <c r="CS62" s="12">
        <v>54</v>
      </c>
      <c r="CT62" s="12">
        <v>7</v>
      </c>
      <c r="CU62" s="63">
        <v>0</v>
      </c>
      <c r="CV62" s="63">
        <v>0.59</v>
      </c>
      <c r="CW62" s="63">
        <v>0.41</v>
      </c>
      <c r="CX62" s="63">
        <v>0</v>
      </c>
      <c r="CY62" s="63">
        <v>0.49</v>
      </c>
      <c r="CZ62" s="63">
        <v>0.2</v>
      </c>
      <c r="DA62" s="63">
        <v>0.45</v>
      </c>
      <c r="DB62" s="63">
        <v>0.16</v>
      </c>
      <c r="DC62" s="63">
        <v>0.5</v>
      </c>
      <c r="DD62" s="63">
        <v>0.59</v>
      </c>
      <c r="DE62" s="63">
        <v>0.49</v>
      </c>
      <c r="DF62" s="63">
        <v>0.57999999999999996</v>
      </c>
      <c r="DG62" s="63">
        <v>0.45</v>
      </c>
      <c r="DH62" s="63">
        <v>0.28000000000000003</v>
      </c>
      <c r="DI62" s="63">
        <v>0.5</v>
      </c>
      <c r="DJ62" s="63">
        <v>0.35</v>
      </c>
      <c r="DK62" s="63">
        <v>0.37</v>
      </c>
      <c r="DL62" s="63">
        <v>0.3</v>
      </c>
      <c r="DM62" s="63">
        <v>0.44</v>
      </c>
      <c r="DN62" s="63">
        <v>0.52</v>
      </c>
      <c r="DO62" s="63">
        <v>0.16</v>
      </c>
      <c r="DP62" s="63">
        <v>0.39</v>
      </c>
      <c r="DQ62" s="63">
        <v>0.56000000000000005</v>
      </c>
      <c r="DR62" s="63">
        <v>0.05</v>
      </c>
      <c r="DS62" s="63">
        <v>0.37</v>
      </c>
      <c r="DT62" s="63">
        <v>0.45</v>
      </c>
      <c r="DU62" s="63">
        <v>0.25</v>
      </c>
      <c r="DV62" s="63">
        <v>0.45</v>
      </c>
      <c r="DW62" s="63">
        <v>0.28999999999999998</v>
      </c>
      <c r="DX62" s="35">
        <v>57</v>
      </c>
      <c r="DY62" s="35">
        <v>7</v>
      </c>
      <c r="DZ62" s="40">
        <v>0</v>
      </c>
      <c r="EA62" s="40">
        <v>0.37</v>
      </c>
      <c r="EB62" s="40">
        <v>0.59</v>
      </c>
      <c r="EC62" s="40">
        <v>0.04</v>
      </c>
      <c r="ED62" s="40">
        <v>0.35</v>
      </c>
      <c r="EE62" s="40">
        <v>0.42</v>
      </c>
      <c r="EF62" s="40">
        <v>0.52</v>
      </c>
      <c r="EG62" s="40">
        <v>0</v>
      </c>
      <c r="EH62" s="40">
        <v>0.36</v>
      </c>
      <c r="EI62" s="40">
        <v>0.32</v>
      </c>
      <c r="EJ62" s="40">
        <v>0.48</v>
      </c>
      <c r="EK62" s="40">
        <v>0.13</v>
      </c>
      <c r="EL62" s="40">
        <v>0.38</v>
      </c>
      <c r="EM62" s="40">
        <v>0.56000000000000005</v>
      </c>
      <c r="EN62" s="40">
        <v>0.2</v>
      </c>
      <c r="EO62" s="40">
        <v>0.5</v>
      </c>
      <c r="EP62" s="40">
        <v>0.22</v>
      </c>
      <c r="EQ62" s="40">
        <v>0.11</v>
      </c>
      <c r="ER62" s="40">
        <v>0.6</v>
      </c>
      <c r="ES62" s="40">
        <v>0.08</v>
      </c>
      <c r="ET62" s="40">
        <v>0.2</v>
      </c>
      <c r="EU62" s="40">
        <v>0.52</v>
      </c>
      <c r="EV62" s="40">
        <v>0.17</v>
      </c>
      <c r="EW62" s="40">
        <v>0.11</v>
      </c>
      <c r="EX62" s="40">
        <v>0.67</v>
      </c>
      <c r="EY62" s="40">
        <v>0.45</v>
      </c>
      <c r="EZ62" s="40">
        <v>7.0000000000000007E-2</v>
      </c>
      <c r="FA62" s="40">
        <v>0.54</v>
      </c>
      <c r="FB62" s="247">
        <v>54</v>
      </c>
      <c r="FC62" s="247" t="s">
        <v>874</v>
      </c>
      <c r="FD62" s="247">
        <v>6</v>
      </c>
      <c r="FE62" s="247" t="s">
        <v>874</v>
      </c>
      <c r="FF62" s="264">
        <v>0</v>
      </c>
      <c r="FG62" s="264">
        <v>0.62</v>
      </c>
      <c r="FH62" s="264">
        <v>0.38</v>
      </c>
      <c r="FI62" s="264">
        <v>0</v>
      </c>
      <c r="FJ62" s="264">
        <v>0.38</v>
      </c>
      <c r="FK62" s="264">
        <v>0.65</v>
      </c>
      <c r="FL62" s="264">
        <v>0.44</v>
      </c>
      <c r="FM62" s="264">
        <v>0.35</v>
      </c>
      <c r="FN62" s="264">
        <v>0.12</v>
      </c>
      <c r="FO62" s="264">
        <v>0.28999999999999998</v>
      </c>
      <c r="FP62" s="264">
        <v>0.39</v>
      </c>
      <c r="FQ62" s="264">
        <v>0.35</v>
      </c>
      <c r="FR62" s="264">
        <v>0.56000000000000005</v>
      </c>
      <c r="FS62" s="264">
        <v>0.37</v>
      </c>
      <c r="FT62" s="264">
        <v>0.47</v>
      </c>
      <c r="FU62" s="264">
        <v>0.11</v>
      </c>
      <c r="FV62" s="264">
        <v>0.47</v>
      </c>
      <c r="FW62" s="264">
        <v>0.36</v>
      </c>
      <c r="FX62" s="264">
        <v>0.47</v>
      </c>
      <c r="FY62" s="264">
        <v>0.3</v>
      </c>
      <c r="FZ62" s="264">
        <v>0.38</v>
      </c>
      <c r="GA62" s="264">
        <v>0.48</v>
      </c>
      <c r="GB62" s="264">
        <v>0.4</v>
      </c>
      <c r="GC62" s="264">
        <v>0.38</v>
      </c>
      <c r="GD62" s="264">
        <v>0.6</v>
      </c>
      <c r="GE62" s="264">
        <v>0.43</v>
      </c>
      <c r="GF62" s="264">
        <v>0.19</v>
      </c>
      <c r="GG62" s="264">
        <v>0.25</v>
      </c>
      <c r="GH62" s="264">
        <v>0.59</v>
      </c>
      <c r="GI62" s="264">
        <v>0.24</v>
      </c>
      <c r="GJ62" s="311">
        <v>56</v>
      </c>
      <c r="GK62" s="311" t="s">
        <v>874</v>
      </c>
      <c r="GL62" s="311">
        <v>6</v>
      </c>
      <c r="GM62" s="311" t="s">
        <v>874</v>
      </c>
      <c r="GN62" s="329">
        <v>0</v>
      </c>
      <c r="GO62" s="329">
        <v>0.45</v>
      </c>
      <c r="GP62" s="329">
        <v>0.55000000000000004</v>
      </c>
      <c r="GQ62" s="329">
        <v>0</v>
      </c>
      <c r="GR62" s="329">
        <v>0.39</v>
      </c>
      <c r="GS62" s="329">
        <v>0.35</v>
      </c>
      <c r="GT62" s="329">
        <v>0.6</v>
      </c>
      <c r="GU62" s="329">
        <v>0.18</v>
      </c>
      <c r="GV62" s="329">
        <v>0.43</v>
      </c>
      <c r="GW62" s="329">
        <v>0.21</v>
      </c>
      <c r="GX62" s="329">
        <v>0.33</v>
      </c>
      <c r="GY62" s="311" t="s">
        <v>283</v>
      </c>
      <c r="GZ62" s="329">
        <v>0.26</v>
      </c>
      <c r="HA62" s="329">
        <v>0.86</v>
      </c>
      <c r="HB62" s="329">
        <v>0.33</v>
      </c>
      <c r="HC62" s="329">
        <v>0.52</v>
      </c>
      <c r="HD62" s="329">
        <v>0.48</v>
      </c>
      <c r="HE62" s="329">
        <v>0.44</v>
      </c>
      <c r="HF62" s="329">
        <v>0.36</v>
      </c>
      <c r="HG62" s="329">
        <v>0.7</v>
      </c>
      <c r="HH62" s="329">
        <v>0.18</v>
      </c>
      <c r="HI62" s="329">
        <v>0.53</v>
      </c>
      <c r="HJ62" s="329">
        <v>0.56000000000000005</v>
      </c>
      <c r="HK62" s="329">
        <v>0.38</v>
      </c>
      <c r="HL62" s="329">
        <v>0.34</v>
      </c>
      <c r="HM62" s="329">
        <v>0.3</v>
      </c>
      <c r="HN62" s="329">
        <v>0.31</v>
      </c>
      <c r="HO62" s="329">
        <v>0.44</v>
      </c>
      <c r="HP62" s="311" t="s">
        <v>283</v>
      </c>
      <c r="HQ62" s="329">
        <v>0.3</v>
      </c>
      <c r="HR62" s="426">
        <v>58</v>
      </c>
      <c r="HS62" s="426" t="s">
        <v>874</v>
      </c>
      <c r="HT62" s="426">
        <v>7</v>
      </c>
      <c r="HU62" s="426" t="s">
        <v>874</v>
      </c>
      <c r="HV62" s="430">
        <v>0</v>
      </c>
      <c r="HW62" s="430">
        <v>0.38</v>
      </c>
      <c r="HX62" s="430">
        <v>0.56000000000000005</v>
      </c>
      <c r="HY62" s="430">
        <v>0.06</v>
      </c>
      <c r="HZ62" s="430">
        <v>0.15</v>
      </c>
      <c r="IA62" s="430">
        <v>0.52</v>
      </c>
      <c r="IB62" s="430">
        <v>0.21</v>
      </c>
      <c r="IC62" s="430">
        <v>0.47</v>
      </c>
      <c r="ID62" s="430">
        <v>0.54</v>
      </c>
      <c r="IE62" s="430">
        <v>0.27</v>
      </c>
      <c r="IF62" s="430">
        <v>0.28999999999999998</v>
      </c>
      <c r="IG62" s="430">
        <v>0.52</v>
      </c>
      <c r="IH62" s="430">
        <v>0.45</v>
      </c>
      <c r="II62" s="430">
        <v>0.2</v>
      </c>
      <c r="IJ62" s="430">
        <v>0.16</v>
      </c>
      <c r="IK62" s="430">
        <v>0.38</v>
      </c>
      <c r="IL62" s="430">
        <v>0.25</v>
      </c>
      <c r="IM62" s="430">
        <v>0.59</v>
      </c>
      <c r="IN62" s="430">
        <v>0.38</v>
      </c>
      <c r="IO62" s="430">
        <v>0.42</v>
      </c>
      <c r="IP62" s="430">
        <v>0.28999999999999998</v>
      </c>
      <c r="IQ62" s="430">
        <v>0.52</v>
      </c>
      <c r="IR62" s="430">
        <v>0.55000000000000004</v>
      </c>
      <c r="IS62" s="430">
        <v>0.25</v>
      </c>
      <c r="IT62" s="430">
        <v>0.21</v>
      </c>
      <c r="IU62" s="426" t="s">
        <v>283</v>
      </c>
      <c r="IV62" s="430">
        <v>0.44</v>
      </c>
      <c r="IW62" s="430">
        <v>0.25</v>
      </c>
      <c r="IX62" s="430">
        <v>0.36</v>
      </c>
      <c r="IY62" s="430">
        <v>0.27</v>
      </c>
      <c r="IZ62" s="466">
        <v>57</v>
      </c>
      <c r="JA62" s="466" t="s">
        <v>874</v>
      </c>
      <c r="JB62" s="466">
        <v>9</v>
      </c>
      <c r="JC62" s="466" t="s">
        <v>874</v>
      </c>
      <c r="JD62" s="480">
        <v>0</v>
      </c>
      <c r="JE62" s="480">
        <v>0.5</v>
      </c>
      <c r="JF62" s="480">
        <v>0.42</v>
      </c>
      <c r="JG62" s="480">
        <v>0.08</v>
      </c>
      <c r="JH62" s="480">
        <v>0.33</v>
      </c>
      <c r="JI62" s="480">
        <v>0.34</v>
      </c>
      <c r="JJ62" s="480">
        <v>0.26</v>
      </c>
      <c r="JK62" s="480">
        <v>0.31</v>
      </c>
      <c r="JL62" s="480">
        <v>0.37</v>
      </c>
      <c r="JM62" s="480">
        <v>0.39</v>
      </c>
      <c r="JN62" s="480">
        <v>0.33</v>
      </c>
      <c r="JO62" s="480">
        <v>0.41</v>
      </c>
      <c r="JP62" s="480">
        <v>0.36</v>
      </c>
      <c r="JQ62" s="480">
        <v>0.16</v>
      </c>
      <c r="JR62" s="480">
        <v>0.44</v>
      </c>
      <c r="JS62" s="480">
        <v>0.69</v>
      </c>
      <c r="JT62" s="480">
        <v>0.16</v>
      </c>
      <c r="JU62" s="480">
        <v>0.5</v>
      </c>
      <c r="JV62" s="480">
        <v>0.38</v>
      </c>
      <c r="JW62" s="480">
        <v>0.44</v>
      </c>
      <c r="JX62" s="480">
        <v>0.28999999999999998</v>
      </c>
      <c r="JY62" s="480">
        <v>0.42</v>
      </c>
      <c r="JZ62" s="480">
        <v>0.43</v>
      </c>
      <c r="KA62" s="480">
        <v>0.5</v>
      </c>
      <c r="KB62" s="480">
        <v>0.36</v>
      </c>
      <c r="KC62" s="480">
        <v>0.73</v>
      </c>
      <c r="KD62" s="480">
        <v>0.3</v>
      </c>
      <c r="KE62" s="480">
        <v>0.28999999999999998</v>
      </c>
      <c r="KF62" s="480">
        <v>0.33</v>
      </c>
      <c r="KG62" s="480">
        <v>0.39</v>
      </c>
    </row>
    <row r="63" spans="1:293" ht="24.95" customHeight="1" x14ac:dyDescent="0.2">
      <c r="A63" s="126" t="s">
        <v>185</v>
      </c>
      <c r="B63" s="1" t="s">
        <v>221</v>
      </c>
      <c r="C63" s="2">
        <v>1</v>
      </c>
      <c r="D63" s="12">
        <v>50</v>
      </c>
      <c r="E63" s="12">
        <v>6</v>
      </c>
      <c r="F63" s="66">
        <v>0.08</v>
      </c>
      <c r="G63" s="66">
        <v>0.69</v>
      </c>
      <c r="H63" s="66">
        <v>0.23</v>
      </c>
      <c r="I63" s="66">
        <v>0</v>
      </c>
      <c r="J63" s="66">
        <v>0.63</v>
      </c>
      <c r="K63" s="66">
        <v>0.48</v>
      </c>
      <c r="L63" s="66">
        <v>0.79</v>
      </c>
      <c r="M63" s="66">
        <v>0.23</v>
      </c>
      <c r="N63" s="66">
        <v>0.35</v>
      </c>
      <c r="O63" s="66">
        <v>0.8</v>
      </c>
      <c r="P63" s="66">
        <v>0.32</v>
      </c>
      <c r="Q63" s="66">
        <v>0.53</v>
      </c>
      <c r="R63" s="66">
        <v>0.49</v>
      </c>
      <c r="S63" s="66">
        <v>0.74</v>
      </c>
      <c r="T63" s="66">
        <v>0.5</v>
      </c>
      <c r="U63" s="66">
        <v>0.85</v>
      </c>
      <c r="V63" s="66">
        <v>0.08</v>
      </c>
      <c r="W63" s="66">
        <v>0.25</v>
      </c>
      <c r="X63" s="66">
        <v>0.57999999999999996</v>
      </c>
      <c r="Y63" s="66">
        <v>0.56999999999999995</v>
      </c>
      <c r="Z63" s="12" t="s">
        <v>283</v>
      </c>
      <c r="AA63" s="66">
        <v>0.15</v>
      </c>
      <c r="AB63" s="66">
        <v>0.53</v>
      </c>
      <c r="AC63" s="66">
        <v>0.17</v>
      </c>
      <c r="AD63" s="66">
        <v>0.57999999999999996</v>
      </c>
      <c r="AE63" s="66">
        <v>0.55000000000000004</v>
      </c>
      <c r="AF63" s="66">
        <v>0.64</v>
      </c>
      <c r="AG63" s="66">
        <v>0.69</v>
      </c>
      <c r="AH63" s="12">
        <v>51</v>
      </c>
      <c r="AI63" s="12">
        <v>4</v>
      </c>
      <c r="AJ63" s="40">
        <v>0</v>
      </c>
      <c r="AK63" s="40">
        <v>0.9</v>
      </c>
      <c r="AL63" s="40">
        <v>0.1</v>
      </c>
      <c r="AM63" s="40">
        <v>0</v>
      </c>
      <c r="AN63" s="40">
        <v>0</v>
      </c>
      <c r="AO63" s="40">
        <v>0.5</v>
      </c>
      <c r="AP63" s="40">
        <v>0.61</v>
      </c>
      <c r="AQ63" s="40">
        <v>0.46</v>
      </c>
      <c r="AR63" s="40">
        <v>0.9</v>
      </c>
      <c r="AS63" s="40">
        <v>0.54</v>
      </c>
      <c r="AT63" s="40">
        <v>0.37</v>
      </c>
      <c r="AU63" s="40">
        <v>0.3</v>
      </c>
      <c r="AV63" s="40">
        <v>0.8</v>
      </c>
      <c r="AW63" s="40">
        <v>0</v>
      </c>
      <c r="AX63" s="40">
        <v>0.75</v>
      </c>
      <c r="AY63" s="40">
        <v>0.43</v>
      </c>
      <c r="AZ63" s="40">
        <v>0.28000000000000003</v>
      </c>
      <c r="BA63" s="40">
        <v>0.61</v>
      </c>
      <c r="BB63" s="40">
        <v>0.56999999999999995</v>
      </c>
      <c r="BC63" s="40">
        <v>0.67</v>
      </c>
      <c r="BD63" s="40">
        <v>0.43</v>
      </c>
      <c r="BE63" s="40">
        <v>0</v>
      </c>
      <c r="BF63" s="40">
        <v>0.43</v>
      </c>
      <c r="BG63" s="40">
        <v>0.72</v>
      </c>
      <c r="BH63" s="40">
        <v>0.32</v>
      </c>
      <c r="BI63" s="40">
        <v>0.42</v>
      </c>
      <c r="BJ63" s="40">
        <v>0.36</v>
      </c>
      <c r="BK63" s="40">
        <v>0.5</v>
      </c>
      <c r="BL63" s="40">
        <v>0.33</v>
      </c>
      <c r="BM63" s="12">
        <v>50</v>
      </c>
      <c r="BN63" s="12">
        <v>8</v>
      </c>
      <c r="BO63" s="66">
        <v>0.11</v>
      </c>
      <c r="BP63" s="66">
        <v>0.63</v>
      </c>
      <c r="BQ63" s="66">
        <v>0.26</v>
      </c>
      <c r="BR63" s="66">
        <v>0</v>
      </c>
      <c r="BS63" s="66">
        <v>0.33</v>
      </c>
      <c r="BT63" s="66">
        <v>0.2</v>
      </c>
      <c r="BU63" s="66">
        <v>0.57999999999999996</v>
      </c>
      <c r="BV63" s="66">
        <v>0.4</v>
      </c>
      <c r="BW63" s="66">
        <v>0.74</v>
      </c>
      <c r="BX63" s="66">
        <v>0.43</v>
      </c>
      <c r="BY63" s="66">
        <v>0.43</v>
      </c>
      <c r="BZ63" s="66">
        <v>0.62</v>
      </c>
      <c r="CA63" s="66">
        <v>0.52</v>
      </c>
      <c r="CB63" s="66">
        <v>0.33</v>
      </c>
      <c r="CC63" s="66">
        <v>0.16</v>
      </c>
      <c r="CD63" s="66">
        <v>0.43</v>
      </c>
      <c r="CE63" s="66">
        <v>0.32</v>
      </c>
      <c r="CF63" s="66">
        <v>0.33</v>
      </c>
      <c r="CG63" s="66">
        <v>0.62</v>
      </c>
      <c r="CH63" s="66">
        <v>0.52</v>
      </c>
      <c r="CI63" s="66">
        <v>0.53</v>
      </c>
      <c r="CJ63" s="66">
        <v>0.25</v>
      </c>
      <c r="CK63" s="66">
        <v>0.82</v>
      </c>
      <c r="CL63" s="66">
        <v>0.3</v>
      </c>
      <c r="CM63" s="66">
        <v>0.46</v>
      </c>
      <c r="CN63" s="66">
        <v>0.56999999999999995</v>
      </c>
      <c r="CO63" s="66">
        <v>0.35</v>
      </c>
      <c r="CP63" s="66">
        <v>0.36</v>
      </c>
      <c r="CQ63" s="66">
        <v>0.59</v>
      </c>
      <c r="CR63" s="66">
        <v>0.54</v>
      </c>
      <c r="CS63" s="12">
        <v>43</v>
      </c>
      <c r="CT63" s="12">
        <v>8</v>
      </c>
      <c r="CU63" s="63">
        <v>0.47</v>
      </c>
      <c r="CV63" s="63">
        <v>0.47</v>
      </c>
      <c r="CW63" s="63">
        <v>0.06</v>
      </c>
      <c r="CX63" s="63">
        <v>0</v>
      </c>
      <c r="CY63" s="63">
        <v>0.59</v>
      </c>
      <c r="CZ63" s="63">
        <v>0.37</v>
      </c>
      <c r="DA63" s="63">
        <v>0.7</v>
      </c>
      <c r="DB63" s="63">
        <v>0.63</v>
      </c>
      <c r="DC63" s="63">
        <v>0.53</v>
      </c>
      <c r="DD63" s="63">
        <v>0.62</v>
      </c>
      <c r="DE63" s="63">
        <v>0.75</v>
      </c>
      <c r="DF63" s="63">
        <v>0.7</v>
      </c>
      <c r="DG63" s="63">
        <v>0.59</v>
      </c>
      <c r="DH63" s="63">
        <v>0.44</v>
      </c>
      <c r="DI63" s="63">
        <v>0.77</v>
      </c>
      <c r="DJ63" s="63">
        <v>0.68</v>
      </c>
      <c r="DK63" s="63">
        <v>0.54</v>
      </c>
      <c r="DL63" s="63">
        <v>0.56000000000000005</v>
      </c>
      <c r="DM63" s="63">
        <v>0.57999999999999996</v>
      </c>
      <c r="DN63" s="63">
        <v>0.61</v>
      </c>
      <c r="DO63" s="63">
        <v>0.4</v>
      </c>
      <c r="DP63" s="63">
        <v>0.43</v>
      </c>
      <c r="DQ63" s="63">
        <v>0.7</v>
      </c>
      <c r="DR63" s="63">
        <v>0.33</v>
      </c>
      <c r="DS63" s="63">
        <v>0.52</v>
      </c>
      <c r="DT63" s="63">
        <v>0.59</v>
      </c>
      <c r="DU63" s="63">
        <v>0.83</v>
      </c>
      <c r="DV63" s="63">
        <v>0.67</v>
      </c>
      <c r="DW63" s="63">
        <v>0.37</v>
      </c>
      <c r="DX63" s="35">
        <v>42</v>
      </c>
      <c r="DY63" s="35">
        <v>7</v>
      </c>
      <c r="DZ63" s="40">
        <v>0.47</v>
      </c>
      <c r="EA63" s="40">
        <v>0.47</v>
      </c>
      <c r="EB63" s="40">
        <v>0.06</v>
      </c>
      <c r="EC63" s="40">
        <v>0</v>
      </c>
      <c r="ED63" s="40">
        <v>0.53</v>
      </c>
      <c r="EE63" s="40">
        <v>0.59</v>
      </c>
      <c r="EF63" s="40">
        <v>0.39</v>
      </c>
      <c r="EG63" s="40">
        <v>0.8</v>
      </c>
      <c r="EH63" s="40">
        <v>0.65</v>
      </c>
      <c r="EI63" s="40">
        <v>0.7</v>
      </c>
      <c r="EJ63" s="40">
        <v>0.65</v>
      </c>
      <c r="EK63" s="40">
        <v>0.28000000000000003</v>
      </c>
      <c r="EL63" s="40">
        <v>0.64</v>
      </c>
      <c r="EM63" s="40">
        <v>0.75</v>
      </c>
      <c r="EN63" s="40">
        <v>0.5</v>
      </c>
      <c r="EO63" s="40">
        <v>0.53</v>
      </c>
      <c r="EP63" s="40">
        <v>0.52</v>
      </c>
      <c r="EQ63" s="40">
        <v>0.5</v>
      </c>
      <c r="ER63" s="40">
        <v>0.71</v>
      </c>
      <c r="ES63" s="40">
        <v>0.7</v>
      </c>
      <c r="ET63" s="40">
        <v>0.5</v>
      </c>
      <c r="EU63" s="40">
        <v>0.86</v>
      </c>
      <c r="EV63" s="40">
        <v>0.7</v>
      </c>
      <c r="EW63" s="40">
        <v>0.36</v>
      </c>
      <c r="EX63" s="40">
        <v>0.33</v>
      </c>
      <c r="EY63" s="40">
        <v>0.83</v>
      </c>
      <c r="EZ63" s="40">
        <v>0.71</v>
      </c>
      <c r="FA63" s="40">
        <v>0.66</v>
      </c>
      <c r="FB63" s="247">
        <v>46</v>
      </c>
      <c r="FC63" s="247" t="s">
        <v>874</v>
      </c>
      <c r="FD63" s="247">
        <v>5</v>
      </c>
      <c r="FE63" s="247" t="s">
        <v>876</v>
      </c>
      <c r="FF63" s="264">
        <v>0.13</v>
      </c>
      <c r="FG63" s="264">
        <v>0.88</v>
      </c>
      <c r="FH63" s="264">
        <v>0</v>
      </c>
      <c r="FI63" s="264">
        <v>0</v>
      </c>
      <c r="FJ63" s="264">
        <v>0.56999999999999995</v>
      </c>
      <c r="FK63" s="264">
        <v>0.6</v>
      </c>
      <c r="FL63" s="264">
        <v>0.61</v>
      </c>
      <c r="FM63" s="264">
        <v>0.74</v>
      </c>
      <c r="FN63" s="264">
        <v>0.27</v>
      </c>
      <c r="FO63" s="264">
        <v>0.28999999999999998</v>
      </c>
      <c r="FP63" s="264">
        <v>0.4</v>
      </c>
      <c r="FQ63" s="264">
        <v>0.48</v>
      </c>
      <c r="FR63" s="264">
        <v>0.67</v>
      </c>
      <c r="FS63" s="264">
        <v>0.57999999999999996</v>
      </c>
      <c r="FT63" s="264">
        <v>0.65</v>
      </c>
      <c r="FU63" s="264">
        <v>0.43</v>
      </c>
      <c r="FV63" s="264">
        <v>0.68</v>
      </c>
      <c r="FW63" s="264">
        <v>0.67</v>
      </c>
      <c r="FX63" s="264">
        <v>0.71</v>
      </c>
      <c r="FY63" s="264">
        <v>0.42</v>
      </c>
      <c r="FZ63" s="264">
        <v>0.46</v>
      </c>
      <c r="GA63" s="264">
        <v>0.53</v>
      </c>
      <c r="GB63" s="264">
        <v>0.68</v>
      </c>
      <c r="GC63" s="264">
        <v>0.56999999999999995</v>
      </c>
      <c r="GD63" s="264">
        <v>0.8</v>
      </c>
      <c r="GE63" s="264">
        <v>0.57999999999999996</v>
      </c>
      <c r="GF63" s="264">
        <v>0.72</v>
      </c>
      <c r="GG63" s="264">
        <v>0.57999999999999996</v>
      </c>
      <c r="GH63" s="264">
        <v>0.59</v>
      </c>
      <c r="GI63" s="264">
        <v>0.36</v>
      </c>
      <c r="GJ63" s="311">
        <v>43</v>
      </c>
      <c r="GK63" s="311" t="s">
        <v>876</v>
      </c>
      <c r="GL63" s="311">
        <v>7</v>
      </c>
      <c r="GM63" s="311" t="s">
        <v>874</v>
      </c>
      <c r="GN63" s="329">
        <v>0.31</v>
      </c>
      <c r="GO63" s="329">
        <v>0.69</v>
      </c>
      <c r="GP63" s="329">
        <v>0</v>
      </c>
      <c r="GQ63" s="329">
        <v>0</v>
      </c>
      <c r="GR63" s="329">
        <v>0.54</v>
      </c>
      <c r="GS63" s="329">
        <v>0.78</v>
      </c>
      <c r="GT63" s="329">
        <v>0.76</v>
      </c>
      <c r="GU63" s="329">
        <v>0.2</v>
      </c>
      <c r="GV63" s="329">
        <v>0.67</v>
      </c>
      <c r="GW63" s="329">
        <v>0.83</v>
      </c>
      <c r="GX63" s="329">
        <v>0.73</v>
      </c>
      <c r="GY63" s="311" t="s">
        <v>283</v>
      </c>
      <c r="GZ63" s="329">
        <v>0.25</v>
      </c>
      <c r="HA63" s="329">
        <v>0.86</v>
      </c>
      <c r="HB63" s="329">
        <v>0.62</v>
      </c>
      <c r="HC63" s="329">
        <v>0.55000000000000004</v>
      </c>
      <c r="HD63" s="329">
        <v>0.66</v>
      </c>
      <c r="HE63" s="329">
        <v>0.79</v>
      </c>
      <c r="HF63" s="329">
        <v>0.56000000000000005</v>
      </c>
      <c r="HG63" s="329">
        <v>0.69</v>
      </c>
      <c r="HH63" s="329">
        <v>0.51</v>
      </c>
      <c r="HI63" s="329">
        <v>0.67</v>
      </c>
      <c r="HJ63" s="329">
        <v>0.75</v>
      </c>
      <c r="HK63" s="329">
        <v>0.64</v>
      </c>
      <c r="HL63" s="329">
        <v>0.56000000000000005</v>
      </c>
      <c r="HM63" s="329">
        <v>0.63</v>
      </c>
      <c r="HN63" s="329">
        <v>0.53</v>
      </c>
      <c r="HO63" s="329">
        <v>0.65</v>
      </c>
      <c r="HP63" s="311" t="s">
        <v>283</v>
      </c>
      <c r="HQ63" s="329">
        <v>0.56999999999999995</v>
      </c>
      <c r="HR63" s="426">
        <v>49</v>
      </c>
      <c r="HS63" s="426" t="s">
        <v>874</v>
      </c>
      <c r="HT63" s="426">
        <v>7</v>
      </c>
      <c r="HU63" s="426" t="s">
        <v>874</v>
      </c>
      <c r="HV63" s="430">
        <v>0.13</v>
      </c>
      <c r="HW63" s="430">
        <v>0.88</v>
      </c>
      <c r="HX63" s="430">
        <v>0</v>
      </c>
      <c r="HY63" s="430">
        <v>0</v>
      </c>
      <c r="HZ63" s="430">
        <v>0.44</v>
      </c>
      <c r="IA63" s="430">
        <v>0.65</v>
      </c>
      <c r="IB63" s="430">
        <v>0.63</v>
      </c>
      <c r="IC63" s="430">
        <v>0.52</v>
      </c>
      <c r="ID63" s="430">
        <v>0.65</v>
      </c>
      <c r="IE63" s="430">
        <v>0.25</v>
      </c>
      <c r="IF63" s="430">
        <v>0.31</v>
      </c>
      <c r="IG63" s="430">
        <v>0.67</v>
      </c>
      <c r="IH63" s="430">
        <v>0.59</v>
      </c>
      <c r="II63" s="430">
        <v>0</v>
      </c>
      <c r="IJ63" s="430">
        <v>0.19</v>
      </c>
      <c r="IK63" s="430">
        <v>0.76</v>
      </c>
      <c r="IL63" s="430">
        <v>0.45</v>
      </c>
      <c r="IM63" s="430">
        <v>0.6</v>
      </c>
      <c r="IN63" s="430">
        <v>0.67</v>
      </c>
      <c r="IO63" s="430">
        <v>0.55000000000000004</v>
      </c>
      <c r="IP63" s="430">
        <v>0.25</v>
      </c>
      <c r="IQ63" s="430">
        <v>0.69</v>
      </c>
      <c r="IR63" s="430">
        <v>1</v>
      </c>
      <c r="IS63" s="430">
        <v>0.73</v>
      </c>
      <c r="IT63" s="430">
        <v>0.4</v>
      </c>
      <c r="IU63" s="426" t="s">
        <v>283</v>
      </c>
      <c r="IV63" s="430">
        <v>0.65</v>
      </c>
      <c r="IW63" s="430">
        <v>0.38</v>
      </c>
      <c r="IX63" s="430">
        <v>0.64</v>
      </c>
      <c r="IY63" s="430">
        <v>0.5</v>
      </c>
      <c r="IZ63" s="466">
        <v>50</v>
      </c>
      <c r="JA63" s="466" t="s">
        <v>874</v>
      </c>
      <c r="JB63" s="466">
        <v>9</v>
      </c>
      <c r="JC63" s="466" t="s">
        <v>874</v>
      </c>
      <c r="JD63" s="480">
        <v>0.08</v>
      </c>
      <c r="JE63" s="480">
        <v>0.64</v>
      </c>
      <c r="JF63" s="480">
        <v>0.28000000000000003</v>
      </c>
      <c r="JG63" s="480">
        <v>0</v>
      </c>
      <c r="JH63" s="480">
        <v>0.45</v>
      </c>
      <c r="JI63" s="480">
        <v>0.42</v>
      </c>
      <c r="JJ63" s="480">
        <v>0.45</v>
      </c>
      <c r="JK63" s="480">
        <v>0.46</v>
      </c>
      <c r="JL63" s="480">
        <v>0.6</v>
      </c>
      <c r="JM63" s="480">
        <v>0.63</v>
      </c>
      <c r="JN63" s="480">
        <v>0.4</v>
      </c>
      <c r="JO63" s="480">
        <v>0.43</v>
      </c>
      <c r="JP63" s="480">
        <v>0.59</v>
      </c>
      <c r="JQ63" s="480">
        <v>0.3</v>
      </c>
      <c r="JR63" s="480">
        <v>0.67</v>
      </c>
      <c r="JS63" s="480">
        <v>0.56000000000000005</v>
      </c>
      <c r="JT63" s="480">
        <v>0.49</v>
      </c>
      <c r="JU63" s="480">
        <v>0.6</v>
      </c>
      <c r="JV63" s="480">
        <v>0.57999999999999996</v>
      </c>
      <c r="JW63" s="480">
        <v>0.52</v>
      </c>
      <c r="JX63" s="480">
        <v>0.4</v>
      </c>
      <c r="JY63" s="480">
        <v>0.47</v>
      </c>
      <c r="JZ63" s="480">
        <v>0.63</v>
      </c>
      <c r="KA63" s="480">
        <v>0.5</v>
      </c>
      <c r="KB63" s="480">
        <v>0.39</v>
      </c>
      <c r="KC63" s="480">
        <v>0.61</v>
      </c>
      <c r="KD63" s="480">
        <v>0.39</v>
      </c>
      <c r="KE63" s="480">
        <v>0.45</v>
      </c>
      <c r="KF63" s="480">
        <v>0.54</v>
      </c>
      <c r="KG63" s="480">
        <v>0.5</v>
      </c>
    </row>
    <row r="64" spans="1:293" ht="24.95" customHeight="1" x14ac:dyDescent="0.2">
      <c r="A64" s="126" t="s">
        <v>161</v>
      </c>
      <c r="B64" s="1" t="s">
        <v>221</v>
      </c>
      <c r="C64" s="2">
        <v>4</v>
      </c>
      <c r="D64" s="12">
        <v>55</v>
      </c>
      <c r="E64" s="12">
        <v>8</v>
      </c>
      <c r="F64" s="66">
        <v>0.02</v>
      </c>
      <c r="G64" s="66">
        <v>0.51</v>
      </c>
      <c r="H64" s="66">
        <v>0.46</v>
      </c>
      <c r="I64" s="66">
        <v>0</v>
      </c>
      <c r="J64" s="66">
        <v>0.41</v>
      </c>
      <c r="K64" s="66">
        <v>0.37</v>
      </c>
      <c r="L64" s="66">
        <v>0.8</v>
      </c>
      <c r="M64" s="66">
        <v>0.28000000000000003</v>
      </c>
      <c r="N64" s="66">
        <v>0.23</v>
      </c>
      <c r="O64" s="66">
        <v>0.56000000000000005</v>
      </c>
      <c r="P64" s="66">
        <v>0.41</v>
      </c>
      <c r="Q64" s="66">
        <v>0.4</v>
      </c>
      <c r="R64" s="66">
        <v>0.45</v>
      </c>
      <c r="S64" s="66">
        <v>0.56000000000000005</v>
      </c>
      <c r="T64" s="66">
        <v>0.43</v>
      </c>
      <c r="U64" s="66">
        <v>0.46</v>
      </c>
      <c r="V64" s="66">
        <v>0.08</v>
      </c>
      <c r="W64" s="66">
        <v>0.08</v>
      </c>
      <c r="X64" s="66">
        <v>0.45</v>
      </c>
      <c r="Y64" s="66">
        <v>0.5</v>
      </c>
      <c r="Z64" s="66">
        <v>1</v>
      </c>
      <c r="AA64" s="66">
        <v>0.08</v>
      </c>
      <c r="AB64" s="66">
        <v>0.44</v>
      </c>
      <c r="AC64" s="66">
        <v>0.44</v>
      </c>
      <c r="AD64" s="66">
        <v>0.37</v>
      </c>
      <c r="AE64" s="66">
        <v>0.28000000000000003</v>
      </c>
      <c r="AF64" s="66">
        <v>0.51</v>
      </c>
      <c r="AG64" s="66">
        <v>0.39</v>
      </c>
      <c r="AH64" s="12">
        <v>53</v>
      </c>
      <c r="AI64" s="12">
        <v>5</v>
      </c>
      <c r="AJ64" s="40">
        <v>0</v>
      </c>
      <c r="AK64" s="40">
        <v>0.64</v>
      </c>
      <c r="AL64" s="40">
        <v>0.36</v>
      </c>
      <c r="AM64" s="40">
        <v>0</v>
      </c>
      <c r="AN64" s="40">
        <v>0.35</v>
      </c>
      <c r="AO64" s="40">
        <v>0.44</v>
      </c>
      <c r="AP64" s="40">
        <v>0.55000000000000004</v>
      </c>
      <c r="AQ64" s="40">
        <v>0.35</v>
      </c>
      <c r="AR64" s="40">
        <v>0.52</v>
      </c>
      <c r="AS64" s="40">
        <v>0.49</v>
      </c>
      <c r="AT64" s="40">
        <v>0.49</v>
      </c>
      <c r="AU64" s="40">
        <v>0.47</v>
      </c>
      <c r="AV64" s="40">
        <v>0.59</v>
      </c>
      <c r="AW64" s="40">
        <v>0.5</v>
      </c>
      <c r="AX64" s="40">
        <v>0.53</v>
      </c>
      <c r="AY64" s="40">
        <v>0.27</v>
      </c>
      <c r="AZ64" s="40">
        <v>0.25</v>
      </c>
      <c r="BA64" s="40">
        <v>0.38</v>
      </c>
      <c r="BB64" s="40">
        <v>0.63</v>
      </c>
      <c r="BC64" s="40">
        <v>0.72</v>
      </c>
      <c r="BD64" s="40">
        <v>0.43</v>
      </c>
      <c r="BE64" s="40">
        <v>0.6</v>
      </c>
      <c r="BF64" s="40">
        <v>0.56000000000000005</v>
      </c>
      <c r="BG64" s="40">
        <v>0.42</v>
      </c>
      <c r="BH64" s="40">
        <v>0.42</v>
      </c>
      <c r="BI64" s="40">
        <v>0.4</v>
      </c>
      <c r="BJ64" s="40">
        <v>0.36</v>
      </c>
      <c r="BK64" s="40">
        <v>0.4</v>
      </c>
      <c r="BL64" s="40">
        <v>0.6</v>
      </c>
      <c r="BM64" s="12">
        <v>50</v>
      </c>
      <c r="BN64" s="12">
        <v>9</v>
      </c>
      <c r="BO64" s="66">
        <v>0.12</v>
      </c>
      <c r="BP64" s="66">
        <v>0.63</v>
      </c>
      <c r="BQ64" s="66">
        <v>0.23</v>
      </c>
      <c r="BR64" s="66">
        <v>0.02</v>
      </c>
      <c r="BS64" s="66">
        <v>0.43</v>
      </c>
      <c r="BT64" s="66">
        <v>0.64</v>
      </c>
      <c r="BU64" s="66">
        <v>0.7</v>
      </c>
      <c r="BV64" s="66">
        <v>0.35</v>
      </c>
      <c r="BW64" s="66">
        <v>0.61</v>
      </c>
      <c r="BX64" s="66">
        <v>0.37</v>
      </c>
      <c r="BY64" s="66">
        <v>0.48</v>
      </c>
      <c r="BZ64" s="66">
        <v>0.56000000000000005</v>
      </c>
      <c r="CA64" s="66">
        <v>0.47</v>
      </c>
      <c r="CB64" s="66">
        <v>0.41</v>
      </c>
      <c r="CC64" s="66">
        <v>0.19</v>
      </c>
      <c r="CD64" s="66">
        <v>0.37</v>
      </c>
      <c r="CE64" s="66">
        <v>0.26</v>
      </c>
      <c r="CF64" s="66">
        <v>0.57999999999999996</v>
      </c>
      <c r="CG64" s="66">
        <v>0.54</v>
      </c>
      <c r="CH64" s="66">
        <v>0.47</v>
      </c>
      <c r="CI64" s="66">
        <v>0.61</v>
      </c>
      <c r="CJ64" s="66">
        <v>0.21</v>
      </c>
      <c r="CK64" s="66">
        <v>0.74</v>
      </c>
      <c r="CL64" s="66">
        <v>0.34</v>
      </c>
      <c r="CM64" s="66">
        <v>0.5</v>
      </c>
      <c r="CN64" s="66">
        <v>0.43</v>
      </c>
      <c r="CO64" s="66">
        <v>0.44</v>
      </c>
      <c r="CP64" s="66">
        <v>0.41</v>
      </c>
      <c r="CQ64" s="66">
        <v>0.51</v>
      </c>
      <c r="CR64" s="66">
        <v>0.62</v>
      </c>
      <c r="CS64" s="12">
        <v>50</v>
      </c>
      <c r="CT64" s="12">
        <v>9</v>
      </c>
      <c r="CU64" s="63">
        <v>0.22</v>
      </c>
      <c r="CV64" s="63">
        <v>0.51</v>
      </c>
      <c r="CW64" s="63">
        <v>0.27</v>
      </c>
      <c r="CX64" s="63">
        <v>0</v>
      </c>
      <c r="CY64" s="63">
        <v>0.56999999999999995</v>
      </c>
      <c r="CZ64" s="63">
        <v>0.28000000000000003</v>
      </c>
      <c r="DA64" s="63">
        <v>0.64</v>
      </c>
      <c r="DB64" s="63">
        <v>0.31</v>
      </c>
      <c r="DC64" s="63">
        <v>0.46</v>
      </c>
      <c r="DD64" s="63">
        <v>0.63</v>
      </c>
      <c r="DE64" s="63">
        <v>0.53</v>
      </c>
      <c r="DF64" s="63">
        <v>0.5</v>
      </c>
      <c r="DG64" s="63">
        <v>0.42</v>
      </c>
      <c r="DH64" s="63">
        <v>0.36</v>
      </c>
      <c r="DI64" s="63">
        <v>0.44</v>
      </c>
      <c r="DJ64" s="63">
        <v>0.47</v>
      </c>
      <c r="DK64" s="63">
        <v>0.4</v>
      </c>
      <c r="DL64" s="63">
        <v>0.16</v>
      </c>
      <c r="DM64" s="63">
        <v>0.45</v>
      </c>
      <c r="DN64" s="63">
        <v>0.47</v>
      </c>
      <c r="DO64" s="63">
        <v>0.45</v>
      </c>
      <c r="DP64" s="63">
        <v>0.4</v>
      </c>
      <c r="DQ64" s="63">
        <v>0.52</v>
      </c>
      <c r="DR64" s="63">
        <v>0.22</v>
      </c>
      <c r="DS64" s="63">
        <v>0.44</v>
      </c>
      <c r="DT64" s="63">
        <v>0.72</v>
      </c>
      <c r="DU64" s="63">
        <v>0.44</v>
      </c>
      <c r="DV64" s="63">
        <v>0.69</v>
      </c>
      <c r="DW64" s="63">
        <v>0.32</v>
      </c>
      <c r="DX64" s="35">
        <v>51</v>
      </c>
      <c r="DY64" s="35">
        <v>9</v>
      </c>
      <c r="DZ64" s="40">
        <v>0.12</v>
      </c>
      <c r="EA64" s="40">
        <v>0.49</v>
      </c>
      <c r="EB64" s="40">
        <v>0.37</v>
      </c>
      <c r="EC64" s="40">
        <v>0.02</v>
      </c>
      <c r="ED64" s="40">
        <v>0.45</v>
      </c>
      <c r="EE64" s="40">
        <v>0.48</v>
      </c>
      <c r="EF64" s="40">
        <v>0.41</v>
      </c>
      <c r="EG64" s="40">
        <v>0.43</v>
      </c>
      <c r="EH64" s="40">
        <v>0.47</v>
      </c>
      <c r="EI64" s="40">
        <v>0.38</v>
      </c>
      <c r="EJ64" s="40">
        <v>0.48</v>
      </c>
      <c r="EK64" s="40">
        <v>0.32</v>
      </c>
      <c r="EL64" s="40">
        <v>0.43</v>
      </c>
      <c r="EM64" s="40">
        <v>0.7</v>
      </c>
      <c r="EN64" s="40">
        <v>0.4</v>
      </c>
      <c r="EO64" s="40">
        <v>0.46</v>
      </c>
      <c r="EP64" s="40">
        <v>0.41</v>
      </c>
      <c r="EQ64" s="40">
        <v>0.24</v>
      </c>
      <c r="ER64" s="40">
        <v>0.55000000000000004</v>
      </c>
      <c r="ES64" s="40">
        <v>0.64</v>
      </c>
      <c r="ET64" s="40">
        <v>0.3</v>
      </c>
      <c r="EU64" s="40">
        <v>0.56999999999999995</v>
      </c>
      <c r="EV64" s="40">
        <v>0.24</v>
      </c>
      <c r="EW64" s="40">
        <v>0.2</v>
      </c>
      <c r="EX64" s="40">
        <v>0.54</v>
      </c>
      <c r="EY64" s="40">
        <v>0.56000000000000005</v>
      </c>
      <c r="EZ64" s="40">
        <v>0.21</v>
      </c>
      <c r="FA64" s="40">
        <v>0.47</v>
      </c>
      <c r="FB64" s="247">
        <v>51</v>
      </c>
      <c r="FC64" s="247" t="s">
        <v>874</v>
      </c>
      <c r="FD64" s="247">
        <v>7</v>
      </c>
      <c r="FE64" s="247" t="s">
        <v>874</v>
      </c>
      <c r="FF64" s="264">
        <v>0.03</v>
      </c>
      <c r="FG64" s="264">
        <v>0.78</v>
      </c>
      <c r="FH64" s="264">
        <v>0.2</v>
      </c>
      <c r="FI64" s="264">
        <v>0</v>
      </c>
      <c r="FJ64" s="264">
        <v>0.39</v>
      </c>
      <c r="FK64" s="264">
        <v>0.63</v>
      </c>
      <c r="FL64" s="264">
        <v>0.43</v>
      </c>
      <c r="FM64" s="264">
        <v>0.38</v>
      </c>
      <c r="FN64" s="264">
        <v>0.28999999999999998</v>
      </c>
      <c r="FO64" s="264">
        <v>0.38</v>
      </c>
      <c r="FP64" s="264">
        <v>0.37</v>
      </c>
      <c r="FQ64" s="264">
        <v>0.3</v>
      </c>
      <c r="FR64" s="264">
        <v>0.57999999999999996</v>
      </c>
      <c r="FS64" s="264">
        <v>0.47</v>
      </c>
      <c r="FT64" s="264">
        <v>0.36</v>
      </c>
      <c r="FU64" s="264">
        <v>0.36</v>
      </c>
      <c r="FV64" s="264">
        <v>0.53</v>
      </c>
      <c r="FW64" s="264">
        <v>0.57999999999999996</v>
      </c>
      <c r="FX64" s="264">
        <v>0.53</v>
      </c>
      <c r="FY64" s="264">
        <v>0.3</v>
      </c>
      <c r="FZ64" s="264">
        <v>0.47</v>
      </c>
      <c r="GA64" s="264">
        <v>0.47</v>
      </c>
      <c r="GB64" s="264">
        <v>0.64</v>
      </c>
      <c r="GC64" s="264">
        <v>0.41</v>
      </c>
      <c r="GD64" s="264">
        <v>0.61</v>
      </c>
      <c r="GE64" s="264">
        <v>0.43</v>
      </c>
      <c r="GF64" s="264">
        <v>0.44</v>
      </c>
      <c r="GG64" s="264">
        <v>0.43</v>
      </c>
      <c r="GH64" s="264">
        <v>0.51</v>
      </c>
      <c r="GI64" s="264">
        <v>0.3</v>
      </c>
      <c r="GJ64" s="311">
        <v>50</v>
      </c>
      <c r="GK64" s="311" t="s">
        <v>874</v>
      </c>
      <c r="GL64" s="311">
        <v>10</v>
      </c>
      <c r="GM64" s="311" t="s">
        <v>874</v>
      </c>
      <c r="GN64" s="329">
        <v>0.16</v>
      </c>
      <c r="GO64" s="329">
        <v>0.54</v>
      </c>
      <c r="GP64" s="329">
        <v>0.3</v>
      </c>
      <c r="GQ64" s="329">
        <v>0</v>
      </c>
      <c r="GR64" s="329">
        <v>0.51</v>
      </c>
      <c r="GS64" s="329">
        <v>0.59</v>
      </c>
      <c r="GT64" s="329">
        <v>0.57999999999999996</v>
      </c>
      <c r="GU64" s="329">
        <v>0.24</v>
      </c>
      <c r="GV64" s="329">
        <v>0.6</v>
      </c>
      <c r="GW64" s="329">
        <v>0.5</v>
      </c>
      <c r="GX64" s="329">
        <v>0.45</v>
      </c>
      <c r="GY64" s="311" t="s">
        <v>283</v>
      </c>
      <c r="GZ64" s="329">
        <v>0.38</v>
      </c>
      <c r="HA64" s="329">
        <v>0.74</v>
      </c>
      <c r="HB64" s="329">
        <v>0.44</v>
      </c>
      <c r="HC64" s="329">
        <v>0.54</v>
      </c>
      <c r="HD64" s="329">
        <v>0.53</v>
      </c>
      <c r="HE64" s="329">
        <v>0.42</v>
      </c>
      <c r="HF64" s="329">
        <v>0.49</v>
      </c>
      <c r="HG64" s="329">
        <v>0.65</v>
      </c>
      <c r="HH64" s="329">
        <v>0.44</v>
      </c>
      <c r="HI64" s="329">
        <v>0.52</v>
      </c>
      <c r="HJ64" s="329">
        <v>0.6</v>
      </c>
      <c r="HK64" s="329">
        <v>0.52</v>
      </c>
      <c r="HL64" s="329">
        <v>0.46</v>
      </c>
      <c r="HM64" s="329">
        <v>0.46</v>
      </c>
      <c r="HN64" s="329">
        <v>0.43</v>
      </c>
      <c r="HO64" s="329">
        <v>0.45</v>
      </c>
      <c r="HP64" s="311" t="s">
        <v>283</v>
      </c>
      <c r="HQ64" s="329">
        <v>0.42</v>
      </c>
      <c r="HR64" s="426">
        <v>53</v>
      </c>
      <c r="HS64" s="426" t="s">
        <v>874</v>
      </c>
      <c r="HT64" s="426">
        <v>7</v>
      </c>
      <c r="HU64" s="426" t="s">
        <v>874</v>
      </c>
      <c r="HV64" s="430">
        <v>0.05</v>
      </c>
      <c r="HW64" s="430">
        <v>0.56999999999999995</v>
      </c>
      <c r="HX64" s="430">
        <v>0.38</v>
      </c>
      <c r="HY64" s="430">
        <v>0</v>
      </c>
      <c r="HZ64" s="430">
        <v>0.31</v>
      </c>
      <c r="IA64" s="430">
        <v>0.53</v>
      </c>
      <c r="IB64" s="430">
        <v>0.43</v>
      </c>
      <c r="IC64" s="430">
        <v>0.43</v>
      </c>
      <c r="ID64" s="430">
        <v>0.66</v>
      </c>
      <c r="IE64" s="430">
        <v>0.35</v>
      </c>
      <c r="IF64" s="430">
        <v>0.32</v>
      </c>
      <c r="IG64" s="430">
        <v>0.51</v>
      </c>
      <c r="IH64" s="430">
        <v>0.52</v>
      </c>
      <c r="II64" s="430">
        <v>0.4</v>
      </c>
      <c r="IJ64" s="430">
        <v>0.22</v>
      </c>
      <c r="IK64" s="430">
        <v>0.59</v>
      </c>
      <c r="IL64" s="430">
        <v>0.31</v>
      </c>
      <c r="IM64" s="430">
        <v>0.55000000000000004</v>
      </c>
      <c r="IN64" s="430">
        <v>0.43</v>
      </c>
      <c r="IO64" s="430">
        <v>0.5</v>
      </c>
      <c r="IP64" s="430">
        <v>0.42</v>
      </c>
      <c r="IQ64" s="430">
        <v>0.59</v>
      </c>
      <c r="IR64" s="430">
        <v>0.59</v>
      </c>
      <c r="IS64" s="430">
        <v>0.61</v>
      </c>
      <c r="IT64" s="430">
        <v>0.35</v>
      </c>
      <c r="IU64" s="426" t="s">
        <v>283</v>
      </c>
      <c r="IV64" s="430">
        <v>0.66</v>
      </c>
      <c r="IW64" s="430">
        <v>0.26</v>
      </c>
      <c r="IX64" s="430">
        <v>0.44</v>
      </c>
      <c r="IY64" s="430">
        <v>0.47</v>
      </c>
      <c r="IZ64" s="466">
        <v>53</v>
      </c>
      <c r="JA64" s="466" t="s">
        <v>874</v>
      </c>
      <c r="JB64" s="466">
        <v>9</v>
      </c>
      <c r="JC64" s="466" t="s">
        <v>874</v>
      </c>
      <c r="JD64" s="480">
        <v>0.04</v>
      </c>
      <c r="JE64" s="480">
        <v>0.56999999999999995</v>
      </c>
      <c r="JF64" s="480">
        <v>0.38</v>
      </c>
      <c r="JG64" s="480">
        <v>0.02</v>
      </c>
      <c r="JH64" s="480">
        <v>0.35</v>
      </c>
      <c r="JI64" s="480">
        <v>0.42</v>
      </c>
      <c r="JJ64" s="480">
        <v>0.38</v>
      </c>
      <c r="JK64" s="480">
        <v>0.49</v>
      </c>
      <c r="JL64" s="480">
        <v>0.46</v>
      </c>
      <c r="JM64" s="480">
        <v>0.44</v>
      </c>
      <c r="JN64" s="480">
        <v>0.33</v>
      </c>
      <c r="JO64" s="480">
        <v>0.46</v>
      </c>
      <c r="JP64" s="480">
        <v>0.56999999999999995</v>
      </c>
      <c r="JQ64" s="480">
        <v>0.22</v>
      </c>
      <c r="JR64" s="480">
        <v>0.66</v>
      </c>
      <c r="JS64" s="480">
        <v>0.45</v>
      </c>
      <c r="JT64" s="480">
        <v>0.38</v>
      </c>
      <c r="JU64" s="480">
        <v>0.52</v>
      </c>
      <c r="JV64" s="480">
        <v>0.43</v>
      </c>
      <c r="JW64" s="480">
        <v>0.37</v>
      </c>
      <c r="JX64" s="480">
        <v>0.34</v>
      </c>
      <c r="JY64" s="480">
        <v>0.49</v>
      </c>
      <c r="JZ64" s="480">
        <v>0.27</v>
      </c>
      <c r="KA64" s="480">
        <v>0.56999999999999995</v>
      </c>
      <c r="KB64" s="480">
        <v>0.45</v>
      </c>
      <c r="KC64" s="480">
        <v>0.56000000000000005</v>
      </c>
      <c r="KD64" s="480">
        <v>0.28999999999999998</v>
      </c>
      <c r="KE64" s="480">
        <v>0.49</v>
      </c>
      <c r="KF64" s="480">
        <v>0.48</v>
      </c>
      <c r="KG64" s="480">
        <v>0.5</v>
      </c>
    </row>
    <row r="65" spans="1:293" ht="24.95" customHeight="1" x14ac:dyDescent="0.2">
      <c r="A65" s="126" t="s">
        <v>114</v>
      </c>
      <c r="B65" s="1" t="s">
        <v>221</v>
      </c>
      <c r="C65" s="2">
        <v>3</v>
      </c>
      <c r="D65" s="12">
        <v>56</v>
      </c>
      <c r="E65" s="12">
        <v>6</v>
      </c>
      <c r="F65" s="66">
        <v>0.02</v>
      </c>
      <c r="G65" s="66">
        <v>0.53</v>
      </c>
      <c r="H65" s="66">
        <v>0.43</v>
      </c>
      <c r="I65" s="66">
        <v>0.02</v>
      </c>
      <c r="J65" s="66">
        <v>0.38</v>
      </c>
      <c r="K65" s="66">
        <v>0.24</v>
      </c>
      <c r="L65" s="66">
        <v>0.79</v>
      </c>
      <c r="M65" s="66">
        <v>0.08</v>
      </c>
      <c r="N65" s="66">
        <v>0.23</v>
      </c>
      <c r="O65" s="66">
        <v>0.64</v>
      </c>
      <c r="P65" s="66">
        <v>0.28999999999999998</v>
      </c>
      <c r="Q65" s="66">
        <v>0.31</v>
      </c>
      <c r="R65" s="66">
        <v>0.48</v>
      </c>
      <c r="S65" s="66">
        <v>0.57999999999999996</v>
      </c>
      <c r="T65" s="66">
        <v>0.38</v>
      </c>
      <c r="U65" s="66">
        <v>0.5</v>
      </c>
      <c r="V65" s="66">
        <v>0.02</v>
      </c>
      <c r="W65" s="66">
        <v>0.15</v>
      </c>
      <c r="X65" s="66">
        <v>0.48</v>
      </c>
      <c r="Y65" s="66">
        <v>0.48</v>
      </c>
      <c r="Z65" s="12" t="s">
        <v>283</v>
      </c>
      <c r="AA65" s="66">
        <v>0.06</v>
      </c>
      <c r="AB65" s="66">
        <v>0.46</v>
      </c>
      <c r="AC65" s="66">
        <v>0.23</v>
      </c>
      <c r="AD65" s="66">
        <v>0.34</v>
      </c>
      <c r="AE65" s="66">
        <v>0.34</v>
      </c>
      <c r="AF65" s="66">
        <v>0.45</v>
      </c>
      <c r="AG65" s="66">
        <v>0.49</v>
      </c>
      <c r="AH65" s="12">
        <v>58</v>
      </c>
      <c r="AI65" s="12">
        <v>10</v>
      </c>
      <c r="AJ65" s="40">
        <v>0</v>
      </c>
      <c r="AK65" s="40">
        <v>0.47</v>
      </c>
      <c r="AL65" s="40">
        <v>0.5</v>
      </c>
      <c r="AM65" s="40">
        <v>0.03</v>
      </c>
      <c r="AN65" s="40">
        <v>0.14000000000000001</v>
      </c>
      <c r="AO65" s="40">
        <v>0.32</v>
      </c>
      <c r="AP65" s="40">
        <v>0.48</v>
      </c>
      <c r="AQ65" s="40">
        <v>0.27</v>
      </c>
      <c r="AR65" s="40">
        <v>0.6</v>
      </c>
      <c r="AS65" s="40">
        <v>0.44</v>
      </c>
      <c r="AT65" s="40">
        <v>0.41</v>
      </c>
      <c r="AU65" s="40">
        <v>0.3</v>
      </c>
      <c r="AV65" s="40">
        <v>0.45</v>
      </c>
      <c r="AW65" s="40">
        <v>0.25</v>
      </c>
      <c r="AX65" s="40">
        <v>0.28999999999999998</v>
      </c>
      <c r="AY65" s="40">
        <v>0.2</v>
      </c>
      <c r="AZ65" s="40">
        <v>0.21</v>
      </c>
      <c r="BA65" s="40">
        <v>0.4</v>
      </c>
      <c r="BB65" s="40">
        <v>0.59</v>
      </c>
      <c r="BC65" s="40">
        <v>0.59</v>
      </c>
      <c r="BD65" s="40">
        <v>0.4</v>
      </c>
      <c r="BE65" s="40">
        <v>0.5</v>
      </c>
      <c r="BF65" s="40">
        <v>0.56000000000000005</v>
      </c>
      <c r="BG65" s="40">
        <v>0.44</v>
      </c>
      <c r="BH65" s="40">
        <v>0.41</v>
      </c>
      <c r="BI65" s="40">
        <v>0.35</v>
      </c>
      <c r="BJ65" s="40">
        <v>0.28999999999999998</v>
      </c>
      <c r="BK65" s="40">
        <v>0.3</v>
      </c>
      <c r="BL65" s="40">
        <v>0.37</v>
      </c>
      <c r="BM65" s="12">
        <v>53</v>
      </c>
      <c r="BN65" s="12">
        <v>9</v>
      </c>
      <c r="BO65" s="66">
        <v>0.04</v>
      </c>
      <c r="BP65" s="66">
        <v>0.52</v>
      </c>
      <c r="BQ65" s="66">
        <v>0.42</v>
      </c>
      <c r="BR65" s="66">
        <v>0.02</v>
      </c>
      <c r="BS65" s="66">
        <v>0.3</v>
      </c>
      <c r="BT65" s="66">
        <v>0.46</v>
      </c>
      <c r="BU65" s="66">
        <v>0.54</v>
      </c>
      <c r="BV65" s="66">
        <v>0.31</v>
      </c>
      <c r="BW65" s="66">
        <v>0.69</v>
      </c>
      <c r="BX65" s="66">
        <v>0.32</v>
      </c>
      <c r="BY65" s="66">
        <v>0.39</v>
      </c>
      <c r="BZ65" s="66">
        <v>0.45</v>
      </c>
      <c r="CA65" s="66">
        <v>0.41</v>
      </c>
      <c r="CB65" s="66">
        <v>0.26</v>
      </c>
      <c r="CC65" s="66">
        <v>0.19</v>
      </c>
      <c r="CD65" s="66">
        <v>0.35</v>
      </c>
      <c r="CE65" s="66">
        <v>0.25</v>
      </c>
      <c r="CF65" s="66">
        <v>0.56000000000000005</v>
      </c>
      <c r="CG65" s="66">
        <v>0.57999999999999996</v>
      </c>
      <c r="CH65" s="66">
        <v>0.42</v>
      </c>
      <c r="CI65" s="66">
        <v>0.52</v>
      </c>
      <c r="CJ65" s="66">
        <v>0.28999999999999998</v>
      </c>
      <c r="CK65" s="66">
        <v>0.68</v>
      </c>
      <c r="CL65" s="66">
        <v>0.3</v>
      </c>
      <c r="CM65" s="66">
        <v>0.43</v>
      </c>
      <c r="CN65" s="66">
        <v>0.38</v>
      </c>
      <c r="CO65" s="66">
        <v>0.31</v>
      </c>
      <c r="CP65" s="66">
        <v>0.3</v>
      </c>
      <c r="CQ65" s="66">
        <v>0.47</v>
      </c>
      <c r="CR65" s="66">
        <v>0.47</v>
      </c>
      <c r="CS65" s="12">
        <v>53</v>
      </c>
      <c r="CT65" s="12">
        <v>8</v>
      </c>
      <c r="CU65" s="63">
        <v>0.03</v>
      </c>
      <c r="CV65" s="63">
        <v>0.56999999999999995</v>
      </c>
      <c r="CW65" s="63">
        <v>0.4</v>
      </c>
      <c r="CX65" s="63">
        <v>0</v>
      </c>
      <c r="CY65" s="63">
        <v>0.48</v>
      </c>
      <c r="CZ65" s="63">
        <v>0.27</v>
      </c>
      <c r="DA65" s="63">
        <v>0.59</v>
      </c>
      <c r="DB65" s="63">
        <v>0.21</v>
      </c>
      <c r="DC65" s="63">
        <v>0.52</v>
      </c>
      <c r="DD65" s="63">
        <v>0.6</v>
      </c>
      <c r="DE65" s="63">
        <v>0.27</v>
      </c>
      <c r="DF65" s="63">
        <v>0.51</v>
      </c>
      <c r="DG65" s="63">
        <v>0.46</v>
      </c>
      <c r="DH65" s="63">
        <v>0.33</v>
      </c>
      <c r="DI65" s="63">
        <v>0.35</v>
      </c>
      <c r="DJ65" s="63">
        <v>0.42</v>
      </c>
      <c r="DK65" s="63">
        <v>0.37</v>
      </c>
      <c r="DL65" s="63">
        <v>0.31</v>
      </c>
      <c r="DM65" s="63">
        <v>0.5</v>
      </c>
      <c r="DN65" s="63">
        <v>0.35</v>
      </c>
      <c r="DO65" s="63">
        <v>0.32</v>
      </c>
      <c r="DP65" s="63">
        <v>0.49</v>
      </c>
      <c r="DQ65" s="63">
        <v>0.47</v>
      </c>
      <c r="DR65" s="63">
        <v>0.13</v>
      </c>
      <c r="DS65" s="63">
        <v>0.24</v>
      </c>
      <c r="DT65" s="63">
        <v>0.49</v>
      </c>
      <c r="DU65" s="63">
        <v>0.3</v>
      </c>
      <c r="DV65" s="63">
        <v>0.53</v>
      </c>
      <c r="DW65" s="63">
        <v>0.34</v>
      </c>
      <c r="DX65" s="35">
        <v>54</v>
      </c>
      <c r="DY65" s="35">
        <v>9</v>
      </c>
      <c r="DZ65" s="40">
        <v>0.08</v>
      </c>
      <c r="EA65" s="40">
        <v>0.42</v>
      </c>
      <c r="EB65" s="40">
        <v>0.5</v>
      </c>
      <c r="EC65" s="40">
        <v>0</v>
      </c>
      <c r="ED65" s="40">
        <v>0.4</v>
      </c>
      <c r="EE65" s="40">
        <v>0.45</v>
      </c>
      <c r="EF65" s="40">
        <v>0.54</v>
      </c>
      <c r="EG65" s="40">
        <v>0.35</v>
      </c>
      <c r="EH65" s="40">
        <v>0.31</v>
      </c>
      <c r="EI65" s="40">
        <v>0.32</v>
      </c>
      <c r="EJ65" s="40">
        <v>0.52</v>
      </c>
      <c r="EK65" s="40">
        <v>0.21</v>
      </c>
      <c r="EL65" s="40">
        <v>0.44</v>
      </c>
      <c r="EM65" s="40">
        <v>0.47</v>
      </c>
      <c r="EN65" s="40">
        <v>0.32</v>
      </c>
      <c r="EO65" s="40">
        <v>0.53</v>
      </c>
      <c r="EP65" s="40">
        <v>0.28999999999999998</v>
      </c>
      <c r="EQ65" s="40">
        <v>0.18</v>
      </c>
      <c r="ER65" s="40">
        <v>0.6</v>
      </c>
      <c r="ES65" s="40">
        <v>0.47</v>
      </c>
      <c r="ET65" s="40">
        <v>0.19</v>
      </c>
      <c r="EU65" s="40">
        <v>0.61</v>
      </c>
      <c r="EV65" s="40">
        <v>0.05</v>
      </c>
      <c r="EW65" s="40">
        <v>0.26</v>
      </c>
      <c r="EX65" s="40">
        <v>0.47</v>
      </c>
      <c r="EY65" s="40">
        <v>0.49</v>
      </c>
      <c r="EZ65" s="40">
        <v>0.13</v>
      </c>
      <c r="FA65" s="40">
        <v>0.47</v>
      </c>
      <c r="FB65" s="247">
        <v>54</v>
      </c>
      <c r="FC65" s="247" t="s">
        <v>874</v>
      </c>
      <c r="FD65" s="247">
        <v>9</v>
      </c>
      <c r="FE65" s="247" t="s">
        <v>874</v>
      </c>
      <c r="FF65" s="264">
        <v>0.1</v>
      </c>
      <c r="FG65" s="264">
        <v>0.48</v>
      </c>
      <c r="FH65" s="264">
        <v>0.4</v>
      </c>
      <c r="FI65" s="264">
        <v>0.02</v>
      </c>
      <c r="FJ65" s="264">
        <v>0.38</v>
      </c>
      <c r="FK65" s="264">
        <v>0.62</v>
      </c>
      <c r="FL65" s="264">
        <v>0.39</v>
      </c>
      <c r="FM65" s="264">
        <v>0.33</v>
      </c>
      <c r="FN65" s="264">
        <v>0.23</v>
      </c>
      <c r="FO65" s="264">
        <v>0.26</v>
      </c>
      <c r="FP65" s="264">
        <v>0.3</v>
      </c>
      <c r="FQ65" s="264">
        <v>0.37</v>
      </c>
      <c r="FR65" s="264">
        <v>0.53</v>
      </c>
      <c r="FS65" s="264">
        <v>0.5</v>
      </c>
      <c r="FT65" s="264">
        <v>0.42</v>
      </c>
      <c r="FU65" s="264">
        <v>0.24</v>
      </c>
      <c r="FV65" s="264">
        <v>0.51</v>
      </c>
      <c r="FW65" s="264">
        <v>0.5</v>
      </c>
      <c r="FX65" s="264">
        <v>0.33</v>
      </c>
      <c r="FY65" s="264">
        <v>0.3</v>
      </c>
      <c r="FZ65" s="264">
        <v>0.35</v>
      </c>
      <c r="GA65" s="264">
        <v>0.42</v>
      </c>
      <c r="GB65" s="264">
        <v>0.55000000000000004</v>
      </c>
      <c r="GC65" s="264">
        <v>0.36</v>
      </c>
      <c r="GD65" s="264">
        <v>0.52</v>
      </c>
      <c r="GE65" s="264">
        <v>0.49</v>
      </c>
      <c r="GF65" s="264">
        <v>0.4</v>
      </c>
      <c r="GG65" s="264">
        <v>0.36</v>
      </c>
      <c r="GH65" s="264">
        <v>0.44</v>
      </c>
      <c r="GI65" s="264">
        <v>0.19</v>
      </c>
      <c r="GJ65" s="311">
        <v>56</v>
      </c>
      <c r="GK65" s="311" t="s">
        <v>874</v>
      </c>
      <c r="GL65" s="311">
        <v>9</v>
      </c>
      <c r="GM65" s="311" t="s">
        <v>874</v>
      </c>
      <c r="GN65" s="329">
        <v>0</v>
      </c>
      <c r="GO65" s="329">
        <v>0.48</v>
      </c>
      <c r="GP65" s="329">
        <v>0.46</v>
      </c>
      <c r="GQ65" s="329">
        <v>0.06</v>
      </c>
      <c r="GR65" s="329">
        <v>0.43</v>
      </c>
      <c r="GS65" s="329">
        <v>0.41</v>
      </c>
      <c r="GT65" s="329">
        <v>0.48</v>
      </c>
      <c r="GU65" s="329">
        <v>0.24</v>
      </c>
      <c r="GV65" s="329">
        <v>0.43</v>
      </c>
      <c r="GW65" s="329">
        <v>0.41</v>
      </c>
      <c r="GX65" s="329">
        <v>0.31</v>
      </c>
      <c r="GY65" s="311" t="s">
        <v>283</v>
      </c>
      <c r="GZ65" s="329">
        <v>0.24</v>
      </c>
      <c r="HA65" s="329">
        <v>0.56000000000000005</v>
      </c>
      <c r="HB65" s="329">
        <v>0.34</v>
      </c>
      <c r="HC65" s="329">
        <v>0.45</v>
      </c>
      <c r="HD65" s="329">
        <v>0.45</v>
      </c>
      <c r="HE65" s="329">
        <v>0.27</v>
      </c>
      <c r="HF65" s="329">
        <v>0.41</v>
      </c>
      <c r="HG65" s="329">
        <v>0.53</v>
      </c>
      <c r="HH65" s="329">
        <v>0.24</v>
      </c>
      <c r="HI65" s="329">
        <v>0.44</v>
      </c>
      <c r="HJ65" s="329">
        <v>0.5</v>
      </c>
      <c r="HK65" s="329">
        <v>0.54</v>
      </c>
      <c r="HL65" s="329">
        <v>0.37</v>
      </c>
      <c r="HM65" s="329">
        <v>0.42</v>
      </c>
      <c r="HN65" s="329">
        <v>0.43</v>
      </c>
      <c r="HO65" s="329">
        <v>0.32</v>
      </c>
      <c r="HP65" s="311" t="s">
        <v>283</v>
      </c>
      <c r="HQ65" s="329">
        <v>0.28999999999999998</v>
      </c>
      <c r="HR65" s="426">
        <v>56</v>
      </c>
      <c r="HS65" s="426" t="s">
        <v>874</v>
      </c>
      <c r="HT65" s="426">
        <v>8</v>
      </c>
      <c r="HU65" s="426" t="s">
        <v>874</v>
      </c>
      <c r="HV65" s="430">
        <v>0.02</v>
      </c>
      <c r="HW65" s="430">
        <v>0.43</v>
      </c>
      <c r="HX65" s="430">
        <v>0.54</v>
      </c>
      <c r="HY65" s="430">
        <v>0.02</v>
      </c>
      <c r="HZ65" s="430">
        <v>0.27</v>
      </c>
      <c r="IA65" s="430">
        <v>0.4</v>
      </c>
      <c r="IB65" s="430">
        <v>0.23</v>
      </c>
      <c r="IC65" s="430">
        <v>0.4</v>
      </c>
      <c r="ID65" s="430">
        <v>0.61</v>
      </c>
      <c r="IE65" s="430">
        <v>0.23</v>
      </c>
      <c r="IF65" s="430">
        <v>0.28999999999999998</v>
      </c>
      <c r="IG65" s="430">
        <v>0.51</v>
      </c>
      <c r="IH65" s="430">
        <v>0.42</v>
      </c>
      <c r="II65" s="430">
        <v>0.26</v>
      </c>
      <c r="IJ65" s="430">
        <v>0.17</v>
      </c>
      <c r="IK65" s="430">
        <v>0.51</v>
      </c>
      <c r="IL65" s="430">
        <v>0.3</v>
      </c>
      <c r="IM65" s="430">
        <v>0.53</v>
      </c>
      <c r="IN65" s="430">
        <v>0.32</v>
      </c>
      <c r="IO65" s="430">
        <v>0.43</v>
      </c>
      <c r="IP65" s="430">
        <v>0.34</v>
      </c>
      <c r="IQ65" s="430">
        <v>0.46</v>
      </c>
      <c r="IR65" s="430">
        <v>0.43</v>
      </c>
      <c r="IS65" s="430">
        <v>0.52</v>
      </c>
      <c r="IT65" s="430">
        <v>0.28000000000000003</v>
      </c>
      <c r="IU65" s="426" t="s">
        <v>283</v>
      </c>
      <c r="IV65" s="430">
        <v>0.56000000000000005</v>
      </c>
      <c r="IW65" s="430">
        <v>0.26</v>
      </c>
      <c r="IX65" s="430">
        <v>0.43</v>
      </c>
      <c r="IY65" s="430">
        <v>0.41</v>
      </c>
      <c r="IZ65" s="466">
        <v>56</v>
      </c>
      <c r="JA65" s="466" t="s">
        <v>874</v>
      </c>
      <c r="JB65" s="466">
        <v>7</v>
      </c>
      <c r="JC65" s="466" t="s">
        <v>874</v>
      </c>
      <c r="JD65" s="480">
        <v>0</v>
      </c>
      <c r="JE65" s="480">
        <v>0.45</v>
      </c>
      <c r="JF65" s="480">
        <v>0.55000000000000004</v>
      </c>
      <c r="JG65" s="480">
        <v>0</v>
      </c>
      <c r="JH65" s="480">
        <v>0.35</v>
      </c>
      <c r="JI65" s="480">
        <v>0.44</v>
      </c>
      <c r="JJ65" s="480">
        <v>0.32</v>
      </c>
      <c r="JK65" s="480">
        <v>0.36</v>
      </c>
      <c r="JL65" s="480">
        <v>0.33</v>
      </c>
      <c r="JM65" s="480">
        <v>0.38</v>
      </c>
      <c r="JN65" s="480">
        <v>0.26</v>
      </c>
      <c r="JO65" s="480">
        <v>0.44</v>
      </c>
      <c r="JP65" s="480">
        <v>0.46</v>
      </c>
      <c r="JQ65" s="480">
        <v>0.15</v>
      </c>
      <c r="JR65" s="480">
        <v>0.54</v>
      </c>
      <c r="JS65" s="480">
        <v>0.49</v>
      </c>
      <c r="JT65" s="480">
        <v>0.34</v>
      </c>
      <c r="JU65" s="480">
        <v>0.39</v>
      </c>
      <c r="JV65" s="480">
        <v>0.35</v>
      </c>
      <c r="JW65" s="480">
        <v>0.4</v>
      </c>
      <c r="JX65" s="480">
        <v>0.37</v>
      </c>
      <c r="JY65" s="480">
        <v>0.36</v>
      </c>
      <c r="JZ65" s="480">
        <v>0.36</v>
      </c>
      <c r="KA65" s="480">
        <v>0.36</v>
      </c>
      <c r="KB65" s="480">
        <v>0.3</v>
      </c>
      <c r="KC65" s="480">
        <v>0.45</v>
      </c>
      <c r="KD65" s="480">
        <v>0.17</v>
      </c>
      <c r="KE65" s="480">
        <v>0.37</v>
      </c>
      <c r="KF65" s="480">
        <v>0.38</v>
      </c>
      <c r="KG65" s="480">
        <v>0.38</v>
      </c>
    </row>
    <row r="66" spans="1:293" ht="24.95" customHeight="1" x14ac:dyDescent="0.2">
      <c r="A66" s="126" t="s">
        <v>128</v>
      </c>
      <c r="B66" s="1" t="s">
        <v>221</v>
      </c>
      <c r="C66" s="2">
        <v>5</v>
      </c>
      <c r="D66" s="12">
        <v>55</v>
      </c>
      <c r="E66" s="12">
        <v>7</v>
      </c>
      <c r="F66" s="66">
        <v>0.03</v>
      </c>
      <c r="G66" s="66">
        <v>0.47</v>
      </c>
      <c r="H66" s="66">
        <v>0.5</v>
      </c>
      <c r="I66" s="66">
        <v>0</v>
      </c>
      <c r="J66" s="66">
        <v>0.44</v>
      </c>
      <c r="K66" s="66">
        <v>0.28000000000000003</v>
      </c>
      <c r="L66" s="66">
        <v>0.69</v>
      </c>
      <c r="M66" s="66">
        <v>0.26</v>
      </c>
      <c r="N66" s="66">
        <v>0.24</v>
      </c>
      <c r="O66" s="66">
        <v>0.71</v>
      </c>
      <c r="P66" s="66">
        <v>0.28000000000000003</v>
      </c>
      <c r="Q66" s="66">
        <v>0.42</v>
      </c>
      <c r="R66" s="66">
        <v>0.51</v>
      </c>
      <c r="S66" s="66">
        <v>0.56999999999999995</v>
      </c>
      <c r="T66" s="66">
        <v>0.41</v>
      </c>
      <c r="U66" s="66">
        <v>0.45</v>
      </c>
      <c r="V66" s="66">
        <v>7.0000000000000007E-2</v>
      </c>
      <c r="W66" s="66">
        <v>0.19</v>
      </c>
      <c r="X66" s="66">
        <v>0.46</v>
      </c>
      <c r="Y66" s="66">
        <v>0.56000000000000005</v>
      </c>
      <c r="Z66" s="66">
        <v>1</v>
      </c>
      <c r="AA66" s="66">
        <v>0.28000000000000003</v>
      </c>
      <c r="AB66" s="66">
        <v>0.49</v>
      </c>
      <c r="AC66" s="66">
        <v>0.09</v>
      </c>
      <c r="AD66" s="66">
        <v>0.39</v>
      </c>
      <c r="AE66" s="66">
        <v>0.25</v>
      </c>
      <c r="AF66" s="66">
        <v>0.49</v>
      </c>
      <c r="AG66" s="66">
        <v>0.4</v>
      </c>
      <c r="AH66" s="12">
        <v>54</v>
      </c>
      <c r="AI66" s="12">
        <v>7</v>
      </c>
      <c r="AJ66" s="40">
        <v>0</v>
      </c>
      <c r="AK66" s="40">
        <v>0.72</v>
      </c>
      <c r="AL66" s="40">
        <v>0.28000000000000003</v>
      </c>
      <c r="AM66" s="40">
        <v>0</v>
      </c>
      <c r="AN66" s="40">
        <v>0.33</v>
      </c>
      <c r="AO66" s="40">
        <v>0.47</v>
      </c>
      <c r="AP66" s="40">
        <v>0.56999999999999995</v>
      </c>
      <c r="AQ66" s="40">
        <v>0.37</v>
      </c>
      <c r="AR66" s="40">
        <v>0.52</v>
      </c>
      <c r="AS66" s="40">
        <v>0.52</v>
      </c>
      <c r="AT66" s="40">
        <v>0.51</v>
      </c>
      <c r="AU66" s="40">
        <v>0.47</v>
      </c>
      <c r="AV66" s="40">
        <v>0.65</v>
      </c>
      <c r="AW66" s="40">
        <v>0.56999999999999995</v>
      </c>
      <c r="AX66" s="40">
        <v>0.5</v>
      </c>
      <c r="AY66" s="40">
        <v>0.21</v>
      </c>
      <c r="AZ66" s="40">
        <v>0.31</v>
      </c>
      <c r="BA66" s="40">
        <v>0.59</v>
      </c>
      <c r="BB66" s="40">
        <v>0.84</v>
      </c>
      <c r="BC66" s="40">
        <v>0.68</v>
      </c>
      <c r="BD66" s="40">
        <v>0.41</v>
      </c>
      <c r="BE66" s="40">
        <v>0.7</v>
      </c>
      <c r="BF66" s="40">
        <v>0.89</v>
      </c>
      <c r="BG66" s="40">
        <v>0.41</v>
      </c>
      <c r="BH66" s="40">
        <v>0.4</v>
      </c>
      <c r="BI66" s="40">
        <v>0.37</v>
      </c>
      <c r="BJ66" s="40">
        <v>0.28999999999999998</v>
      </c>
      <c r="BK66" s="40">
        <v>0.33</v>
      </c>
      <c r="BL66" s="40">
        <v>0.38</v>
      </c>
      <c r="BM66" s="12">
        <v>55</v>
      </c>
      <c r="BN66" s="12">
        <v>7</v>
      </c>
      <c r="BO66" s="66">
        <v>7.0000000000000007E-2</v>
      </c>
      <c r="BP66" s="66">
        <v>0.52</v>
      </c>
      <c r="BQ66" s="66">
        <v>0.41</v>
      </c>
      <c r="BR66" s="66">
        <v>0</v>
      </c>
      <c r="BS66" s="66">
        <v>0.23</v>
      </c>
      <c r="BT66" s="66">
        <v>0.64</v>
      </c>
      <c r="BU66" s="66">
        <v>0.46</v>
      </c>
      <c r="BV66" s="66">
        <v>0.05</v>
      </c>
      <c r="BW66" s="66">
        <v>0.66</v>
      </c>
      <c r="BX66" s="66">
        <v>0.3</v>
      </c>
      <c r="BY66" s="66">
        <v>0.52</v>
      </c>
      <c r="BZ66" s="66">
        <v>0.44</v>
      </c>
      <c r="CA66" s="66">
        <v>0.45</v>
      </c>
      <c r="CB66" s="66">
        <v>0.33</v>
      </c>
      <c r="CC66" s="66">
        <v>0.1</v>
      </c>
      <c r="CD66" s="66">
        <v>0.33</v>
      </c>
      <c r="CE66" s="66">
        <v>0.15</v>
      </c>
      <c r="CF66" s="66">
        <v>0.59</v>
      </c>
      <c r="CG66" s="66">
        <v>0.48</v>
      </c>
      <c r="CH66" s="66">
        <v>0.31</v>
      </c>
      <c r="CI66" s="66">
        <v>0.52</v>
      </c>
      <c r="CJ66" s="66">
        <v>0.41</v>
      </c>
      <c r="CK66" s="66">
        <v>0.53</v>
      </c>
      <c r="CL66" s="66">
        <v>0.28000000000000003</v>
      </c>
      <c r="CM66" s="66">
        <v>0.35</v>
      </c>
      <c r="CN66" s="66">
        <v>0.34</v>
      </c>
      <c r="CO66" s="66">
        <v>0.28000000000000003</v>
      </c>
      <c r="CP66" s="66">
        <v>0.28000000000000003</v>
      </c>
      <c r="CQ66" s="66">
        <v>0.5</v>
      </c>
      <c r="CR66" s="66">
        <v>0.43</v>
      </c>
      <c r="CS66" s="12">
        <v>55</v>
      </c>
      <c r="CT66" s="12">
        <v>9</v>
      </c>
      <c r="CU66" s="63">
        <v>0.06</v>
      </c>
      <c r="CV66" s="63">
        <v>0.39</v>
      </c>
      <c r="CW66" s="63">
        <v>0.56000000000000005</v>
      </c>
      <c r="CX66" s="63">
        <v>0</v>
      </c>
      <c r="CY66" s="63">
        <v>0.35</v>
      </c>
      <c r="CZ66" s="63">
        <v>0.21</v>
      </c>
      <c r="DA66" s="63">
        <v>0.56000000000000005</v>
      </c>
      <c r="DB66" s="63">
        <v>0.32</v>
      </c>
      <c r="DC66" s="63">
        <v>0.33</v>
      </c>
      <c r="DD66" s="63">
        <v>0.52</v>
      </c>
      <c r="DE66" s="63">
        <v>0.16</v>
      </c>
      <c r="DF66" s="63">
        <v>0.48</v>
      </c>
      <c r="DG66" s="63">
        <v>0.36</v>
      </c>
      <c r="DH66" s="63">
        <v>0.26</v>
      </c>
      <c r="DI66" s="63">
        <v>0.57999999999999996</v>
      </c>
      <c r="DJ66" s="63">
        <v>0.41</v>
      </c>
      <c r="DK66" s="63">
        <v>0.25</v>
      </c>
      <c r="DL66" s="63">
        <v>0.17</v>
      </c>
      <c r="DM66" s="63">
        <v>0.52</v>
      </c>
      <c r="DN66" s="63">
        <v>0.42</v>
      </c>
      <c r="DO66" s="63">
        <v>0.25</v>
      </c>
      <c r="DP66" s="63">
        <v>0.42</v>
      </c>
      <c r="DQ66" s="63">
        <v>0.49</v>
      </c>
      <c r="DR66" s="63">
        <v>0.06</v>
      </c>
      <c r="DS66" s="63">
        <v>0.28999999999999998</v>
      </c>
      <c r="DT66" s="63">
        <v>0.44</v>
      </c>
      <c r="DU66" s="63">
        <v>0.11</v>
      </c>
      <c r="DV66" s="63">
        <v>0.56000000000000005</v>
      </c>
      <c r="DW66" s="63">
        <v>0.38</v>
      </c>
      <c r="DX66" s="35">
        <v>54</v>
      </c>
      <c r="DY66" s="35">
        <v>8</v>
      </c>
      <c r="DZ66" s="40">
        <v>0.05</v>
      </c>
      <c r="EA66" s="40">
        <v>0.45</v>
      </c>
      <c r="EB66" s="40">
        <v>0.5</v>
      </c>
      <c r="EC66" s="40">
        <v>0</v>
      </c>
      <c r="ED66" s="40">
        <v>0.39</v>
      </c>
      <c r="EE66" s="40">
        <v>0.3</v>
      </c>
      <c r="EF66" s="40">
        <v>0.52</v>
      </c>
      <c r="EG66" s="40">
        <v>0</v>
      </c>
      <c r="EH66" s="40">
        <v>0.55000000000000004</v>
      </c>
      <c r="EI66" s="40">
        <v>0.46</v>
      </c>
      <c r="EJ66" s="40">
        <v>0.39</v>
      </c>
      <c r="EK66" s="40">
        <v>0.2</v>
      </c>
      <c r="EL66" s="40">
        <v>0.26</v>
      </c>
      <c r="EM66" s="40">
        <v>0.5</v>
      </c>
      <c r="EN66" s="40">
        <v>0.33</v>
      </c>
      <c r="EO66" s="40">
        <v>0.62</v>
      </c>
      <c r="EP66" s="40">
        <v>0.33</v>
      </c>
      <c r="EQ66" s="40">
        <v>0.05</v>
      </c>
      <c r="ER66" s="40">
        <v>0.56000000000000005</v>
      </c>
      <c r="ES66" s="40">
        <v>0.35</v>
      </c>
      <c r="ET66" s="40">
        <v>0.16</v>
      </c>
      <c r="EU66" s="40">
        <v>0.53</v>
      </c>
      <c r="EV66" s="40">
        <v>0.33</v>
      </c>
      <c r="EW66" s="40">
        <v>0.25</v>
      </c>
      <c r="EX66" s="40">
        <v>0.67</v>
      </c>
      <c r="EY66" s="40">
        <v>0.39</v>
      </c>
      <c r="EZ66" s="40">
        <v>0.2</v>
      </c>
      <c r="FA66" s="40">
        <v>0.53</v>
      </c>
      <c r="FB66" s="247">
        <v>53</v>
      </c>
      <c r="FC66" s="247" t="s">
        <v>874</v>
      </c>
      <c r="FD66" s="247">
        <v>8</v>
      </c>
      <c r="FE66" s="247" t="s">
        <v>874</v>
      </c>
      <c r="FF66" s="264">
        <v>0.05</v>
      </c>
      <c r="FG66" s="264">
        <v>0.6</v>
      </c>
      <c r="FH66" s="264">
        <v>0.35</v>
      </c>
      <c r="FI66" s="264">
        <v>0</v>
      </c>
      <c r="FJ66" s="264">
        <v>0.28999999999999998</v>
      </c>
      <c r="FK66" s="264">
        <v>0.68</v>
      </c>
      <c r="FL66" s="264">
        <v>0.43</v>
      </c>
      <c r="FM66" s="264">
        <v>0.44</v>
      </c>
      <c r="FN66" s="264">
        <v>0.24</v>
      </c>
      <c r="FO66" s="264">
        <v>0.27</v>
      </c>
      <c r="FP66" s="264">
        <v>0.28999999999999998</v>
      </c>
      <c r="FQ66" s="264">
        <v>0.39</v>
      </c>
      <c r="FR66" s="264">
        <v>0.63</v>
      </c>
      <c r="FS66" s="264">
        <v>0.5</v>
      </c>
      <c r="FT66" s="264">
        <v>0.31</v>
      </c>
      <c r="FU66" s="264">
        <v>0.31</v>
      </c>
      <c r="FV66" s="264">
        <v>0.41</v>
      </c>
      <c r="FW66" s="264">
        <v>0.41</v>
      </c>
      <c r="FX66" s="264">
        <v>0.42</v>
      </c>
      <c r="FY66" s="264">
        <v>0.27</v>
      </c>
      <c r="FZ66" s="264">
        <v>0.37</v>
      </c>
      <c r="GA66" s="264">
        <v>0.52</v>
      </c>
      <c r="GB66" s="264">
        <v>0.56999999999999995</v>
      </c>
      <c r="GC66" s="264">
        <v>0.35</v>
      </c>
      <c r="GD66" s="264">
        <v>0.52</v>
      </c>
      <c r="GE66" s="264">
        <v>0.54</v>
      </c>
      <c r="GF66" s="264">
        <v>0.32</v>
      </c>
      <c r="GG66" s="264">
        <v>0.46</v>
      </c>
      <c r="GH66" s="264">
        <v>0.51</v>
      </c>
      <c r="GI66" s="264">
        <v>0.26</v>
      </c>
      <c r="GJ66" s="311">
        <v>54</v>
      </c>
      <c r="GK66" s="311" t="s">
        <v>874</v>
      </c>
      <c r="GL66" s="311">
        <v>9</v>
      </c>
      <c r="GM66" s="311" t="s">
        <v>874</v>
      </c>
      <c r="GN66" s="329">
        <v>0.04</v>
      </c>
      <c r="GO66" s="329">
        <v>0.5</v>
      </c>
      <c r="GP66" s="329">
        <v>0.46</v>
      </c>
      <c r="GQ66" s="329">
        <v>0</v>
      </c>
      <c r="GR66" s="329">
        <v>0.48</v>
      </c>
      <c r="GS66" s="329">
        <v>0.49</v>
      </c>
      <c r="GT66" s="329">
        <v>0.61</v>
      </c>
      <c r="GU66" s="329">
        <v>0</v>
      </c>
      <c r="GV66" s="329">
        <v>0.5</v>
      </c>
      <c r="GW66" s="329">
        <v>0.39</v>
      </c>
      <c r="GX66" s="329">
        <v>0.38</v>
      </c>
      <c r="GY66" s="311" t="s">
        <v>283</v>
      </c>
      <c r="GZ66" s="329">
        <v>0.14000000000000001</v>
      </c>
      <c r="HA66" s="329">
        <v>0.73</v>
      </c>
      <c r="HB66" s="329">
        <v>0.28999999999999998</v>
      </c>
      <c r="HC66" s="329">
        <v>0.5</v>
      </c>
      <c r="HD66" s="329">
        <v>0.52</v>
      </c>
      <c r="HE66" s="329">
        <v>0.55000000000000004</v>
      </c>
      <c r="HF66" s="329">
        <v>0.38</v>
      </c>
      <c r="HG66" s="329">
        <v>0.62</v>
      </c>
      <c r="HH66" s="329">
        <v>0.22</v>
      </c>
      <c r="HI66" s="329">
        <v>0.45</v>
      </c>
      <c r="HJ66" s="329">
        <v>0.51</v>
      </c>
      <c r="HK66" s="329">
        <v>0.55000000000000004</v>
      </c>
      <c r="HL66" s="329">
        <v>0.45</v>
      </c>
      <c r="HM66" s="329">
        <v>0.43</v>
      </c>
      <c r="HN66" s="329">
        <v>0.36</v>
      </c>
      <c r="HO66" s="329">
        <v>0.33</v>
      </c>
      <c r="HP66" s="311" t="s">
        <v>283</v>
      </c>
      <c r="HQ66" s="329">
        <v>0.41</v>
      </c>
      <c r="HR66" s="426">
        <v>55</v>
      </c>
      <c r="HS66" s="426" t="s">
        <v>874</v>
      </c>
      <c r="HT66" s="426">
        <v>6</v>
      </c>
      <c r="HU66" s="426" t="s">
        <v>874</v>
      </c>
      <c r="HV66" s="430">
        <v>0</v>
      </c>
      <c r="HW66" s="430">
        <v>0.52</v>
      </c>
      <c r="HX66" s="430">
        <v>0.48</v>
      </c>
      <c r="HY66" s="430">
        <v>0</v>
      </c>
      <c r="HZ66" s="430">
        <v>0.28999999999999998</v>
      </c>
      <c r="IA66" s="430">
        <v>0.39</v>
      </c>
      <c r="IB66" s="430">
        <v>0.32</v>
      </c>
      <c r="IC66" s="430">
        <v>0.47</v>
      </c>
      <c r="ID66" s="430">
        <v>0.56999999999999995</v>
      </c>
      <c r="IE66" s="430">
        <v>0.3</v>
      </c>
      <c r="IF66" s="430">
        <v>0.33</v>
      </c>
      <c r="IG66" s="430">
        <v>0.38</v>
      </c>
      <c r="IH66" s="430">
        <v>0.46</v>
      </c>
      <c r="II66" s="430">
        <v>0.13</v>
      </c>
      <c r="IJ66" s="430">
        <v>0.14000000000000001</v>
      </c>
      <c r="IK66" s="430">
        <v>0.62</v>
      </c>
      <c r="IL66" s="430">
        <v>0.28000000000000003</v>
      </c>
      <c r="IM66" s="430">
        <v>0.56999999999999995</v>
      </c>
      <c r="IN66" s="430">
        <v>0.4</v>
      </c>
      <c r="IO66" s="430">
        <v>0.51</v>
      </c>
      <c r="IP66" s="430">
        <v>0.25</v>
      </c>
      <c r="IQ66" s="430">
        <v>0.55000000000000004</v>
      </c>
      <c r="IR66" s="430">
        <v>0.51</v>
      </c>
      <c r="IS66" s="430">
        <v>0.48</v>
      </c>
      <c r="IT66" s="430">
        <v>0.35</v>
      </c>
      <c r="IU66" s="426" t="s">
        <v>283</v>
      </c>
      <c r="IV66" s="430">
        <v>0.56999999999999995</v>
      </c>
      <c r="IW66" s="430">
        <v>0.27</v>
      </c>
      <c r="IX66" s="430">
        <v>0.47</v>
      </c>
      <c r="IY66" s="430">
        <v>0.39</v>
      </c>
      <c r="IZ66" s="466">
        <v>53</v>
      </c>
      <c r="JA66" s="466" t="s">
        <v>874</v>
      </c>
      <c r="JB66" s="466">
        <v>6</v>
      </c>
      <c r="JC66" s="466" t="s">
        <v>874</v>
      </c>
      <c r="JD66" s="480">
        <v>0</v>
      </c>
      <c r="JE66" s="480">
        <v>0.67</v>
      </c>
      <c r="JF66" s="480">
        <v>0.33</v>
      </c>
      <c r="JG66" s="480">
        <v>0</v>
      </c>
      <c r="JH66" s="480">
        <v>0.32</v>
      </c>
      <c r="JI66" s="480">
        <v>0.47</v>
      </c>
      <c r="JJ66" s="480">
        <v>0.35</v>
      </c>
      <c r="JK66" s="480">
        <v>0.38</v>
      </c>
      <c r="JL66" s="480">
        <v>0.44</v>
      </c>
      <c r="JM66" s="480">
        <v>0.51</v>
      </c>
      <c r="JN66" s="480">
        <v>0.45</v>
      </c>
      <c r="JO66" s="480">
        <v>0.43</v>
      </c>
      <c r="JP66" s="480">
        <v>0.52</v>
      </c>
      <c r="JQ66" s="480">
        <v>0.21</v>
      </c>
      <c r="JR66" s="480">
        <v>0.62</v>
      </c>
      <c r="JS66" s="480">
        <v>0.67</v>
      </c>
      <c r="JT66" s="480">
        <v>0.31</v>
      </c>
      <c r="JU66" s="480">
        <v>0.57999999999999996</v>
      </c>
      <c r="JV66" s="480">
        <v>0.35</v>
      </c>
      <c r="JW66" s="480">
        <v>0.49</v>
      </c>
      <c r="JX66" s="480">
        <v>0.31</v>
      </c>
      <c r="JY66" s="480">
        <v>0.52</v>
      </c>
      <c r="JZ66" s="480">
        <v>0.42</v>
      </c>
      <c r="KA66" s="480">
        <v>0.67</v>
      </c>
      <c r="KB66" s="480">
        <v>0.52</v>
      </c>
      <c r="KC66" s="480">
        <v>0.93</v>
      </c>
      <c r="KD66" s="480">
        <v>0.26</v>
      </c>
      <c r="KE66" s="480">
        <v>0.52</v>
      </c>
      <c r="KF66" s="480">
        <v>0.54</v>
      </c>
      <c r="KG66" s="480">
        <v>0.52</v>
      </c>
    </row>
    <row r="67" spans="1:293" ht="24.95" customHeight="1" x14ac:dyDescent="0.2">
      <c r="A67" s="126" t="s">
        <v>159</v>
      </c>
      <c r="B67" s="1" t="s">
        <v>221</v>
      </c>
      <c r="C67" s="2">
        <v>3</v>
      </c>
      <c r="D67" s="12">
        <v>57</v>
      </c>
      <c r="E67" s="12">
        <v>7</v>
      </c>
      <c r="F67" s="66">
        <v>0.03</v>
      </c>
      <c r="G67" s="66">
        <v>0.39</v>
      </c>
      <c r="H67" s="66">
        <v>0.57999999999999996</v>
      </c>
      <c r="I67" s="66">
        <v>0</v>
      </c>
      <c r="J67" s="66">
        <v>0.4</v>
      </c>
      <c r="K67" s="66">
        <v>0.3</v>
      </c>
      <c r="L67" s="66">
        <v>0.7</v>
      </c>
      <c r="M67" s="66">
        <v>0.12</v>
      </c>
      <c r="N67" s="66">
        <v>0.21</v>
      </c>
      <c r="O67" s="66">
        <v>0.69</v>
      </c>
      <c r="P67" s="66">
        <v>0.28000000000000003</v>
      </c>
      <c r="Q67" s="66">
        <v>0.3</v>
      </c>
      <c r="R67" s="66">
        <v>0.48</v>
      </c>
      <c r="S67" s="66">
        <v>0.59</v>
      </c>
      <c r="T67" s="66">
        <v>0.46</v>
      </c>
      <c r="U67" s="66">
        <v>0.49</v>
      </c>
      <c r="V67" s="66">
        <v>0.03</v>
      </c>
      <c r="W67" s="66">
        <v>0.05</v>
      </c>
      <c r="X67" s="66">
        <v>0.41</v>
      </c>
      <c r="Y67" s="66">
        <v>0.42</v>
      </c>
      <c r="Z67" s="12" t="s">
        <v>283</v>
      </c>
      <c r="AA67" s="66">
        <v>0.1</v>
      </c>
      <c r="AB67" s="66">
        <v>0.34</v>
      </c>
      <c r="AC67" s="66">
        <v>0.15</v>
      </c>
      <c r="AD67" s="66">
        <v>0.35</v>
      </c>
      <c r="AE67" s="66">
        <v>0.33</v>
      </c>
      <c r="AF67" s="66">
        <v>0.45</v>
      </c>
      <c r="AG67" s="66">
        <v>0.48</v>
      </c>
      <c r="AH67" s="12">
        <v>56</v>
      </c>
      <c r="AI67" s="12">
        <v>7</v>
      </c>
      <c r="AJ67" s="40">
        <v>0</v>
      </c>
      <c r="AK67" s="40">
        <v>0.56999999999999995</v>
      </c>
      <c r="AL67" s="40">
        <v>0.39</v>
      </c>
      <c r="AM67" s="40">
        <v>0.04</v>
      </c>
      <c r="AN67" s="40">
        <v>0.36</v>
      </c>
      <c r="AO67" s="40">
        <v>0.39</v>
      </c>
      <c r="AP67" s="40">
        <v>0.35</v>
      </c>
      <c r="AQ67" s="40">
        <v>0.25</v>
      </c>
      <c r="AR67" s="40">
        <v>0.5</v>
      </c>
      <c r="AS67" s="40">
        <v>0.46</v>
      </c>
      <c r="AT67" s="40">
        <v>0.45</v>
      </c>
      <c r="AU67" s="40">
        <v>0.45</v>
      </c>
      <c r="AV67" s="40">
        <v>0.56000000000000005</v>
      </c>
      <c r="AW67" s="40">
        <v>0.22</v>
      </c>
      <c r="AX67" s="40">
        <v>0.41</v>
      </c>
      <c r="AY67" s="40">
        <v>0.28999999999999998</v>
      </c>
      <c r="AZ67" s="40">
        <v>0.2</v>
      </c>
      <c r="BA67" s="40">
        <v>0.34</v>
      </c>
      <c r="BB67" s="40">
        <v>0.71</v>
      </c>
      <c r="BC67" s="40">
        <v>0.65</v>
      </c>
      <c r="BD67" s="40">
        <v>0.37</v>
      </c>
      <c r="BE67" s="40">
        <v>0.43</v>
      </c>
      <c r="BF67" s="40">
        <v>0.64</v>
      </c>
      <c r="BG67" s="40">
        <v>0.5</v>
      </c>
      <c r="BH67" s="40">
        <v>0.36</v>
      </c>
      <c r="BI67" s="40">
        <v>0.39</v>
      </c>
      <c r="BJ67" s="40">
        <v>0.33</v>
      </c>
      <c r="BK67" s="40">
        <v>0.37</v>
      </c>
      <c r="BL67" s="40">
        <v>0.45</v>
      </c>
      <c r="BM67" s="12">
        <v>61</v>
      </c>
      <c r="BN67" s="12">
        <v>8</v>
      </c>
      <c r="BO67" s="66">
        <v>0.06</v>
      </c>
      <c r="BP67" s="66">
        <v>0.11</v>
      </c>
      <c r="BQ67" s="66">
        <v>0.78</v>
      </c>
      <c r="BR67" s="66">
        <v>0.06</v>
      </c>
      <c r="BS67" s="66">
        <v>0.31</v>
      </c>
      <c r="BT67" s="66">
        <v>0.36</v>
      </c>
      <c r="BU67" s="66">
        <v>0.41</v>
      </c>
      <c r="BV67" s="66">
        <v>0.17</v>
      </c>
      <c r="BW67" s="66">
        <v>0.52</v>
      </c>
      <c r="BX67" s="66">
        <v>0.13</v>
      </c>
      <c r="BY67" s="66">
        <v>0.24</v>
      </c>
      <c r="BZ67" s="66">
        <v>0.37</v>
      </c>
      <c r="CA67" s="66">
        <v>0.46</v>
      </c>
      <c r="CB67" s="66">
        <v>0.2</v>
      </c>
      <c r="CC67" s="66">
        <v>0.11</v>
      </c>
      <c r="CD67" s="66">
        <v>0.17</v>
      </c>
      <c r="CE67" s="66">
        <v>0.1</v>
      </c>
      <c r="CF67" s="66">
        <v>0.5</v>
      </c>
      <c r="CG67" s="66">
        <v>0.27</v>
      </c>
      <c r="CH67" s="66">
        <v>0.19</v>
      </c>
      <c r="CI67" s="66">
        <v>0.39</v>
      </c>
      <c r="CJ67" s="66">
        <v>0.22</v>
      </c>
      <c r="CK67" s="66">
        <v>0.42</v>
      </c>
      <c r="CL67" s="66">
        <v>0.1</v>
      </c>
      <c r="CM67" s="66">
        <v>0.22</v>
      </c>
      <c r="CN67" s="66">
        <v>0.31</v>
      </c>
      <c r="CO67" s="66">
        <v>0.23</v>
      </c>
      <c r="CP67" s="66">
        <v>0.17</v>
      </c>
      <c r="CQ67" s="66">
        <v>0.4</v>
      </c>
      <c r="CR67" s="66">
        <v>0.4</v>
      </c>
      <c r="CS67" s="12">
        <v>55</v>
      </c>
      <c r="CT67" s="12">
        <v>7</v>
      </c>
      <c r="CU67" s="63">
        <v>0</v>
      </c>
      <c r="CV67" s="63">
        <v>0.54</v>
      </c>
      <c r="CW67" s="63">
        <v>0.46</v>
      </c>
      <c r="CX67" s="63">
        <v>0</v>
      </c>
      <c r="CY67" s="63">
        <v>0.48</v>
      </c>
      <c r="CZ67" s="63">
        <v>0.23</v>
      </c>
      <c r="DA67" s="63">
        <v>0.36</v>
      </c>
      <c r="DB67" s="63">
        <v>0.44</v>
      </c>
      <c r="DC67" s="63">
        <v>0.43</v>
      </c>
      <c r="DD67" s="63">
        <v>0.62</v>
      </c>
      <c r="DE67" s="63">
        <v>0.34</v>
      </c>
      <c r="DF67" s="63">
        <v>0.46</v>
      </c>
      <c r="DG67" s="63">
        <v>0.38</v>
      </c>
      <c r="DH67" s="63">
        <v>0.33</v>
      </c>
      <c r="DI67" s="63">
        <v>0.48</v>
      </c>
      <c r="DJ67" s="63">
        <v>0.42</v>
      </c>
      <c r="DK67" s="63">
        <v>0.23</v>
      </c>
      <c r="DL67" s="63">
        <v>0.67</v>
      </c>
      <c r="DM67" s="63">
        <v>0.35</v>
      </c>
      <c r="DN67" s="63">
        <v>0.38</v>
      </c>
      <c r="DO67" s="63">
        <v>0.3</v>
      </c>
      <c r="DP67" s="63">
        <v>0.35</v>
      </c>
      <c r="DQ67" s="63">
        <v>0.49</v>
      </c>
      <c r="DR67" s="63">
        <v>0.09</v>
      </c>
      <c r="DS67" s="63">
        <v>0.23</v>
      </c>
      <c r="DT67" s="63">
        <v>0.46</v>
      </c>
      <c r="DU67" s="63">
        <v>0.44</v>
      </c>
      <c r="DV67" s="63">
        <v>0.55000000000000004</v>
      </c>
      <c r="DW67" s="63">
        <v>0.27</v>
      </c>
      <c r="DX67" s="35">
        <v>58</v>
      </c>
      <c r="DY67" s="35">
        <v>5</v>
      </c>
      <c r="DZ67" s="40">
        <v>0</v>
      </c>
      <c r="EA67" s="40">
        <v>0.42</v>
      </c>
      <c r="EB67" s="40">
        <v>0.53</v>
      </c>
      <c r="EC67" s="40">
        <v>0.05</v>
      </c>
      <c r="ED67" s="40">
        <v>0.46</v>
      </c>
      <c r="EE67" s="40">
        <v>0.34</v>
      </c>
      <c r="EF67" s="40">
        <v>0.31</v>
      </c>
      <c r="EG67" s="40">
        <v>0.22</v>
      </c>
      <c r="EH67" s="40">
        <v>0.39</v>
      </c>
      <c r="EI67" s="40">
        <v>0.41</v>
      </c>
      <c r="EJ67" s="40">
        <v>0.41</v>
      </c>
      <c r="EK67" s="40">
        <v>0.06</v>
      </c>
      <c r="EL67" s="40">
        <v>0.21</v>
      </c>
      <c r="EM67" s="40">
        <v>0.45</v>
      </c>
      <c r="EN67" s="40">
        <v>0.15</v>
      </c>
      <c r="EO67" s="40">
        <v>0.46</v>
      </c>
      <c r="EP67" s="40">
        <v>0.14000000000000001</v>
      </c>
      <c r="EQ67" s="40">
        <v>0.05</v>
      </c>
      <c r="ER67" s="40">
        <v>0.43</v>
      </c>
      <c r="ES67" s="40">
        <v>0.28000000000000003</v>
      </c>
      <c r="ET67" s="40">
        <v>0.28999999999999998</v>
      </c>
      <c r="EU67" s="40">
        <v>0.56000000000000005</v>
      </c>
      <c r="EV67" s="40">
        <v>0.27</v>
      </c>
      <c r="EW67" s="40">
        <v>0.21</v>
      </c>
      <c r="EX67" s="40">
        <v>0.55000000000000004</v>
      </c>
      <c r="EY67" s="40">
        <v>0.41</v>
      </c>
      <c r="EZ67" s="40">
        <v>0</v>
      </c>
      <c r="FA67" s="40">
        <v>0.48</v>
      </c>
      <c r="FB67" s="247">
        <v>56</v>
      </c>
      <c r="FC67" s="247" t="s">
        <v>874</v>
      </c>
      <c r="FD67" s="247">
        <v>9</v>
      </c>
      <c r="FE67" s="247" t="s">
        <v>874</v>
      </c>
      <c r="FF67" s="264">
        <v>0.03</v>
      </c>
      <c r="FG67" s="264">
        <v>0.47</v>
      </c>
      <c r="FH67" s="264">
        <v>0.41</v>
      </c>
      <c r="FI67" s="264">
        <v>0.09</v>
      </c>
      <c r="FJ67" s="264">
        <v>0.45</v>
      </c>
      <c r="FK67" s="264">
        <v>0.55000000000000004</v>
      </c>
      <c r="FL67" s="264">
        <v>0.44</v>
      </c>
      <c r="FM67" s="264">
        <v>0.35</v>
      </c>
      <c r="FN67" s="264">
        <v>0.2</v>
      </c>
      <c r="FO67" s="264">
        <v>0.23</v>
      </c>
      <c r="FP67" s="264">
        <v>0.28000000000000003</v>
      </c>
      <c r="FQ67" s="264">
        <v>0.32</v>
      </c>
      <c r="FR67" s="264">
        <v>0.4</v>
      </c>
      <c r="FS67" s="264">
        <v>0.45</v>
      </c>
      <c r="FT67" s="264">
        <v>0.4</v>
      </c>
      <c r="FU67" s="264">
        <v>0.2</v>
      </c>
      <c r="FV67" s="264">
        <v>0.5</v>
      </c>
      <c r="FW67" s="264">
        <v>0.43</v>
      </c>
      <c r="FX67" s="264">
        <v>0.41</v>
      </c>
      <c r="FY67" s="264">
        <v>0.23</v>
      </c>
      <c r="FZ67" s="264">
        <v>0.26</v>
      </c>
      <c r="GA67" s="264">
        <v>0.43</v>
      </c>
      <c r="GB67" s="264">
        <v>0.42</v>
      </c>
      <c r="GC67" s="264">
        <v>0.27</v>
      </c>
      <c r="GD67" s="264">
        <v>0.46</v>
      </c>
      <c r="GE67" s="264">
        <v>0.37</v>
      </c>
      <c r="GF67" s="264">
        <v>0.18</v>
      </c>
      <c r="GG67" s="264">
        <v>0.37</v>
      </c>
      <c r="GH67" s="264">
        <v>0.46</v>
      </c>
      <c r="GI67" s="264">
        <v>0.12</v>
      </c>
      <c r="GJ67" s="311">
        <v>57</v>
      </c>
      <c r="GK67" s="311" t="s">
        <v>874</v>
      </c>
      <c r="GL67" s="311">
        <v>8</v>
      </c>
      <c r="GM67" s="311" t="s">
        <v>874</v>
      </c>
      <c r="GN67" s="329">
        <v>0.03</v>
      </c>
      <c r="GO67" s="329">
        <v>0.42</v>
      </c>
      <c r="GP67" s="329">
        <v>0.5</v>
      </c>
      <c r="GQ67" s="329">
        <v>0.05</v>
      </c>
      <c r="GR67" s="329">
        <v>0.32</v>
      </c>
      <c r="GS67" s="329">
        <v>0.43</v>
      </c>
      <c r="GT67" s="329">
        <v>0.53</v>
      </c>
      <c r="GU67" s="329">
        <v>0.11</v>
      </c>
      <c r="GV67" s="329">
        <v>0.39</v>
      </c>
      <c r="GW67" s="329">
        <v>0.31</v>
      </c>
      <c r="GX67" s="329">
        <v>0.38</v>
      </c>
      <c r="GY67" s="311" t="s">
        <v>283</v>
      </c>
      <c r="GZ67" s="329">
        <v>0.15</v>
      </c>
      <c r="HA67" s="329">
        <v>0.81</v>
      </c>
      <c r="HB67" s="329">
        <v>0.35</v>
      </c>
      <c r="HC67" s="329">
        <v>0.38</v>
      </c>
      <c r="HD67" s="329">
        <v>0.38</v>
      </c>
      <c r="HE67" s="329">
        <v>0.38</v>
      </c>
      <c r="HF67" s="329">
        <v>0.35</v>
      </c>
      <c r="HG67" s="329">
        <v>0.6</v>
      </c>
      <c r="HH67" s="329">
        <v>0.18</v>
      </c>
      <c r="HI67" s="329">
        <v>0.32</v>
      </c>
      <c r="HJ67" s="329">
        <v>0.55000000000000004</v>
      </c>
      <c r="HK67" s="329">
        <v>0.45</v>
      </c>
      <c r="HL67" s="329">
        <v>0.32</v>
      </c>
      <c r="HM67" s="329">
        <v>0.43</v>
      </c>
      <c r="HN67" s="329">
        <v>0.35</v>
      </c>
      <c r="HO67" s="329">
        <v>0.34</v>
      </c>
      <c r="HP67" s="311" t="s">
        <v>283</v>
      </c>
      <c r="HQ67" s="329">
        <v>0.38</v>
      </c>
      <c r="HR67" s="426">
        <v>56</v>
      </c>
      <c r="HS67" s="426" t="s">
        <v>874</v>
      </c>
      <c r="HT67" s="426">
        <v>7</v>
      </c>
      <c r="HU67" s="426" t="s">
        <v>874</v>
      </c>
      <c r="HV67" s="430">
        <v>0.02</v>
      </c>
      <c r="HW67" s="430">
        <v>0.45</v>
      </c>
      <c r="HX67" s="430">
        <v>0.5</v>
      </c>
      <c r="HY67" s="430">
        <v>0.02</v>
      </c>
      <c r="HZ67" s="430">
        <v>0.2</v>
      </c>
      <c r="IA67" s="430">
        <v>0.46</v>
      </c>
      <c r="IB67" s="430">
        <v>0.27</v>
      </c>
      <c r="IC67" s="430">
        <v>0.4</v>
      </c>
      <c r="ID67" s="430">
        <v>0.6</v>
      </c>
      <c r="IE67" s="430">
        <v>0.19</v>
      </c>
      <c r="IF67" s="430">
        <v>0.36</v>
      </c>
      <c r="IG67" s="430">
        <v>0.44</v>
      </c>
      <c r="IH67" s="430">
        <v>0.37</v>
      </c>
      <c r="II67" s="430">
        <v>0.2</v>
      </c>
      <c r="IJ67" s="430">
        <v>0.21</v>
      </c>
      <c r="IK67" s="430">
        <v>0.45</v>
      </c>
      <c r="IL67" s="430">
        <v>0.24</v>
      </c>
      <c r="IM67" s="430">
        <v>0.51</v>
      </c>
      <c r="IN67" s="430">
        <v>0.32</v>
      </c>
      <c r="IO67" s="430">
        <v>0.43</v>
      </c>
      <c r="IP67" s="430">
        <v>0.35</v>
      </c>
      <c r="IQ67" s="430">
        <v>0.52</v>
      </c>
      <c r="IR67" s="430">
        <v>0.44</v>
      </c>
      <c r="IS67" s="430">
        <v>0.4</v>
      </c>
      <c r="IT67" s="430">
        <v>0.31</v>
      </c>
      <c r="IU67" s="426" t="s">
        <v>283</v>
      </c>
      <c r="IV67" s="430">
        <v>0.61</v>
      </c>
      <c r="IW67" s="430">
        <v>0.36</v>
      </c>
      <c r="IX67" s="430">
        <v>0.38</v>
      </c>
      <c r="IY67" s="430">
        <v>0.48</v>
      </c>
      <c r="IZ67" s="466">
        <v>62</v>
      </c>
      <c r="JA67" s="466" t="s">
        <v>875</v>
      </c>
      <c r="JB67" s="466">
        <v>7</v>
      </c>
      <c r="JC67" s="466" t="s">
        <v>874</v>
      </c>
      <c r="JD67" s="480">
        <v>0</v>
      </c>
      <c r="JE67" s="480">
        <v>0.14000000000000001</v>
      </c>
      <c r="JF67" s="480">
        <v>0.79</v>
      </c>
      <c r="JG67" s="480">
        <v>7.0000000000000007E-2</v>
      </c>
      <c r="JH67" s="480">
        <v>0.28999999999999998</v>
      </c>
      <c r="JI67" s="480">
        <v>0.32</v>
      </c>
      <c r="JJ67" s="480">
        <v>0.15</v>
      </c>
      <c r="JK67" s="480">
        <v>0.25</v>
      </c>
      <c r="JL67" s="480">
        <v>0.28999999999999998</v>
      </c>
      <c r="JM67" s="480">
        <v>0.2</v>
      </c>
      <c r="JN67" s="480">
        <v>0.16</v>
      </c>
      <c r="JO67" s="480">
        <v>0.34</v>
      </c>
      <c r="JP67" s="480">
        <v>0.28999999999999998</v>
      </c>
      <c r="JQ67" s="480">
        <v>0.09</v>
      </c>
      <c r="JR67" s="480">
        <v>0.42</v>
      </c>
      <c r="JS67" s="480">
        <v>0.27</v>
      </c>
      <c r="JT67" s="480">
        <v>0.16</v>
      </c>
      <c r="JU67" s="480">
        <v>0.31</v>
      </c>
      <c r="JV67" s="480">
        <v>0.25</v>
      </c>
      <c r="JW67" s="480">
        <v>0.32</v>
      </c>
      <c r="JX67" s="480">
        <v>0.17</v>
      </c>
      <c r="JY67" s="480">
        <v>0.48</v>
      </c>
      <c r="JZ67" s="480">
        <v>0.37</v>
      </c>
      <c r="KA67" s="480">
        <v>0.56999999999999995</v>
      </c>
      <c r="KB67" s="480">
        <v>0.23</v>
      </c>
      <c r="KC67" s="480">
        <v>0.39</v>
      </c>
      <c r="KD67" s="480">
        <v>0.21</v>
      </c>
      <c r="KE67" s="480">
        <v>0.16</v>
      </c>
      <c r="KF67" s="480">
        <v>0.25</v>
      </c>
      <c r="KG67" s="480">
        <v>0.31</v>
      </c>
    </row>
    <row r="68" spans="1:293" ht="24.95" customHeight="1" x14ac:dyDescent="0.2">
      <c r="A68" s="126" t="s">
        <v>59</v>
      </c>
      <c r="B68" s="1" t="s">
        <v>221</v>
      </c>
      <c r="C68" s="2">
        <v>1</v>
      </c>
      <c r="D68" s="12">
        <v>53</v>
      </c>
      <c r="E68" s="12">
        <v>5</v>
      </c>
      <c r="F68" s="66">
        <v>0</v>
      </c>
      <c r="G68" s="66">
        <v>0.67</v>
      </c>
      <c r="H68" s="66">
        <v>0.33</v>
      </c>
      <c r="I68" s="66">
        <v>0</v>
      </c>
      <c r="J68" s="66">
        <v>0.56000000000000005</v>
      </c>
      <c r="K68" s="66">
        <v>0.35</v>
      </c>
      <c r="L68" s="66">
        <v>0.71</v>
      </c>
      <c r="M68" s="66">
        <v>0.28000000000000003</v>
      </c>
      <c r="N68" s="66">
        <v>0.25</v>
      </c>
      <c r="O68" s="66">
        <v>0.79</v>
      </c>
      <c r="P68" s="66">
        <v>0.41</v>
      </c>
      <c r="Q68" s="66">
        <v>0.41</v>
      </c>
      <c r="R68" s="66">
        <v>0.59</v>
      </c>
      <c r="S68" s="66">
        <v>0.79</v>
      </c>
      <c r="T68" s="66">
        <v>0.38</v>
      </c>
      <c r="U68" s="66">
        <v>0.68</v>
      </c>
      <c r="V68" s="66">
        <v>0.06</v>
      </c>
      <c r="W68" s="66">
        <v>0.16</v>
      </c>
      <c r="X68" s="66">
        <v>0.55000000000000004</v>
      </c>
      <c r="Y68" s="66">
        <v>0.34</v>
      </c>
      <c r="Z68" s="12" t="s">
        <v>283</v>
      </c>
      <c r="AA68" s="66">
        <v>0</v>
      </c>
      <c r="AB68" s="66">
        <v>0.49</v>
      </c>
      <c r="AC68" s="66">
        <v>0.31</v>
      </c>
      <c r="AD68" s="66">
        <v>0.48</v>
      </c>
      <c r="AE68" s="66">
        <v>0.45</v>
      </c>
      <c r="AF68" s="66">
        <v>0.55000000000000004</v>
      </c>
      <c r="AG68" s="66">
        <v>0.6</v>
      </c>
      <c r="AH68" s="12">
        <v>51</v>
      </c>
      <c r="AI68" s="12">
        <v>6</v>
      </c>
      <c r="AJ68" s="40">
        <v>0.03</v>
      </c>
      <c r="AK68" s="40">
        <v>0.7</v>
      </c>
      <c r="AL68" s="40">
        <v>0.27</v>
      </c>
      <c r="AM68" s="40">
        <v>0</v>
      </c>
      <c r="AN68" s="40">
        <v>0.27</v>
      </c>
      <c r="AO68" s="40">
        <v>0.46</v>
      </c>
      <c r="AP68" s="40">
        <v>0.59</v>
      </c>
      <c r="AQ68" s="40">
        <v>0.4</v>
      </c>
      <c r="AR68" s="40">
        <v>0.59</v>
      </c>
      <c r="AS68" s="40">
        <v>0.59</v>
      </c>
      <c r="AT68" s="40">
        <v>0.53</v>
      </c>
      <c r="AU68" s="40">
        <v>0.6</v>
      </c>
      <c r="AV68" s="40">
        <v>0.63</v>
      </c>
      <c r="AW68" s="40">
        <v>0.61</v>
      </c>
      <c r="AX68" s="40">
        <v>0.5</v>
      </c>
      <c r="AY68" s="40">
        <v>0.4</v>
      </c>
      <c r="AZ68" s="40">
        <v>0.28000000000000003</v>
      </c>
      <c r="BA68" s="40">
        <v>0.57999999999999996</v>
      </c>
      <c r="BB68" s="40">
        <v>0.72</v>
      </c>
      <c r="BC68" s="40">
        <v>0.66</v>
      </c>
      <c r="BD68" s="40">
        <v>0.33</v>
      </c>
      <c r="BE68" s="40">
        <v>0.64</v>
      </c>
      <c r="BF68" s="40">
        <v>0.85</v>
      </c>
      <c r="BG68" s="40">
        <v>0.48</v>
      </c>
      <c r="BH68" s="40">
        <v>0.46</v>
      </c>
      <c r="BI68" s="40">
        <v>0.39</v>
      </c>
      <c r="BJ68" s="40">
        <v>0.25</v>
      </c>
      <c r="BK68" s="40">
        <v>0.52</v>
      </c>
      <c r="BL68" s="40">
        <v>0.31</v>
      </c>
      <c r="BM68" s="12">
        <v>47</v>
      </c>
      <c r="BN68" s="12">
        <v>6</v>
      </c>
      <c r="BO68" s="66">
        <v>0.14000000000000001</v>
      </c>
      <c r="BP68" s="66">
        <v>0.77</v>
      </c>
      <c r="BQ68" s="66">
        <v>0.09</v>
      </c>
      <c r="BR68" s="66">
        <v>0</v>
      </c>
      <c r="BS68" s="66">
        <v>0.44</v>
      </c>
      <c r="BT68" s="66">
        <v>0.78</v>
      </c>
      <c r="BU68" s="66">
        <v>0.55000000000000004</v>
      </c>
      <c r="BV68" s="66">
        <v>0.4</v>
      </c>
      <c r="BW68" s="66">
        <v>0.69</v>
      </c>
      <c r="BX68" s="66">
        <v>0.45</v>
      </c>
      <c r="BY68" s="66">
        <v>0.56000000000000005</v>
      </c>
      <c r="BZ68" s="66">
        <v>0.6</v>
      </c>
      <c r="CA68" s="66">
        <v>0.49</v>
      </c>
      <c r="CB68" s="66">
        <v>0.41</v>
      </c>
      <c r="CC68" s="66">
        <v>0.28000000000000003</v>
      </c>
      <c r="CD68" s="66">
        <v>0.48</v>
      </c>
      <c r="CE68" s="66">
        <v>0.43</v>
      </c>
      <c r="CF68" s="66">
        <v>0.73</v>
      </c>
      <c r="CG68" s="66">
        <v>0.59</v>
      </c>
      <c r="CH68" s="66">
        <v>0.56999999999999995</v>
      </c>
      <c r="CI68" s="66">
        <v>0.65</v>
      </c>
      <c r="CJ68" s="66">
        <v>0.52</v>
      </c>
      <c r="CK68" s="66">
        <v>0.75</v>
      </c>
      <c r="CL68" s="66">
        <v>0.53</v>
      </c>
      <c r="CM68" s="66">
        <v>0.57999999999999996</v>
      </c>
      <c r="CN68" s="66">
        <v>0.63</v>
      </c>
      <c r="CO68" s="66">
        <v>0.53</v>
      </c>
      <c r="CP68" s="66">
        <v>0.44</v>
      </c>
      <c r="CQ68" s="66">
        <v>0.56000000000000005</v>
      </c>
      <c r="CR68" s="66">
        <v>0.53</v>
      </c>
      <c r="CS68" s="12">
        <v>47</v>
      </c>
      <c r="CT68" s="12">
        <v>9</v>
      </c>
      <c r="CU68" s="63">
        <v>0.15</v>
      </c>
      <c r="CV68" s="63">
        <v>0.69</v>
      </c>
      <c r="CW68" s="63">
        <v>0.12</v>
      </c>
      <c r="CX68" s="63">
        <v>0.04</v>
      </c>
      <c r="CY68" s="63">
        <v>0.51</v>
      </c>
      <c r="CZ68" s="63">
        <v>0.3</v>
      </c>
      <c r="DA68" s="63">
        <v>0.49</v>
      </c>
      <c r="DB68" s="63">
        <v>0.37</v>
      </c>
      <c r="DC68" s="63">
        <v>0.41</v>
      </c>
      <c r="DD68" s="63">
        <v>0.56000000000000005</v>
      </c>
      <c r="DE68" s="63">
        <v>0.62</v>
      </c>
      <c r="DF68" s="63">
        <v>0.61</v>
      </c>
      <c r="DG68" s="63">
        <v>0.57999999999999996</v>
      </c>
      <c r="DH68" s="63">
        <v>0.32</v>
      </c>
      <c r="DI68" s="63">
        <v>0.57999999999999996</v>
      </c>
      <c r="DJ68" s="63">
        <v>0.7</v>
      </c>
      <c r="DK68" s="63">
        <v>0.46</v>
      </c>
      <c r="DL68" s="63">
        <v>0.62</v>
      </c>
      <c r="DM68" s="63">
        <v>0.6</v>
      </c>
      <c r="DN68" s="63">
        <v>0.56000000000000005</v>
      </c>
      <c r="DO68" s="63">
        <v>0.56999999999999995</v>
      </c>
      <c r="DP68" s="63">
        <v>0.49</v>
      </c>
      <c r="DQ68" s="63">
        <v>0.65</v>
      </c>
      <c r="DR68" s="63">
        <v>0.2</v>
      </c>
      <c r="DS68" s="63">
        <v>0.46</v>
      </c>
      <c r="DT68" s="63">
        <v>0.63</v>
      </c>
      <c r="DU68" s="63">
        <v>0.54</v>
      </c>
      <c r="DV68" s="63">
        <v>0.69</v>
      </c>
      <c r="DW68" s="63">
        <v>0.43</v>
      </c>
      <c r="DX68" s="35">
        <v>44</v>
      </c>
      <c r="DY68" s="35">
        <v>9</v>
      </c>
      <c r="DZ68" s="40">
        <v>0.32</v>
      </c>
      <c r="EA68" s="40">
        <v>0.56000000000000005</v>
      </c>
      <c r="EB68" s="40">
        <v>0.12</v>
      </c>
      <c r="EC68" s="40">
        <v>0</v>
      </c>
      <c r="ED68" s="40">
        <v>0.53</v>
      </c>
      <c r="EE68" s="40">
        <v>0.6</v>
      </c>
      <c r="EF68" s="40">
        <v>0.56999999999999995</v>
      </c>
      <c r="EG68" s="40">
        <v>0</v>
      </c>
      <c r="EH68" s="40">
        <v>0.59</v>
      </c>
      <c r="EI68" s="40">
        <v>0.71</v>
      </c>
      <c r="EJ68" s="40">
        <v>0.78</v>
      </c>
      <c r="EK68" s="40">
        <v>0.32</v>
      </c>
      <c r="EL68" s="40">
        <v>0.59</v>
      </c>
      <c r="EM68" s="40">
        <v>0.74</v>
      </c>
      <c r="EN68" s="40">
        <v>0.56999999999999995</v>
      </c>
      <c r="EO68" s="40">
        <v>0.53</v>
      </c>
      <c r="EP68" s="40">
        <v>0.51</v>
      </c>
      <c r="EQ68" s="40">
        <v>0.55000000000000004</v>
      </c>
      <c r="ER68" s="40">
        <v>0.59</v>
      </c>
      <c r="ES68" s="40">
        <v>0.42</v>
      </c>
      <c r="ET68" s="40">
        <v>0.56000000000000005</v>
      </c>
      <c r="EU68" s="40">
        <v>0.64</v>
      </c>
      <c r="EV68" s="40">
        <v>0.5</v>
      </c>
      <c r="EW68" s="40">
        <v>0.33</v>
      </c>
      <c r="EX68" s="40">
        <v>0.6</v>
      </c>
      <c r="EY68" s="40">
        <v>0.68</v>
      </c>
      <c r="EZ68" s="40">
        <v>0.33</v>
      </c>
      <c r="FA68" s="40">
        <v>0.73</v>
      </c>
      <c r="FB68" s="247">
        <v>48</v>
      </c>
      <c r="FC68" s="247" t="s">
        <v>874</v>
      </c>
      <c r="FD68" s="247">
        <v>9</v>
      </c>
      <c r="FE68" s="247" t="s">
        <v>874</v>
      </c>
      <c r="FF68" s="264">
        <v>0.22</v>
      </c>
      <c r="FG68" s="264">
        <v>0.59</v>
      </c>
      <c r="FH68" s="264">
        <v>0.19</v>
      </c>
      <c r="FI68" s="264">
        <v>0</v>
      </c>
      <c r="FJ68" s="264">
        <v>0.44</v>
      </c>
      <c r="FK68" s="264">
        <v>0.6</v>
      </c>
      <c r="FL68" s="264">
        <v>0.6</v>
      </c>
      <c r="FM68" s="264">
        <v>0.43</v>
      </c>
      <c r="FN68" s="264">
        <v>0.24</v>
      </c>
      <c r="FO68" s="264">
        <v>0.42</v>
      </c>
      <c r="FP68" s="264">
        <v>0.49</v>
      </c>
      <c r="FQ68" s="264">
        <v>0.5</v>
      </c>
      <c r="FR68" s="264">
        <v>0.57999999999999996</v>
      </c>
      <c r="FS68" s="264">
        <v>0.51</v>
      </c>
      <c r="FT68" s="264">
        <v>0.56000000000000005</v>
      </c>
      <c r="FU68" s="264">
        <v>0.46</v>
      </c>
      <c r="FV68" s="264">
        <v>0.6</v>
      </c>
      <c r="FW68" s="264">
        <v>0.69</v>
      </c>
      <c r="FX68" s="264">
        <v>0.5</v>
      </c>
      <c r="FY68" s="264">
        <v>0.44</v>
      </c>
      <c r="FZ68" s="264">
        <v>0.4</v>
      </c>
      <c r="GA68" s="264">
        <v>0.42</v>
      </c>
      <c r="GB68" s="264">
        <v>0.48</v>
      </c>
      <c r="GC68" s="264">
        <v>0.42</v>
      </c>
      <c r="GD68" s="264">
        <v>0.62</v>
      </c>
      <c r="GE68" s="264">
        <v>0.56999999999999995</v>
      </c>
      <c r="GF68" s="264">
        <v>0.64</v>
      </c>
      <c r="GG68" s="264">
        <v>0.55000000000000004</v>
      </c>
      <c r="GH68" s="264">
        <v>0.56999999999999995</v>
      </c>
      <c r="GI68" s="264">
        <v>0.25</v>
      </c>
      <c r="GJ68" s="311">
        <v>49</v>
      </c>
      <c r="GK68" s="311" t="s">
        <v>874</v>
      </c>
      <c r="GL68" s="311">
        <v>9</v>
      </c>
      <c r="GM68" s="311" t="s">
        <v>874</v>
      </c>
      <c r="GN68" s="329">
        <v>0.18</v>
      </c>
      <c r="GO68" s="329">
        <v>0.56999999999999995</v>
      </c>
      <c r="GP68" s="329">
        <v>0.21</v>
      </c>
      <c r="GQ68" s="329">
        <v>0.04</v>
      </c>
      <c r="GR68" s="329">
        <v>0.46</v>
      </c>
      <c r="GS68" s="329">
        <v>0.45</v>
      </c>
      <c r="GT68" s="329">
        <v>0.72</v>
      </c>
      <c r="GU68" s="329">
        <v>0.19</v>
      </c>
      <c r="GV68" s="329">
        <v>0.61</v>
      </c>
      <c r="GW68" s="329">
        <v>0.61</v>
      </c>
      <c r="GX68" s="329">
        <v>0.42</v>
      </c>
      <c r="GY68" s="311" t="s">
        <v>283</v>
      </c>
      <c r="GZ68" s="329">
        <v>0.6</v>
      </c>
      <c r="HA68" s="329">
        <v>0.5</v>
      </c>
      <c r="HB68" s="329">
        <v>0.51</v>
      </c>
      <c r="HC68" s="329">
        <v>0.49</v>
      </c>
      <c r="HD68" s="329">
        <v>0.56000000000000005</v>
      </c>
      <c r="HE68" s="329">
        <v>0.57999999999999996</v>
      </c>
      <c r="HF68" s="329">
        <v>0.52</v>
      </c>
      <c r="HG68" s="329">
        <v>0.69</v>
      </c>
      <c r="HH68" s="329">
        <v>0.49</v>
      </c>
      <c r="HI68" s="329">
        <v>0.57999999999999996</v>
      </c>
      <c r="HJ68" s="329">
        <v>0.56000000000000005</v>
      </c>
      <c r="HK68" s="329">
        <v>0.47</v>
      </c>
      <c r="HL68" s="329">
        <v>0.31</v>
      </c>
      <c r="HM68" s="329">
        <v>0.55000000000000004</v>
      </c>
      <c r="HN68" s="329">
        <v>0.67</v>
      </c>
      <c r="HO68" s="329">
        <v>0.41</v>
      </c>
      <c r="HP68" s="311" t="s">
        <v>283</v>
      </c>
      <c r="HQ68" s="329">
        <v>0.47</v>
      </c>
      <c r="HR68" s="426">
        <v>47</v>
      </c>
      <c r="HS68" s="426" t="s">
        <v>874</v>
      </c>
      <c r="HT68" s="426">
        <v>8</v>
      </c>
      <c r="HU68" s="426" t="s">
        <v>874</v>
      </c>
      <c r="HV68" s="430">
        <v>0.23</v>
      </c>
      <c r="HW68" s="430">
        <v>0.55000000000000004</v>
      </c>
      <c r="HX68" s="430">
        <v>0.23</v>
      </c>
      <c r="HY68" s="430">
        <v>0</v>
      </c>
      <c r="HZ68" s="430">
        <v>0.47</v>
      </c>
      <c r="IA68" s="430">
        <v>0.68</v>
      </c>
      <c r="IB68" s="430">
        <v>0.23</v>
      </c>
      <c r="IC68" s="430">
        <v>0.75</v>
      </c>
      <c r="ID68" s="430">
        <v>0.67</v>
      </c>
      <c r="IE68" s="430">
        <v>0.56000000000000005</v>
      </c>
      <c r="IF68" s="430">
        <v>0.43</v>
      </c>
      <c r="IG68" s="430">
        <v>0.73</v>
      </c>
      <c r="IH68" s="430">
        <v>0.56000000000000005</v>
      </c>
      <c r="II68" s="430">
        <v>0.56000000000000005</v>
      </c>
      <c r="IJ68" s="430">
        <v>0.35</v>
      </c>
      <c r="IK68" s="430">
        <v>0.62</v>
      </c>
      <c r="IL68" s="430">
        <v>0.45</v>
      </c>
      <c r="IM68" s="430">
        <v>0.72</v>
      </c>
      <c r="IN68" s="430">
        <v>0.54</v>
      </c>
      <c r="IO68" s="430">
        <v>0.47</v>
      </c>
      <c r="IP68" s="430">
        <v>0.53</v>
      </c>
      <c r="IQ68" s="430">
        <v>0.66</v>
      </c>
      <c r="IR68" s="430">
        <v>0.59</v>
      </c>
      <c r="IS68" s="430">
        <v>0.38</v>
      </c>
      <c r="IT68" s="430">
        <v>0.43</v>
      </c>
      <c r="IU68" s="426" t="s">
        <v>283</v>
      </c>
      <c r="IV68" s="430">
        <v>0.67</v>
      </c>
      <c r="IW68" s="430">
        <v>0.46</v>
      </c>
      <c r="IX68" s="430">
        <v>0.55000000000000004</v>
      </c>
      <c r="IY68" s="430">
        <v>0.6</v>
      </c>
      <c r="IZ68" s="466">
        <v>46</v>
      </c>
      <c r="JA68" s="466" t="s">
        <v>874</v>
      </c>
      <c r="JB68" s="466">
        <v>10</v>
      </c>
      <c r="JC68" s="466" t="s">
        <v>874</v>
      </c>
      <c r="JD68" s="480">
        <v>0.31</v>
      </c>
      <c r="JE68" s="480">
        <v>0.5</v>
      </c>
      <c r="JF68" s="480">
        <v>0.19</v>
      </c>
      <c r="JG68" s="480">
        <v>0</v>
      </c>
      <c r="JH68" s="480">
        <v>0.67</v>
      </c>
      <c r="JI68" s="480">
        <v>0.47</v>
      </c>
      <c r="JJ68" s="480">
        <v>0.5</v>
      </c>
      <c r="JK68" s="480">
        <v>0.66</v>
      </c>
      <c r="JL68" s="480">
        <v>0.5</v>
      </c>
      <c r="JM68" s="480">
        <v>0.67</v>
      </c>
      <c r="JN68" s="480">
        <v>0.49</v>
      </c>
      <c r="JO68" s="480">
        <v>0.6</v>
      </c>
      <c r="JP68" s="480">
        <v>0.64</v>
      </c>
      <c r="JQ68" s="480">
        <v>0.38</v>
      </c>
      <c r="JR68" s="480">
        <v>0.67</v>
      </c>
      <c r="JS68" s="480">
        <v>0.71</v>
      </c>
      <c r="JT68" s="480">
        <v>0.41</v>
      </c>
      <c r="JU68" s="480">
        <v>0.64</v>
      </c>
      <c r="JV68" s="480">
        <v>0.57999999999999996</v>
      </c>
      <c r="JW68" s="480">
        <v>0.47</v>
      </c>
      <c r="JX68" s="480">
        <v>0.72</v>
      </c>
      <c r="JY68" s="480">
        <v>0.63</v>
      </c>
      <c r="JZ68" s="480">
        <v>0.38</v>
      </c>
      <c r="KA68" s="480">
        <v>0.57999999999999996</v>
      </c>
      <c r="KB68" s="480">
        <v>0.46</v>
      </c>
      <c r="KC68" s="480">
        <v>0.6</v>
      </c>
      <c r="KD68" s="480">
        <v>0.4</v>
      </c>
      <c r="KE68" s="480">
        <v>0.55000000000000004</v>
      </c>
      <c r="KF68" s="480">
        <v>0.69</v>
      </c>
      <c r="KG68" s="480">
        <v>0.57999999999999996</v>
      </c>
    </row>
    <row r="69" spans="1:293" ht="24.95" customHeight="1" x14ac:dyDescent="0.2">
      <c r="A69" s="126" t="s">
        <v>132</v>
      </c>
      <c r="B69" s="1" t="s">
        <v>221</v>
      </c>
      <c r="C69" s="2">
        <v>3</v>
      </c>
      <c r="D69" s="12">
        <v>59</v>
      </c>
      <c r="E69" s="12">
        <v>7</v>
      </c>
      <c r="F69" s="66">
        <v>0</v>
      </c>
      <c r="G69" s="66">
        <v>0.35</v>
      </c>
      <c r="H69" s="66">
        <v>0.62</v>
      </c>
      <c r="I69" s="66">
        <v>0.03</v>
      </c>
      <c r="J69" s="66">
        <v>0.22</v>
      </c>
      <c r="K69" s="66">
        <v>0.33</v>
      </c>
      <c r="L69" s="66">
        <v>0.48</v>
      </c>
      <c r="M69" s="66">
        <v>0.2</v>
      </c>
      <c r="N69" s="66">
        <v>0.27</v>
      </c>
      <c r="O69" s="66">
        <v>0.69</v>
      </c>
      <c r="P69" s="66">
        <v>0.18</v>
      </c>
      <c r="Q69" s="66">
        <v>0.42</v>
      </c>
      <c r="R69" s="66">
        <v>0.44</v>
      </c>
      <c r="S69" s="66">
        <v>0.7</v>
      </c>
      <c r="T69" s="66">
        <v>0.36</v>
      </c>
      <c r="U69" s="66">
        <v>0.64</v>
      </c>
      <c r="V69" s="66">
        <v>0.03</v>
      </c>
      <c r="W69" s="66">
        <v>0</v>
      </c>
      <c r="X69" s="66">
        <v>0.4</v>
      </c>
      <c r="Y69" s="66">
        <v>0.45</v>
      </c>
      <c r="Z69" s="66">
        <v>1</v>
      </c>
      <c r="AA69" s="66">
        <v>0.05</v>
      </c>
      <c r="AB69" s="66">
        <v>0.42</v>
      </c>
      <c r="AC69" s="66">
        <v>0.12</v>
      </c>
      <c r="AD69" s="66">
        <v>0.31</v>
      </c>
      <c r="AE69" s="66">
        <v>0.22</v>
      </c>
      <c r="AF69" s="66">
        <v>0.49</v>
      </c>
      <c r="AG69" s="66">
        <v>0.32</v>
      </c>
      <c r="AH69" s="12">
        <v>57</v>
      </c>
      <c r="AI69" s="12">
        <v>8</v>
      </c>
      <c r="AJ69" s="40">
        <v>0</v>
      </c>
      <c r="AK69" s="40">
        <v>0.46</v>
      </c>
      <c r="AL69" s="40">
        <v>0.49</v>
      </c>
      <c r="AM69" s="40">
        <v>0.05</v>
      </c>
      <c r="AN69" s="40">
        <v>0.23</v>
      </c>
      <c r="AO69" s="40">
        <v>0.42</v>
      </c>
      <c r="AP69" s="40">
        <v>0.5</v>
      </c>
      <c r="AQ69" s="40">
        <v>0.32</v>
      </c>
      <c r="AR69" s="40">
        <v>0.49</v>
      </c>
      <c r="AS69" s="40">
        <v>0.37</v>
      </c>
      <c r="AT69" s="40">
        <v>0.45</v>
      </c>
      <c r="AU69" s="40">
        <v>0.45</v>
      </c>
      <c r="AV69" s="40">
        <v>0.47</v>
      </c>
      <c r="AW69" s="40">
        <v>0.52</v>
      </c>
      <c r="AX69" s="40">
        <v>0.45</v>
      </c>
      <c r="AY69" s="40">
        <v>0.21</v>
      </c>
      <c r="AZ69" s="40">
        <v>0.16</v>
      </c>
      <c r="BA69" s="40">
        <v>0.28000000000000003</v>
      </c>
      <c r="BB69" s="40">
        <v>0.51</v>
      </c>
      <c r="BC69" s="40">
        <v>0.63</v>
      </c>
      <c r="BD69" s="40">
        <v>0.33</v>
      </c>
      <c r="BE69" s="40">
        <v>0.46</v>
      </c>
      <c r="BF69" s="40">
        <v>0.52</v>
      </c>
      <c r="BG69" s="40">
        <v>0.45</v>
      </c>
      <c r="BH69" s="40">
        <v>0.34</v>
      </c>
      <c r="BI69" s="40">
        <v>0.34</v>
      </c>
      <c r="BJ69" s="40">
        <v>0.27</v>
      </c>
      <c r="BK69" s="40">
        <v>0.39</v>
      </c>
      <c r="BL69" s="40">
        <v>0.34</v>
      </c>
      <c r="BM69" s="12">
        <v>55</v>
      </c>
      <c r="BN69" s="12">
        <v>9</v>
      </c>
      <c r="BO69" s="66">
        <v>0.05</v>
      </c>
      <c r="BP69" s="66">
        <v>0.48</v>
      </c>
      <c r="BQ69" s="66">
        <v>0.45</v>
      </c>
      <c r="BR69" s="66">
        <v>0.02</v>
      </c>
      <c r="BS69" s="66">
        <v>0.37</v>
      </c>
      <c r="BT69" s="66">
        <v>0.43</v>
      </c>
      <c r="BU69" s="66">
        <v>0.56000000000000005</v>
      </c>
      <c r="BV69" s="66">
        <v>0.27</v>
      </c>
      <c r="BW69" s="66">
        <v>0.57999999999999996</v>
      </c>
      <c r="BX69" s="66">
        <v>0.24</v>
      </c>
      <c r="BY69" s="66">
        <v>0.35</v>
      </c>
      <c r="BZ69" s="66">
        <v>0.46</v>
      </c>
      <c r="CA69" s="66">
        <v>0.3</v>
      </c>
      <c r="CB69" s="66">
        <v>0.26</v>
      </c>
      <c r="CC69" s="66">
        <v>0.1</v>
      </c>
      <c r="CD69" s="66">
        <v>0.31</v>
      </c>
      <c r="CE69" s="66">
        <v>0.31</v>
      </c>
      <c r="CF69" s="66">
        <v>0.56999999999999995</v>
      </c>
      <c r="CG69" s="66">
        <v>0.44</v>
      </c>
      <c r="CH69" s="66">
        <v>0.33</v>
      </c>
      <c r="CI69" s="66">
        <v>0.55000000000000004</v>
      </c>
      <c r="CJ69" s="66">
        <v>0.32</v>
      </c>
      <c r="CK69" s="66">
        <v>0.67</v>
      </c>
      <c r="CL69" s="66">
        <v>0.21</v>
      </c>
      <c r="CM69" s="66">
        <v>0.39</v>
      </c>
      <c r="CN69" s="66">
        <v>0.33</v>
      </c>
      <c r="CO69" s="66">
        <v>0.43</v>
      </c>
      <c r="CP69" s="66">
        <v>0.32</v>
      </c>
      <c r="CQ69" s="66">
        <v>0.45</v>
      </c>
      <c r="CR69" s="66">
        <v>0.46</v>
      </c>
      <c r="CS69" s="12">
        <v>54</v>
      </c>
      <c r="CT69" s="12">
        <v>7</v>
      </c>
      <c r="CU69" s="63">
        <v>0.04</v>
      </c>
      <c r="CV69" s="63">
        <v>0.53</v>
      </c>
      <c r="CW69" s="63">
        <v>0.43</v>
      </c>
      <c r="CX69" s="63">
        <v>0</v>
      </c>
      <c r="CY69" s="63">
        <v>0.49</v>
      </c>
      <c r="CZ69" s="63">
        <v>0.28999999999999998</v>
      </c>
      <c r="DA69" s="63">
        <v>0.52</v>
      </c>
      <c r="DB69" s="63">
        <v>0.33</v>
      </c>
      <c r="DC69" s="63">
        <v>0.42</v>
      </c>
      <c r="DD69" s="63">
        <v>0.63</v>
      </c>
      <c r="DE69" s="63">
        <v>0.44</v>
      </c>
      <c r="DF69" s="63">
        <v>0.43</v>
      </c>
      <c r="DG69" s="63">
        <v>0.35</v>
      </c>
      <c r="DH69" s="63">
        <v>0.28999999999999998</v>
      </c>
      <c r="DI69" s="63">
        <v>0.43</v>
      </c>
      <c r="DJ69" s="63">
        <v>0.33</v>
      </c>
      <c r="DK69" s="63">
        <v>0.32</v>
      </c>
      <c r="DL69" s="63">
        <v>0.32</v>
      </c>
      <c r="DM69" s="63">
        <v>0.39</v>
      </c>
      <c r="DN69" s="63">
        <v>0.47</v>
      </c>
      <c r="DO69" s="63">
        <v>0.4</v>
      </c>
      <c r="DP69" s="63">
        <v>0.39</v>
      </c>
      <c r="DQ69" s="63">
        <v>0.48</v>
      </c>
      <c r="DR69" s="63">
        <v>0.12</v>
      </c>
      <c r="DS69" s="63">
        <v>0.3</v>
      </c>
      <c r="DT69" s="63">
        <v>0.46</v>
      </c>
      <c r="DU69" s="63">
        <v>0.47</v>
      </c>
      <c r="DV69" s="63">
        <v>0.52</v>
      </c>
      <c r="DW69" s="63">
        <v>0.36</v>
      </c>
      <c r="DX69" s="35">
        <v>54</v>
      </c>
      <c r="DY69" s="35">
        <v>9</v>
      </c>
      <c r="DZ69" s="40">
        <v>0.04</v>
      </c>
      <c r="EA69" s="40">
        <v>0.53</v>
      </c>
      <c r="EB69" s="40">
        <v>0.41</v>
      </c>
      <c r="EC69" s="40">
        <v>0.02</v>
      </c>
      <c r="ED69" s="40">
        <v>0.39</v>
      </c>
      <c r="EE69" s="40">
        <v>0.39</v>
      </c>
      <c r="EF69" s="40">
        <v>0.27</v>
      </c>
      <c r="EG69" s="40">
        <v>0.21</v>
      </c>
      <c r="EH69" s="40">
        <v>0.34</v>
      </c>
      <c r="EI69" s="40">
        <v>0.48</v>
      </c>
      <c r="EJ69" s="40">
        <v>0.55000000000000004</v>
      </c>
      <c r="EK69" s="40">
        <v>0.21</v>
      </c>
      <c r="EL69" s="40">
        <v>0.35</v>
      </c>
      <c r="EM69" s="40">
        <v>0.62</v>
      </c>
      <c r="EN69" s="40">
        <v>0.38</v>
      </c>
      <c r="EO69" s="40">
        <v>0.52</v>
      </c>
      <c r="EP69" s="40">
        <v>0.28999999999999998</v>
      </c>
      <c r="EQ69" s="40">
        <v>0.26</v>
      </c>
      <c r="ER69" s="40">
        <v>0.54</v>
      </c>
      <c r="ES69" s="40">
        <v>0.34</v>
      </c>
      <c r="ET69" s="40">
        <v>0.19</v>
      </c>
      <c r="EU69" s="40">
        <v>0.63</v>
      </c>
      <c r="EV69" s="40">
        <v>0.46</v>
      </c>
      <c r="EW69" s="40">
        <v>0.28000000000000003</v>
      </c>
      <c r="EX69" s="40">
        <v>0.74</v>
      </c>
      <c r="EY69" s="40">
        <v>0.46</v>
      </c>
      <c r="EZ69" s="40">
        <v>0.1</v>
      </c>
      <c r="FA69" s="40">
        <v>0.5</v>
      </c>
      <c r="FB69" s="247">
        <v>55</v>
      </c>
      <c r="FC69" s="247" t="s">
        <v>874</v>
      </c>
      <c r="FD69" s="247">
        <v>8</v>
      </c>
      <c r="FE69" s="247" t="s">
        <v>874</v>
      </c>
      <c r="FF69" s="264">
        <v>0</v>
      </c>
      <c r="FG69" s="264">
        <v>0.56999999999999995</v>
      </c>
      <c r="FH69" s="264">
        <v>0.4</v>
      </c>
      <c r="FI69" s="264">
        <v>0.03</v>
      </c>
      <c r="FJ69" s="264">
        <v>0.34</v>
      </c>
      <c r="FK69" s="264">
        <v>0.6</v>
      </c>
      <c r="FL69" s="264">
        <v>0.41</v>
      </c>
      <c r="FM69" s="264">
        <v>0.26</v>
      </c>
      <c r="FN69" s="264">
        <v>0.17</v>
      </c>
      <c r="FO69" s="264">
        <v>0.11</v>
      </c>
      <c r="FP69" s="264">
        <v>0.31</v>
      </c>
      <c r="FQ69" s="264">
        <v>0.36</v>
      </c>
      <c r="FR69" s="264">
        <v>0.56999999999999995</v>
      </c>
      <c r="FS69" s="264">
        <v>0.53</v>
      </c>
      <c r="FT69" s="264">
        <v>0.28999999999999998</v>
      </c>
      <c r="FU69" s="264">
        <v>0.23</v>
      </c>
      <c r="FV69" s="264">
        <v>0.38</v>
      </c>
      <c r="FW69" s="264">
        <v>0.51</v>
      </c>
      <c r="FX69" s="264">
        <v>0.33</v>
      </c>
      <c r="FY69" s="264">
        <v>0.27</v>
      </c>
      <c r="FZ69" s="264">
        <v>0.35</v>
      </c>
      <c r="GA69" s="264">
        <v>0.53</v>
      </c>
      <c r="GB69" s="264">
        <v>0.37</v>
      </c>
      <c r="GC69" s="264">
        <v>0.36</v>
      </c>
      <c r="GD69" s="264">
        <v>0.56999999999999995</v>
      </c>
      <c r="GE69" s="264">
        <v>0.48</v>
      </c>
      <c r="GF69" s="264">
        <v>0.3</v>
      </c>
      <c r="GG69" s="264">
        <v>0.37</v>
      </c>
      <c r="GH69" s="264">
        <v>0.45</v>
      </c>
      <c r="GI69" s="264">
        <v>0.26</v>
      </c>
      <c r="GJ69" s="311">
        <v>57</v>
      </c>
      <c r="GK69" s="311" t="s">
        <v>874</v>
      </c>
      <c r="GL69" s="311">
        <v>7</v>
      </c>
      <c r="GM69" s="311" t="s">
        <v>874</v>
      </c>
      <c r="GN69" s="329">
        <v>0.03</v>
      </c>
      <c r="GO69" s="329">
        <v>0.34</v>
      </c>
      <c r="GP69" s="329">
        <v>0.6</v>
      </c>
      <c r="GQ69" s="329">
        <v>0.03</v>
      </c>
      <c r="GR69" s="329">
        <v>0.44</v>
      </c>
      <c r="GS69" s="329">
        <v>0.39</v>
      </c>
      <c r="GT69" s="329">
        <v>0.5</v>
      </c>
      <c r="GU69" s="329">
        <v>0.05</v>
      </c>
      <c r="GV69" s="329">
        <v>0.45</v>
      </c>
      <c r="GW69" s="329">
        <v>0.31</v>
      </c>
      <c r="GX69" s="329">
        <v>0.38</v>
      </c>
      <c r="GY69" s="311" t="s">
        <v>283</v>
      </c>
      <c r="GZ69" s="329">
        <v>0.08</v>
      </c>
      <c r="HA69" s="329">
        <v>0.42</v>
      </c>
      <c r="HB69" s="329">
        <v>0.45</v>
      </c>
      <c r="HC69" s="329">
        <v>0.28000000000000003</v>
      </c>
      <c r="HD69" s="329">
        <v>0.4</v>
      </c>
      <c r="HE69" s="329">
        <v>0.34</v>
      </c>
      <c r="HF69" s="329">
        <v>0.36</v>
      </c>
      <c r="HG69" s="329">
        <v>0.52</v>
      </c>
      <c r="HH69" s="329">
        <v>0.26</v>
      </c>
      <c r="HI69" s="329">
        <v>0.46</v>
      </c>
      <c r="HJ69" s="329">
        <v>0.5</v>
      </c>
      <c r="HK69" s="329">
        <v>0.47</v>
      </c>
      <c r="HL69" s="329">
        <v>0.37</v>
      </c>
      <c r="HM69" s="329">
        <v>0.34</v>
      </c>
      <c r="HN69" s="329">
        <v>0.37</v>
      </c>
      <c r="HO69" s="329">
        <v>0.4</v>
      </c>
      <c r="HP69" s="311" t="s">
        <v>283</v>
      </c>
      <c r="HQ69" s="329">
        <v>0.31</v>
      </c>
      <c r="HR69" s="426">
        <v>58</v>
      </c>
      <c r="HS69" s="426" t="s">
        <v>874</v>
      </c>
      <c r="HT69" s="426">
        <v>8</v>
      </c>
      <c r="HU69" s="426" t="s">
        <v>874</v>
      </c>
      <c r="HV69" s="430">
        <v>0.02</v>
      </c>
      <c r="HW69" s="430">
        <v>0.28000000000000003</v>
      </c>
      <c r="HX69" s="430">
        <v>0.69</v>
      </c>
      <c r="HY69" s="430">
        <v>0.02</v>
      </c>
      <c r="HZ69" s="430">
        <v>0.25</v>
      </c>
      <c r="IA69" s="430">
        <v>0.39</v>
      </c>
      <c r="IB69" s="430">
        <v>0.27</v>
      </c>
      <c r="IC69" s="430">
        <v>0.38</v>
      </c>
      <c r="ID69" s="430">
        <v>0.53</v>
      </c>
      <c r="IE69" s="430">
        <v>0.2</v>
      </c>
      <c r="IF69" s="430">
        <v>0.34</v>
      </c>
      <c r="IG69" s="430">
        <v>0.41</v>
      </c>
      <c r="IH69" s="430">
        <v>0.45</v>
      </c>
      <c r="II69" s="430">
        <v>0.16</v>
      </c>
      <c r="IJ69" s="430">
        <v>0.19</v>
      </c>
      <c r="IK69" s="430">
        <v>0.44</v>
      </c>
      <c r="IL69" s="430">
        <v>0.2</v>
      </c>
      <c r="IM69" s="430">
        <v>0.44</v>
      </c>
      <c r="IN69" s="430">
        <v>0.31</v>
      </c>
      <c r="IO69" s="430">
        <v>0.43</v>
      </c>
      <c r="IP69" s="430">
        <v>0.28999999999999998</v>
      </c>
      <c r="IQ69" s="430">
        <v>0.54</v>
      </c>
      <c r="IR69" s="430">
        <v>0.39</v>
      </c>
      <c r="IS69" s="430">
        <v>0.36</v>
      </c>
      <c r="IT69" s="430">
        <v>0.31</v>
      </c>
      <c r="IU69" s="426" t="s">
        <v>283</v>
      </c>
      <c r="IV69" s="430">
        <v>0.49</v>
      </c>
      <c r="IW69" s="430">
        <v>0.28999999999999998</v>
      </c>
      <c r="IX69" s="430">
        <v>0.26</v>
      </c>
      <c r="IY69" s="430">
        <v>0.39</v>
      </c>
      <c r="IZ69" s="466">
        <v>58</v>
      </c>
      <c r="JA69" s="466" t="s">
        <v>874</v>
      </c>
      <c r="JB69" s="466">
        <v>8</v>
      </c>
      <c r="JC69" s="466" t="s">
        <v>874</v>
      </c>
      <c r="JD69" s="480">
        <v>0.04</v>
      </c>
      <c r="JE69" s="480">
        <v>0.25</v>
      </c>
      <c r="JF69" s="480">
        <v>0.67</v>
      </c>
      <c r="JG69" s="480">
        <v>0.04</v>
      </c>
      <c r="JH69" s="480">
        <v>0.34</v>
      </c>
      <c r="JI69" s="480">
        <v>0.3</v>
      </c>
      <c r="JJ69" s="480">
        <v>0.31</v>
      </c>
      <c r="JK69" s="480">
        <v>0.44</v>
      </c>
      <c r="JL69" s="480">
        <v>0.34</v>
      </c>
      <c r="JM69" s="480">
        <v>0.36</v>
      </c>
      <c r="JN69" s="480">
        <v>0.27</v>
      </c>
      <c r="JO69" s="480">
        <v>0.32</v>
      </c>
      <c r="JP69" s="480">
        <v>0.43</v>
      </c>
      <c r="JQ69" s="480">
        <v>0.16</v>
      </c>
      <c r="JR69" s="480">
        <v>0.44</v>
      </c>
      <c r="JS69" s="480">
        <v>0.41</v>
      </c>
      <c r="JT69" s="480">
        <v>0.24</v>
      </c>
      <c r="JU69" s="480">
        <v>0.46</v>
      </c>
      <c r="JV69" s="480">
        <v>0.4</v>
      </c>
      <c r="JW69" s="480">
        <v>0.33</v>
      </c>
      <c r="JX69" s="480">
        <v>0.28000000000000003</v>
      </c>
      <c r="JY69" s="480">
        <v>0.31</v>
      </c>
      <c r="JZ69" s="480">
        <v>0.4</v>
      </c>
      <c r="KA69" s="480">
        <v>0.5</v>
      </c>
      <c r="KB69" s="480">
        <v>0.27</v>
      </c>
      <c r="KC69" s="480">
        <v>0.56999999999999995</v>
      </c>
      <c r="KD69" s="480">
        <v>0.24</v>
      </c>
      <c r="KE69" s="480">
        <v>0.41</v>
      </c>
      <c r="KF69" s="480">
        <v>0.35</v>
      </c>
      <c r="KG69" s="480">
        <v>0.39</v>
      </c>
    </row>
    <row r="70" spans="1:293" ht="24.95" customHeight="1" x14ac:dyDescent="0.2">
      <c r="A70" s="126" t="s">
        <v>178</v>
      </c>
      <c r="B70" s="1" t="s">
        <v>221</v>
      </c>
      <c r="C70" s="2">
        <v>5</v>
      </c>
      <c r="D70" s="12">
        <v>57</v>
      </c>
      <c r="E70" s="12">
        <v>7</v>
      </c>
      <c r="F70" s="66">
        <v>0.02</v>
      </c>
      <c r="G70" s="66">
        <v>0.41</v>
      </c>
      <c r="H70" s="66">
        <v>0.55000000000000004</v>
      </c>
      <c r="I70" s="66">
        <v>0.02</v>
      </c>
      <c r="J70" s="66">
        <v>0.24</v>
      </c>
      <c r="K70" s="66">
        <v>0.26</v>
      </c>
      <c r="L70" s="66">
        <v>0.7</v>
      </c>
      <c r="M70" s="66">
        <v>0.18</v>
      </c>
      <c r="N70" s="66">
        <v>0.24</v>
      </c>
      <c r="O70" s="66">
        <v>0.63</v>
      </c>
      <c r="P70" s="66">
        <v>0.31</v>
      </c>
      <c r="Q70" s="66">
        <v>0.34</v>
      </c>
      <c r="R70" s="66">
        <v>0.41</v>
      </c>
      <c r="S70" s="66">
        <v>0.47</v>
      </c>
      <c r="T70" s="66">
        <v>0.53</v>
      </c>
      <c r="U70" s="66">
        <v>0.52</v>
      </c>
      <c r="V70" s="66">
        <v>7.0000000000000007E-2</v>
      </c>
      <c r="W70" s="66">
        <v>0.14000000000000001</v>
      </c>
      <c r="X70" s="66">
        <v>0.4</v>
      </c>
      <c r="Y70" s="66">
        <v>0.55000000000000004</v>
      </c>
      <c r="Z70" s="12" t="s">
        <v>283</v>
      </c>
      <c r="AA70" s="66">
        <v>0.06</v>
      </c>
      <c r="AB70" s="66">
        <v>0.38</v>
      </c>
      <c r="AC70" s="66">
        <v>0.18</v>
      </c>
      <c r="AD70" s="66">
        <v>0.4</v>
      </c>
      <c r="AE70" s="66">
        <v>0.36</v>
      </c>
      <c r="AF70" s="66">
        <v>0.47</v>
      </c>
      <c r="AG70" s="66">
        <v>0.51</v>
      </c>
      <c r="AH70" s="12">
        <v>55</v>
      </c>
      <c r="AI70" s="12">
        <v>8</v>
      </c>
      <c r="AJ70" s="40">
        <v>0.03</v>
      </c>
      <c r="AK70" s="40">
        <v>0.51</v>
      </c>
      <c r="AL70" s="40">
        <v>0.43</v>
      </c>
      <c r="AM70" s="40">
        <v>0.03</v>
      </c>
      <c r="AN70" s="40">
        <v>0.28000000000000003</v>
      </c>
      <c r="AO70" s="40">
        <v>0.43</v>
      </c>
      <c r="AP70" s="40">
        <v>0.53</v>
      </c>
      <c r="AQ70" s="40">
        <v>0.33</v>
      </c>
      <c r="AR70" s="40">
        <v>0.5</v>
      </c>
      <c r="AS70" s="40">
        <v>0.48</v>
      </c>
      <c r="AT70" s="40">
        <v>0.43</v>
      </c>
      <c r="AU70" s="40">
        <v>0.45</v>
      </c>
      <c r="AV70" s="40">
        <v>0.55000000000000004</v>
      </c>
      <c r="AW70" s="40">
        <v>0.31</v>
      </c>
      <c r="AX70" s="40">
        <v>0.47</v>
      </c>
      <c r="AY70" s="40">
        <v>0.28999999999999998</v>
      </c>
      <c r="AZ70" s="40">
        <v>0.22</v>
      </c>
      <c r="BA70" s="40">
        <v>0.4</v>
      </c>
      <c r="BB70" s="40">
        <v>0.49</v>
      </c>
      <c r="BC70" s="40">
        <v>0.56000000000000005</v>
      </c>
      <c r="BD70" s="40">
        <v>0.37</v>
      </c>
      <c r="BE70" s="40">
        <v>0.52</v>
      </c>
      <c r="BF70" s="40">
        <v>0.47</v>
      </c>
      <c r="BG70" s="40">
        <v>0.43</v>
      </c>
      <c r="BH70" s="40">
        <v>0.42</v>
      </c>
      <c r="BI70" s="40">
        <v>0.34</v>
      </c>
      <c r="BJ70" s="40">
        <v>0.33</v>
      </c>
      <c r="BK70" s="40">
        <v>0.37</v>
      </c>
      <c r="BL70" s="40">
        <v>0.38</v>
      </c>
      <c r="BM70" s="12">
        <v>53</v>
      </c>
      <c r="BN70" s="12">
        <v>8</v>
      </c>
      <c r="BO70" s="66">
        <v>0.05</v>
      </c>
      <c r="BP70" s="66">
        <v>0.56000000000000005</v>
      </c>
      <c r="BQ70" s="66">
        <v>0.38</v>
      </c>
      <c r="BR70" s="66">
        <v>0.01</v>
      </c>
      <c r="BS70" s="66">
        <v>0.3</v>
      </c>
      <c r="BT70" s="66">
        <v>0.65</v>
      </c>
      <c r="BU70" s="66">
        <v>0.64</v>
      </c>
      <c r="BV70" s="66">
        <v>0.34</v>
      </c>
      <c r="BW70" s="66">
        <v>0.56999999999999995</v>
      </c>
      <c r="BX70" s="66">
        <v>0.28999999999999998</v>
      </c>
      <c r="BY70" s="66">
        <v>0.42</v>
      </c>
      <c r="BZ70" s="66">
        <v>0.47</v>
      </c>
      <c r="CA70" s="66">
        <v>0.37</v>
      </c>
      <c r="CB70" s="66">
        <v>0.3</v>
      </c>
      <c r="CC70" s="66">
        <v>0.14000000000000001</v>
      </c>
      <c r="CD70" s="66">
        <v>0.38</v>
      </c>
      <c r="CE70" s="66">
        <v>0.32</v>
      </c>
      <c r="CF70" s="66">
        <v>0.68</v>
      </c>
      <c r="CG70" s="66">
        <v>0.53</v>
      </c>
      <c r="CH70" s="66">
        <v>0.42</v>
      </c>
      <c r="CI70" s="66">
        <v>0.57999999999999996</v>
      </c>
      <c r="CJ70" s="66">
        <v>0.3</v>
      </c>
      <c r="CK70" s="66">
        <v>0.66</v>
      </c>
      <c r="CL70" s="66">
        <v>0.28999999999999998</v>
      </c>
      <c r="CM70" s="66">
        <v>0.37</v>
      </c>
      <c r="CN70" s="66">
        <v>0.39</v>
      </c>
      <c r="CO70" s="66">
        <v>0.43</v>
      </c>
      <c r="CP70" s="66">
        <v>0.28999999999999998</v>
      </c>
      <c r="CQ70" s="66">
        <v>0.47</v>
      </c>
      <c r="CR70" s="66">
        <v>0.5</v>
      </c>
      <c r="CS70" s="12">
        <v>53</v>
      </c>
      <c r="CT70" s="12">
        <v>9</v>
      </c>
      <c r="CU70" s="63">
        <v>0.08</v>
      </c>
      <c r="CV70" s="63">
        <v>0.56999999999999995</v>
      </c>
      <c r="CW70" s="63">
        <v>0.31</v>
      </c>
      <c r="CX70" s="63">
        <v>0.04</v>
      </c>
      <c r="CY70" s="63">
        <v>0.46</v>
      </c>
      <c r="CZ70" s="63">
        <v>0.27</v>
      </c>
      <c r="DA70" s="63">
        <v>0.52</v>
      </c>
      <c r="DB70" s="63">
        <v>0.25</v>
      </c>
      <c r="DC70" s="63">
        <v>0.48</v>
      </c>
      <c r="DD70" s="63">
        <v>0.57999999999999996</v>
      </c>
      <c r="DE70" s="63">
        <v>0.47</v>
      </c>
      <c r="DF70" s="63">
        <v>0.51</v>
      </c>
      <c r="DG70" s="63">
        <v>0.38</v>
      </c>
      <c r="DH70" s="63">
        <v>0.32</v>
      </c>
      <c r="DI70" s="63">
        <v>0.51</v>
      </c>
      <c r="DJ70" s="63">
        <v>0.36</v>
      </c>
      <c r="DK70" s="63">
        <v>0.3</v>
      </c>
      <c r="DL70" s="63">
        <v>0.3</v>
      </c>
      <c r="DM70" s="63">
        <v>0.47</v>
      </c>
      <c r="DN70" s="63">
        <v>0.48</v>
      </c>
      <c r="DO70" s="63">
        <v>0.39</v>
      </c>
      <c r="DP70" s="63">
        <v>0.4</v>
      </c>
      <c r="DQ70" s="63">
        <v>0.54</v>
      </c>
      <c r="DR70" s="63">
        <v>0.21</v>
      </c>
      <c r="DS70" s="63">
        <v>0.33</v>
      </c>
      <c r="DT70" s="63">
        <v>0.52</v>
      </c>
      <c r="DU70" s="63">
        <v>0.35</v>
      </c>
      <c r="DV70" s="63">
        <v>0.54</v>
      </c>
      <c r="DW70" s="63">
        <v>0.26</v>
      </c>
      <c r="DX70" s="35">
        <v>50</v>
      </c>
      <c r="DY70" s="35">
        <v>9</v>
      </c>
      <c r="DZ70" s="40">
        <v>0.11</v>
      </c>
      <c r="EA70" s="40">
        <v>0.6</v>
      </c>
      <c r="EB70" s="40">
        <v>0.27</v>
      </c>
      <c r="EC70" s="40">
        <v>0.02</v>
      </c>
      <c r="ED70" s="40">
        <v>0.5</v>
      </c>
      <c r="EE70" s="40">
        <v>0.49</v>
      </c>
      <c r="EF70" s="40">
        <v>0.46</v>
      </c>
      <c r="EG70" s="40">
        <v>0.3</v>
      </c>
      <c r="EH70" s="40">
        <v>0.38</v>
      </c>
      <c r="EI70" s="40">
        <v>0.47</v>
      </c>
      <c r="EJ70" s="40">
        <v>0.59</v>
      </c>
      <c r="EK70" s="40">
        <v>0.27</v>
      </c>
      <c r="EL70" s="40">
        <v>0.41</v>
      </c>
      <c r="EM70" s="40">
        <v>0.68</v>
      </c>
      <c r="EN70" s="40">
        <v>0.38</v>
      </c>
      <c r="EO70" s="40">
        <v>0.49</v>
      </c>
      <c r="EP70" s="40">
        <v>0.4</v>
      </c>
      <c r="EQ70" s="40">
        <v>0.28000000000000003</v>
      </c>
      <c r="ER70" s="40">
        <v>0.57999999999999996</v>
      </c>
      <c r="ES70" s="40">
        <v>0.56000000000000005</v>
      </c>
      <c r="ET70" s="40">
        <v>0.33</v>
      </c>
      <c r="EU70" s="40">
        <v>0.59</v>
      </c>
      <c r="EV70" s="40">
        <v>0.35</v>
      </c>
      <c r="EW70" s="40">
        <v>0.3</v>
      </c>
      <c r="EX70" s="40">
        <v>0.59</v>
      </c>
      <c r="EY70" s="40">
        <v>0.59</v>
      </c>
      <c r="EZ70" s="40">
        <v>0.15</v>
      </c>
      <c r="FA70" s="40">
        <v>0.64</v>
      </c>
      <c r="FB70" s="247">
        <v>51</v>
      </c>
      <c r="FC70" s="247" t="s">
        <v>874</v>
      </c>
      <c r="FD70" s="247">
        <v>9</v>
      </c>
      <c r="FE70" s="247" t="s">
        <v>874</v>
      </c>
      <c r="FF70" s="264">
        <v>0.12</v>
      </c>
      <c r="FG70" s="264">
        <v>0.54</v>
      </c>
      <c r="FH70" s="264">
        <v>0.34</v>
      </c>
      <c r="FI70" s="264">
        <v>0</v>
      </c>
      <c r="FJ70" s="264">
        <v>0.43</v>
      </c>
      <c r="FK70" s="264">
        <v>0.61</v>
      </c>
      <c r="FL70" s="264">
        <v>0.46</v>
      </c>
      <c r="FM70" s="264">
        <v>0.43</v>
      </c>
      <c r="FN70" s="264">
        <v>0.25</v>
      </c>
      <c r="FO70" s="264">
        <v>0.33</v>
      </c>
      <c r="FP70" s="264">
        <v>0.37</v>
      </c>
      <c r="FQ70" s="264">
        <v>0.41</v>
      </c>
      <c r="FR70" s="264">
        <v>0.6</v>
      </c>
      <c r="FS70" s="264">
        <v>0.55000000000000004</v>
      </c>
      <c r="FT70" s="264">
        <v>0.46</v>
      </c>
      <c r="FU70" s="264">
        <v>0.41</v>
      </c>
      <c r="FV70" s="264">
        <v>0.51</v>
      </c>
      <c r="FW70" s="264">
        <v>0.53</v>
      </c>
      <c r="FX70" s="264">
        <v>0.44</v>
      </c>
      <c r="FY70" s="264">
        <v>0.34</v>
      </c>
      <c r="FZ70" s="264">
        <v>0.41</v>
      </c>
      <c r="GA70" s="264">
        <v>0.46</v>
      </c>
      <c r="GB70" s="264">
        <v>0.48</v>
      </c>
      <c r="GC70" s="264">
        <v>0.39</v>
      </c>
      <c r="GD70" s="264">
        <v>0.54</v>
      </c>
      <c r="GE70" s="264">
        <v>0.49</v>
      </c>
      <c r="GF70" s="264">
        <v>0.47</v>
      </c>
      <c r="GG70" s="264">
        <v>0.4</v>
      </c>
      <c r="GH70" s="264">
        <v>0.5</v>
      </c>
      <c r="GI70" s="264">
        <v>0.25</v>
      </c>
      <c r="GJ70" s="311">
        <v>52</v>
      </c>
      <c r="GK70" s="311" t="s">
        <v>874</v>
      </c>
      <c r="GL70" s="311">
        <v>9</v>
      </c>
      <c r="GM70" s="311" t="s">
        <v>874</v>
      </c>
      <c r="GN70" s="329">
        <v>0.09</v>
      </c>
      <c r="GO70" s="329">
        <v>0.6</v>
      </c>
      <c r="GP70" s="329">
        <v>0.31</v>
      </c>
      <c r="GQ70" s="329">
        <v>0.01</v>
      </c>
      <c r="GR70" s="329">
        <v>0.48</v>
      </c>
      <c r="GS70" s="329">
        <v>0.48</v>
      </c>
      <c r="GT70" s="329">
        <v>0.59</v>
      </c>
      <c r="GU70" s="329">
        <v>0.16</v>
      </c>
      <c r="GV70" s="329">
        <v>0.53</v>
      </c>
      <c r="GW70" s="329">
        <v>0.53</v>
      </c>
      <c r="GX70" s="329">
        <v>0.46</v>
      </c>
      <c r="GY70" s="311" t="s">
        <v>283</v>
      </c>
      <c r="GZ70" s="329">
        <v>0.27</v>
      </c>
      <c r="HA70" s="329">
        <v>0.6</v>
      </c>
      <c r="HB70" s="329">
        <v>0.43</v>
      </c>
      <c r="HC70" s="329">
        <v>0.46</v>
      </c>
      <c r="HD70" s="329">
        <v>0.56000000000000005</v>
      </c>
      <c r="HE70" s="329">
        <v>0.48</v>
      </c>
      <c r="HF70" s="329">
        <v>0.46</v>
      </c>
      <c r="HG70" s="329">
        <v>0.67</v>
      </c>
      <c r="HH70" s="329">
        <v>0.37</v>
      </c>
      <c r="HI70" s="329">
        <v>0.47</v>
      </c>
      <c r="HJ70" s="329">
        <v>0.56999999999999995</v>
      </c>
      <c r="HK70" s="329">
        <v>0.51</v>
      </c>
      <c r="HL70" s="329">
        <v>0.39</v>
      </c>
      <c r="HM70" s="329">
        <v>0.44</v>
      </c>
      <c r="HN70" s="329">
        <v>0.39</v>
      </c>
      <c r="HO70" s="329">
        <v>0.35</v>
      </c>
      <c r="HP70" s="311" t="s">
        <v>283</v>
      </c>
      <c r="HQ70" s="329">
        <v>0.41</v>
      </c>
      <c r="HR70" s="426">
        <v>53</v>
      </c>
      <c r="HS70" s="426" t="s">
        <v>874</v>
      </c>
      <c r="HT70" s="426">
        <v>10</v>
      </c>
      <c r="HU70" s="426" t="s">
        <v>874</v>
      </c>
      <c r="HV70" s="430">
        <v>0.13</v>
      </c>
      <c r="HW70" s="430">
        <v>0.43</v>
      </c>
      <c r="HX70" s="430">
        <v>0.41</v>
      </c>
      <c r="HY70" s="430">
        <v>0.03</v>
      </c>
      <c r="HZ70" s="430">
        <v>0.32</v>
      </c>
      <c r="IA70" s="430">
        <v>0.49</v>
      </c>
      <c r="IB70" s="430">
        <v>0.25</v>
      </c>
      <c r="IC70" s="430">
        <v>0.46</v>
      </c>
      <c r="ID70" s="430">
        <v>0.64</v>
      </c>
      <c r="IE70" s="430">
        <v>0.31</v>
      </c>
      <c r="IF70" s="430">
        <v>0.3</v>
      </c>
      <c r="IG70" s="430">
        <v>0.48</v>
      </c>
      <c r="IH70" s="430">
        <v>0.4</v>
      </c>
      <c r="II70" s="430">
        <v>0.38</v>
      </c>
      <c r="IJ70" s="430">
        <v>0.26</v>
      </c>
      <c r="IK70" s="430">
        <v>0.55000000000000004</v>
      </c>
      <c r="IL70" s="430">
        <v>0.25</v>
      </c>
      <c r="IM70" s="430">
        <v>0.57999999999999996</v>
      </c>
      <c r="IN70" s="430">
        <v>0.43</v>
      </c>
      <c r="IO70" s="430">
        <v>0.38</v>
      </c>
      <c r="IP70" s="430">
        <v>0.42</v>
      </c>
      <c r="IQ70" s="430">
        <v>0.62</v>
      </c>
      <c r="IR70" s="430">
        <v>0.4</v>
      </c>
      <c r="IS70" s="430">
        <v>0.56999999999999995</v>
      </c>
      <c r="IT70" s="430">
        <v>0.44</v>
      </c>
      <c r="IU70" s="426" t="s">
        <v>283</v>
      </c>
      <c r="IV70" s="430">
        <v>0.64</v>
      </c>
      <c r="IW70" s="430">
        <v>0.36</v>
      </c>
      <c r="IX70" s="430">
        <v>0.46</v>
      </c>
      <c r="IY70" s="430">
        <v>0.43</v>
      </c>
      <c r="IZ70" s="466">
        <v>51</v>
      </c>
      <c r="JA70" s="466" t="s">
        <v>874</v>
      </c>
      <c r="JB70" s="466">
        <v>9</v>
      </c>
      <c r="JC70" s="466" t="s">
        <v>874</v>
      </c>
      <c r="JD70" s="480">
        <v>0.15</v>
      </c>
      <c r="JE70" s="480">
        <v>0.51</v>
      </c>
      <c r="JF70" s="480">
        <v>0.33</v>
      </c>
      <c r="JG70" s="480">
        <v>0.01</v>
      </c>
      <c r="JH70" s="480">
        <v>0.43</v>
      </c>
      <c r="JI70" s="480">
        <v>0.46</v>
      </c>
      <c r="JJ70" s="480">
        <v>0.43</v>
      </c>
      <c r="JK70" s="480">
        <v>0.5</v>
      </c>
      <c r="JL70" s="480">
        <v>0.45</v>
      </c>
      <c r="JM70" s="480">
        <v>0.47</v>
      </c>
      <c r="JN70" s="480">
        <v>0.44</v>
      </c>
      <c r="JO70" s="480">
        <v>0.48</v>
      </c>
      <c r="JP70" s="480">
        <v>0.53</v>
      </c>
      <c r="JQ70" s="480">
        <v>0.24</v>
      </c>
      <c r="JR70" s="480">
        <v>0.59</v>
      </c>
      <c r="JS70" s="480">
        <v>0.45</v>
      </c>
      <c r="JT70" s="480">
        <v>0.35</v>
      </c>
      <c r="JU70" s="480">
        <v>0.46</v>
      </c>
      <c r="JV70" s="480">
        <v>0.52</v>
      </c>
      <c r="JW70" s="480">
        <v>0.44</v>
      </c>
      <c r="JX70" s="480">
        <v>0.51</v>
      </c>
      <c r="JY70" s="480">
        <v>0.5</v>
      </c>
      <c r="JZ70" s="480">
        <v>0.47</v>
      </c>
      <c r="KA70" s="480">
        <v>0.54</v>
      </c>
      <c r="KB70" s="480">
        <v>0.4</v>
      </c>
      <c r="KC70" s="480">
        <v>0.68</v>
      </c>
      <c r="KD70" s="480">
        <v>0.38</v>
      </c>
      <c r="KE70" s="480">
        <v>0.49</v>
      </c>
      <c r="KF70" s="480">
        <v>0.49</v>
      </c>
      <c r="KG70" s="480">
        <v>0.55000000000000004</v>
      </c>
    </row>
    <row r="71" spans="1:293" ht="24.95" customHeight="1" x14ac:dyDescent="0.2">
      <c r="A71" s="126" t="s">
        <v>75</v>
      </c>
      <c r="B71" s="1" t="s">
        <v>221</v>
      </c>
      <c r="C71" s="2">
        <v>1</v>
      </c>
      <c r="D71" s="12">
        <v>51</v>
      </c>
      <c r="E71" s="12">
        <v>7</v>
      </c>
      <c r="F71" s="66">
        <v>0.11</v>
      </c>
      <c r="G71" s="66">
        <v>0.66</v>
      </c>
      <c r="H71" s="66">
        <v>0.23</v>
      </c>
      <c r="I71" s="66">
        <v>0</v>
      </c>
      <c r="J71" s="66">
        <v>0.42</v>
      </c>
      <c r="K71" s="66">
        <v>0.45</v>
      </c>
      <c r="L71" s="66">
        <v>0.78</v>
      </c>
      <c r="M71" s="66">
        <v>0.35</v>
      </c>
      <c r="N71" s="66">
        <v>0.38</v>
      </c>
      <c r="O71" s="66">
        <v>0.7</v>
      </c>
      <c r="P71" s="66">
        <v>0.45</v>
      </c>
      <c r="Q71" s="66">
        <v>0.4</v>
      </c>
      <c r="R71" s="66">
        <v>0.56000000000000005</v>
      </c>
      <c r="S71" s="66">
        <v>0.65</v>
      </c>
      <c r="T71" s="66">
        <v>0.62</v>
      </c>
      <c r="U71" s="66">
        <v>0.68</v>
      </c>
      <c r="V71" s="66">
        <v>0.09</v>
      </c>
      <c r="W71" s="66">
        <v>0.23</v>
      </c>
      <c r="X71" s="66">
        <v>0.61</v>
      </c>
      <c r="Y71" s="66">
        <v>0.63</v>
      </c>
      <c r="Z71" s="12" t="s">
        <v>283</v>
      </c>
      <c r="AA71" s="66">
        <v>0.12</v>
      </c>
      <c r="AB71" s="66">
        <v>0.41</v>
      </c>
      <c r="AC71" s="66">
        <v>0.28000000000000003</v>
      </c>
      <c r="AD71" s="66">
        <v>0.53</v>
      </c>
      <c r="AE71" s="66">
        <v>0.43</v>
      </c>
      <c r="AF71" s="66">
        <v>0.46</v>
      </c>
      <c r="AG71" s="66">
        <v>0.65</v>
      </c>
      <c r="AH71" s="12">
        <v>52</v>
      </c>
      <c r="AI71" s="12">
        <v>7</v>
      </c>
      <c r="AJ71" s="40">
        <v>0.06</v>
      </c>
      <c r="AK71" s="40">
        <v>0.56000000000000005</v>
      </c>
      <c r="AL71" s="40">
        <v>0.39</v>
      </c>
      <c r="AM71" s="40">
        <v>0</v>
      </c>
      <c r="AN71" s="40">
        <v>0.3</v>
      </c>
      <c r="AO71" s="40">
        <v>0.44</v>
      </c>
      <c r="AP71" s="40">
        <v>0.67</v>
      </c>
      <c r="AQ71" s="40">
        <v>0.42</v>
      </c>
      <c r="AR71" s="40">
        <v>0.64</v>
      </c>
      <c r="AS71" s="40">
        <v>0.56000000000000005</v>
      </c>
      <c r="AT71" s="40">
        <v>0.43</v>
      </c>
      <c r="AU71" s="40">
        <v>0.61</v>
      </c>
      <c r="AV71" s="40">
        <v>0.62</v>
      </c>
      <c r="AW71" s="40">
        <v>0.5</v>
      </c>
      <c r="AX71" s="40">
        <v>0.66</v>
      </c>
      <c r="AY71" s="40">
        <v>0.27</v>
      </c>
      <c r="AZ71" s="40">
        <v>0.23</v>
      </c>
      <c r="BA71" s="40">
        <v>0.54</v>
      </c>
      <c r="BB71" s="40">
        <v>0.68</v>
      </c>
      <c r="BC71" s="40">
        <v>0.59</v>
      </c>
      <c r="BD71" s="40">
        <v>0.35</v>
      </c>
      <c r="BE71" s="40">
        <v>0.44</v>
      </c>
      <c r="BF71" s="40">
        <v>0.5</v>
      </c>
      <c r="BG71" s="40">
        <v>0.47</v>
      </c>
      <c r="BH71" s="40">
        <v>0.39</v>
      </c>
      <c r="BI71" s="40">
        <v>0.42</v>
      </c>
      <c r="BJ71" s="40">
        <v>0.35</v>
      </c>
      <c r="BK71" s="40">
        <v>0.46</v>
      </c>
      <c r="BL71" s="40">
        <v>0.37</v>
      </c>
      <c r="BM71" s="12">
        <v>51</v>
      </c>
      <c r="BN71" s="12">
        <v>8</v>
      </c>
      <c r="BO71" s="66">
        <v>0.04</v>
      </c>
      <c r="BP71" s="66">
        <v>0.64</v>
      </c>
      <c r="BQ71" s="66">
        <v>0.32</v>
      </c>
      <c r="BR71" s="66">
        <v>0</v>
      </c>
      <c r="BS71" s="66">
        <v>0.36</v>
      </c>
      <c r="BT71" s="66">
        <v>0.42</v>
      </c>
      <c r="BU71" s="66">
        <v>0.56999999999999995</v>
      </c>
      <c r="BV71" s="66">
        <v>0.11</v>
      </c>
      <c r="BW71" s="66">
        <v>0.63</v>
      </c>
      <c r="BX71" s="66">
        <v>0.3</v>
      </c>
      <c r="BY71" s="66">
        <v>0.49</v>
      </c>
      <c r="BZ71" s="66">
        <v>0.59</v>
      </c>
      <c r="CA71" s="66">
        <v>0.48</v>
      </c>
      <c r="CB71" s="66">
        <v>0.38</v>
      </c>
      <c r="CC71" s="66">
        <v>0.14000000000000001</v>
      </c>
      <c r="CD71" s="66">
        <v>0.48</v>
      </c>
      <c r="CE71" s="66">
        <v>0.39</v>
      </c>
      <c r="CF71" s="66">
        <v>0.79</v>
      </c>
      <c r="CG71" s="66">
        <v>0.54</v>
      </c>
      <c r="CH71" s="66">
        <v>0.49</v>
      </c>
      <c r="CI71" s="66">
        <v>0.55000000000000004</v>
      </c>
      <c r="CJ71" s="66">
        <v>0.46</v>
      </c>
      <c r="CK71" s="66">
        <v>0.7</v>
      </c>
      <c r="CL71" s="66">
        <v>0.26</v>
      </c>
      <c r="CM71" s="66">
        <v>0.43</v>
      </c>
      <c r="CN71" s="66">
        <v>0.44</v>
      </c>
      <c r="CO71" s="66">
        <v>0.42</v>
      </c>
      <c r="CP71" s="66">
        <v>0.37</v>
      </c>
      <c r="CQ71" s="66">
        <v>0.48</v>
      </c>
      <c r="CR71" s="66">
        <v>0.55000000000000004</v>
      </c>
      <c r="CS71" s="12">
        <v>49</v>
      </c>
      <c r="CT71" s="12">
        <v>7</v>
      </c>
      <c r="CU71" s="63">
        <v>0.17</v>
      </c>
      <c r="CV71" s="63">
        <v>0.64</v>
      </c>
      <c r="CW71" s="63">
        <v>0.19</v>
      </c>
      <c r="CX71" s="63">
        <v>0</v>
      </c>
      <c r="CY71" s="63">
        <v>0.5</v>
      </c>
      <c r="CZ71" s="63">
        <v>0.33</v>
      </c>
      <c r="DA71" s="63">
        <v>0.65</v>
      </c>
      <c r="DB71" s="63">
        <v>0.35</v>
      </c>
      <c r="DC71" s="63">
        <v>0.42</v>
      </c>
      <c r="DD71" s="63">
        <v>0.69</v>
      </c>
      <c r="DE71" s="63">
        <v>0.57999999999999996</v>
      </c>
      <c r="DF71" s="63">
        <v>0.61</v>
      </c>
      <c r="DG71" s="63">
        <v>0.45</v>
      </c>
      <c r="DH71" s="63">
        <v>0.35</v>
      </c>
      <c r="DI71" s="63">
        <v>0.53</v>
      </c>
      <c r="DJ71" s="63">
        <v>0.5</v>
      </c>
      <c r="DK71" s="63">
        <v>0.44</v>
      </c>
      <c r="DL71" s="63">
        <v>0.38</v>
      </c>
      <c r="DM71" s="63">
        <v>0.54</v>
      </c>
      <c r="DN71" s="63">
        <v>0.49</v>
      </c>
      <c r="DO71" s="63">
        <v>0.54</v>
      </c>
      <c r="DP71" s="63">
        <v>0.43</v>
      </c>
      <c r="DQ71" s="63">
        <v>0.61</v>
      </c>
      <c r="DR71" s="63">
        <v>0.28000000000000003</v>
      </c>
      <c r="DS71" s="63">
        <v>0.34</v>
      </c>
      <c r="DT71" s="63">
        <v>0.68</v>
      </c>
      <c r="DU71" s="63">
        <v>0.5</v>
      </c>
      <c r="DV71" s="63">
        <v>0.51</v>
      </c>
      <c r="DW71" s="63">
        <v>0.37</v>
      </c>
      <c r="DX71" s="35">
        <v>52</v>
      </c>
      <c r="DY71" s="35">
        <v>8</v>
      </c>
      <c r="DZ71" s="40">
        <v>0.11</v>
      </c>
      <c r="EA71" s="40">
        <v>0.57999999999999996</v>
      </c>
      <c r="EB71" s="40">
        <v>0.31</v>
      </c>
      <c r="EC71" s="40">
        <v>0</v>
      </c>
      <c r="ED71" s="40">
        <v>0.5</v>
      </c>
      <c r="EE71" s="40">
        <v>0.37</v>
      </c>
      <c r="EF71" s="40">
        <v>0.43</v>
      </c>
      <c r="EG71" s="40">
        <v>0.26</v>
      </c>
      <c r="EH71" s="40">
        <v>0.39</v>
      </c>
      <c r="EI71" s="40">
        <v>0.45</v>
      </c>
      <c r="EJ71" s="40">
        <v>0.61</v>
      </c>
      <c r="EK71" s="40">
        <v>0.19</v>
      </c>
      <c r="EL71" s="40">
        <v>0.44</v>
      </c>
      <c r="EM71" s="40">
        <v>0.63</v>
      </c>
      <c r="EN71" s="40">
        <v>0.45</v>
      </c>
      <c r="EO71" s="40">
        <v>0.48</v>
      </c>
      <c r="EP71" s="40">
        <v>0.39</v>
      </c>
      <c r="EQ71" s="40">
        <v>0.21</v>
      </c>
      <c r="ER71" s="40">
        <v>0.55000000000000004</v>
      </c>
      <c r="ES71" s="40">
        <v>0.45</v>
      </c>
      <c r="ET71" s="40">
        <v>0.23</v>
      </c>
      <c r="EU71" s="40">
        <v>0.52</v>
      </c>
      <c r="EV71" s="40">
        <v>0.2</v>
      </c>
      <c r="EW71" s="40">
        <v>0.28999999999999998</v>
      </c>
      <c r="EX71" s="40">
        <v>0.55000000000000004</v>
      </c>
      <c r="EY71" s="40">
        <v>0.61</v>
      </c>
      <c r="EZ71" s="40">
        <v>0.25</v>
      </c>
      <c r="FA71" s="40">
        <v>0.56999999999999995</v>
      </c>
      <c r="FB71" s="247">
        <v>51</v>
      </c>
      <c r="FC71" s="247" t="s">
        <v>874</v>
      </c>
      <c r="FD71" s="247">
        <v>8</v>
      </c>
      <c r="FE71" s="247" t="s">
        <v>874</v>
      </c>
      <c r="FF71" s="264">
        <v>0.03</v>
      </c>
      <c r="FG71" s="264">
        <v>0.72</v>
      </c>
      <c r="FH71" s="264">
        <v>0.22</v>
      </c>
      <c r="FI71" s="264">
        <v>0.03</v>
      </c>
      <c r="FJ71" s="264">
        <v>0.44</v>
      </c>
      <c r="FK71" s="264">
        <v>0.56999999999999995</v>
      </c>
      <c r="FL71" s="264">
        <v>0.49</v>
      </c>
      <c r="FM71" s="264">
        <v>0.52</v>
      </c>
      <c r="FN71" s="264">
        <v>0.3</v>
      </c>
      <c r="FO71" s="264">
        <v>0.26</v>
      </c>
      <c r="FP71" s="264">
        <v>0.3</v>
      </c>
      <c r="FQ71" s="264">
        <v>0.36</v>
      </c>
      <c r="FR71" s="264">
        <v>0.63</v>
      </c>
      <c r="FS71" s="264">
        <v>0.52</v>
      </c>
      <c r="FT71" s="264">
        <v>0.48</v>
      </c>
      <c r="FU71" s="264">
        <v>0.33</v>
      </c>
      <c r="FV71" s="264">
        <v>0.5</v>
      </c>
      <c r="FW71" s="264">
        <v>0.63</v>
      </c>
      <c r="FX71" s="264">
        <v>0.31</v>
      </c>
      <c r="FY71" s="264">
        <v>0.25</v>
      </c>
      <c r="FZ71" s="264">
        <v>0.47</v>
      </c>
      <c r="GA71" s="264">
        <v>0.55000000000000004</v>
      </c>
      <c r="GB71" s="264">
        <v>0.5</v>
      </c>
      <c r="GC71" s="264">
        <v>0.42</v>
      </c>
      <c r="GD71" s="264">
        <v>0.61</v>
      </c>
      <c r="GE71" s="264">
        <v>0.44</v>
      </c>
      <c r="GF71" s="264">
        <v>0.4</v>
      </c>
      <c r="GG71" s="264">
        <v>0.4</v>
      </c>
      <c r="GH71" s="264">
        <v>0.61</v>
      </c>
      <c r="GI71" s="264">
        <v>0.18</v>
      </c>
      <c r="GJ71" s="311">
        <v>50</v>
      </c>
      <c r="GK71" s="311" t="s">
        <v>874</v>
      </c>
      <c r="GL71" s="311">
        <v>9</v>
      </c>
      <c r="GM71" s="311" t="s">
        <v>874</v>
      </c>
      <c r="GN71" s="329">
        <v>0.18</v>
      </c>
      <c r="GO71" s="329">
        <v>0.48</v>
      </c>
      <c r="GP71" s="329">
        <v>0.33</v>
      </c>
      <c r="GQ71" s="329">
        <v>0</v>
      </c>
      <c r="GR71" s="329">
        <v>0.61</v>
      </c>
      <c r="GS71" s="329">
        <v>0.55000000000000004</v>
      </c>
      <c r="GT71" s="329">
        <v>0.56000000000000005</v>
      </c>
      <c r="GU71" s="329">
        <v>0.25</v>
      </c>
      <c r="GV71" s="329">
        <v>0.54</v>
      </c>
      <c r="GW71" s="329">
        <v>0.62</v>
      </c>
      <c r="GX71" s="329">
        <v>0.56000000000000005</v>
      </c>
      <c r="GY71" s="311" t="s">
        <v>283</v>
      </c>
      <c r="GZ71" s="329">
        <v>0.31</v>
      </c>
      <c r="HA71" s="329">
        <v>0.67</v>
      </c>
      <c r="HB71" s="329">
        <v>0.53</v>
      </c>
      <c r="HC71" s="329">
        <v>0.52</v>
      </c>
      <c r="HD71" s="329">
        <v>0.62</v>
      </c>
      <c r="HE71" s="329">
        <v>0.48</v>
      </c>
      <c r="HF71" s="329">
        <v>0.45</v>
      </c>
      <c r="HG71" s="329">
        <v>0.69</v>
      </c>
      <c r="HH71" s="329">
        <v>0.37</v>
      </c>
      <c r="HI71" s="329">
        <v>0.55000000000000004</v>
      </c>
      <c r="HJ71" s="329">
        <v>0.57999999999999996</v>
      </c>
      <c r="HK71" s="329">
        <v>0.39</v>
      </c>
      <c r="HL71" s="329">
        <v>0.23</v>
      </c>
      <c r="HM71" s="329">
        <v>0.48</v>
      </c>
      <c r="HN71" s="329">
        <v>0.56000000000000005</v>
      </c>
      <c r="HO71" s="329">
        <v>0.38</v>
      </c>
      <c r="HP71" s="311" t="s">
        <v>283</v>
      </c>
      <c r="HQ71" s="329">
        <v>0.39</v>
      </c>
      <c r="HR71" s="426">
        <v>50</v>
      </c>
      <c r="HS71" s="426" t="s">
        <v>874</v>
      </c>
      <c r="HT71" s="426">
        <v>9</v>
      </c>
      <c r="HU71" s="426" t="s">
        <v>874</v>
      </c>
      <c r="HV71" s="430">
        <v>0.17</v>
      </c>
      <c r="HW71" s="430">
        <v>0.62</v>
      </c>
      <c r="HX71" s="430">
        <v>0.17</v>
      </c>
      <c r="HY71" s="430">
        <v>0.03</v>
      </c>
      <c r="HZ71" s="430">
        <v>0.4</v>
      </c>
      <c r="IA71" s="430">
        <v>0.63</v>
      </c>
      <c r="IB71" s="430">
        <v>0.35</v>
      </c>
      <c r="IC71" s="430">
        <v>0.54</v>
      </c>
      <c r="ID71" s="430">
        <v>0.64</v>
      </c>
      <c r="IE71" s="430">
        <v>0.32</v>
      </c>
      <c r="IF71" s="430">
        <v>0.35</v>
      </c>
      <c r="IG71" s="430">
        <v>0.61</v>
      </c>
      <c r="IH71" s="430">
        <v>0.48</v>
      </c>
      <c r="II71" s="430">
        <v>0.28999999999999998</v>
      </c>
      <c r="IJ71" s="430">
        <v>0.26</v>
      </c>
      <c r="IK71" s="430">
        <v>0.65</v>
      </c>
      <c r="IL71" s="430">
        <v>0.3</v>
      </c>
      <c r="IM71" s="430">
        <v>0.65</v>
      </c>
      <c r="IN71" s="430">
        <v>0.42</v>
      </c>
      <c r="IO71" s="430">
        <v>0.61</v>
      </c>
      <c r="IP71" s="430">
        <v>0.52</v>
      </c>
      <c r="IQ71" s="430">
        <v>0.61</v>
      </c>
      <c r="IR71" s="430">
        <v>0.63</v>
      </c>
      <c r="IS71" s="430">
        <v>0.57999999999999996</v>
      </c>
      <c r="IT71" s="430">
        <v>0.45</v>
      </c>
      <c r="IU71" s="426" t="s">
        <v>283</v>
      </c>
      <c r="IV71" s="430">
        <v>0.62</v>
      </c>
      <c r="IW71" s="430">
        <v>0.52</v>
      </c>
      <c r="IX71" s="430">
        <v>0.56999999999999995</v>
      </c>
      <c r="IY71" s="430">
        <v>0.61</v>
      </c>
      <c r="IZ71" s="466">
        <v>53</v>
      </c>
      <c r="JA71" s="466" t="s">
        <v>874</v>
      </c>
      <c r="JB71" s="466">
        <v>8</v>
      </c>
      <c r="JC71" s="466" t="s">
        <v>874</v>
      </c>
      <c r="JD71" s="480">
        <v>7.0000000000000007E-2</v>
      </c>
      <c r="JE71" s="480">
        <v>0.56999999999999995</v>
      </c>
      <c r="JF71" s="480">
        <v>0.34</v>
      </c>
      <c r="JG71" s="480">
        <v>0.02</v>
      </c>
      <c r="JH71" s="480">
        <v>0.45</v>
      </c>
      <c r="JI71" s="480">
        <v>0.4</v>
      </c>
      <c r="JJ71" s="480">
        <v>0.36</v>
      </c>
      <c r="JK71" s="480">
        <v>0.39</v>
      </c>
      <c r="JL71" s="480">
        <v>0.59</v>
      </c>
      <c r="JM71" s="480">
        <v>0.42</v>
      </c>
      <c r="JN71" s="480">
        <v>0.37</v>
      </c>
      <c r="JO71" s="480">
        <v>0.39</v>
      </c>
      <c r="JP71" s="480">
        <v>0.54</v>
      </c>
      <c r="JQ71" s="480">
        <v>0.23</v>
      </c>
      <c r="JR71" s="480">
        <v>0.59</v>
      </c>
      <c r="JS71" s="480">
        <v>0.48</v>
      </c>
      <c r="JT71" s="480">
        <v>0.35</v>
      </c>
      <c r="JU71" s="480">
        <v>0.49</v>
      </c>
      <c r="JV71" s="480">
        <v>0.52</v>
      </c>
      <c r="JW71" s="480">
        <v>0.39</v>
      </c>
      <c r="JX71" s="480">
        <v>0.24</v>
      </c>
      <c r="JY71" s="480">
        <v>0.46</v>
      </c>
      <c r="JZ71" s="480">
        <v>0.39</v>
      </c>
      <c r="KA71" s="480">
        <v>0.62</v>
      </c>
      <c r="KB71" s="480">
        <v>0.42</v>
      </c>
      <c r="KC71" s="480">
        <v>0.6</v>
      </c>
      <c r="KD71" s="480">
        <v>0.4</v>
      </c>
      <c r="KE71" s="480">
        <v>0.44</v>
      </c>
      <c r="KF71" s="480">
        <v>0.41</v>
      </c>
      <c r="KG71" s="480">
        <v>0.51</v>
      </c>
    </row>
    <row r="72" spans="1:293" ht="24.95" customHeight="1" x14ac:dyDescent="0.2">
      <c r="A72" s="126" t="s">
        <v>25</v>
      </c>
      <c r="B72" s="1" t="s">
        <v>221</v>
      </c>
      <c r="C72" s="2">
        <v>3</v>
      </c>
      <c r="D72" s="12">
        <v>56</v>
      </c>
      <c r="E72" s="12">
        <v>7</v>
      </c>
      <c r="F72" s="66">
        <v>0</v>
      </c>
      <c r="G72" s="66">
        <v>0.48</v>
      </c>
      <c r="H72" s="66">
        <v>0.48</v>
      </c>
      <c r="I72" s="66">
        <v>0.04</v>
      </c>
      <c r="J72" s="66">
        <v>0.3</v>
      </c>
      <c r="K72" s="66">
        <v>0.22</v>
      </c>
      <c r="L72" s="66">
        <v>0.54</v>
      </c>
      <c r="M72" s="66">
        <v>0.19</v>
      </c>
      <c r="N72" s="66">
        <v>0.21</v>
      </c>
      <c r="O72" s="66">
        <v>0.51</v>
      </c>
      <c r="P72" s="66">
        <v>0.28999999999999998</v>
      </c>
      <c r="Q72" s="66">
        <v>0.42</v>
      </c>
      <c r="R72" s="66">
        <v>0.37</v>
      </c>
      <c r="S72" s="66">
        <v>0.47</v>
      </c>
      <c r="T72" s="66">
        <v>0.38</v>
      </c>
      <c r="U72" s="66">
        <v>0.53</v>
      </c>
      <c r="V72" s="66">
        <v>0.04</v>
      </c>
      <c r="W72" s="66">
        <v>0.05</v>
      </c>
      <c r="X72" s="66">
        <v>0.46</v>
      </c>
      <c r="Y72" s="66">
        <v>0.48</v>
      </c>
      <c r="Z72" s="66">
        <v>1</v>
      </c>
      <c r="AA72" s="66">
        <v>0.02</v>
      </c>
      <c r="AB72" s="66">
        <v>0.31</v>
      </c>
      <c r="AC72" s="66">
        <v>0.2</v>
      </c>
      <c r="AD72" s="66">
        <v>0.41</v>
      </c>
      <c r="AE72" s="66">
        <v>0.47</v>
      </c>
      <c r="AF72" s="66">
        <v>0.46</v>
      </c>
      <c r="AG72" s="66">
        <v>0.39</v>
      </c>
      <c r="AH72" s="12">
        <v>56</v>
      </c>
      <c r="AI72" s="12">
        <v>7</v>
      </c>
      <c r="AJ72" s="40">
        <v>0</v>
      </c>
      <c r="AK72" s="40">
        <v>0.42</v>
      </c>
      <c r="AL72" s="40">
        <v>0.57999999999999996</v>
      </c>
      <c r="AM72" s="40">
        <v>0</v>
      </c>
      <c r="AN72" s="40">
        <v>0.15</v>
      </c>
      <c r="AO72" s="40">
        <v>0.51</v>
      </c>
      <c r="AP72" s="40">
        <v>0.59</v>
      </c>
      <c r="AQ72" s="40">
        <v>0.25</v>
      </c>
      <c r="AR72" s="40">
        <v>0.5</v>
      </c>
      <c r="AS72" s="40">
        <v>0.4</v>
      </c>
      <c r="AT72" s="40">
        <v>0.45</v>
      </c>
      <c r="AU72" s="40">
        <v>0.5</v>
      </c>
      <c r="AV72" s="40">
        <v>0.63</v>
      </c>
      <c r="AW72" s="40">
        <v>0.38</v>
      </c>
      <c r="AX72" s="40">
        <v>0.41</v>
      </c>
      <c r="AY72" s="40">
        <v>0.2</v>
      </c>
      <c r="AZ72" s="40">
        <v>0.18</v>
      </c>
      <c r="BA72" s="40">
        <v>0.47</v>
      </c>
      <c r="BB72" s="40">
        <v>0.67</v>
      </c>
      <c r="BC72" s="40">
        <v>0.64</v>
      </c>
      <c r="BD72" s="40">
        <v>0.34</v>
      </c>
      <c r="BE72" s="40">
        <v>0.33</v>
      </c>
      <c r="BF72" s="40">
        <v>0.57999999999999996</v>
      </c>
      <c r="BG72" s="40">
        <v>0.44</v>
      </c>
      <c r="BH72" s="40">
        <v>0.34</v>
      </c>
      <c r="BI72" s="40">
        <v>0.41</v>
      </c>
      <c r="BJ72" s="40">
        <v>0.27</v>
      </c>
      <c r="BK72" s="40">
        <v>0.33</v>
      </c>
      <c r="BL72" s="40">
        <v>0.64</v>
      </c>
      <c r="BM72" s="12">
        <v>50</v>
      </c>
      <c r="BN72" s="12">
        <v>9</v>
      </c>
      <c r="BO72" s="66">
        <v>0.13</v>
      </c>
      <c r="BP72" s="66">
        <v>0.53</v>
      </c>
      <c r="BQ72" s="66">
        <v>0.3</v>
      </c>
      <c r="BR72" s="66">
        <v>0.03</v>
      </c>
      <c r="BS72" s="66">
        <v>0.36</v>
      </c>
      <c r="BT72" s="66">
        <v>0.63</v>
      </c>
      <c r="BU72" s="66">
        <v>0.66</v>
      </c>
      <c r="BV72" s="66">
        <v>0.33</v>
      </c>
      <c r="BW72" s="66">
        <v>0.8</v>
      </c>
      <c r="BX72" s="66">
        <v>0.36</v>
      </c>
      <c r="BY72" s="66">
        <v>0.38</v>
      </c>
      <c r="BZ72" s="66">
        <v>0.48</v>
      </c>
      <c r="CA72" s="66">
        <v>0.49</v>
      </c>
      <c r="CB72" s="66">
        <v>0.46</v>
      </c>
      <c r="CC72" s="66">
        <v>0.21</v>
      </c>
      <c r="CD72" s="66">
        <v>0.38</v>
      </c>
      <c r="CE72" s="66">
        <v>0.37</v>
      </c>
      <c r="CF72" s="66">
        <v>0.52</v>
      </c>
      <c r="CG72" s="66">
        <v>0.64</v>
      </c>
      <c r="CH72" s="66">
        <v>0.47</v>
      </c>
      <c r="CI72" s="66">
        <v>0.47</v>
      </c>
      <c r="CJ72" s="66">
        <v>0.36</v>
      </c>
      <c r="CK72" s="66">
        <v>0.67</v>
      </c>
      <c r="CL72" s="66">
        <v>0.35</v>
      </c>
      <c r="CM72" s="66">
        <v>0.44</v>
      </c>
      <c r="CN72" s="66">
        <v>0.52</v>
      </c>
      <c r="CO72" s="66">
        <v>0.44</v>
      </c>
      <c r="CP72" s="66">
        <v>0.39</v>
      </c>
      <c r="CQ72" s="66">
        <v>0.56000000000000005</v>
      </c>
      <c r="CR72" s="66">
        <v>0.48</v>
      </c>
      <c r="CS72" s="12">
        <v>52</v>
      </c>
      <c r="CT72" s="12">
        <v>8</v>
      </c>
      <c r="CU72" s="63">
        <v>0.09</v>
      </c>
      <c r="CV72" s="63">
        <v>0.59</v>
      </c>
      <c r="CW72" s="63">
        <v>0.32</v>
      </c>
      <c r="CX72" s="63">
        <v>0</v>
      </c>
      <c r="CY72" s="63">
        <v>0.44</v>
      </c>
      <c r="CZ72" s="63">
        <v>0.27</v>
      </c>
      <c r="DA72" s="63">
        <v>0.52</v>
      </c>
      <c r="DB72" s="63">
        <v>0.28999999999999998</v>
      </c>
      <c r="DC72" s="63">
        <v>0.37</v>
      </c>
      <c r="DD72" s="63">
        <v>0.61</v>
      </c>
      <c r="DE72" s="63">
        <v>0.23</v>
      </c>
      <c r="DF72" s="63">
        <v>0.56999999999999995</v>
      </c>
      <c r="DG72" s="63">
        <v>0.39</v>
      </c>
      <c r="DH72" s="63">
        <v>0.3</v>
      </c>
      <c r="DI72" s="63">
        <v>0.35</v>
      </c>
      <c r="DJ72" s="63">
        <v>0.48</v>
      </c>
      <c r="DK72" s="63">
        <v>0.2</v>
      </c>
      <c r="DL72" s="63">
        <v>0.13</v>
      </c>
      <c r="DM72" s="63">
        <v>0.49</v>
      </c>
      <c r="DN72" s="63">
        <v>0.49</v>
      </c>
      <c r="DO72" s="63">
        <v>0.38</v>
      </c>
      <c r="DP72" s="63">
        <v>0.42</v>
      </c>
      <c r="DQ72" s="63">
        <v>0.5</v>
      </c>
      <c r="DR72" s="63">
        <v>0.19</v>
      </c>
      <c r="DS72" s="63">
        <v>0.41</v>
      </c>
      <c r="DT72" s="63">
        <v>0.54</v>
      </c>
      <c r="DU72" s="63">
        <v>0.61</v>
      </c>
      <c r="DV72" s="63">
        <v>0.57999999999999996</v>
      </c>
      <c r="DW72" s="63">
        <v>0.28999999999999998</v>
      </c>
      <c r="DX72" s="35">
        <v>51</v>
      </c>
      <c r="DY72" s="35">
        <v>10</v>
      </c>
      <c r="DZ72" s="40">
        <v>0.19</v>
      </c>
      <c r="EA72" s="40">
        <v>0.49</v>
      </c>
      <c r="EB72" s="40">
        <v>0.32</v>
      </c>
      <c r="EC72" s="40">
        <v>0</v>
      </c>
      <c r="ED72" s="40">
        <v>0.5</v>
      </c>
      <c r="EE72" s="40">
        <v>0.45</v>
      </c>
      <c r="EF72" s="40">
        <v>0.52</v>
      </c>
      <c r="EG72" s="40">
        <v>0.26</v>
      </c>
      <c r="EH72" s="40">
        <v>0.43</v>
      </c>
      <c r="EI72" s="40">
        <v>0.43</v>
      </c>
      <c r="EJ72" s="40">
        <v>0.55000000000000004</v>
      </c>
      <c r="EK72" s="40">
        <v>0.23</v>
      </c>
      <c r="EL72" s="40">
        <v>0.48</v>
      </c>
      <c r="EM72" s="40">
        <v>0.57999999999999996</v>
      </c>
      <c r="EN72" s="40">
        <v>0.51</v>
      </c>
      <c r="EO72" s="40">
        <v>0.6</v>
      </c>
      <c r="EP72" s="40">
        <v>0.3</v>
      </c>
      <c r="EQ72" s="40">
        <v>0.34</v>
      </c>
      <c r="ER72" s="40">
        <v>0.55000000000000004</v>
      </c>
      <c r="ES72" s="40">
        <v>0.59</v>
      </c>
      <c r="ET72" s="40">
        <v>0.31</v>
      </c>
      <c r="EU72" s="40">
        <v>0.56999999999999995</v>
      </c>
      <c r="EV72" s="40">
        <v>0.24</v>
      </c>
      <c r="EW72" s="40">
        <v>0.19</v>
      </c>
      <c r="EX72" s="40">
        <v>0.64</v>
      </c>
      <c r="EY72" s="40">
        <v>0.59</v>
      </c>
      <c r="EZ72" s="40">
        <v>0.15</v>
      </c>
      <c r="FA72" s="40">
        <v>0.56000000000000005</v>
      </c>
      <c r="FB72" s="247">
        <v>52</v>
      </c>
      <c r="FC72" s="247" t="s">
        <v>874</v>
      </c>
      <c r="FD72" s="247">
        <v>7</v>
      </c>
      <c r="FE72" s="247" t="s">
        <v>874</v>
      </c>
      <c r="FF72" s="264">
        <v>0.06</v>
      </c>
      <c r="FG72" s="264">
        <v>0.69</v>
      </c>
      <c r="FH72" s="264">
        <v>0.25</v>
      </c>
      <c r="FI72" s="264">
        <v>0</v>
      </c>
      <c r="FJ72" s="264">
        <v>0.4</v>
      </c>
      <c r="FK72" s="264">
        <v>0.63</v>
      </c>
      <c r="FL72" s="264">
        <v>0.4</v>
      </c>
      <c r="FM72" s="264">
        <v>0.51</v>
      </c>
      <c r="FN72" s="264">
        <v>0.28999999999999998</v>
      </c>
      <c r="FO72" s="264">
        <v>0.37</v>
      </c>
      <c r="FP72" s="264">
        <v>0.27</v>
      </c>
      <c r="FQ72" s="264">
        <v>0.33</v>
      </c>
      <c r="FR72" s="264">
        <v>0.51</v>
      </c>
      <c r="FS72" s="264">
        <v>0.5</v>
      </c>
      <c r="FT72" s="264">
        <v>0.47</v>
      </c>
      <c r="FU72" s="264">
        <v>0.4</v>
      </c>
      <c r="FV72" s="264">
        <v>0.65</v>
      </c>
      <c r="FW72" s="264">
        <v>0.59</v>
      </c>
      <c r="FX72" s="264">
        <v>0.44</v>
      </c>
      <c r="FY72" s="264">
        <v>0.39</v>
      </c>
      <c r="FZ72" s="264">
        <v>0.4</v>
      </c>
      <c r="GA72" s="264">
        <v>0.48</v>
      </c>
      <c r="GB72" s="264">
        <v>0.53</v>
      </c>
      <c r="GC72" s="264">
        <v>0.37</v>
      </c>
      <c r="GD72" s="264">
        <v>0.56999999999999995</v>
      </c>
      <c r="GE72" s="264">
        <v>0.56000000000000005</v>
      </c>
      <c r="GF72" s="264">
        <v>0.45</v>
      </c>
      <c r="GG72" s="264">
        <v>0.38</v>
      </c>
      <c r="GH72" s="264">
        <v>0.49</v>
      </c>
      <c r="GI72" s="264">
        <v>0.16</v>
      </c>
      <c r="GJ72" s="311">
        <v>53</v>
      </c>
      <c r="GK72" s="311" t="s">
        <v>874</v>
      </c>
      <c r="GL72" s="311">
        <v>7</v>
      </c>
      <c r="GM72" s="311" t="s">
        <v>874</v>
      </c>
      <c r="GN72" s="329">
        <v>0.04</v>
      </c>
      <c r="GO72" s="329">
        <v>0.54</v>
      </c>
      <c r="GP72" s="329">
        <v>0.43</v>
      </c>
      <c r="GQ72" s="329">
        <v>0</v>
      </c>
      <c r="GR72" s="329">
        <v>0.36</v>
      </c>
      <c r="GS72" s="329">
        <v>0.4</v>
      </c>
      <c r="GT72" s="329">
        <v>0.6</v>
      </c>
      <c r="GU72" s="329">
        <v>0.03</v>
      </c>
      <c r="GV72" s="329">
        <v>0.56000000000000005</v>
      </c>
      <c r="GW72" s="329">
        <v>0.43</v>
      </c>
      <c r="GX72" s="329">
        <v>0.38</v>
      </c>
      <c r="GY72" s="311" t="s">
        <v>283</v>
      </c>
      <c r="GZ72" s="329">
        <v>0.26</v>
      </c>
      <c r="HA72" s="329">
        <v>0.65</v>
      </c>
      <c r="HB72" s="329">
        <v>0.44</v>
      </c>
      <c r="HC72" s="329">
        <v>0.43</v>
      </c>
      <c r="HD72" s="329">
        <v>0.54</v>
      </c>
      <c r="HE72" s="329">
        <v>0.53</v>
      </c>
      <c r="HF72" s="329">
        <v>0.5</v>
      </c>
      <c r="HG72" s="329">
        <v>0.66</v>
      </c>
      <c r="HH72" s="329">
        <v>0.38</v>
      </c>
      <c r="HI72" s="329">
        <v>0.48</v>
      </c>
      <c r="HJ72" s="329">
        <v>0.56999999999999995</v>
      </c>
      <c r="HK72" s="329">
        <v>0.43</v>
      </c>
      <c r="HL72" s="329">
        <v>0.34</v>
      </c>
      <c r="HM72" s="329">
        <v>0.42</v>
      </c>
      <c r="HN72" s="329">
        <v>0.43</v>
      </c>
      <c r="HO72" s="329">
        <v>0.45</v>
      </c>
      <c r="HP72" s="311" t="s">
        <v>283</v>
      </c>
      <c r="HQ72" s="329">
        <v>0.32</v>
      </c>
      <c r="HR72" s="426">
        <v>52</v>
      </c>
      <c r="HS72" s="426" t="s">
        <v>874</v>
      </c>
      <c r="HT72" s="426">
        <v>8</v>
      </c>
      <c r="HU72" s="426" t="s">
        <v>874</v>
      </c>
      <c r="HV72" s="430">
        <v>0.04</v>
      </c>
      <c r="HW72" s="430">
        <v>0.65</v>
      </c>
      <c r="HX72" s="430">
        <v>0.27</v>
      </c>
      <c r="HY72" s="430">
        <v>0.04</v>
      </c>
      <c r="HZ72" s="430">
        <v>0.25</v>
      </c>
      <c r="IA72" s="430">
        <v>0.49</v>
      </c>
      <c r="IB72" s="430">
        <v>0.25</v>
      </c>
      <c r="IC72" s="430">
        <v>0.47</v>
      </c>
      <c r="ID72" s="430">
        <v>0.66</v>
      </c>
      <c r="IE72" s="430">
        <v>0.26</v>
      </c>
      <c r="IF72" s="430">
        <v>0.46</v>
      </c>
      <c r="IG72" s="430">
        <v>0.56999999999999995</v>
      </c>
      <c r="IH72" s="430">
        <v>0.5</v>
      </c>
      <c r="II72" s="430">
        <v>0.32</v>
      </c>
      <c r="IJ72" s="430">
        <v>0.24</v>
      </c>
      <c r="IK72" s="430">
        <v>0.63</v>
      </c>
      <c r="IL72" s="430">
        <v>0.33</v>
      </c>
      <c r="IM72" s="430">
        <v>0.51</v>
      </c>
      <c r="IN72" s="430">
        <v>0.41</v>
      </c>
      <c r="IO72" s="430">
        <v>0.56999999999999995</v>
      </c>
      <c r="IP72" s="430">
        <v>0.38</v>
      </c>
      <c r="IQ72" s="430">
        <v>0.59</v>
      </c>
      <c r="IR72" s="430">
        <v>0.68</v>
      </c>
      <c r="IS72" s="430">
        <v>0.49</v>
      </c>
      <c r="IT72" s="430">
        <v>0.43</v>
      </c>
      <c r="IU72" s="426" t="s">
        <v>283</v>
      </c>
      <c r="IV72" s="430">
        <v>0.66</v>
      </c>
      <c r="IW72" s="430">
        <v>0.37</v>
      </c>
      <c r="IX72" s="430">
        <v>0.53</v>
      </c>
      <c r="IY72" s="430">
        <v>0.51</v>
      </c>
      <c r="IZ72" s="466">
        <v>54</v>
      </c>
      <c r="JA72" s="466" t="s">
        <v>874</v>
      </c>
      <c r="JB72" s="466">
        <v>8</v>
      </c>
      <c r="JC72" s="466" t="s">
        <v>874</v>
      </c>
      <c r="JD72" s="480">
        <v>7.0000000000000007E-2</v>
      </c>
      <c r="JE72" s="480">
        <v>0.48</v>
      </c>
      <c r="JF72" s="480">
        <v>0.45</v>
      </c>
      <c r="JG72" s="480">
        <v>0</v>
      </c>
      <c r="JH72" s="480">
        <v>0.41</v>
      </c>
      <c r="JI72" s="480">
        <v>0.33</v>
      </c>
      <c r="JJ72" s="480">
        <v>0.4</v>
      </c>
      <c r="JK72" s="480">
        <v>0.46</v>
      </c>
      <c r="JL72" s="480">
        <v>0.45</v>
      </c>
      <c r="JM72" s="480">
        <v>0.52</v>
      </c>
      <c r="JN72" s="480">
        <v>0.36</v>
      </c>
      <c r="JO72" s="480">
        <v>0.41</v>
      </c>
      <c r="JP72" s="480">
        <v>0.52</v>
      </c>
      <c r="JQ72" s="480">
        <v>0.21</v>
      </c>
      <c r="JR72" s="480">
        <v>0.55000000000000004</v>
      </c>
      <c r="JS72" s="480">
        <v>0.33</v>
      </c>
      <c r="JT72" s="480">
        <v>0.27</v>
      </c>
      <c r="JU72" s="480">
        <v>0.56999999999999995</v>
      </c>
      <c r="JV72" s="480">
        <v>0.42</v>
      </c>
      <c r="JW72" s="480">
        <v>0.43</v>
      </c>
      <c r="JX72" s="480">
        <v>0.35</v>
      </c>
      <c r="JY72" s="480">
        <v>0.45</v>
      </c>
      <c r="JZ72" s="480">
        <v>0.4</v>
      </c>
      <c r="KA72" s="480">
        <v>0.56000000000000005</v>
      </c>
      <c r="KB72" s="480">
        <v>0.38</v>
      </c>
      <c r="KC72" s="480">
        <v>0.66</v>
      </c>
      <c r="KD72" s="480">
        <v>0.3</v>
      </c>
      <c r="KE72" s="480">
        <v>0.46</v>
      </c>
      <c r="KF72" s="480">
        <v>0.42</v>
      </c>
      <c r="KG72" s="480">
        <v>0.4</v>
      </c>
    </row>
    <row r="73" spans="1:293" ht="24.95" customHeight="1" x14ac:dyDescent="0.2">
      <c r="A73" s="126" t="s">
        <v>94</v>
      </c>
      <c r="B73" s="1" t="s">
        <v>221</v>
      </c>
      <c r="C73" s="2">
        <v>6</v>
      </c>
      <c r="D73" s="12">
        <v>56</v>
      </c>
      <c r="E73" s="12">
        <v>3</v>
      </c>
      <c r="F73" s="66">
        <v>0</v>
      </c>
      <c r="G73" s="66">
        <v>0.25</v>
      </c>
      <c r="H73" s="66">
        <v>0.75</v>
      </c>
      <c r="I73" s="66">
        <v>0</v>
      </c>
      <c r="J73" s="66">
        <v>0.25</v>
      </c>
      <c r="K73" s="66">
        <v>0.5</v>
      </c>
      <c r="L73" s="66">
        <v>0.63</v>
      </c>
      <c r="M73" s="66">
        <v>0</v>
      </c>
      <c r="N73" s="66">
        <v>0.2</v>
      </c>
      <c r="O73" s="66">
        <v>0.71</v>
      </c>
      <c r="P73" s="66">
        <v>0.38</v>
      </c>
      <c r="Q73" s="66">
        <v>0.31</v>
      </c>
      <c r="R73" s="66">
        <v>0.55000000000000004</v>
      </c>
      <c r="S73" s="66">
        <v>0.75</v>
      </c>
      <c r="T73" s="66">
        <v>0.75</v>
      </c>
      <c r="U73" s="66">
        <v>0.75</v>
      </c>
      <c r="V73" s="66">
        <v>0</v>
      </c>
      <c r="W73" s="66">
        <v>0</v>
      </c>
      <c r="X73" s="66">
        <v>0.44</v>
      </c>
      <c r="Y73" s="66">
        <v>0.25</v>
      </c>
      <c r="Z73" s="12" t="s">
        <v>283</v>
      </c>
      <c r="AA73" s="66">
        <v>0.25</v>
      </c>
      <c r="AB73" s="66">
        <v>0.25</v>
      </c>
      <c r="AC73" s="66">
        <v>0</v>
      </c>
      <c r="AD73" s="66">
        <v>0.5</v>
      </c>
      <c r="AE73" s="66">
        <v>0.63</v>
      </c>
      <c r="AF73" s="66">
        <v>0.5</v>
      </c>
      <c r="AG73" s="66">
        <v>0.67</v>
      </c>
      <c r="AH73" s="12">
        <v>52</v>
      </c>
      <c r="AI73" s="12">
        <v>5</v>
      </c>
      <c r="AJ73" s="40">
        <v>0</v>
      </c>
      <c r="AK73" s="40">
        <v>0.75</v>
      </c>
      <c r="AL73" s="40">
        <v>0.25</v>
      </c>
      <c r="AM73" s="40">
        <v>0</v>
      </c>
      <c r="AN73" s="40">
        <v>0.25</v>
      </c>
      <c r="AO73" s="40">
        <v>0.62</v>
      </c>
      <c r="AP73" s="40">
        <v>0.67</v>
      </c>
      <c r="AQ73" s="40">
        <v>0.14000000000000001</v>
      </c>
      <c r="AR73" s="40">
        <v>0.4</v>
      </c>
      <c r="AS73" s="40">
        <v>0.6</v>
      </c>
      <c r="AT73" s="40">
        <v>0.25</v>
      </c>
      <c r="AU73" s="40">
        <v>0.67</v>
      </c>
      <c r="AV73" s="40">
        <v>0.56999999999999995</v>
      </c>
      <c r="AW73" s="40">
        <v>1</v>
      </c>
      <c r="AX73" s="40">
        <v>0.5</v>
      </c>
      <c r="AY73" s="40">
        <v>0.52</v>
      </c>
      <c r="AZ73" s="40">
        <v>0.4</v>
      </c>
      <c r="BA73" s="40">
        <v>0.63</v>
      </c>
      <c r="BB73" s="40">
        <v>0.67</v>
      </c>
      <c r="BC73" s="40">
        <v>0.38</v>
      </c>
      <c r="BD73" s="40">
        <v>0.5</v>
      </c>
      <c r="BE73" s="40">
        <v>0.33</v>
      </c>
      <c r="BF73" s="40">
        <v>1</v>
      </c>
      <c r="BG73" s="40">
        <v>0.44</v>
      </c>
      <c r="BH73" s="40">
        <v>0.36</v>
      </c>
      <c r="BI73" s="40">
        <v>0.6</v>
      </c>
      <c r="BJ73" s="40">
        <v>0.33</v>
      </c>
      <c r="BK73" s="40">
        <v>0.33</v>
      </c>
      <c r="BL73" s="40">
        <v>0</v>
      </c>
      <c r="BM73" s="12" t="s">
        <v>224</v>
      </c>
      <c r="BN73" s="12" t="s">
        <v>226</v>
      </c>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v>46</v>
      </c>
      <c r="CT73" s="12">
        <v>13</v>
      </c>
      <c r="CU73" s="63">
        <v>0.5</v>
      </c>
      <c r="CV73" s="63">
        <v>0.5</v>
      </c>
      <c r="CW73" s="63">
        <v>0</v>
      </c>
      <c r="CX73" s="63">
        <v>0</v>
      </c>
      <c r="CY73" s="63">
        <v>0.63</v>
      </c>
      <c r="CZ73" s="63">
        <v>0.4</v>
      </c>
      <c r="DA73" s="63">
        <v>0.25</v>
      </c>
      <c r="DB73" s="63">
        <v>1</v>
      </c>
      <c r="DC73" s="63">
        <v>0.4</v>
      </c>
      <c r="DD73" s="63">
        <v>0.5</v>
      </c>
      <c r="DE73" s="63">
        <v>0.5</v>
      </c>
      <c r="DF73" s="63">
        <v>0.43</v>
      </c>
      <c r="DG73" s="63">
        <v>0.2</v>
      </c>
      <c r="DH73" s="63">
        <v>0.6</v>
      </c>
      <c r="DI73" s="63">
        <v>0.5</v>
      </c>
      <c r="DJ73" s="63">
        <v>1</v>
      </c>
      <c r="DK73" s="63">
        <v>1</v>
      </c>
      <c r="DL73" s="2" t="s">
        <v>283</v>
      </c>
      <c r="DM73" s="63">
        <v>0.75</v>
      </c>
      <c r="DN73" s="63">
        <v>0.2</v>
      </c>
      <c r="DO73" s="63">
        <v>0.67</v>
      </c>
      <c r="DP73" s="63">
        <v>0.75</v>
      </c>
      <c r="DQ73" s="63">
        <v>0.5</v>
      </c>
      <c r="DR73" s="63">
        <v>0.33</v>
      </c>
      <c r="DS73" s="63">
        <v>0.33</v>
      </c>
      <c r="DT73" s="63">
        <v>0.75</v>
      </c>
      <c r="DU73" s="63">
        <v>1</v>
      </c>
      <c r="DV73" s="63">
        <v>0.25</v>
      </c>
      <c r="DW73" s="63">
        <v>1</v>
      </c>
      <c r="DX73" s="35">
        <v>46</v>
      </c>
      <c r="DY73" s="35">
        <v>10</v>
      </c>
      <c r="DZ73" s="40">
        <v>0.25</v>
      </c>
      <c r="EA73" s="40">
        <v>0.63</v>
      </c>
      <c r="EB73" s="40">
        <v>0.13</v>
      </c>
      <c r="EC73" s="40">
        <v>0</v>
      </c>
      <c r="ED73" s="40">
        <v>0.47</v>
      </c>
      <c r="EE73" s="40">
        <v>0.45</v>
      </c>
      <c r="EF73" s="40">
        <v>0.8</v>
      </c>
      <c r="EG73" s="40">
        <v>1</v>
      </c>
      <c r="EH73" s="40">
        <v>0.54</v>
      </c>
      <c r="EI73" s="40">
        <v>0.55000000000000004</v>
      </c>
      <c r="EJ73" s="40">
        <v>0.44</v>
      </c>
      <c r="EK73" s="40">
        <v>0.25</v>
      </c>
      <c r="EL73" s="40">
        <v>0.53</v>
      </c>
      <c r="EM73" s="40">
        <v>0.82</v>
      </c>
      <c r="EN73" s="40">
        <v>0.56000000000000005</v>
      </c>
      <c r="EO73" s="40">
        <v>0.55000000000000004</v>
      </c>
      <c r="EP73" s="40">
        <v>0.44</v>
      </c>
      <c r="EQ73" s="40">
        <v>0.56999999999999995</v>
      </c>
      <c r="ER73" s="40">
        <v>0.59</v>
      </c>
      <c r="ES73" s="40">
        <v>0.89</v>
      </c>
      <c r="ET73" s="40">
        <v>0.24</v>
      </c>
      <c r="EU73" s="40">
        <v>0.28999999999999998</v>
      </c>
      <c r="EV73" s="40">
        <v>0.6</v>
      </c>
      <c r="EW73" s="40">
        <v>0.54</v>
      </c>
      <c r="EX73" s="40">
        <v>0.67</v>
      </c>
      <c r="EY73" s="40">
        <v>0.56000000000000005</v>
      </c>
      <c r="EZ73" s="40">
        <v>0.75</v>
      </c>
      <c r="FA73" s="40">
        <v>0.52</v>
      </c>
      <c r="FB73" s="652"/>
      <c r="FC73" s="652"/>
      <c r="FD73" s="652"/>
      <c r="FE73" s="652"/>
      <c r="FF73" s="652"/>
      <c r="FG73" s="652"/>
      <c r="FH73" s="652"/>
      <c r="FI73" s="652"/>
      <c r="FJ73" s="652"/>
      <c r="FK73" s="652"/>
      <c r="FL73" s="652"/>
      <c r="FM73" s="652"/>
      <c r="FN73" s="652"/>
      <c r="FO73" s="652"/>
      <c r="FP73" s="652"/>
      <c r="FQ73" s="652"/>
      <c r="FR73" s="652"/>
      <c r="FS73" s="652"/>
      <c r="FT73" s="652"/>
      <c r="FU73" s="652"/>
      <c r="FV73" s="652"/>
      <c r="FW73" s="652"/>
      <c r="FX73" s="652"/>
      <c r="FY73" s="652"/>
      <c r="FZ73" s="652"/>
      <c r="GA73" s="652"/>
      <c r="GB73" s="652"/>
      <c r="GC73" s="652"/>
      <c r="GD73" s="652"/>
      <c r="GE73" s="652"/>
      <c r="GF73" s="652"/>
      <c r="GG73" s="652"/>
      <c r="GH73" s="652"/>
      <c r="GI73" s="652"/>
      <c r="GJ73" s="655"/>
      <c r="GK73" s="655"/>
      <c r="GL73" s="655"/>
      <c r="GM73" s="655"/>
      <c r="GN73" s="655"/>
      <c r="GO73" s="655"/>
      <c r="GP73" s="655"/>
      <c r="GQ73" s="655"/>
      <c r="GR73" s="655"/>
      <c r="GS73" s="655"/>
      <c r="GT73" s="655"/>
      <c r="GU73" s="655"/>
      <c r="GV73" s="655"/>
      <c r="GW73" s="655"/>
      <c r="GX73" s="655"/>
      <c r="GY73" s="655"/>
      <c r="GZ73" s="655"/>
      <c r="HA73" s="655"/>
      <c r="HB73" s="655"/>
      <c r="HC73" s="655"/>
      <c r="HD73" s="655"/>
      <c r="HE73" s="655"/>
      <c r="HF73" s="655"/>
      <c r="HG73" s="655"/>
      <c r="HH73" s="655"/>
      <c r="HI73" s="655"/>
      <c r="HJ73" s="655"/>
      <c r="HK73" s="655"/>
      <c r="HL73" s="655"/>
      <c r="HM73" s="655"/>
      <c r="HN73" s="655"/>
      <c r="HO73" s="655"/>
      <c r="HP73" s="655"/>
      <c r="HQ73" s="655"/>
      <c r="HR73" s="426">
        <v>52</v>
      </c>
      <c r="HS73" s="426" t="s">
        <v>874</v>
      </c>
      <c r="HT73" s="426">
        <v>13</v>
      </c>
      <c r="HU73" s="426" t="s">
        <v>875</v>
      </c>
      <c r="HV73" s="430">
        <v>0.2</v>
      </c>
      <c r="HW73" s="430">
        <v>0.2</v>
      </c>
      <c r="HX73" s="430">
        <v>0.6</v>
      </c>
      <c r="HY73" s="430">
        <v>0</v>
      </c>
      <c r="HZ73" s="430">
        <v>0.28999999999999998</v>
      </c>
      <c r="IA73" s="430">
        <v>0.44</v>
      </c>
      <c r="IB73" s="430">
        <v>0.33</v>
      </c>
      <c r="IC73" s="430">
        <v>0.44</v>
      </c>
      <c r="ID73" s="430">
        <v>0.47</v>
      </c>
      <c r="IE73" s="430">
        <v>0.46</v>
      </c>
      <c r="IF73" s="430">
        <v>0.2</v>
      </c>
      <c r="IG73" s="430">
        <v>0.6</v>
      </c>
      <c r="IH73" s="430">
        <v>0.38</v>
      </c>
      <c r="II73" s="430">
        <v>0.25</v>
      </c>
      <c r="IJ73" s="430">
        <v>0.09</v>
      </c>
      <c r="IK73" s="430">
        <v>0.46</v>
      </c>
      <c r="IL73" s="430">
        <v>0.5</v>
      </c>
      <c r="IM73" s="430">
        <v>0.92</v>
      </c>
      <c r="IN73" s="430">
        <v>0.44</v>
      </c>
      <c r="IO73" s="430">
        <v>0.44</v>
      </c>
      <c r="IP73" s="430">
        <v>0.6</v>
      </c>
      <c r="IQ73" s="430">
        <v>0.75</v>
      </c>
      <c r="IR73" s="430">
        <v>0.7</v>
      </c>
      <c r="IS73" s="430">
        <v>0.64</v>
      </c>
      <c r="IT73" s="430">
        <v>0.36</v>
      </c>
      <c r="IU73" s="426" t="s">
        <v>283</v>
      </c>
      <c r="IV73" s="430">
        <v>0.36</v>
      </c>
      <c r="IW73" s="430">
        <v>0.42</v>
      </c>
      <c r="IX73" s="430">
        <v>0.33</v>
      </c>
      <c r="IY73" s="430">
        <v>0.5</v>
      </c>
      <c r="IZ73" s="466">
        <v>48</v>
      </c>
      <c r="JA73" s="466" t="s">
        <v>874</v>
      </c>
      <c r="JB73" s="466">
        <v>11</v>
      </c>
      <c r="JC73" s="466" t="s">
        <v>874</v>
      </c>
      <c r="JD73" s="480">
        <v>0.25</v>
      </c>
      <c r="JE73" s="480">
        <v>0.5</v>
      </c>
      <c r="JF73" s="480">
        <v>0.25</v>
      </c>
      <c r="JG73" s="480">
        <v>0</v>
      </c>
      <c r="JH73" s="480">
        <v>0.75</v>
      </c>
      <c r="JI73" s="480">
        <v>0.36</v>
      </c>
      <c r="JJ73" s="480">
        <v>0.5</v>
      </c>
      <c r="JK73" s="480">
        <v>0.4</v>
      </c>
      <c r="JL73" s="480">
        <v>0.28999999999999998</v>
      </c>
      <c r="JM73" s="480">
        <v>0.5</v>
      </c>
      <c r="JN73" s="480">
        <v>0.4</v>
      </c>
      <c r="JO73" s="480">
        <v>0.78</v>
      </c>
      <c r="JP73" s="480">
        <v>0.78</v>
      </c>
      <c r="JQ73" s="480">
        <v>0.33</v>
      </c>
      <c r="JR73" s="480">
        <v>0.42</v>
      </c>
      <c r="JS73" s="480">
        <v>0.4</v>
      </c>
      <c r="JT73" s="480">
        <v>0.67</v>
      </c>
      <c r="JU73" s="480">
        <v>0.56000000000000005</v>
      </c>
      <c r="JV73" s="480">
        <v>0.67</v>
      </c>
      <c r="JW73" s="480">
        <v>0.5</v>
      </c>
      <c r="JX73" s="480">
        <v>0.6</v>
      </c>
      <c r="JY73" s="480">
        <v>0.71</v>
      </c>
      <c r="JZ73" s="480">
        <v>0.75</v>
      </c>
      <c r="KA73" s="480">
        <v>0</v>
      </c>
      <c r="KB73" s="480">
        <v>0.75</v>
      </c>
      <c r="KC73" s="480">
        <v>0.67</v>
      </c>
      <c r="KD73" s="480">
        <v>0.38</v>
      </c>
      <c r="KE73" s="480">
        <v>0.56000000000000005</v>
      </c>
      <c r="KF73" s="480">
        <v>0.73</v>
      </c>
      <c r="KG73" s="480">
        <v>0.33</v>
      </c>
    </row>
    <row r="74" spans="1:293" ht="24.95" customHeight="1" x14ac:dyDescent="0.2">
      <c r="A74" s="650" t="s">
        <v>878</v>
      </c>
      <c r="B74" s="1" t="s">
        <v>221</v>
      </c>
      <c r="C74" s="2">
        <v>6</v>
      </c>
      <c r="D74" s="12"/>
      <c r="E74" s="12"/>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12"/>
      <c r="AI74" s="12"/>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12"/>
      <c r="BN74" s="12"/>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12"/>
      <c r="CT74" s="12"/>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35"/>
      <c r="DY74" s="35"/>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247">
        <v>48</v>
      </c>
      <c r="FC74" s="247" t="s">
        <v>874</v>
      </c>
      <c r="FD74" s="247">
        <v>8</v>
      </c>
      <c r="FE74" s="247" t="s">
        <v>874</v>
      </c>
      <c r="FF74" s="264">
        <v>0.22</v>
      </c>
      <c r="FG74" s="264">
        <v>0.61</v>
      </c>
      <c r="FH74" s="264">
        <v>0.17</v>
      </c>
      <c r="FI74" s="264">
        <v>0</v>
      </c>
      <c r="FJ74" s="264">
        <v>0.38</v>
      </c>
      <c r="FK74" s="264">
        <v>0.66</v>
      </c>
      <c r="FL74" s="264">
        <v>0.56999999999999995</v>
      </c>
      <c r="FM74" s="264">
        <v>0.28999999999999998</v>
      </c>
      <c r="FN74" s="264">
        <v>0.52</v>
      </c>
      <c r="FO74" s="264">
        <v>0.43</v>
      </c>
      <c r="FP74" s="264">
        <v>0.4</v>
      </c>
      <c r="FQ74" s="264">
        <v>0.44</v>
      </c>
      <c r="FR74" s="264">
        <v>0.57999999999999996</v>
      </c>
      <c r="FS74" s="264">
        <v>0.54</v>
      </c>
      <c r="FT74" s="264">
        <v>0.45</v>
      </c>
      <c r="FU74" s="264">
        <v>0.45</v>
      </c>
      <c r="FV74" s="264">
        <v>0.64</v>
      </c>
      <c r="FW74" s="264">
        <v>0.46</v>
      </c>
      <c r="FX74" s="264">
        <v>0.61</v>
      </c>
      <c r="FY74" s="264">
        <v>0.21</v>
      </c>
      <c r="FZ74" s="264">
        <v>0.41</v>
      </c>
      <c r="GA74" s="264">
        <v>0.56999999999999995</v>
      </c>
      <c r="GB74" s="264">
        <v>0.7</v>
      </c>
      <c r="GC74" s="264">
        <v>0.59</v>
      </c>
      <c r="GD74" s="264">
        <v>0.66</v>
      </c>
      <c r="GE74" s="264">
        <v>0.53</v>
      </c>
      <c r="GF74" s="264">
        <v>0.52</v>
      </c>
      <c r="GG74" s="264">
        <v>0.43</v>
      </c>
      <c r="GH74" s="264">
        <v>0.69</v>
      </c>
      <c r="GI74" s="264">
        <v>0.34</v>
      </c>
      <c r="GJ74" s="311">
        <v>48</v>
      </c>
      <c r="GK74" s="311" t="s">
        <v>874</v>
      </c>
      <c r="GL74" s="311">
        <v>8</v>
      </c>
      <c r="GM74" s="311" t="s">
        <v>874</v>
      </c>
      <c r="GN74" s="329">
        <v>0.19</v>
      </c>
      <c r="GO74" s="329">
        <v>0.65</v>
      </c>
      <c r="GP74" s="329">
        <v>0.16</v>
      </c>
      <c r="GQ74" s="329">
        <v>0</v>
      </c>
      <c r="GR74" s="329">
        <v>0.49</v>
      </c>
      <c r="GS74" s="329">
        <v>0.54</v>
      </c>
      <c r="GT74" s="329">
        <v>0.75</v>
      </c>
      <c r="GU74" s="329">
        <v>0.2</v>
      </c>
      <c r="GV74" s="329">
        <v>0.54</v>
      </c>
      <c r="GW74" s="329">
        <v>0.45</v>
      </c>
      <c r="GX74" s="329">
        <v>0.5</v>
      </c>
      <c r="GY74" s="311" t="s">
        <v>283</v>
      </c>
      <c r="GZ74" s="329">
        <v>0.31</v>
      </c>
      <c r="HA74" s="329">
        <v>0.71</v>
      </c>
      <c r="HB74" s="329">
        <v>0.53</v>
      </c>
      <c r="HC74" s="329">
        <v>0.57999999999999996</v>
      </c>
      <c r="HD74" s="329">
        <v>0.67</v>
      </c>
      <c r="HE74" s="329">
        <v>0.53</v>
      </c>
      <c r="HF74" s="329">
        <v>0.57999999999999996</v>
      </c>
      <c r="HG74" s="329">
        <v>0.73</v>
      </c>
      <c r="HH74" s="329">
        <v>0.53</v>
      </c>
      <c r="HI74" s="329">
        <v>0.61</v>
      </c>
      <c r="HJ74" s="329">
        <v>0.64</v>
      </c>
      <c r="HK74" s="329">
        <v>0.53</v>
      </c>
      <c r="HL74" s="329">
        <v>0.49</v>
      </c>
      <c r="HM74" s="329">
        <v>0.52</v>
      </c>
      <c r="HN74" s="329">
        <v>0.53</v>
      </c>
      <c r="HO74" s="329">
        <v>0.56000000000000005</v>
      </c>
      <c r="HP74" s="311" t="s">
        <v>283</v>
      </c>
      <c r="HQ74" s="329">
        <v>0.48</v>
      </c>
      <c r="HR74" s="426">
        <v>49</v>
      </c>
      <c r="HS74" s="426" t="s">
        <v>874</v>
      </c>
      <c r="HT74" s="426">
        <v>8</v>
      </c>
      <c r="HU74" s="426" t="s">
        <v>874</v>
      </c>
      <c r="HV74" s="430">
        <v>0.17</v>
      </c>
      <c r="HW74" s="430">
        <v>0.59</v>
      </c>
      <c r="HX74" s="430">
        <v>0.24</v>
      </c>
      <c r="HY74" s="430">
        <v>0</v>
      </c>
      <c r="HZ74" s="430">
        <v>0.4</v>
      </c>
      <c r="IA74" s="430">
        <v>0.54</v>
      </c>
      <c r="IB74" s="430">
        <v>0.26</v>
      </c>
      <c r="IC74" s="430">
        <v>0.44</v>
      </c>
      <c r="ID74" s="430">
        <v>0.67</v>
      </c>
      <c r="IE74" s="430">
        <v>0.34</v>
      </c>
      <c r="IF74" s="430">
        <v>0.47</v>
      </c>
      <c r="IG74" s="430">
        <v>0.55000000000000004</v>
      </c>
      <c r="IH74" s="430">
        <v>0.44</v>
      </c>
      <c r="II74" s="430">
        <v>0.5</v>
      </c>
      <c r="IJ74" s="430">
        <v>0.36</v>
      </c>
      <c r="IK74" s="430">
        <v>0.64</v>
      </c>
      <c r="IL74" s="430">
        <v>0.41</v>
      </c>
      <c r="IM74" s="430">
        <v>0.59</v>
      </c>
      <c r="IN74" s="430">
        <v>0.55000000000000004</v>
      </c>
      <c r="IO74" s="430">
        <v>0.49</v>
      </c>
      <c r="IP74" s="430">
        <v>0.56000000000000005</v>
      </c>
      <c r="IQ74" s="430">
        <v>0.7</v>
      </c>
      <c r="IR74" s="430">
        <v>0.6</v>
      </c>
      <c r="IS74" s="430">
        <v>0.71</v>
      </c>
      <c r="IT74" s="430">
        <v>0.38</v>
      </c>
      <c r="IU74" s="426" t="s">
        <v>283</v>
      </c>
      <c r="IV74" s="430">
        <v>0.65</v>
      </c>
      <c r="IW74" s="430">
        <v>0.43</v>
      </c>
      <c r="IX74" s="430">
        <v>0.49</v>
      </c>
      <c r="IY74" s="430">
        <v>0.54</v>
      </c>
      <c r="IZ74" s="466">
        <v>53</v>
      </c>
      <c r="JA74" s="466" t="s">
        <v>874</v>
      </c>
      <c r="JB74" s="466">
        <v>8</v>
      </c>
      <c r="JC74" s="466" t="s">
        <v>874</v>
      </c>
      <c r="JD74" s="480">
        <v>0.11</v>
      </c>
      <c r="JE74" s="480">
        <v>0.44</v>
      </c>
      <c r="JF74" s="480">
        <v>0.44</v>
      </c>
      <c r="JG74" s="480">
        <v>0</v>
      </c>
      <c r="JH74" s="480">
        <v>0.45</v>
      </c>
      <c r="JI74" s="480">
        <v>0.42</v>
      </c>
      <c r="JJ74" s="480">
        <v>0.28999999999999998</v>
      </c>
      <c r="JK74" s="480">
        <v>0.36</v>
      </c>
      <c r="JL74" s="480">
        <v>0.38</v>
      </c>
      <c r="JM74" s="480">
        <v>0.42</v>
      </c>
      <c r="JN74" s="480">
        <v>0.44</v>
      </c>
      <c r="JO74" s="480">
        <v>0.42</v>
      </c>
      <c r="JP74" s="480">
        <v>0.54</v>
      </c>
      <c r="JQ74" s="480">
        <v>0.24</v>
      </c>
      <c r="JR74" s="480">
        <v>0.46</v>
      </c>
      <c r="JS74" s="480">
        <v>0.64</v>
      </c>
      <c r="JT74" s="480">
        <v>0.4</v>
      </c>
      <c r="JU74" s="480">
        <v>0.42</v>
      </c>
      <c r="JV74" s="480">
        <v>0.56999999999999995</v>
      </c>
      <c r="JW74" s="480">
        <v>0.47</v>
      </c>
      <c r="JX74" s="480">
        <v>0.43</v>
      </c>
      <c r="JY74" s="480">
        <v>0.38</v>
      </c>
      <c r="JZ74" s="480">
        <v>0.42</v>
      </c>
      <c r="KA74" s="480">
        <v>0.43</v>
      </c>
      <c r="KB74" s="480">
        <v>0.45</v>
      </c>
      <c r="KC74" s="480">
        <v>0.71</v>
      </c>
      <c r="KD74" s="480">
        <v>0.3</v>
      </c>
      <c r="KE74" s="480">
        <v>0.53</v>
      </c>
      <c r="KF74" s="480">
        <v>0.36</v>
      </c>
      <c r="KG74" s="480">
        <v>0.56999999999999995</v>
      </c>
    </row>
    <row r="75" spans="1:293" ht="24.95" customHeight="1" x14ac:dyDescent="0.2">
      <c r="A75" s="651" t="s">
        <v>166</v>
      </c>
      <c r="B75" s="1" t="s">
        <v>221</v>
      </c>
      <c r="C75" s="250">
        <v>3</v>
      </c>
      <c r="D75" s="255">
        <v>50</v>
      </c>
      <c r="E75" s="255">
        <v>5</v>
      </c>
      <c r="F75" s="259">
        <v>0</v>
      </c>
      <c r="G75" s="259">
        <v>0.89</v>
      </c>
      <c r="H75" s="259">
        <v>0.11</v>
      </c>
      <c r="I75" s="259">
        <v>0</v>
      </c>
      <c r="J75" s="259">
        <v>0.33</v>
      </c>
      <c r="K75" s="259">
        <v>0.46</v>
      </c>
      <c r="L75" s="259">
        <v>1</v>
      </c>
      <c r="M75" s="259">
        <v>0.21</v>
      </c>
      <c r="N75" s="259">
        <v>0.37</v>
      </c>
      <c r="O75" s="259">
        <v>0.83</v>
      </c>
      <c r="P75" s="259">
        <v>0.35</v>
      </c>
      <c r="Q75" s="259">
        <v>0.4</v>
      </c>
      <c r="R75" s="259">
        <v>0.55000000000000004</v>
      </c>
      <c r="S75" s="259">
        <v>0.56000000000000005</v>
      </c>
      <c r="T75" s="259">
        <v>0.71</v>
      </c>
      <c r="U75" s="259">
        <v>0.75</v>
      </c>
      <c r="V75" s="259">
        <v>0.13</v>
      </c>
      <c r="W75" s="259">
        <v>0.21</v>
      </c>
      <c r="X75" s="259">
        <v>0.73</v>
      </c>
      <c r="Y75" s="259">
        <v>0.6</v>
      </c>
      <c r="Z75" s="255" t="s">
        <v>283</v>
      </c>
      <c r="AA75" s="259">
        <v>0.21</v>
      </c>
      <c r="AB75" s="259">
        <v>0.62</v>
      </c>
      <c r="AC75" s="259">
        <v>0.15</v>
      </c>
      <c r="AD75" s="259">
        <v>0.63</v>
      </c>
      <c r="AE75" s="259">
        <v>0.33</v>
      </c>
      <c r="AF75" s="259">
        <v>0.63</v>
      </c>
      <c r="AG75" s="259">
        <v>0.39</v>
      </c>
      <c r="AH75" s="255">
        <v>50</v>
      </c>
      <c r="AI75" s="255">
        <v>9</v>
      </c>
      <c r="AJ75" s="260">
        <v>0.16</v>
      </c>
      <c r="AK75" s="260">
        <v>0.6</v>
      </c>
      <c r="AL75" s="260">
        <v>0.24</v>
      </c>
      <c r="AM75" s="260">
        <v>0</v>
      </c>
      <c r="AN75" s="260">
        <v>0.45</v>
      </c>
      <c r="AO75" s="260">
        <v>0.51</v>
      </c>
      <c r="AP75" s="260">
        <v>0.67</v>
      </c>
      <c r="AQ75" s="260">
        <v>0.45</v>
      </c>
      <c r="AR75" s="260">
        <v>0.56999999999999995</v>
      </c>
      <c r="AS75" s="260">
        <v>0.47</v>
      </c>
      <c r="AT75" s="260">
        <v>0.48</v>
      </c>
      <c r="AU75" s="260">
        <v>0.62</v>
      </c>
      <c r="AV75" s="260">
        <v>0.71</v>
      </c>
      <c r="AW75" s="260">
        <v>0.57999999999999996</v>
      </c>
      <c r="AX75" s="260">
        <v>0.5</v>
      </c>
      <c r="AY75" s="260">
        <v>0.3</v>
      </c>
      <c r="AZ75" s="260">
        <v>0.46</v>
      </c>
      <c r="BA75" s="260">
        <v>0.45</v>
      </c>
      <c r="BB75" s="260">
        <v>0.71</v>
      </c>
      <c r="BC75" s="260">
        <v>0.6</v>
      </c>
      <c r="BD75" s="260">
        <v>0.39</v>
      </c>
      <c r="BE75" s="260">
        <v>0.55000000000000004</v>
      </c>
      <c r="BF75" s="260">
        <v>0.5</v>
      </c>
      <c r="BG75" s="260">
        <v>0.54</v>
      </c>
      <c r="BH75" s="260">
        <v>0.48</v>
      </c>
      <c r="BI75" s="260">
        <v>0.45</v>
      </c>
      <c r="BJ75" s="260">
        <v>0.36</v>
      </c>
      <c r="BK75" s="260">
        <v>0.56000000000000005</v>
      </c>
      <c r="BL75" s="260">
        <v>0.73</v>
      </c>
      <c r="BM75" s="255">
        <v>55</v>
      </c>
      <c r="BN75" s="255">
        <v>10</v>
      </c>
      <c r="BO75" s="259">
        <v>0.09</v>
      </c>
      <c r="BP75" s="259">
        <v>0.39</v>
      </c>
      <c r="BQ75" s="259">
        <v>0.48</v>
      </c>
      <c r="BR75" s="259">
        <v>0.04</v>
      </c>
      <c r="BS75" s="259">
        <v>0.28000000000000003</v>
      </c>
      <c r="BT75" s="259">
        <v>0.46</v>
      </c>
      <c r="BU75" s="259">
        <v>0.56000000000000005</v>
      </c>
      <c r="BV75" s="259">
        <v>0.23</v>
      </c>
      <c r="BW75" s="259">
        <v>0.64</v>
      </c>
      <c r="BX75" s="259">
        <v>0.28000000000000003</v>
      </c>
      <c r="BY75" s="259">
        <v>0.45</v>
      </c>
      <c r="BZ75" s="259">
        <v>0.44</v>
      </c>
      <c r="CA75" s="259">
        <v>0.34</v>
      </c>
      <c r="CB75" s="259">
        <v>0.42</v>
      </c>
      <c r="CC75" s="259">
        <v>0.17</v>
      </c>
      <c r="CD75" s="259">
        <v>0.23</v>
      </c>
      <c r="CE75" s="259">
        <v>0.24</v>
      </c>
      <c r="CF75" s="259">
        <v>0.55000000000000004</v>
      </c>
      <c r="CG75" s="259">
        <v>0.53</v>
      </c>
      <c r="CH75" s="259">
        <v>0.3</v>
      </c>
      <c r="CI75" s="259">
        <v>0.45</v>
      </c>
      <c r="CJ75" s="259">
        <v>0.11</v>
      </c>
      <c r="CK75" s="259">
        <v>0.56000000000000005</v>
      </c>
      <c r="CL75" s="259">
        <v>0.25</v>
      </c>
      <c r="CM75" s="259">
        <v>0.25</v>
      </c>
      <c r="CN75" s="259">
        <v>0.33</v>
      </c>
      <c r="CO75" s="259">
        <v>0.43</v>
      </c>
      <c r="CP75" s="259">
        <v>0.28000000000000003</v>
      </c>
      <c r="CQ75" s="259">
        <v>0.48</v>
      </c>
      <c r="CR75" s="259">
        <v>0.34</v>
      </c>
      <c r="CS75" s="255">
        <v>49</v>
      </c>
      <c r="CT75" s="255">
        <v>7</v>
      </c>
      <c r="CU75" s="256">
        <v>0.11</v>
      </c>
      <c r="CV75" s="256">
        <v>0.78</v>
      </c>
      <c r="CW75" s="256">
        <v>0.11</v>
      </c>
      <c r="CX75" s="256">
        <v>0</v>
      </c>
      <c r="CY75" s="256">
        <v>0.52</v>
      </c>
      <c r="CZ75" s="256">
        <v>0.36</v>
      </c>
      <c r="DA75" s="256">
        <v>0.74</v>
      </c>
      <c r="DB75" s="256">
        <v>0.51</v>
      </c>
      <c r="DC75" s="256">
        <v>0.39</v>
      </c>
      <c r="DD75" s="256">
        <v>0.52</v>
      </c>
      <c r="DE75" s="256">
        <v>0.45</v>
      </c>
      <c r="DF75" s="256">
        <v>0.62</v>
      </c>
      <c r="DG75" s="256">
        <v>0.41</v>
      </c>
      <c r="DH75" s="256">
        <v>0.28999999999999998</v>
      </c>
      <c r="DI75" s="256">
        <v>0.45</v>
      </c>
      <c r="DJ75" s="256">
        <v>0.5</v>
      </c>
      <c r="DK75" s="256">
        <v>0.44</v>
      </c>
      <c r="DL75" s="256">
        <v>0.17</v>
      </c>
      <c r="DM75" s="256">
        <v>0.53</v>
      </c>
      <c r="DN75" s="256">
        <v>0.44</v>
      </c>
      <c r="DO75" s="256">
        <v>0.37</v>
      </c>
      <c r="DP75" s="256">
        <v>0.5</v>
      </c>
      <c r="DQ75" s="256">
        <v>0.57999999999999996</v>
      </c>
      <c r="DR75" s="256">
        <v>0.28999999999999998</v>
      </c>
      <c r="DS75" s="256">
        <v>0.38</v>
      </c>
      <c r="DT75" s="256">
        <v>0.45</v>
      </c>
      <c r="DU75" s="256">
        <v>0.57999999999999996</v>
      </c>
      <c r="DV75" s="256">
        <v>0.68</v>
      </c>
      <c r="DW75" s="256">
        <v>0.33</v>
      </c>
      <c r="DX75" s="251">
        <v>48</v>
      </c>
      <c r="DY75" s="251">
        <v>8</v>
      </c>
      <c r="DZ75" s="260">
        <v>0.19</v>
      </c>
      <c r="EA75" s="260">
        <v>0.65</v>
      </c>
      <c r="EB75" s="260">
        <v>0.15</v>
      </c>
      <c r="EC75" s="260">
        <v>0</v>
      </c>
      <c r="ED75" s="260">
        <v>0.56999999999999995</v>
      </c>
      <c r="EE75" s="260">
        <v>0.5</v>
      </c>
      <c r="EF75" s="260">
        <v>0.46</v>
      </c>
      <c r="EG75" s="260">
        <v>0.38</v>
      </c>
      <c r="EH75" s="260">
        <v>0.51</v>
      </c>
      <c r="EI75" s="260">
        <v>0.55000000000000004</v>
      </c>
      <c r="EJ75" s="260">
        <v>0.62</v>
      </c>
      <c r="EK75" s="260">
        <v>0.17</v>
      </c>
      <c r="EL75" s="260">
        <v>0.59</v>
      </c>
      <c r="EM75" s="260">
        <v>0.78</v>
      </c>
      <c r="EN75" s="260">
        <v>0.48</v>
      </c>
      <c r="EO75" s="260">
        <v>0.59</v>
      </c>
      <c r="EP75" s="260">
        <v>0.28000000000000003</v>
      </c>
      <c r="EQ75" s="260">
        <v>0.22</v>
      </c>
      <c r="ER75" s="260">
        <v>0.67</v>
      </c>
      <c r="ES75" s="260">
        <v>0.55000000000000004</v>
      </c>
      <c r="ET75" s="260">
        <v>0.27</v>
      </c>
      <c r="EU75" s="260">
        <v>0.63</v>
      </c>
      <c r="EV75" s="260">
        <v>0.53</v>
      </c>
      <c r="EW75" s="260">
        <v>0.43</v>
      </c>
      <c r="EX75" s="260">
        <v>0.6</v>
      </c>
      <c r="EY75" s="260">
        <v>0.59</v>
      </c>
      <c r="EZ75" s="260">
        <v>0.17</v>
      </c>
      <c r="FA75" s="260">
        <v>0.64</v>
      </c>
      <c r="FB75" s="247">
        <v>46</v>
      </c>
      <c r="FC75" s="247" t="s">
        <v>874</v>
      </c>
      <c r="FD75" s="247">
        <v>6</v>
      </c>
      <c r="FE75" s="247" t="s">
        <v>874</v>
      </c>
      <c r="FF75" s="264">
        <v>0.06</v>
      </c>
      <c r="FG75" s="264">
        <v>0.88</v>
      </c>
      <c r="FH75" s="264">
        <v>0.06</v>
      </c>
      <c r="FI75" s="264">
        <v>0</v>
      </c>
      <c r="FJ75" s="264">
        <v>0.65</v>
      </c>
      <c r="FK75" s="264">
        <v>0.86</v>
      </c>
      <c r="FL75" s="264">
        <v>0.52</v>
      </c>
      <c r="FM75" s="264">
        <v>0.42</v>
      </c>
      <c r="FN75" s="264">
        <v>0.32</v>
      </c>
      <c r="FO75" s="264">
        <v>0.32</v>
      </c>
      <c r="FP75" s="264">
        <v>0.36</v>
      </c>
      <c r="FQ75" s="264">
        <v>0.38</v>
      </c>
      <c r="FR75" s="264">
        <v>0.57999999999999996</v>
      </c>
      <c r="FS75" s="264">
        <v>0.73</v>
      </c>
      <c r="FT75" s="264">
        <v>0.71</v>
      </c>
      <c r="FU75" s="264">
        <v>0.5</v>
      </c>
      <c r="FV75" s="264">
        <v>0.69</v>
      </c>
      <c r="FW75" s="264">
        <v>0.52</v>
      </c>
      <c r="FX75" s="264">
        <v>0.59</v>
      </c>
      <c r="FY75" s="264">
        <v>0.43</v>
      </c>
      <c r="FZ75" s="264">
        <v>0.56999999999999995</v>
      </c>
      <c r="GA75" s="264">
        <v>0.43</v>
      </c>
      <c r="GB75" s="264">
        <v>0.56999999999999995</v>
      </c>
      <c r="GC75" s="264">
        <v>0.45</v>
      </c>
      <c r="GD75" s="264">
        <v>0.69</v>
      </c>
      <c r="GE75" s="264">
        <v>0.52</v>
      </c>
      <c r="GF75" s="264">
        <v>0.68</v>
      </c>
      <c r="GG75" s="264">
        <v>0.5</v>
      </c>
      <c r="GH75" s="264">
        <v>0.76</v>
      </c>
      <c r="GI75" s="264">
        <v>0.32</v>
      </c>
      <c r="GJ75" s="311">
        <v>51</v>
      </c>
      <c r="GK75" s="311" t="s">
        <v>874</v>
      </c>
      <c r="GL75" s="311">
        <v>10</v>
      </c>
      <c r="GM75" s="311" t="s">
        <v>874</v>
      </c>
      <c r="GN75" s="329">
        <v>0.08</v>
      </c>
      <c r="GO75" s="329">
        <v>0.71</v>
      </c>
      <c r="GP75" s="329">
        <v>0.13</v>
      </c>
      <c r="GQ75" s="329">
        <v>0.08</v>
      </c>
      <c r="GR75" s="329">
        <v>0.56000000000000005</v>
      </c>
      <c r="GS75" s="329">
        <v>0.54</v>
      </c>
      <c r="GT75" s="329">
        <v>0.59</v>
      </c>
      <c r="GU75" s="329">
        <v>0.33</v>
      </c>
      <c r="GV75" s="329">
        <v>0.64</v>
      </c>
      <c r="GW75" s="329">
        <v>0.39</v>
      </c>
      <c r="GX75" s="329">
        <v>0.47</v>
      </c>
      <c r="GY75" s="311" t="s">
        <v>283</v>
      </c>
      <c r="GZ75" s="329">
        <v>0.24</v>
      </c>
      <c r="HA75" s="329">
        <v>0.73</v>
      </c>
      <c r="HB75" s="329">
        <v>0.42</v>
      </c>
      <c r="HC75" s="329">
        <v>0.42</v>
      </c>
      <c r="HD75" s="329">
        <v>0.56999999999999995</v>
      </c>
      <c r="HE75" s="329">
        <v>0.48</v>
      </c>
      <c r="HF75" s="329">
        <v>0.47</v>
      </c>
      <c r="HG75" s="329">
        <v>0.64</v>
      </c>
      <c r="HH75" s="329">
        <v>0.39</v>
      </c>
      <c r="HI75" s="329">
        <v>0.63</v>
      </c>
      <c r="HJ75" s="329">
        <v>0.5</v>
      </c>
      <c r="HK75" s="329">
        <v>0.61</v>
      </c>
      <c r="HL75" s="329">
        <v>0.51</v>
      </c>
      <c r="HM75" s="329">
        <v>0.45</v>
      </c>
      <c r="HN75" s="329">
        <v>0.61</v>
      </c>
      <c r="HO75" s="329">
        <v>0.42</v>
      </c>
      <c r="HP75" s="311" t="s">
        <v>283</v>
      </c>
      <c r="HQ75" s="329">
        <v>0.43</v>
      </c>
      <c r="HR75" s="426">
        <v>54</v>
      </c>
      <c r="HS75" s="426" t="s">
        <v>874</v>
      </c>
      <c r="HT75" s="426">
        <v>11</v>
      </c>
      <c r="HU75" s="426" t="s">
        <v>874</v>
      </c>
      <c r="HV75" s="430">
        <v>0.13</v>
      </c>
      <c r="HW75" s="430">
        <v>0.28999999999999998</v>
      </c>
      <c r="HX75" s="430">
        <v>0.57999999999999996</v>
      </c>
      <c r="HY75" s="430">
        <v>0</v>
      </c>
      <c r="HZ75" s="430">
        <v>0.26</v>
      </c>
      <c r="IA75" s="430">
        <v>0.49</v>
      </c>
      <c r="IB75" s="430">
        <v>0.3</v>
      </c>
      <c r="IC75" s="430">
        <v>0.35</v>
      </c>
      <c r="ID75" s="430">
        <v>0.62</v>
      </c>
      <c r="IE75" s="430">
        <v>0.28999999999999998</v>
      </c>
      <c r="IF75" s="430">
        <v>0.32</v>
      </c>
      <c r="IG75" s="430">
        <v>0.49</v>
      </c>
      <c r="IH75" s="430">
        <v>0.48</v>
      </c>
      <c r="II75" s="430">
        <v>0.33</v>
      </c>
      <c r="IJ75" s="430">
        <v>0.2</v>
      </c>
      <c r="IK75" s="430">
        <v>0.5</v>
      </c>
      <c r="IL75" s="430">
        <v>0.31</v>
      </c>
      <c r="IM75" s="430">
        <v>0.57999999999999996</v>
      </c>
      <c r="IN75" s="430">
        <v>0.36</v>
      </c>
      <c r="IO75" s="430">
        <v>0.45</v>
      </c>
      <c r="IP75" s="430">
        <v>0.33</v>
      </c>
      <c r="IQ75" s="430">
        <v>0.63</v>
      </c>
      <c r="IR75" s="430">
        <v>0.53</v>
      </c>
      <c r="IS75" s="430">
        <v>0.46</v>
      </c>
      <c r="IT75" s="430">
        <v>0.42</v>
      </c>
      <c r="IU75" s="426" t="s">
        <v>283</v>
      </c>
      <c r="IV75" s="430">
        <v>0.49</v>
      </c>
      <c r="IW75" s="430">
        <v>0.35</v>
      </c>
      <c r="IX75" s="430">
        <v>0.5</v>
      </c>
      <c r="IY75" s="430">
        <v>0.39</v>
      </c>
      <c r="IZ75" s="466">
        <v>56</v>
      </c>
      <c r="JA75" s="466" t="s">
        <v>874</v>
      </c>
      <c r="JB75" s="466">
        <v>9</v>
      </c>
      <c r="JC75" s="466" t="s">
        <v>874</v>
      </c>
      <c r="JD75" s="480">
        <v>0.05</v>
      </c>
      <c r="JE75" s="480">
        <v>0.45</v>
      </c>
      <c r="JF75" s="480">
        <v>0.45</v>
      </c>
      <c r="JG75" s="480">
        <v>0.05</v>
      </c>
      <c r="JH75" s="480">
        <v>0.23</v>
      </c>
      <c r="JI75" s="480">
        <v>0.33</v>
      </c>
      <c r="JJ75" s="480">
        <v>0.23</v>
      </c>
      <c r="JK75" s="480">
        <v>0.38</v>
      </c>
      <c r="JL75" s="480">
        <v>0.35</v>
      </c>
      <c r="JM75" s="480">
        <v>0.39</v>
      </c>
      <c r="JN75" s="480">
        <v>0.38</v>
      </c>
      <c r="JO75" s="480">
        <v>0.45</v>
      </c>
      <c r="JP75" s="480">
        <v>0.38</v>
      </c>
      <c r="JQ75" s="480">
        <v>0.39</v>
      </c>
      <c r="JR75" s="480">
        <v>0.53</v>
      </c>
      <c r="JS75" s="480">
        <v>0.5</v>
      </c>
      <c r="JT75" s="480">
        <v>0.39</v>
      </c>
      <c r="JU75" s="480">
        <v>0.51</v>
      </c>
      <c r="JV75" s="480">
        <v>0.31</v>
      </c>
      <c r="JW75" s="480">
        <v>0.36</v>
      </c>
      <c r="JX75" s="480">
        <v>0.33</v>
      </c>
      <c r="JY75" s="480">
        <v>0.5</v>
      </c>
      <c r="JZ75" s="480">
        <v>0.21</v>
      </c>
      <c r="KA75" s="480">
        <v>0.57999999999999996</v>
      </c>
      <c r="KB75" s="480">
        <v>0.27</v>
      </c>
      <c r="KC75" s="480">
        <v>0.52</v>
      </c>
      <c r="KD75" s="480">
        <v>0.32</v>
      </c>
      <c r="KE75" s="480">
        <v>0.4</v>
      </c>
      <c r="KF75" s="480">
        <v>0.38</v>
      </c>
      <c r="KG75" s="480">
        <v>0.52</v>
      </c>
    </row>
    <row r="76" spans="1:293" ht="24.95" customHeight="1" x14ac:dyDescent="0.2">
      <c r="A76" s="126" t="s">
        <v>203</v>
      </c>
      <c r="B76" s="1" t="s">
        <v>221</v>
      </c>
      <c r="C76" s="2">
        <v>1</v>
      </c>
      <c r="D76" s="12">
        <v>56</v>
      </c>
      <c r="E76" s="12">
        <v>4</v>
      </c>
      <c r="F76" s="66">
        <v>0</v>
      </c>
      <c r="G76" s="66">
        <v>0.59</v>
      </c>
      <c r="H76" s="66">
        <v>0.41</v>
      </c>
      <c r="I76" s="66">
        <v>0</v>
      </c>
      <c r="J76" s="66">
        <v>0.35</v>
      </c>
      <c r="K76" s="66">
        <v>0.28000000000000003</v>
      </c>
      <c r="L76" s="66">
        <v>0.66</v>
      </c>
      <c r="M76" s="66">
        <v>0.13</v>
      </c>
      <c r="N76" s="66">
        <v>0.21</v>
      </c>
      <c r="O76" s="66">
        <v>0.78</v>
      </c>
      <c r="P76" s="66">
        <v>0.34</v>
      </c>
      <c r="Q76" s="66">
        <v>0.28999999999999998</v>
      </c>
      <c r="R76" s="66">
        <v>0.56999999999999995</v>
      </c>
      <c r="S76" s="66">
        <v>0.77</v>
      </c>
      <c r="T76" s="66">
        <v>0.3</v>
      </c>
      <c r="U76" s="66">
        <v>0.59</v>
      </c>
      <c r="V76" s="66">
        <v>0</v>
      </c>
      <c r="W76" s="66">
        <v>0.06</v>
      </c>
      <c r="X76" s="66">
        <v>0.41</v>
      </c>
      <c r="Y76" s="66">
        <v>0.53</v>
      </c>
      <c r="Z76" s="12" t="s">
        <v>283</v>
      </c>
      <c r="AA76" s="66">
        <v>0.06</v>
      </c>
      <c r="AB76" s="66">
        <v>0.51</v>
      </c>
      <c r="AC76" s="66">
        <v>0.08</v>
      </c>
      <c r="AD76" s="66">
        <v>0.4</v>
      </c>
      <c r="AE76" s="66">
        <v>0.31</v>
      </c>
      <c r="AF76" s="66">
        <v>0.27</v>
      </c>
      <c r="AG76" s="66">
        <v>0.59</v>
      </c>
      <c r="AH76" s="12">
        <v>50</v>
      </c>
      <c r="AI76" s="12">
        <v>10</v>
      </c>
      <c r="AJ76" s="40">
        <v>0.22</v>
      </c>
      <c r="AK76" s="40">
        <v>0.33</v>
      </c>
      <c r="AL76" s="40">
        <v>0.44</v>
      </c>
      <c r="AM76" s="40">
        <v>0</v>
      </c>
      <c r="AN76" s="40">
        <v>0.28999999999999998</v>
      </c>
      <c r="AO76" s="40">
        <v>0.3</v>
      </c>
      <c r="AP76" s="40">
        <v>0.57999999999999996</v>
      </c>
      <c r="AQ76" s="40">
        <v>0.5</v>
      </c>
      <c r="AR76" s="40">
        <v>0.73</v>
      </c>
      <c r="AS76" s="40">
        <v>0.63</v>
      </c>
      <c r="AT76" s="40">
        <v>0.33</v>
      </c>
      <c r="AU76" s="40">
        <v>0.48</v>
      </c>
      <c r="AV76" s="40">
        <v>0.33</v>
      </c>
      <c r="AW76" s="40">
        <v>0.5</v>
      </c>
      <c r="AX76" s="40">
        <v>0.63</v>
      </c>
      <c r="AY76" s="40">
        <v>0.39</v>
      </c>
      <c r="AZ76" s="40">
        <v>0.47</v>
      </c>
      <c r="BA76" s="40">
        <v>0.45</v>
      </c>
      <c r="BB76" s="40">
        <v>0.69</v>
      </c>
      <c r="BC76" s="40">
        <v>0.79</v>
      </c>
      <c r="BD76" s="40">
        <v>0.45</v>
      </c>
      <c r="BE76" s="40">
        <v>0.33</v>
      </c>
      <c r="BF76" s="40">
        <v>0.5</v>
      </c>
      <c r="BG76" s="40">
        <v>0.62</v>
      </c>
      <c r="BH76" s="40">
        <v>0.49</v>
      </c>
      <c r="BI76" s="40">
        <v>0.42</v>
      </c>
      <c r="BJ76" s="40">
        <v>0.5</v>
      </c>
      <c r="BK76" s="40">
        <v>0.41</v>
      </c>
      <c r="BL76" s="40">
        <v>0.75</v>
      </c>
      <c r="BM76" s="12">
        <v>50</v>
      </c>
      <c r="BN76" s="12">
        <v>8</v>
      </c>
      <c r="BO76" s="66">
        <v>0.13</v>
      </c>
      <c r="BP76" s="66">
        <v>0.63</v>
      </c>
      <c r="BQ76" s="66">
        <v>0.25</v>
      </c>
      <c r="BR76" s="66">
        <v>0</v>
      </c>
      <c r="BS76" s="66">
        <v>0.53</v>
      </c>
      <c r="BT76" s="66">
        <v>0.33</v>
      </c>
      <c r="BU76" s="66">
        <v>0.38</v>
      </c>
      <c r="BV76" s="66">
        <v>0.5</v>
      </c>
      <c r="BW76" s="66">
        <v>0.5</v>
      </c>
      <c r="BX76" s="66">
        <v>0.35</v>
      </c>
      <c r="BY76" s="66">
        <v>0.38</v>
      </c>
      <c r="BZ76" s="66">
        <v>0.65</v>
      </c>
      <c r="CA76" s="66">
        <v>0.43</v>
      </c>
      <c r="CB76" s="66">
        <v>0.42</v>
      </c>
      <c r="CC76" s="66">
        <v>0.13</v>
      </c>
      <c r="CD76" s="66">
        <v>0.41</v>
      </c>
      <c r="CE76" s="66">
        <v>0.33</v>
      </c>
      <c r="CF76" s="66">
        <v>0.17</v>
      </c>
      <c r="CG76" s="66">
        <v>0.6</v>
      </c>
      <c r="CH76" s="66">
        <v>0.41</v>
      </c>
      <c r="CI76" s="66">
        <v>0.72</v>
      </c>
      <c r="CJ76" s="66">
        <v>0.4</v>
      </c>
      <c r="CK76" s="66">
        <v>0.6</v>
      </c>
      <c r="CL76" s="66">
        <v>0.35</v>
      </c>
      <c r="CM76" s="66">
        <v>0.4</v>
      </c>
      <c r="CN76" s="66">
        <v>0.52</v>
      </c>
      <c r="CO76" s="66">
        <v>0.69</v>
      </c>
      <c r="CP76" s="66">
        <v>0.33</v>
      </c>
      <c r="CQ76" s="66">
        <v>0.59</v>
      </c>
      <c r="CR76" s="66">
        <v>0.63</v>
      </c>
      <c r="CS76" s="12">
        <v>48</v>
      </c>
      <c r="CT76" s="12">
        <v>8</v>
      </c>
      <c r="CU76" s="63">
        <v>0.22</v>
      </c>
      <c r="CV76" s="63">
        <v>0.67</v>
      </c>
      <c r="CW76" s="63">
        <v>0.11</v>
      </c>
      <c r="CX76" s="63">
        <v>0</v>
      </c>
      <c r="CY76" s="63">
        <v>0.67</v>
      </c>
      <c r="CZ76" s="63">
        <v>0.43</v>
      </c>
      <c r="DA76" s="63">
        <v>0.59</v>
      </c>
      <c r="DB76" s="63">
        <v>0.57999999999999996</v>
      </c>
      <c r="DC76" s="63">
        <v>0.47</v>
      </c>
      <c r="DD76" s="63">
        <v>0.57999999999999996</v>
      </c>
      <c r="DE76" s="63">
        <v>0.42</v>
      </c>
      <c r="DF76" s="63">
        <v>0.64</v>
      </c>
      <c r="DG76" s="63">
        <v>0.76</v>
      </c>
      <c r="DH76" s="63">
        <v>0.48</v>
      </c>
      <c r="DI76" s="63">
        <v>0.23</v>
      </c>
      <c r="DJ76" s="63">
        <v>0.64</v>
      </c>
      <c r="DK76" s="63">
        <v>0.57999999999999996</v>
      </c>
      <c r="DL76" s="63">
        <v>0.67</v>
      </c>
      <c r="DM76" s="63">
        <v>0.46</v>
      </c>
      <c r="DN76" s="63">
        <v>0.43</v>
      </c>
      <c r="DO76" s="63">
        <v>0.5</v>
      </c>
      <c r="DP76" s="63">
        <v>0.37</v>
      </c>
      <c r="DQ76" s="63">
        <v>0.57999999999999996</v>
      </c>
      <c r="DR76" s="63">
        <v>0</v>
      </c>
      <c r="DS76" s="63">
        <v>0.47</v>
      </c>
      <c r="DT76" s="63">
        <v>0.65</v>
      </c>
      <c r="DU76" s="63">
        <v>0.67</v>
      </c>
      <c r="DV76" s="63">
        <v>0.59</v>
      </c>
      <c r="DW76" s="63">
        <v>0.2</v>
      </c>
      <c r="DX76" s="35">
        <v>53</v>
      </c>
      <c r="DY76" s="35">
        <v>9</v>
      </c>
      <c r="DZ76" s="40">
        <v>0</v>
      </c>
      <c r="EA76" s="40">
        <v>0.63</v>
      </c>
      <c r="EB76" s="40">
        <v>0.38</v>
      </c>
      <c r="EC76" s="40">
        <v>0</v>
      </c>
      <c r="ED76" s="40">
        <v>0.4</v>
      </c>
      <c r="EE76" s="40">
        <v>0.35</v>
      </c>
      <c r="EF76" s="40">
        <v>0.33</v>
      </c>
      <c r="EG76" s="40">
        <v>0</v>
      </c>
      <c r="EH76" s="40">
        <v>0.56000000000000005</v>
      </c>
      <c r="EI76" s="40">
        <v>0.56000000000000005</v>
      </c>
      <c r="EJ76" s="40">
        <v>0.61</v>
      </c>
      <c r="EK76" s="40">
        <v>0.3</v>
      </c>
      <c r="EL76" s="40">
        <v>0.48</v>
      </c>
      <c r="EM76" s="40">
        <v>0.43</v>
      </c>
      <c r="EN76" s="40">
        <v>0.39</v>
      </c>
      <c r="EO76" s="40">
        <v>0.5</v>
      </c>
      <c r="EP76" s="40">
        <v>0.38</v>
      </c>
      <c r="EQ76" s="40">
        <v>0.18</v>
      </c>
      <c r="ER76" s="40">
        <v>0.47</v>
      </c>
      <c r="ES76" s="40">
        <v>0.33</v>
      </c>
      <c r="ET76" s="40">
        <v>0.33</v>
      </c>
      <c r="EU76" s="40">
        <v>0.56000000000000005</v>
      </c>
      <c r="EV76" s="40">
        <v>0.4</v>
      </c>
      <c r="EW76" s="40">
        <v>0.2</v>
      </c>
      <c r="EX76" s="40">
        <v>0.5</v>
      </c>
      <c r="EY76" s="40">
        <v>0.55000000000000004</v>
      </c>
      <c r="EZ76" s="40">
        <v>0.25</v>
      </c>
      <c r="FA76" s="40">
        <v>0.63</v>
      </c>
      <c r="FB76" s="653">
        <v>52</v>
      </c>
      <c r="FC76" s="653" t="s">
        <v>874</v>
      </c>
      <c r="FD76" s="653">
        <v>6</v>
      </c>
      <c r="FE76" s="653" t="s">
        <v>874</v>
      </c>
      <c r="FF76" s="654">
        <v>0.09</v>
      </c>
      <c r="FG76" s="654">
        <v>0.64</v>
      </c>
      <c r="FH76" s="654">
        <v>0.27</v>
      </c>
      <c r="FI76" s="654">
        <v>0</v>
      </c>
      <c r="FJ76" s="654">
        <v>0.39</v>
      </c>
      <c r="FK76" s="654">
        <v>0.62</v>
      </c>
      <c r="FL76" s="654">
        <v>0.42</v>
      </c>
      <c r="FM76" s="654">
        <v>0.33</v>
      </c>
      <c r="FN76" s="654">
        <v>0.22</v>
      </c>
      <c r="FO76" s="654">
        <v>0.35</v>
      </c>
      <c r="FP76" s="654">
        <v>0.24</v>
      </c>
      <c r="FQ76" s="654">
        <v>0.42</v>
      </c>
      <c r="FR76" s="654">
        <v>0.56999999999999995</v>
      </c>
      <c r="FS76" s="654">
        <v>0.5</v>
      </c>
      <c r="FT76" s="654">
        <v>0.52</v>
      </c>
      <c r="FU76" s="654">
        <v>0.25</v>
      </c>
      <c r="FV76" s="654">
        <v>0.31</v>
      </c>
      <c r="FW76" s="654">
        <v>0.52</v>
      </c>
      <c r="FX76" s="654">
        <v>0.4</v>
      </c>
      <c r="FY76" s="654">
        <v>0.25</v>
      </c>
      <c r="FZ76" s="654">
        <v>0.45</v>
      </c>
      <c r="GA76" s="654">
        <v>0.57999999999999996</v>
      </c>
      <c r="GB76" s="654">
        <v>0.53</v>
      </c>
      <c r="GC76" s="654">
        <v>0.61</v>
      </c>
      <c r="GD76" s="654">
        <v>0.73</v>
      </c>
      <c r="GE76" s="654">
        <v>0.36</v>
      </c>
      <c r="GF76" s="654">
        <v>0.38</v>
      </c>
      <c r="GG76" s="654">
        <v>0.35</v>
      </c>
      <c r="GH76" s="654">
        <v>0.52</v>
      </c>
      <c r="GI76" s="654">
        <v>0.18</v>
      </c>
      <c r="GJ76" s="74">
        <v>52</v>
      </c>
      <c r="GK76" s="74" t="s">
        <v>874</v>
      </c>
      <c r="GL76" s="74">
        <v>9</v>
      </c>
      <c r="GM76" s="74" t="s">
        <v>874</v>
      </c>
      <c r="GN76" s="96">
        <v>0.17</v>
      </c>
      <c r="GO76" s="96">
        <v>0.35</v>
      </c>
      <c r="GP76" s="96">
        <v>0.48</v>
      </c>
      <c r="GQ76" s="96">
        <v>0</v>
      </c>
      <c r="GR76" s="96">
        <v>0.5</v>
      </c>
      <c r="GS76" s="96">
        <v>0.38</v>
      </c>
      <c r="GT76" s="96">
        <v>0.51</v>
      </c>
      <c r="GU76" s="96">
        <v>0.33</v>
      </c>
      <c r="GV76" s="96">
        <v>0.52</v>
      </c>
      <c r="GW76" s="96">
        <v>0.5</v>
      </c>
      <c r="GX76" s="96">
        <v>0.46</v>
      </c>
      <c r="GY76" s="74" t="s">
        <v>283</v>
      </c>
      <c r="GZ76" s="96">
        <v>0.32</v>
      </c>
      <c r="HA76" s="96">
        <v>0.77</v>
      </c>
      <c r="HB76" s="96">
        <v>0.56000000000000005</v>
      </c>
      <c r="HC76" s="96">
        <v>0.53</v>
      </c>
      <c r="HD76" s="96">
        <v>0.57999999999999996</v>
      </c>
      <c r="HE76" s="96">
        <v>0.39</v>
      </c>
      <c r="HF76" s="96">
        <v>0.52</v>
      </c>
      <c r="HG76" s="96">
        <v>0.62</v>
      </c>
      <c r="HH76" s="96">
        <v>0.26</v>
      </c>
      <c r="HI76" s="96">
        <v>0.44</v>
      </c>
      <c r="HJ76" s="96">
        <v>0.56999999999999995</v>
      </c>
      <c r="HK76" s="96">
        <v>0.45</v>
      </c>
      <c r="HL76" s="96">
        <v>0.26</v>
      </c>
      <c r="HM76" s="96">
        <v>0.44</v>
      </c>
      <c r="HN76" s="96">
        <v>0.46</v>
      </c>
      <c r="HO76" s="96">
        <v>0.42</v>
      </c>
      <c r="HP76" s="74" t="s">
        <v>283</v>
      </c>
      <c r="HQ76" s="96">
        <v>0.42</v>
      </c>
      <c r="HR76" s="426">
        <v>51</v>
      </c>
      <c r="HS76" s="426" t="s">
        <v>874</v>
      </c>
      <c r="HT76" s="426">
        <v>8</v>
      </c>
      <c r="HU76" s="426" t="s">
        <v>874</v>
      </c>
      <c r="HV76" s="430">
        <v>0.05</v>
      </c>
      <c r="HW76" s="430">
        <v>0.68</v>
      </c>
      <c r="HX76" s="430">
        <v>0.27</v>
      </c>
      <c r="HY76" s="430">
        <v>0</v>
      </c>
      <c r="HZ76" s="430">
        <v>0.39</v>
      </c>
      <c r="IA76" s="430">
        <v>0.46</v>
      </c>
      <c r="IB76" s="430">
        <v>0.48</v>
      </c>
      <c r="IC76" s="430">
        <v>0.49</v>
      </c>
      <c r="ID76" s="430">
        <v>0.57999999999999996</v>
      </c>
      <c r="IE76" s="430">
        <v>0.32</v>
      </c>
      <c r="IF76" s="430">
        <v>0.43</v>
      </c>
      <c r="IG76" s="430">
        <v>0.69</v>
      </c>
      <c r="IH76" s="430">
        <v>0.4</v>
      </c>
      <c r="II76" s="430">
        <v>0.25</v>
      </c>
      <c r="IJ76" s="430">
        <v>0.33</v>
      </c>
      <c r="IK76" s="430">
        <v>0.56999999999999995</v>
      </c>
      <c r="IL76" s="430">
        <v>0.4</v>
      </c>
      <c r="IM76" s="430">
        <v>0.51</v>
      </c>
      <c r="IN76" s="430">
        <v>0.36</v>
      </c>
      <c r="IO76" s="430">
        <v>0.56000000000000005</v>
      </c>
      <c r="IP76" s="430">
        <v>0.35</v>
      </c>
      <c r="IQ76" s="430">
        <v>0.48</v>
      </c>
      <c r="IR76" s="430">
        <v>0.48</v>
      </c>
      <c r="IS76" s="430">
        <v>0.63</v>
      </c>
      <c r="IT76" s="430">
        <v>0.43</v>
      </c>
      <c r="IU76" s="426" t="s">
        <v>283</v>
      </c>
      <c r="IV76" s="430">
        <v>0.72</v>
      </c>
      <c r="IW76" s="430">
        <v>0.3</v>
      </c>
      <c r="IX76" s="430">
        <v>0.54</v>
      </c>
      <c r="IY76" s="430">
        <v>0.6</v>
      </c>
      <c r="IZ76" s="466">
        <v>55</v>
      </c>
      <c r="JA76" s="466" t="s">
        <v>874</v>
      </c>
      <c r="JB76" s="466">
        <v>6</v>
      </c>
      <c r="JC76" s="466" t="s">
        <v>874</v>
      </c>
      <c r="JD76" s="480">
        <v>0</v>
      </c>
      <c r="JE76" s="480">
        <v>0.42</v>
      </c>
      <c r="JF76" s="480">
        <v>0.57999999999999996</v>
      </c>
      <c r="JG76" s="480">
        <v>0</v>
      </c>
      <c r="JH76" s="480">
        <v>0.44</v>
      </c>
      <c r="JI76" s="480">
        <v>0.35</v>
      </c>
      <c r="JJ76" s="480">
        <v>0.33</v>
      </c>
      <c r="JK76" s="480">
        <v>0.37</v>
      </c>
      <c r="JL76" s="480">
        <v>0.34</v>
      </c>
      <c r="JM76" s="480">
        <v>0.34</v>
      </c>
      <c r="JN76" s="480">
        <v>0.35</v>
      </c>
      <c r="JO76" s="480">
        <v>0.4</v>
      </c>
      <c r="JP76" s="480">
        <v>0.63</v>
      </c>
      <c r="JQ76" s="480">
        <v>0.16</v>
      </c>
      <c r="JR76" s="480">
        <v>0.6</v>
      </c>
      <c r="JS76" s="480">
        <v>0.57999999999999996</v>
      </c>
      <c r="JT76" s="480">
        <v>0.33</v>
      </c>
      <c r="JU76" s="480">
        <v>0.37</v>
      </c>
      <c r="JV76" s="480">
        <v>0.44</v>
      </c>
      <c r="JW76" s="480">
        <v>0.48</v>
      </c>
      <c r="JX76" s="480">
        <v>0.35</v>
      </c>
      <c r="JY76" s="480">
        <v>0.38</v>
      </c>
      <c r="JZ76" s="480">
        <v>0.38</v>
      </c>
      <c r="KA76" s="480">
        <v>0.88</v>
      </c>
      <c r="KB76" s="480">
        <v>0.5</v>
      </c>
      <c r="KC76" s="480">
        <v>0.63</v>
      </c>
      <c r="KD76" s="480">
        <v>0.28000000000000003</v>
      </c>
      <c r="KE76" s="480">
        <v>0.41</v>
      </c>
      <c r="KF76" s="480">
        <v>0.44</v>
      </c>
      <c r="KG76" s="480">
        <v>0.45</v>
      </c>
    </row>
    <row r="77" spans="1:293" ht="24.95" customHeight="1" x14ac:dyDescent="0.2">
      <c r="A77" s="126" t="s">
        <v>922</v>
      </c>
      <c r="B77" s="14" t="s">
        <v>221</v>
      </c>
      <c r="C77" s="2">
        <v>2</v>
      </c>
      <c r="D77" s="12"/>
      <c r="E77" s="12"/>
      <c r="F77" s="66"/>
      <c r="G77" s="66"/>
      <c r="H77" s="66"/>
      <c r="I77" s="66"/>
      <c r="J77" s="66"/>
      <c r="K77" s="66"/>
      <c r="L77" s="66"/>
      <c r="M77" s="66"/>
      <c r="N77" s="66"/>
      <c r="O77" s="66"/>
      <c r="P77" s="66"/>
      <c r="Q77" s="66"/>
      <c r="R77" s="66"/>
      <c r="S77" s="66"/>
      <c r="T77" s="66"/>
      <c r="U77" s="66"/>
      <c r="V77" s="66"/>
      <c r="W77" s="66"/>
      <c r="X77" s="66"/>
      <c r="Y77" s="66"/>
      <c r="Z77" s="12"/>
      <c r="AA77" s="66"/>
      <c r="AB77" s="66"/>
      <c r="AC77" s="66"/>
      <c r="AD77" s="66"/>
      <c r="AE77" s="66"/>
      <c r="AF77" s="66"/>
      <c r="AG77" s="66"/>
      <c r="AH77" s="12"/>
      <c r="AI77" s="12"/>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12"/>
      <c r="BN77" s="12"/>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12"/>
      <c r="CT77" s="12"/>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35"/>
      <c r="DY77" s="35"/>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247"/>
      <c r="FC77" s="247"/>
      <c r="FD77" s="247"/>
      <c r="FE77" s="247"/>
      <c r="FF77" s="264"/>
      <c r="FG77" s="264"/>
      <c r="FH77" s="264"/>
      <c r="FI77" s="264"/>
      <c r="FJ77" s="264"/>
      <c r="FK77" s="264"/>
      <c r="FL77" s="264"/>
      <c r="FM77" s="264"/>
      <c r="FN77" s="264"/>
      <c r="FO77" s="264"/>
      <c r="FP77" s="264"/>
      <c r="FQ77" s="264"/>
      <c r="FR77" s="264"/>
      <c r="FS77" s="264"/>
      <c r="FT77" s="264"/>
      <c r="FU77" s="264"/>
      <c r="FV77" s="264"/>
      <c r="FW77" s="264"/>
      <c r="FX77" s="264"/>
      <c r="FY77" s="264"/>
      <c r="FZ77" s="264"/>
      <c r="GA77" s="264"/>
      <c r="GB77" s="264"/>
      <c r="GC77" s="264"/>
      <c r="GD77" s="264"/>
      <c r="GE77" s="264"/>
      <c r="GF77" s="264"/>
      <c r="GG77" s="264"/>
      <c r="GH77" s="264"/>
      <c r="GI77" s="264"/>
      <c r="GJ77" s="311">
        <v>53</v>
      </c>
      <c r="GK77" s="311" t="s">
        <v>874</v>
      </c>
      <c r="GL77" s="311">
        <v>6</v>
      </c>
      <c r="GM77" s="311" t="s">
        <v>874</v>
      </c>
      <c r="GN77" s="329">
        <v>0</v>
      </c>
      <c r="GO77" s="329">
        <v>0.6</v>
      </c>
      <c r="GP77" s="329">
        <v>0.4</v>
      </c>
      <c r="GQ77" s="329">
        <v>0</v>
      </c>
      <c r="GR77" s="329">
        <v>0.64</v>
      </c>
      <c r="GS77" s="329">
        <v>0.28000000000000003</v>
      </c>
      <c r="GT77" s="329">
        <v>0.57999999999999996</v>
      </c>
      <c r="GU77" s="329">
        <v>0.25</v>
      </c>
      <c r="GV77" s="329">
        <v>0.48</v>
      </c>
      <c r="GW77" s="329">
        <v>0.47</v>
      </c>
      <c r="GX77" s="329">
        <v>0.38</v>
      </c>
      <c r="GY77" s="311" t="s">
        <v>283</v>
      </c>
      <c r="GZ77" s="329">
        <v>0.33</v>
      </c>
      <c r="HA77" s="329">
        <v>0.8</v>
      </c>
      <c r="HB77" s="329">
        <v>0.36</v>
      </c>
      <c r="HC77" s="329">
        <v>0.5</v>
      </c>
      <c r="HD77" s="329">
        <v>0.66</v>
      </c>
      <c r="HE77" s="329">
        <v>0.41</v>
      </c>
      <c r="HF77" s="329">
        <v>0.35</v>
      </c>
      <c r="HG77" s="329">
        <v>0.85</v>
      </c>
      <c r="HH77" s="329">
        <v>0.22</v>
      </c>
      <c r="HI77" s="329">
        <v>0.48</v>
      </c>
      <c r="HJ77" s="329">
        <v>0.64</v>
      </c>
      <c r="HK77" s="329">
        <v>0.63</v>
      </c>
      <c r="HL77" s="329">
        <v>0.34</v>
      </c>
      <c r="HM77" s="329">
        <v>0.54</v>
      </c>
      <c r="HN77" s="329">
        <v>0.43</v>
      </c>
      <c r="HO77" s="329">
        <v>0.36</v>
      </c>
      <c r="HP77" s="311" t="s">
        <v>283</v>
      </c>
      <c r="HQ77" s="329">
        <v>0.32</v>
      </c>
      <c r="HR77" s="426">
        <v>51</v>
      </c>
      <c r="HS77" s="426" t="s">
        <v>874</v>
      </c>
      <c r="HT77" s="426">
        <v>8</v>
      </c>
      <c r="HU77" s="426" t="s">
        <v>874</v>
      </c>
      <c r="HV77" s="430">
        <v>0.14000000000000001</v>
      </c>
      <c r="HW77" s="430">
        <v>0.52</v>
      </c>
      <c r="HX77" s="430">
        <v>0.33</v>
      </c>
      <c r="HY77" s="430">
        <v>0</v>
      </c>
      <c r="HZ77" s="430">
        <v>0.38</v>
      </c>
      <c r="IA77" s="430">
        <v>0.5</v>
      </c>
      <c r="IB77" s="430">
        <v>0.3</v>
      </c>
      <c r="IC77" s="430">
        <v>0.54</v>
      </c>
      <c r="ID77" s="430">
        <v>0.68</v>
      </c>
      <c r="IE77" s="430">
        <v>0.31</v>
      </c>
      <c r="IF77" s="430">
        <v>0.39</v>
      </c>
      <c r="IG77" s="430">
        <v>0.67</v>
      </c>
      <c r="IH77" s="430">
        <v>0.61</v>
      </c>
      <c r="II77" s="430">
        <v>0.44</v>
      </c>
      <c r="IJ77" s="430">
        <v>0.24</v>
      </c>
      <c r="IK77" s="430">
        <v>0.62</v>
      </c>
      <c r="IL77" s="430">
        <v>0.41</v>
      </c>
      <c r="IM77" s="430">
        <v>0.63</v>
      </c>
      <c r="IN77" s="430">
        <v>0.56000000000000005</v>
      </c>
      <c r="IO77" s="430">
        <v>0.6</v>
      </c>
      <c r="IP77" s="430">
        <v>0.41</v>
      </c>
      <c r="IQ77" s="430">
        <v>0.79</v>
      </c>
      <c r="IR77" s="430">
        <v>0.49</v>
      </c>
      <c r="IS77" s="430">
        <v>0.55000000000000004</v>
      </c>
      <c r="IT77" s="430">
        <v>0.41</v>
      </c>
      <c r="IU77" s="426" t="s">
        <v>283</v>
      </c>
      <c r="IV77" s="430">
        <v>0.59</v>
      </c>
      <c r="IW77" s="430">
        <v>0.37</v>
      </c>
      <c r="IX77" s="430">
        <v>0.47</v>
      </c>
      <c r="IY77" s="430">
        <v>0.56999999999999995</v>
      </c>
      <c r="IZ77" s="466">
        <v>49</v>
      </c>
      <c r="JA77" s="466" t="s">
        <v>874</v>
      </c>
      <c r="JB77" s="466">
        <v>10</v>
      </c>
      <c r="JC77" s="466" t="s">
        <v>874</v>
      </c>
      <c r="JD77" s="480">
        <v>0.14000000000000001</v>
      </c>
      <c r="JE77" s="480">
        <v>0.61</v>
      </c>
      <c r="JF77" s="480">
        <v>0.21</v>
      </c>
      <c r="JG77" s="480">
        <v>0.04</v>
      </c>
      <c r="JH77" s="480">
        <v>0.43</v>
      </c>
      <c r="JI77" s="480">
        <v>0.44</v>
      </c>
      <c r="JJ77" s="480">
        <v>0.37</v>
      </c>
      <c r="JK77" s="480">
        <v>0.51</v>
      </c>
      <c r="JL77" s="480">
        <v>0.61</v>
      </c>
      <c r="JM77" s="480">
        <v>0.5</v>
      </c>
      <c r="JN77" s="480">
        <v>0.39</v>
      </c>
      <c r="JO77" s="480">
        <v>0.54</v>
      </c>
      <c r="JP77" s="480">
        <v>0.42</v>
      </c>
      <c r="JQ77" s="480">
        <v>0.37</v>
      </c>
      <c r="JR77" s="480">
        <v>0.61</v>
      </c>
      <c r="JS77" s="480">
        <v>0.54</v>
      </c>
      <c r="JT77" s="480">
        <v>0.55000000000000004</v>
      </c>
      <c r="JU77" s="480">
        <v>0.51</v>
      </c>
      <c r="JV77" s="480">
        <v>0.65</v>
      </c>
      <c r="JW77" s="480">
        <v>0.48</v>
      </c>
      <c r="JX77" s="480">
        <v>0.54</v>
      </c>
      <c r="JY77" s="480">
        <v>0.67</v>
      </c>
      <c r="JZ77" s="480">
        <v>0.49</v>
      </c>
      <c r="KA77" s="480">
        <v>0.8</v>
      </c>
      <c r="KB77" s="480">
        <v>0.62</v>
      </c>
      <c r="KC77" s="480">
        <v>0.59</v>
      </c>
      <c r="KD77" s="480">
        <v>0.41</v>
      </c>
      <c r="KE77" s="480">
        <v>0.48</v>
      </c>
      <c r="KF77" s="480">
        <v>0.39</v>
      </c>
      <c r="KG77" s="480">
        <v>0.44</v>
      </c>
    </row>
    <row r="78" spans="1:293" ht="24.95" customHeight="1" x14ac:dyDescent="0.2">
      <c r="A78" s="126" t="s">
        <v>81</v>
      </c>
      <c r="B78" s="1" t="s">
        <v>221</v>
      </c>
      <c r="C78" s="2">
        <v>4</v>
      </c>
      <c r="D78" s="12">
        <v>48</v>
      </c>
      <c r="E78" s="12">
        <v>7</v>
      </c>
      <c r="F78" s="66">
        <v>0.18</v>
      </c>
      <c r="G78" s="66">
        <v>0.69</v>
      </c>
      <c r="H78" s="66">
        <v>0.14000000000000001</v>
      </c>
      <c r="I78" s="66">
        <v>0</v>
      </c>
      <c r="J78" s="66">
        <v>0.65</v>
      </c>
      <c r="K78" s="66">
        <v>0.37</v>
      </c>
      <c r="L78" s="66">
        <v>0.72</v>
      </c>
      <c r="M78" s="66">
        <v>0.43</v>
      </c>
      <c r="N78" s="66">
        <v>0.45</v>
      </c>
      <c r="O78" s="66">
        <v>0.61</v>
      </c>
      <c r="P78" s="66">
        <v>0.33</v>
      </c>
      <c r="Q78" s="66">
        <v>0.48</v>
      </c>
      <c r="R78" s="66">
        <v>0.62</v>
      </c>
      <c r="S78" s="66">
        <v>0.68</v>
      </c>
      <c r="T78" s="66">
        <v>0.51</v>
      </c>
      <c r="U78" s="66">
        <v>0.68</v>
      </c>
      <c r="V78" s="66">
        <v>0.12</v>
      </c>
      <c r="W78" s="66">
        <v>0.36</v>
      </c>
      <c r="X78" s="66">
        <v>0.57999999999999996</v>
      </c>
      <c r="Y78" s="66">
        <v>0.56999999999999995</v>
      </c>
      <c r="Z78" s="66">
        <v>1</v>
      </c>
      <c r="AA78" s="66">
        <v>0.24</v>
      </c>
      <c r="AB78" s="66">
        <v>0.56000000000000005</v>
      </c>
      <c r="AC78" s="66">
        <v>0.46</v>
      </c>
      <c r="AD78" s="66">
        <v>0.61</v>
      </c>
      <c r="AE78" s="66">
        <v>0.49</v>
      </c>
      <c r="AF78" s="66">
        <v>0.63</v>
      </c>
      <c r="AG78" s="66">
        <v>0.61</v>
      </c>
      <c r="AH78" s="12">
        <v>47</v>
      </c>
      <c r="AI78" s="12">
        <v>9</v>
      </c>
      <c r="AJ78" s="40">
        <v>0.25</v>
      </c>
      <c r="AK78" s="40">
        <v>0.55000000000000004</v>
      </c>
      <c r="AL78" s="40">
        <v>0.2</v>
      </c>
      <c r="AM78" s="40">
        <v>0</v>
      </c>
      <c r="AN78" s="40">
        <v>0.37</v>
      </c>
      <c r="AO78" s="40">
        <v>0.6</v>
      </c>
      <c r="AP78" s="40">
        <v>0.6</v>
      </c>
      <c r="AQ78" s="40">
        <v>0.54</v>
      </c>
      <c r="AR78" s="40">
        <v>0.57999999999999996</v>
      </c>
      <c r="AS78" s="40">
        <v>0.61</v>
      </c>
      <c r="AT78" s="40">
        <v>0.54</v>
      </c>
      <c r="AU78" s="40">
        <v>0.54</v>
      </c>
      <c r="AV78" s="40">
        <v>0.62</v>
      </c>
      <c r="AW78" s="40">
        <v>0.52</v>
      </c>
      <c r="AX78" s="40">
        <v>0.73</v>
      </c>
      <c r="AY78" s="40">
        <v>0.45</v>
      </c>
      <c r="AZ78" s="40">
        <v>0.42</v>
      </c>
      <c r="BA78" s="40">
        <v>0.55000000000000004</v>
      </c>
      <c r="BB78" s="40">
        <v>0.78</v>
      </c>
      <c r="BC78" s="40">
        <v>0.56999999999999995</v>
      </c>
      <c r="BD78" s="40">
        <v>0.53</v>
      </c>
      <c r="BE78" s="40">
        <v>0.77</v>
      </c>
      <c r="BF78" s="40">
        <v>0.73</v>
      </c>
      <c r="BG78" s="40">
        <v>0.61</v>
      </c>
      <c r="BH78" s="40">
        <v>0.53</v>
      </c>
      <c r="BI78" s="40">
        <v>0.5</v>
      </c>
      <c r="BJ78" s="40">
        <v>0.44</v>
      </c>
      <c r="BK78" s="40">
        <v>0.5</v>
      </c>
      <c r="BL78" s="40">
        <v>0.54</v>
      </c>
      <c r="BM78" s="12">
        <v>50</v>
      </c>
      <c r="BN78" s="12">
        <v>9</v>
      </c>
      <c r="BO78" s="66">
        <v>0.17</v>
      </c>
      <c r="BP78" s="66">
        <v>0.57999999999999996</v>
      </c>
      <c r="BQ78" s="66">
        <v>0.25</v>
      </c>
      <c r="BR78" s="66">
        <v>0</v>
      </c>
      <c r="BS78" s="66">
        <v>0.43</v>
      </c>
      <c r="BT78" s="66">
        <v>0.8</v>
      </c>
      <c r="BU78" s="66">
        <v>0.73</v>
      </c>
      <c r="BV78" s="66">
        <v>0.28999999999999998</v>
      </c>
      <c r="BW78" s="66">
        <v>0.57999999999999996</v>
      </c>
      <c r="BX78" s="66">
        <v>0.38</v>
      </c>
      <c r="BY78" s="66">
        <v>0.61</v>
      </c>
      <c r="BZ78" s="66">
        <v>0.55000000000000004</v>
      </c>
      <c r="CA78" s="66">
        <v>0.42</v>
      </c>
      <c r="CB78" s="66">
        <v>0.2</v>
      </c>
      <c r="CC78" s="66">
        <v>0.26</v>
      </c>
      <c r="CD78" s="66">
        <v>0.55000000000000004</v>
      </c>
      <c r="CE78" s="66">
        <v>0.3</v>
      </c>
      <c r="CF78" s="66">
        <v>0.56999999999999995</v>
      </c>
      <c r="CG78" s="66">
        <v>0.54</v>
      </c>
      <c r="CH78" s="66">
        <v>0.38</v>
      </c>
      <c r="CI78" s="66">
        <v>0.47</v>
      </c>
      <c r="CJ78" s="66">
        <v>0.38</v>
      </c>
      <c r="CK78" s="66">
        <v>0.8</v>
      </c>
      <c r="CL78" s="66">
        <v>0.37</v>
      </c>
      <c r="CM78" s="66">
        <v>0.55000000000000004</v>
      </c>
      <c r="CN78" s="66">
        <v>0.49</v>
      </c>
      <c r="CO78" s="66">
        <v>0.5</v>
      </c>
      <c r="CP78" s="66">
        <v>0.33</v>
      </c>
      <c r="CQ78" s="66">
        <v>0.41</v>
      </c>
      <c r="CR78" s="66">
        <v>0.52</v>
      </c>
      <c r="CS78" s="12">
        <v>45</v>
      </c>
      <c r="CT78" s="12">
        <v>7</v>
      </c>
      <c r="CU78" s="63">
        <v>0.28000000000000003</v>
      </c>
      <c r="CV78" s="63">
        <v>0.65</v>
      </c>
      <c r="CW78" s="63">
        <v>7.0000000000000007E-2</v>
      </c>
      <c r="CX78" s="63">
        <v>0</v>
      </c>
      <c r="CY78" s="63">
        <v>0.61</v>
      </c>
      <c r="CZ78" s="63">
        <v>0.38</v>
      </c>
      <c r="DA78" s="63">
        <v>0.61</v>
      </c>
      <c r="DB78" s="63">
        <v>0.44</v>
      </c>
      <c r="DC78" s="63">
        <v>0.44</v>
      </c>
      <c r="DD78" s="63">
        <v>0.67</v>
      </c>
      <c r="DE78" s="63">
        <v>0.59</v>
      </c>
      <c r="DF78" s="63">
        <v>0.66</v>
      </c>
      <c r="DG78" s="63">
        <v>0.56999999999999995</v>
      </c>
      <c r="DH78" s="63">
        <v>0.46</v>
      </c>
      <c r="DI78" s="63">
        <v>0.67</v>
      </c>
      <c r="DJ78" s="63">
        <v>0.68</v>
      </c>
      <c r="DK78" s="63">
        <v>0.53</v>
      </c>
      <c r="DL78" s="63">
        <v>0.47</v>
      </c>
      <c r="DM78" s="63">
        <v>0.54</v>
      </c>
      <c r="DN78" s="63">
        <v>0.61</v>
      </c>
      <c r="DO78" s="63">
        <v>0.56000000000000005</v>
      </c>
      <c r="DP78" s="63">
        <v>0.54</v>
      </c>
      <c r="DQ78" s="63">
        <v>0.59</v>
      </c>
      <c r="DR78" s="63">
        <v>0.24</v>
      </c>
      <c r="DS78" s="63">
        <v>0.39</v>
      </c>
      <c r="DT78" s="63">
        <v>0.68</v>
      </c>
      <c r="DU78" s="63">
        <v>0.65</v>
      </c>
      <c r="DV78" s="63">
        <v>0.64</v>
      </c>
      <c r="DW78" s="63">
        <v>0.46</v>
      </c>
      <c r="DX78" s="35"/>
      <c r="DY78" s="35"/>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247">
        <v>43</v>
      </c>
      <c r="FC78" s="247" t="s">
        <v>874</v>
      </c>
      <c r="FD78" s="247">
        <v>0</v>
      </c>
      <c r="FE78" s="247" t="s">
        <v>876</v>
      </c>
      <c r="FF78" s="264">
        <v>0</v>
      </c>
      <c r="FG78" s="264">
        <v>1</v>
      </c>
      <c r="FH78" s="264">
        <v>0</v>
      </c>
      <c r="FI78" s="264">
        <v>0</v>
      </c>
      <c r="FJ78" s="264">
        <v>1</v>
      </c>
      <c r="FK78" s="264">
        <v>0.67</v>
      </c>
      <c r="FL78" s="264">
        <v>1</v>
      </c>
      <c r="FM78" s="264">
        <v>1</v>
      </c>
      <c r="FN78" s="247" t="s">
        <v>283</v>
      </c>
      <c r="FO78" s="264">
        <v>0.67</v>
      </c>
      <c r="FP78" s="264">
        <v>0.67</v>
      </c>
      <c r="FQ78" s="264">
        <v>0.67</v>
      </c>
      <c r="FR78" s="264">
        <v>0.5</v>
      </c>
      <c r="FS78" s="264">
        <v>1</v>
      </c>
      <c r="FT78" s="264">
        <v>0.5</v>
      </c>
      <c r="FU78" s="247" t="s">
        <v>283</v>
      </c>
      <c r="FV78" s="264">
        <v>1</v>
      </c>
      <c r="FW78" s="264">
        <v>0.5</v>
      </c>
      <c r="FX78" s="264">
        <v>0.5</v>
      </c>
      <c r="FY78" s="264">
        <v>0</v>
      </c>
      <c r="FZ78" s="264">
        <v>0.33</v>
      </c>
      <c r="GA78" s="264">
        <v>0.5</v>
      </c>
      <c r="GB78" s="264">
        <v>1</v>
      </c>
      <c r="GC78" s="264">
        <v>0.75</v>
      </c>
      <c r="GD78" s="264">
        <v>1</v>
      </c>
      <c r="GE78" s="264">
        <v>0</v>
      </c>
      <c r="GF78" s="247" t="s">
        <v>283</v>
      </c>
      <c r="GG78" s="264">
        <v>0.67</v>
      </c>
      <c r="GH78" s="264">
        <v>0</v>
      </c>
      <c r="GI78" s="264">
        <v>0</v>
      </c>
      <c r="GJ78" s="655"/>
      <c r="GK78" s="655"/>
      <c r="GL78" s="655"/>
      <c r="GM78" s="655"/>
      <c r="GN78" s="655"/>
      <c r="GO78" s="655"/>
      <c r="GP78" s="655"/>
      <c r="GQ78" s="655"/>
      <c r="GR78" s="655"/>
      <c r="GS78" s="655"/>
      <c r="GT78" s="655"/>
      <c r="GU78" s="655"/>
      <c r="GV78" s="655"/>
      <c r="GW78" s="655"/>
      <c r="GX78" s="655"/>
      <c r="GY78" s="655"/>
      <c r="GZ78" s="655"/>
      <c r="HA78" s="655"/>
      <c r="HB78" s="655"/>
      <c r="HC78" s="655"/>
      <c r="HD78" s="655"/>
      <c r="HE78" s="655"/>
      <c r="HF78" s="655"/>
      <c r="HG78" s="655"/>
      <c r="HH78" s="655"/>
      <c r="HI78" s="655"/>
      <c r="HJ78" s="655"/>
      <c r="HK78" s="655"/>
      <c r="HL78" s="655"/>
      <c r="HM78" s="655"/>
      <c r="HN78" s="655"/>
      <c r="HO78" s="655"/>
      <c r="HP78" s="655"/>
      <c r="HQ78" s="655"/>
      <c r="HR78" s="657"/>
      <c r="HS78" s="657"/>
      <c r="HT78" s="657"/>
      <c r="HU78" s="657"/>
      <c r="HV78" s="657"/>
      <c r="HW78" s="657"/>
      <c r="HX78" s="657"/>
      <c r="HY78" s="657"/>
      <c r="HZ78" s="657"/>
      <c r="IA78" s="657"/>
      <c r="IB78" s="657"/>
      <c r="IC78" s="657"/>
      <c r="ID78" s="657"/>
      <c r="IE78" s="657"/>
      <c r="IF78" s="657"/>
      <c r="IG78" s="657"/>
      <c r="IH78" s="657"/>
      <c r="II78" s="657"/>
      <c r="IJ78" s="657"/>
      <c r="IK78" s="657"/>
      <c r="IL78" s="657"/>
      <c r="IM78" s="657"/>
      <c r="IN78" s="657"/>
      <c r="IO78" s="657"/>
      <c r="IP78" s="657"/>
      <c r="IQ78" s="657"/>
      <c r="IR78" s="657"/>
      <c r="IS78" s="657"/>
      <c r="IT78" s="657"/>
      <c r="IU78" s="657"/>
      <c r="IV78" s="657"/>
      <c r="IW78" s="657"/>
      <c r="IX78" s="657"/>
      <c r="IY78" s="657"/>
      <c r="IZ78" s="656"/>
      <c r="JA78" s="656"/>
      <c r="JB78" s="656"/>
      <c r="JC78" s="656"/>
      <c r="JD78" s="656"/>
      <c r="JE78" s="656"/>
      <c r="JF78" s="656"/>
      <c r="JG78" s="656"/>
      <c r="JH78" s="656"/>
      <c r="JI78" s="656"/>
      <c r="JJ78" s="656"/>
      <c r="JK78" s="656"/>
      <c r="JL78" s="656"/>
      <c r="JM78" s="656"/>
      <c r="JN78" s="656"/>
      <c r="JO78" s="656"/>
      <c r="JP78" s="656"/>
      <c r="JQ78" s="656"/>
      <c r="JR78" s="656"/>
      <c r="JS78" s="656"/>
      <c r="JT78" s="656"/>
      <c r="JU78" s="656"/>
      <c r="JV78" s="656"/>
      <c r="JW78" s="656"/>
      <c r="JX78" s="656"/>
      <c r="JY78" s="656"/>
      <c r="JZ78" s="656"/>
      <c r="KA78" s="656"/>
      <c r="KB78" s="656"/>
      <c r="KC78" s="656"/>
      <c r="KD78" s="656"/>
      <c r="KE78" s="656"/>
      <c r="KF78" s="656"/>
      <c r="KG78" s="656"/>
    </row>
    <row r="79" spans="1:293" ht="24.95" customHeight="1" x14ac:dyDescent="0.2">
      <c r="A79" s="560" t="s">
        <v>168</v>
      </c>
      <c r="B79" s="1" t="s">
        <v>221</v>
      </c>
      <c r="C79" s="311">
        <v>6</v>
      </c>
      <c r="D79" s="330">
        <v>53</v>
      </c>
      <c r="E79" s="330">
        <v>5</v>
      </c>
      <c r="F79" s="335">
        <v>0</v>
      </c>
      <c r="G79" s="335">
        <v>0.87</v>
      </c>
      <c r="H79" s="335">
        <v>0.13</v>
      </c>
      <c r="I79" s="335">
        <v>0</v>
      </c>
      <c r="J79" s="335">
        <v>0.48</v>
      </c>
      <c r="K79" s="335">
        <v>0.4</v>
      </c>
      <c r="L79" s="335">
        <v>0.97</v>
      </c>
      <c r="M79" s="335">
        <v>0.27</v>
      </c>
      <c r="N79" s="335">
        <v>0.33</v>
      </c>
      <c r="O79" s="335">
        <v>0.71</v>
      </c>
      <c r="P79" s="335">
        <v>0.4</v>
      </c>
      <c r="Q79" s="335">
        <v>0.43</v>
      </c>
      <c r="R79" s="335">
        <v>0.5</v>
      </c>
      <c r="S79" s="335">
        <v>0.56999999999999995</v>
      </c>
      <c r="T79" s="335">
        <v>0.65</v>
      </c>
      <c r="U79" s="335">
        <v>0.5</v>
      </c>
      <c r="V79" s="335">
        <v>0.15</v>
      </c>
      <c r="W79" s="335">
        <v>0.13</v>
      </c>
      <c r="X79" s="335">
        <v>0.43</v>
      </c>
      <c r="Y79" s="335">
        <v>0.44</v>
      </c>
      <c r="Z79" s="330" t="s">
        <v>283</v>
      </c>
      <c r="AA79" s="335">
        <v>0</v>
      </c>
      <c r="AB79" s="335">
        <v>0.43</v>
      </c>
      <c r="AC79" s="335">
        <v>0.24</v>
      </c>
      <c r="AD79" s="335">
        <v>0.35</v>
      </c>
      <c r="AE79" s="335">
        <v>0.55000000000000004</v>
      </c>
      <c r="AF79" s="335">
        <v>0.6</v>
      </c>
      <c r="AG79" s="335">
        <v>0.65</v>
      </c>
      <c r="AH79" s="330">
        <v>48</v>
      </c>
      <c r="AI79" s="330">
        <v>6</v>
      </c>
      <c r="AJ79" s="333">
        <v>0</v>
      </c>
      <c r="AK79" s="333">
        <v>0.86</v>
      </c>
      <c r="AL79" s="333">
        <v>0.14000000000000001</v>
      </c>
      <c r="AM79" s="333">
        <v>0</v>
      </c>
      <c r="AN79" s="333">
        <v>0.25</v>
      </c>
      <c r="AO79" s="333">
        <v>0.56999999999999995</v>
      </c>
      <c r="AP79" s="333">
        <v>0.67</v>
      </c>
      <c r="AQ79" s="333">
        <v>0.4</v>
      </c>
      <c r="AR79" s="333">
        <v>0.45</v>
      </c>
      <c r="AS79" s="333">
        <v>0.71</v>
      </c>
      <c r="AT79" s="333">
        <v>0.57999999999999996</v>
      </c>
      <c r="AU79" s="333">
        <v>0.62</v>
      </c>
      <c r="AV79" s="333">
        <v>0.53</v>
      </c>
      <c r="AW79" s="333">
        <v>0.67</v>
      </c>
      <c r="AX79" s="333">
        <v>0.75</v>
      </c>
      <c r="AY79" s="333">
        <v>0.45</v>
      </c>
      <c r="AZ79" s="333">
        <v>0.38</v>
      </c>
      <c r="BA79" s="333">
        <v>0.67</v>
      </c>
      <c r="BB79" s="333">
        <v>0.6</v>
      </c>
      <c r="BC79" s="333">
        <v>0.5</v>
      </c>
      <c r="BD79" s="333">
        <v>0.28000000000000003</v>
      </c>
      <c r="BE79" s="333">
        <v>0.75</v>
      </c>
      <c r="BF79" s="333">
        <v>0.67</v>
      </c>
      <c r="BG79" s="333">
        <v>0.67</v>
      </c>
      <c r="BH79" s="333">
        <v>0.46</v>
      </c>
      <c r="BI79" s="333">
        <v>0.52</v>
      </c>
      <c r="BJ79" s="333">
        <v>0.56000000000000005</v>
      </c>
      <c r="BK79" s="333">
        <v>0.46</v>
      </c>
      <c r="BL79" s="333">
        <v>0.75</v>
      </c>
      <c r="BM79" s="330">
        <v>48</v>
      </c>
      <c r="BN79" s="330">
        <v>6</v>
      </c>
      <c r="BO79" s="335">
        <v>0</v>
      </c>
      <c r="BP79" s="335">
        <v>0.88</v>
      </c>
      <c r="BQ79" s="335">
        <v>0.13</v>
      </c>
      <c r="BR79" s="335">
        <v>0</v>
      </c>
      <c r="BS79" s="335">
        <v>0.18</v>
      </c>
      <c r="BT79" s="335">
        <v>0</v>
      </c>
      <c r="BU79" s="335">
        <v>0.56999999999999995</v>
      </c>
      <c r="BV79" s="335">
        <v>0.67</v>
      </c>
      <c r="BW79" s="335">
        <v>0.57999999999999996</v>
      </c>
      <c r="BX79" s="335">
        <v>0.41</v>
      </c>
      <c r="BY79" s="335">
        <v>0.35</v>
      </c>
      <c r="BZ79" s="335">
        <v>0.6</v>
      </c>
      <c r="CA79" s="335">
        <v>0.46</v>
      </c>
      <c r="CB79" s="335">
        <v>0.38</v>
      </c>
      <c r="CC79" s="335">
        <v>0.13</v>
      </c>
      <c r="CD79" s="335">
        <v>0.55000000000000004</v>
      </c>
      <c r="CE79" s="335">
        <v>0.47</v>
      </c>
      <c r="CF79" s="335">
        <v>0.5</v>
      </c>
      <c r="CG79" s="335">
        <v>0.69</v>
      </c>
      <c r="CH79" s="335">
        <v>0.63</v>
      </c>
      <c r="CI79" s="335">
        <v>0.62</v>
      </c>
      <c r="CJ79" s="335">
        <v>0.25</v>
      </c>
      <c r="CK79" s="335">
        <v>0.74</v>
      </c>
      <c r="CL79" s="335">
        <v>0.5</v>
      </c>
      <c r="CM79" s="335">
        <v>0.67</v>
      </c>
      <c r="CN79" s="335">
        <v>0.54</v>
      </c>
      <c r="CO79" s="335">
        <v>0.67</v>
      </c>
      <c r="CP79" s="335">
        <v>0.37</v>
      </c>
      <c r="CQ79" s="335">
        <v>0.77</v>
      </c>
      <c r="CR79" s="335">
        <v>0.64</v>
      </c>
      <c r="CS79" s="330">
        <v>51</v>
      </c>
      <c r="CT79" s="330">
        <v>9</v>
      </c>
      <c r="CU79" s="329">
        <v>0.09</v>
      </c>
      <c r="CV79" s="329">
        <v>0.64</v>
      </c>
      <c r="CW79" s="329">
        <v>0.18</v>
      </c>
      <c r="CX79" s="329">
        <v>0.09</v>
      </c>
      <c r="CY79" s="329">
        <v>0.49</v>
      </c>
      <c r="CZ79" s="329">
        <v>0.35</v>
      </c>
      <c r="DA79" s="329">
        <v>0.5</v>
      </c>
      <c r="DB79" s="329">
        <v>0.42</v>
      </c>
      <c r="DC79" s="329">
        <v>0.43</v>
      </c>
      <c r="DD79" s="329">
        <v>0.83</v>
      </c>
      <c r="DE79" s="329">
        <v>0.55000000000000004</v>
      </c>
      <c r="DF79" s="329">
        <v>0.56000000000000005</v>
      </c>
      <c r="DG79" s="329">
        <v>0.33</v>
      </c>
      <c r="DH79" s="329">
        <v>0.2</v>
      </c>
      <c r="DI79" s="329">
        <v>0.32</v>
      </c>
      <c r="DJ79" s="329">
        <v>0.42</v>
      </c>
      <c r="DK79" s="329">
        <v>0.2</v>
      </c>
      <c r="DL79" s="329">
        <v>0.43</v>
      </c>
      <c r="DM79" s="329">
        <v>0.48</v>
      </c>
      <c r="DN79" s="329">
        <v>0.54</v>
      </c>
      <c r="DO79" s="329">
        <v>0.63</v>
      </c>
      <c r="DP79" s="329">
        <v>0.33</v>
      </c>
      <c r="DQ79" s="329">
        <v>0.7</v>
      </c>
      <c r="DR79" s="329">
        <v>0.05</v>
      </c>
      <c r="DS79" s="329">
        <v>0.39</v>
      </c>
      <c r="DT79" s="329">
        <v>0.53</v>
      </c>
      <c r="DU79" s="329">
        <v>0.6</v>
      </c>
      <c r="DV79" s="329">
        <v>0.54</v>
      </c>
      <c r="DW79" s="329">
        <v>0.13</v>
      </c>
      <c r="DX79" s="313">
        <v>47</v>
      </c>
      <c r="DY79" s="313">
        <v>9</v>
      </c>
      <c r="DZ79" s="333">
        <v>0.27</v>
      </c>
      <c r="EA79" s="333">
        <v>0.55000000000000004</v>
      </c>
      <c r="EB79" s="333">
        <v>0.18</v>
      </c>
      <c r="EC79" s="333">
        <v>0</v>
      </c>
      <c r="ED79" s="333">
        <v>0.59</v>
      </c>
      <c r="EE79" s="333">
        <v>0.46</v>
      </c>
      <c r="EF79" s="333">
        <v>0.62</v>
      </c>
      <c r="EG79" s="333">
        <v>0</v>
      </c>
      <c r="EH79" s="333">
        <v>0.53</v>
      </c>
      <c r="EI79" s="333">
        <v>0.61</v>
      </c>
      <c r="EJ79" s="333">
        <v>0.65</v>
      </c>
      <c r="EK79" s="333">
        <v>0.56000000000000005</v>
      </c>
      <c r="EL79" s="333">
        <v>0.47</v>
      </c>
      <c r="EM79" s="333">
        <v>0.77</v>
      </c>
      <c r="EN79" s="333">
        <v>0.57999999999999996</v>
      </c>
      <c r="EO79" s="333">
        <v>0.67</v>
      </c>
      <c r="EP79" s="333">
        <v>0.38</v>
      </c>
      <c r="EQ79" s="333">
        <v>0.36</v>
      </c>
      <c r="ER79" s="333">
        <v>0.56999999999999995</v>
      </c>
      <c r="ES79" s="333">
        <v>0.28999999999999998</v>
      </c>
      <c r="ET79" s="333">
        <v>0.37</v>
      </c>
      <c r="EU79" s="333">
        <v>0.83</v>
      </c>
      <c r="EV79" s="333">
        <v>0.33</v>
      </c>
      <c r="EW79" s="333">
        <v>0.27</v>
      </c>
      <c r="EX79" s="333">
        <v>0.71</v>
      </c>
      <c r="EY79" s="333">
        <v>0.68</v>
      </c>
      <c r="EZ79" s="333">
        <v>0.2</v>
      </c>
      <c r="FA79" s="333">
        <v>0.77</v>
      </c>
      <c r="FB79" s="314">
        <v>48</v>
      </c>
      <c r="FC79" s="314" t="s">
        <v>874</v>
      </c>
      <c r="FD79" s="314">
        <v>8</v>
      </c>
      <c r="FE79" s="314" t="s">
        <v>874</v>
      </c>
      <c r="FF79" s="334">
        <v>0.2</v>
      </c>
      <c r="FG79" s="334">
        <v>0.6</v>
      </c>
      <c r="FH79" s="334">
        <v>0.2</v>
      </c>
      <c r="FI79" s="334">
        <v>0</v>
      </c>
      <c r="FJ79" s="334">
        <v>0.49</v>
      </c>
      <c r="FK79" s="334">
        <v>0.69</v>
      </c>
      <c r="FL79" s="334">
        <v>0.48</v>
      </c>
      <c r="FM79" s="334">
        <v>0.38</v>
      </c>
      <c r="FN79" s="334">
        <v>0.44</v>
      </c>
      <c r="FO79" s="334">
        <v>0.43</v>
      </c>
      <c r="FP79" s="334">
        <v>0.43</v>
      </c>
      <c r="FQ79" s="334">
        <v>0.42</v>
      </c>
      <c r="FR79" s="334">
        <v>0.64</v>
      </c>
      <c r="FS79" s="334">
        <v>0.46</v>
      </c>
      <c r="FT79" s="334">
        <v>0.56999999999999995</v>
      </c>
      <c r="FU79" s="334">
        <v>0.5</v>
      </c>
      <c r="FV79" s="334">
        <v>0.83</v>
      </c>
      <c r="FW79" s="334">
        <v>0.6</v>
      </c>
      <c r="FX79" s="334">
        <v>0.48</v>
      </c>
      <c r="FY79" s="334">
        <v>0.33</v>
      </c>
      <c r="FZ79" s="334">
        <v>0.41</v>
      </c>
      <c r="GA79" s="334">
        <v>0.62</v>
      </c>
      <c r="GB79" s="334">
        <v>0.53</v>
      </c>
      <c r="GC79" s="334">
        <v>0.53</v>
      </c>
      <c r="GD79" s="334">
        <v>0.74</v>
      </c>
      <c r="GE79" s="334">
        <v>0.65</v>
      </c>
      <c r="GF79" s="334">
        <v>0.5</v>
      </c>
      <c r="GG79" s="334">
        <v>0.43</v>
      </c>
      <c r="GH79" s="334">
        <v>0.48</v>
      </c>
      <c r="GI79" s="334">
        <v>0.2</v>
      </c>
      <c r="GJ79" s="311">
        <v>47</v>
      </c>
      <c r="GK79" s="311" t="s">
        <v>874</v>
      </c>
      <c r="GL79" s="311">
        <v>8</v>
      </c>
      <c r="GM79" s="311" t="s">
        <v>874</v>
      </c>
      <c r="GN79" s="329">
        <v>0.25</v>
      </c>
      <c r="GO79" s="329">
        <v>0.6</v>
      </c>
      <c r="GP79" s="329">
        <v>0.15</v>
      </c>
      <c r="GQ79" s="329">
        <v>0</v>
      </c>
      <c r="GR79" s="329">
        <v>0.56000000000000005</v>
      </c>
      <c r="GS79" s="329">
        <v>0.57999999999999996</v>
      </c>
      <c r="GT79" s="329">
        <v>0.71</v>
      </c>
      <c r="GU79" s="329">
        <v>0.33</v>
      </c>
      <c r="GV79" s="329">
        <v>0.54</v>
      </c>
      <c r="GW79" s="329">
        <v>0.56999999999999995</v>
      </c>
      <c r="GX79" s="329">
        <v>0.42</v>
      </c>
      <c r="GY79" s="311" t="s">
        <v>283</v>
      </c>
      <c r="GZ79" s="329">
        <v>0.38</v>
      </c>
      <c r="HA79" s="329">
        <v>0.67</v>
      </c>
      <c r="HB79" s="329">
        <v>0.56999999999999995</v>
      </c>
      <c r="HC79" s="329">
        <v>0.43</v>
      </c>
      <c r="HD79" s="329">
        <v>0.62</v>
      </c>
      <c r="HE79" s="329">
        <v>0.66</v>
      </c>
      <c r="HF79" s="329">
        <v>0.63</v>
      </c>
      <c r="HG79" s="329">
        <v>0.67</v>
      </c>
      <c r="HH79" s="329">
        <v>0.47</v>
      </c>
      <c r="HI79" s="329">
        <v>0.64</v>
      </c>
      <c r="HJ79" s="329">
        <v>0.56000000000000005</v>
      </c>
      <c r="HK79" s="329">
        <v>0.7</v>
      </c>
      <c r="HL79" s="329">
        <v>0.56000000000000005</v>
      </c>
      <c r="HM79" s="329">
        <v>0.56999999999999995</v>
      </c>
      <c r="HN79" s="329">
        <v>0.59</v>
      </c>
      <c r="HO79" s="329">
        <v>0.55000000000000004</v>
      </c>
      <c r="HP79" s="311" t="s">
        <v>283</v>
      </c>
      <c r="HQ79" s="329">
        <v>0.31</v>
      </c>
      <c r="HR79" s="426">
        <v>41</v>
      </c>
      <c r="HS79" s="426" t="s">
        <v>876</v>
      </c>
      <c r="HT79" s="426">
        <v>7</v>
      </c>
      <c r="HU79" s="426" t="s">
        <v>874</v>
      </c>
      <c r="HV79" s="430">
        <v>0.53</v>
      </c>
      <c r="HW79" s="430">
        <v>0.4</v>
      </c>
      <c r="HX79" s="430">
        <v>7.0000000000000007E-2</v>
      </c>
      <c r="HY79" s="430">
        <v>0</v>
      </c>
      <c r="HZ79" s="430">
        <v>0.63</v>
      </c>
      <c r="IA79" s="430">
        <v>0.75</v>
      </c>
      <c r="IB79" s="430">
        <v>0.67</v>
      </c>
      <c r="IC79" s="430">
        <v>0.67</v>
      </c>
      <c r="ID79" s="430">
        <v>0.72</v>
      </c>
      <c r="IE79" s="430">
        <v>0.5</v>
      </c>
      <c r="IF79" s="430">
        <v>0.54</v>
      </c>
      <c r="IG79" s="430">
        <v>0.71</v>
      </c>
      <c r="IH79" s="430">
        <v>0.63</v>
      </c>
      <c r="II79" s="430">
        <v>0.4</v>
      </c>
      <c r="IJ79" s="430">
        <v>0.69</v>
      </c>
      <c r="IK79" s="430">
        <v>0.59</v>
      </c>
      <c r="IL79" s="430">
        <v>0.5</v>
      </c>
      <c r="IM79" s="430">
        <v>0.67</v>
      </c>
      <c r="IN79" s="430">
        <v>0.67</v>
      </c>
      <c r="IO79" s="430">
        <v>0.64</v>
      </c>
      <c r="IP79" s="430">
        <v>0.65</v>
      </c>
      <c r="IQ79" s="430">
        <v>0.84</v>
      </c>
      <c r="IR79" s="430">
        <v>0.73</v>
      </c>
      <c r="IS79" s="430">
        <v>0.46</v>
      </c>
      <c r="IT79" s="430">
        <v>0.64</v>
      </c>
      <c r="IU79" s="426" t="s">
        <v>283</v>
      </c>
      <c r="IV79" s="430">
        <v>0.6</v>
      </c>
      <c r="IW79" s="430">
        <v>0.64</v>
      </c>
      <c r="IX79" s="430">
        <v>0.63</v>
      </c>
      <c r="IY79" s="430">
        <v>0.57999999999999996</v>
      </c>
      <c r="IZ79" s="466">
        <v>45</v>
      </c>
      <c r="JA79" s="466" t="s">
        <v>874</v>
      </c>
      <c r="JB79" s="466">
        <v>9</v>
      </c>
      <c r="JC79" s="466" t="s">
        <v>874</v>
      </c>
      <c r="JD79" s="480">
        <v>0.36</v>
      </c>
      <c r="JE79" s="480">
        <v>0.52</v>
      </c>
      <c r="JF79" s="480">
        <v>0.12</v>
      </c>
      <c r="JG79" s="480">
        <v>0</v>
      </c>
      <c r="JH79" s="480">
        <v>0.57999999999999996</v>
      </c>
      <c r="JI79" s="480">
        <v>0.54</v>
      </c>
      <c r="JJ79" s="480">
        <v>0.59</v>
      </c>
      <c r="JK79" s="480">
        <v>0.57999999999999996</v>
      </c>
      <c r="JL79" s="480">
        <v>0.62</v>
      </c>
      <c r="JM79" s="480">
        <v>0.57999999999999996</v>
      </c>
      <c r="JN79" s="480">
        <v>0.45</v>
      </c>
      <c r="JO79" s="480">
        <v>0.59</v>
      </c>
      <c r="JP79" s="480">
        <v>0.65</v>
      </c>
      <c r="JQ79" s="480">
        <v>0.37</v>
      </c>
      <c r="JR79" s="480">
        <v>0.69</v>
      </c>
      <c r="JS79" s="480">
        <v>0.61</v>
      </c>
      <c r="JT79" s="480">
        <v>0.51</v>
      </c>
      <c r="JU79" s="480">
        <v>0.62</v>
      </c>
      <c r="JV79" s="480">
        <v>0.64</v>
      </c>
      <c r="JW79" s="480">
        <v>0.55000000000000004</v>
      </c>
      <c r="JX79" s="480">
        <v>0.53</v>
      </c>
      <c r="JY79" s="480">
        <v>0.59</v>
      </c>
      <c r="JZ79" s="480">
        <v>0.56999999999999995</v>
      </c>
      <c r="KA79" s="480">
        <v>0.46</v>
      </c>
      <c r="KB79" s="480">
        <v>0.61</v>
      </c>
      <c r="KC79" s="480">
        <v>0.84</v>
      </c>
      <c r="KD79" s="480">
        <v>0.55000000000000004</v>
      </c>
      <c r="KE79" s="480">
        <v>0.56999999999999995</v>
      </c>
      <c r="KF79" s="480">
        <v>0.53</v>
      </c>
      <c r="KG79" s="480">
        <v>0.7</v>
      </c>
    </row>
    <row r="80" spans="1:293" ht="24.6" customHeight="1" x14ac:dyDescent="0.2">
      <c r="A80" s="126" t="s">
        <v>230</v>
      </c>
      <c r="B80" s="1" t="s">
        <v>221</v>
      </c>
      <c r="C80" s="2">
        <v>2</v>
      </c>
      <c r="D80" s="12" t="s">
        <v>224</v>
      </c>
      <c r="E80" s="12" t="s">
        <v>224</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v>57</v>
      </c>
      <c r="AI80" s="12">
        <v>7</v>
      </c>
      <c r="AJ80" s="40">
        <v>0.04</v>
      </c>
      <c r="AK80" s="40">
        <v>0.28999999999999998</v>
      </c>
      <c r="AL80" s="40">
        <v>0.63</v>
      </c>
      <c r="AM80" s="40">
        <v>0.04</v>
      </c>
      <c r="AN80" s="40">
        <v>0.27</v>
      </c>
      <c r="AO80" s="40">
        <v>0.37</v>
      </c>
      <c r="AP80" s="40">
        <v>0.3</v>
      </c>
      <c r="AQ80" s="40">
        <v>0.28999999999999998</v>
      </c>
      <c r="AR80" s="40">
        <v>0.38</v>
      </c>
      <c r="AS80" s="40">
        <v>0.45</v>
      </c>
      <c r="AT80" s="40">
        <v>0.3</v>
      </c>
      <c r="AU80" s="40">
        <v>0.56999999999999995</v>
      </c>
      <c r="AV80" s="40">
        <v>0.67</v>
      </c>
      <c r="AW80" s="40">
        <v>0.27</v>
      </c>
      <c r="AX80" s="40">
        <v>0.38</v>
      </c>
      <c r="AY80" s="40">
        <v>0.21</v>
      </c>
      <c r="AZ80" s="40">
        <v>0.19</v>
      </c>
      <c r="BA80" s="40">
        <v>0.44</v>
      </c>
      <c r="BB80" s="40">
        <v>0.52</v>
      </c>
      <c r="BC80" s="40">
        <v>0.52</v>
      </c>
      <c r="BD80" s="40">
        <v>0.23</v>
      </c>
      <c r="BE80" s="40">
        <v>0.56999999999999995</v>
      </c>
      <c r="BF80" s="40">
        <v>0.43</v>
      </c>
      <c r="BG80" s="40">
        <v>0.47</v>
      </c>
      <c r="BH80" s="40">
        <v>0.37</v>
      </c>
      <c r="BI80" s="40">
        <v>0.36</v>
      </c>
      <c r="BJ80" s="40">
        <v>0.25</v>
      </c>
      <c r="BK80" s="40">
        <v>0.32</v>
      </c>
      <c r="BL80" s="40">
        <v>0.17</v>
      </c>
      <c r="BM80" s="12">
        <v>57</v>
      </c>
      <c r="BN80" s="12">
        <v>11</v>
      </c>
      <c r="BO80" s="66">
        <v>7.0000000000000007E-2</v>
      </c>
      <c r="BP80" s="66">
        <v>0.43</v>
      </c>
      <c r="BQ80" s="66">
        <v>0.36</v>
      </c>
      <c r="BR80" s="66">
        <v>0.14000000000000001</v>
      </c>
      <c r="BS80" s="66">
        <v>0.32</v>
      </c>
      <c r="BT80" s="66">
        <v>0.25</v>
      </c>
      <c r="BU80" s="66">
        <v>0.8</v>
      </c>
      <c r="BV80" s="66">
        <v>0.13</v>
      </c>
      <c r="BW80" s="66">
        <v>0.45</v>
      </c>
      <c r="BX80" s="66">
        <v>0.36</v>
      </c>
      <c r="BY80" s="66">
        <v>0.31</v>
      </c>
      <c r="BZ80" s="66">
        <v>0.34</v>
      </c>
      <c r="CA80" s="66">
        <v>0.41</v>
      </c>
      <c r="CB80" s="66">
        <v>0.19</v>
      </c>
      <c r="CC80" s="66">
        <v>7.0000000000000007E-2</v>
      </c>
      <c r="CD80" s="66">
        <v>0.28999999999999998</v>
      </c>
      <c r="CE80" s="66">
        <v>0.34</v>
      </c>
      <c r="CF80" s="66">
        <v>0.5</v>
      </c>
      <c r="CG80" s="66">
        <v>0.55000000000000004</v>
      </c>
      <c r="CH80" s="66">
        <v>0.34</v>
      </c>
      <c r="CI80" s="66">
        <v>0.48</v>
      </c>
      <c r="CJ80" s="66">
        <v>0.08</v>
      </c>
      <c r="CK80" s="66">
        <v>0.43</v>
      </c>
      <c r="CL80" s="66">
        <v>0.15</v>
      </c>
      <c r="CM80" s="66">
        <v>0.28000000000000003</v>
      </c>
      <c r="CN80" s="66">
        <v>0.27</v>
      </c>
      <c r="CO80" s="66">
        <v>0.26</v>
      </c>
      <c r="CP80" s="66">
        <v>0.23</v>
      </c>
      <c r="CQ80" s="66">
        <v>0.53</v>
      </c>
      <c r="CR80" s="66">
        <v>0.42</v>
      </c>
      <c r="CS80" s="12">
        <v>58</v>
      </c>
      <c r="CT80" s="12">
        <v>9</v>
      </c>
      <c r="CU80" s="63">
        <v>0.06</v>
      </c>
      <c r="CV80" s="63">
        <v>0.25</v>
      </c>
      <c r="CW80" s="63">
        <v>0.63</v>
      </c>
      <c r="CX80" s="63">
        <v>0.06</v>
      </c>
      <c r="CY80" s="63">
        <v>0.26</v>
      </c>
      <c r="CZ80" s="63">
        <v>0.23</v>
      </c>
      <c r="DA80" s="63">
        <v>0.53</v>
      </c>
      <c r="DB80" s="63">
        <v>0.31</v>
      </c>
      <c r="DC80" s="63">
        <v>0.38</v>
      </c>
      <c r="DD80" s="63">
        <v>0.55000000000000004</v>
      </c>
      <c r="DE80" s="63">
        <v>0.25</v>
      </c>
      <c r="DF80" s="63">
        <v>0.35</v>
      </c>
      <c r="DG80" s="63">
        <v>0.31</v>
      </c>
      <c r="DH80" s="63">
        <v>0.28000000000000003</v>
      </c>
      <c r="DI80" s="63">
        <v>0.39</v>
      </c>
      <c r="DJ80" s="63">
        <v>0.21</v>
      </c>
      <c r="DK80" s="63">
        <v>0.33</v>
      </c>
      <c r="DL80" s="63">
        <v>0</v>
      </c>
      <c r="DM80" s="63">
        <v>0.33</v>
      </c>
      <c r="DN80" s="63">
        <v>0.28999999999999998</v>
      </c>
      <c r="DO80" s="63">
        <v>0.31</v>
      </c>
      <c r="DP80" s="63">
        <v>0.41</v>
      </c>
      <c r="DQ80" s="63">
        <v>0.34</v>
      </c>
      <c r="DR80" s="63">
        <v>0.1</v>
      </c>
      <c r="DS80" s="63">
        <v>0.33</v>
      </c>
      <c r="DT80" s="63">
        <v>0.41</v>
      </c>
      <c r="DU80" s="63">
        <v>0.67</v>
      </c>
      <c r="DV80" s="63">
        <v>0.38</v>
      </c>
      <c r="DW80" s="63">
        <v>0.32</v>
      </c>
      <c r="DX80" s="35">
        <v>61</v>
      </c>
      <c r="DY80" s="35">
        <v>7</v>
      </c>
      <c r="DZ80" s="40">
        <v>0</v>
      </c>
      <c r="EA80" s="40">
        <v>0.19</v>
      </c>
      <c r="EB80" s="40">
        <v>0.75</v>
      </c>
      <c r="EC80" s="40">
        <v>0.06</v>
      </c>
      <c r="ED80" s="40">
        <v>0.23</v>
      </c>
      <c r="EE80" s="40">
        <v>0.33</v>
      </c>
      <c r="EF80" s="40">
        <v>0.28999999999999998</v>
      </c>
      <c r="EG80" s="40">
        <v>0.1</v>
      </c>
      <c r="EH80" s="40">
        <v>0.28999999999999998</v>
      </c>
      <c r="EI80" s="40">
        <v>0.19</v>
      </c>
      <c r="EJ80" s="40">
        <v>0.28000000000000003</v>
      </c>
      <c r="EK80" s="40">
        <v>0.14000000000000001</v>
      </c>
      <c r="EL80" s="40">
        <v>0.34</v>
      </c>
      <c r="EM80" s="40">
        <v>0.56000000000000005</v>
      </c>
      <c r="EN80" s="40">
        <v>0.22</v>
      </c>
      <c r="EO80" s="40">
        <v>0.4</v>
      </c>
      <c r="EP80" s="40">
        <v>0.21</v>
      </c>
      <c r="EQ80" s="40">
        <v>7.0000000000000007E-2</v>
      </c>
      <c r="ER80" s="40">
        <v>0.45</v>
      </c>
      <c r="ES80" s="40">
        <v>0.22</v>
      </c>
      <c r="ET80" s="40">
        <v>0.14000000000000001</v>
      </c>
      <c r="EU80" s="40">
        <v>0.17</v>
      </c>
      <c r="EV80" s="40">
        <v>0</v>
      </c>
      <c r="EW80" s="40">
        <v>0.14000000000000001</v>
      </c>
      <c r="EX80" s="40">
        <v>0.82</v>
      </c>
      <c r="EY80" s="40">
        <v>0.3</v>
      </c>
      <c r="EZ80" s="40">
        <v>0</v>
      </c>
      <c r="FA80" s="40">
        <v>0.45</v>
      </c>
      <c r="FB80" s="247">
        <v>62</v>
      </c>
      <c r="FC80" s="247" t="s">
        <v>875</v>
      </c>
      <c r="FD80" s="247">
        <v>6</v>
      </c>
      <c r="FE80" s="247" t="s">
        <v>874</v>
      </c>
      <c r="FF80" s="264">
        <v>0</v>
      </c>
      <c r="FG80" s="264">
        <v>0.25</v>
      </c>
      <c r="FH80" s="264">
        <v>0.65</v>
      </c>
      <c r="FI80" s="264">
        <v>0.1</v>
      </c>
      <c r="FJ80" s="264">
        <v>0.26</v>
      </c>
      <c r="FK80" s="264">
        <v>0.42</v>
      </c>
      <c r="FL80" s="264">
        <v>0.35</v>
      </c>
      <c r="FM80" s="264">
        <v>0.15</v>
      </c>
      <c r="FN80" s="264">
        <v>0.05</v>
      </c>
      <c r="FO80" s="264">
        <v>7.0000000000000007E-2</v>
      </c>
      <c r="FP80" s="264">
        <v>0.16</v>
      </c>
      <c r="FQ80" s="264">
        <v>0.28999999999999998</v>
      </c>
      <c r="FR80" s="264">
        <v>0.37</v>
      </c>
      <c r="FS80" s="264">
        <v>0.26</v>
      </c>
      <c r="FT80" s="264">
        <v>0.36</v>
      </c>
      <c r="FU80" s="264">
        <v>0.06</v>
      </c>
      <c r="FV80" s="264">
        <v>0.3</v>
      </c>
      <c r="FW80" s="264">
        <v>0.5</v>
      </c>
      <c r="FX80" s="264">
        <v>0.03</v>
      </c>
      <c r="FY80" s="264">
        <v>0.11</v>
      </c>
      <c r="FZ80" s="264">
        <v>0.15</v>
      </c>
      <c r="GA80" s="264">
        <v>0.21</v>
      </c>
      <c r="GB80" s="264">
        <v>0.18</v>
      </c>
      <c r="GC80" s="264">
        <v>0.17</v>
      </c>
      <c r="GD80" s="264">
        <v>0.36</v>
      </c>
      <c r="GE80" s="264">
        <v>0.34</v>
      </c>
      <c r="GF80" s="264">
        <v>0.25</v>
      </c>
      <c r="GG80" s="264">
        <v>0.2</v>
      </c>
      <c r="GH80" s="264">
        <v>0.28000000000000003</v>
      </c>
      <c r="GI80" s="264">
        <v>0.1</v>
      </c>
      <c r="GJ80" s="74">
        <v>60</v>
      </c>
      <c r="GK80" s="74" t="s">
        <v>875</v>
      </c>
      <c r="GL80" s="74">
        <v>5</v>
      </c>
      <c r="GM80" s="74" t="s">
        <v>876</v>
      </c>
      <c r="GN80" s="96">
        <v>0</v>
      </c>
      <c r="GO80" s="96">
        <v>0.19</v>
      </c>
      <c r="GP80" s="96">
        <v>0.81</v>
      </c>
      <c r="GQ80" s="96">
        <v>0</v>
      </c>
      <c r="GR80" s="96">
        <v>0.26</v>
      </c>
      <c r="GS80" s="96">
        <v>0.39</v>
      </c>
      <c r="GT80" s="96">
        <v>0.46</v>
      </c>
      <c r="GU80" s="96">
        <v>0.11</v>
      </c>
      <c r="GV80" s="96">
        <v>0.3</v>
      </c>
      <c r="GW80" s="96">
        <v>0.36</v>
      </c>
      <c r="GX80" s="96">
        <v>0.26</v>
      </c>
      <c r="GY80" s="74" t="s">
        <v>283</v>
      </c>
      <c r="GZ80" s="96">
        <v>0.17</v>
      </c>
      <c r="HA80" s="96">
        <v>0.73</v>
      </c>
      <c r="HB80" s="96">
        <v>0.34</v>
      </c>
      <c r="HC80" s="96">
        <v>0.35</v>
      </c>
      <c r="HD80" s="96">
        <v>0.35</v>
      </c>
      <c r="HE80" s="96">
        <v>0.28999999999999998</v>
      </c>
      <c r="HF80" s="96">
        <v>0.25</v>
      </c>
      <c r="HG80" s="96">
        <v>0.68</v>
      </c>
      <c r="HH80" s="96">
        <v>0.24</v>
      </c>
      <c r="HI80" s="96">
        <v>0.31</v>
      </c>
      <c r="HJ80" s="96">
        <v>0.48</v>
      </c>
      <c r="HK80" s="96">
        <v>0.21</v>
      </c>
      <c r="HL80" s="96">
        <v>0.2</v>
      </c>
      <c r="HM80" s="96">
        <v>0.38</v>
      </c>
      <c r="HN80" s="96">
        <v>0.25</v>
      </c>
      <c r="HO80" s="96">
        <v>0.12</v>
      </c>
      <c r="HP80" s="74" t="s">
        <v>283</v>
      </c>
      <c r="HQ80" s="96">
        <v>0.22</v>
      </c>
      <c r="HR80" s="658">
        <v>59</v>
      </c>
      <c r="HS80" s="658" t="s">
        <v>875</v>
      </c>
      <c r="HT80" s="658">
        <v>7</v>
      </c>
      <c r="HU80" s="658" t="s">
        <v>874</v>
      </c>
      <c r="HV80" s="659">
        <v>0</v>
      </c>
      <c r="HW80" s="659">
        <v>0.28000000000000003</v>
      </c>
      <c r="HX80" s="659">
        <v>0.66</v>
      </c>
      <c r="HY80" s="659">
        <v>7.0000000000000007E-2</v>
      </c>
      <c r="HZ80" s="659">
        <v>0.28000000000000003</v>
      </c>
      <c r="IA80" s="659">
        <v>0.44</v>
      </c>
      <c r="IB80" s="659">
        <v>0.14000000000000001</v>
      </c>
      <c r="IC80" s="659">
        <v>0.44</v>
      </c>
      <c r="ID80" s="659">
        <v>0.53</v>
      </c>
      <c r="IE80" s="659">
        <v>0.19</v>
      </c>
      <c r="IF80" s="659">
        <v>0.25</v>
      </c>
      <c r="IG80" s="659">
        <v>0.47</v>
      </c>
      <c r="IH80" s="659">
        <v>0.54</v>
      </c>
      <c r="II80" s="659">
        <v>0.27</v>
      </c>
      <c r="IJ80" s="659">
        <v>0.15</v>
      </c>
      <c r="IK80" s="659">
        <v>0.4</v>
      </c>
      <c r="IL80" s="659">
        <v>0.17</v>
      </c>
      <c r="IM80" s="659">
        <v>0.47</v>
      </c>
      <c r="IN80" s="659">
        <v>0.26</v>
      </c>
      <c r="IO80" s="659">
        <v>0.39</v>
      </c>
      <c r="IP80" s="659">
        <v>0.15</v>
      </c>
      <c r="IQ80" s="659">
        <v>0.56999999999999995</v>
      </c>
      <c r="IR80" s="659">
        <v>0.37</v>
      </c>
      <c r="IS80" s="659">
        <v>0.3</v>
      </c>
      <c r="IT80" s="659">
        <v>0.3</v>
      </c>
      <c r="IU80" s="658" t="s">
        <v>283</v>
      </c>
      <c r="IV80" s="659">
        <v>0.53</v>
      </c>
      <c r="IW80" s="659">
        <v>0.16</v>
      </c>
      <c r="IX80" s="659">
        <v>0.38</v>
      </c>
      <c r="IY80" s="659">
        <v>0.35</v>
      </c>
      <c r="IZ80" s="74">
        <v>62</v>
      </c>
      <c r="JA80" s="74" t="s">
        <v>875</v>
      </c>
      <c r="JB80" s="74">
        <v>6</v>
      </c>
      <c r="JC80" s="74" t="s">
        <v>874</v>
      </c>
      <c r="JD80" s="96">
        <v>0</v>
      </c>
      <c r="JE80" s="96">
        <v>0.11</v>
      </c>
      <c r="JF80" s="96">
        <v>0.79</v>
      </c>
      <c r="JG80" s="96">
        <v>0.11</v>
      </c>
      <c r="JH80" s="96">
        <v>0.21</v>
      </c>
      <c r="JI80" s="96">
        <v>0.26</v>
      </c>
      <c r="JJ80" s="96">
        <v>0.27</v>
      </c>
      <c r="JK80" s="96">
        <v>0.24</v>
      </c>
      <c r="JL80" s="96">
        <v>0.4</v>
      </c>
      <c r="JM80" s="96">
        <v>0.24</v>
      </c>
      <c r="JN80" s="96">
        <v>0.19</v>
      </c>
      <c r="JO80" s="96">
        <v>0.3</v>
      </c>
      <c r="JP80" s="96">
        <v>0.45</v>
      </c>
      <c r="JQ80" s="96">
        <v>0.08</v>
      </c>
      <c r="JR80" s="96">
        <v>0.4</v>
      </c>
      <c r="JS80" s="96">
        <v>0.17</v>
      </c>
      <c r="JT80" s="96">
        <v>0.2</v>
      </c>
      <c r="JU80" s="96">
        <v>0.26</v>
      </c>
      <c r="JV80" s="96">
        <v>0.39</v>
      </c>
      <c r="JW80" s="96">
        <v>0.3</v>
      </c>
      <c r="JX80" s="96">
        <v>0.26</v>
      </c>
      <c r="JY80" s="96">
        <v>0.24</v>
      </c>
      <c r="JZ80" s="96">
        <v>0.3</v>
      </c>
      <c r="KA80" s="96">
        <v>0.43</v>
      </c>
      <c r="KB80" s="96">
        <v>0.13</v>
      </c>
      <c r="KC80" s="96">
        <v>0.52</v>
      </c>
      <c r="KD80" s="96">
        <v>0.09</v>
      </c>
      <c r="KE80" s="96">
        <v>0.32</v>
      </c>
      <c r="KF80" s="96">
        <v>0.28000000000000003</v>
      </c>
      <c r="KG80" s="96">
        <v>0.26</v>
      </c>
    </row>
    <row r="81" spans="1:293" ht="24.95" customHeight="1" x14ac:dyDescent="0.2">
      <c r="A81" s="126" t="s">
        <v>42</v>
      </c>
      <c r="B81" s="1" t="s">
        <v>221</v>
      </c>
      <c r="C81" s="2">
        <v>6</v>
      </c>
      <c r="D81" s="12">
        <v>56</v>
      </c>
      <c r="E81" s="12">
        <v>6</v>
      </c>
      <c r="F81" s="66">
        <v>0.03</v>
      </c>
      <c r="G81" s="66">
        <v>0.42</v>
      </c>
      <c r="H81" s="66">
        <v>0.52</v>
      </c>
      <c r="I81" s="66">
        <v>0.03</v>
      </c>
      <c r="J81" s="66">
        <v>0.32</v>
      </c>
      <c r="K81" s="66">
        <v>0.37</v>
      </c>
      <c r="L81" s="66">
        <v>0.7</v>
      </c>
      <c r="M81" s="66">
        <v>0.18</v>
      </c>
      <c r="N81" s="66">
        <v>0.22</v>
      </c>
      <c r="O81" s="66">
        <v>0.53</v>
      </c>
      <c r="P81" s="66">
        <v>0.42</v>
      </c>
      <c r="Q81" s="66">
        <v>0.5</v>
      </c>
      <c r="R81" s="66">
        <v>0.42</v>
      </c>
      <c r="S81" s="66">
        <v>0.56000000000000005</v>
      </c>
      <c r="T81" s="66">
        <v>0.36</v>
      </c>
      <c r="U81" s="66">
        <v>0.66</v>
      </c>
      <c r="V81" s="66">
        <v>0.06</v>
      </c>
      <c r="W81" s="66">
        <v>0.15</v>
      </c>
      <c r="X81" s="66">
        <v>0.42</v>
      </c>
      <c r="Y81" s="66">
        <v>0.42</v>
      </c>
      <c r="Z81" s="66">
        <v>1</v>
      </c>
      <c r="AA81" s="66">
        <v>0.08</v>
      </c>
      <c r="AB81" s="66">
        <v>0.41</v>
      </c>
      <c r="AC81" s="66">
        <v>0.17</v>
      </c>
      <c r="AD81" s="66">
        <v>0.39</v>
      </c>
      <c r="AE81" s="66">
        <v>0.37</v>
      </c>
      <c r="AF81" s="66">
        <v>0.39</v>
      </c>
      <c r="AG81" s="66">
        <v>0.43</v>
      </c>
      <c r="AH81" s="12">
        <v>54</v>
      </c>
      <c r="AI81" s="12">
        <v>8</v>
      </c>
      <c r="AJ81" s="40">
        <v>0.04</v>
      </c>
      <c r="AK81" s="40">
        <v>0.46</v>
      </c>
      <c r="AL81" s="40">
        <v>0.5</v>
      </c>
      <c r="AM81" s="40">
        <v>0</v>
      </c>
      <c r="AN81" s="40">
        <v>0.35</v>
      </c>
      <c r="AO81" s="40">
        <v>0.51</v>
      </c>
      <c r="AP81" s="40">
        <v>0.57999999999999996</v>
      </c>
      <c r="AQ81" s="40">
        <v>0.32</v>
      </c>
      <c r="AR81" s="40">
        <v>0.43</v>
      </c>
      <c r="AS81" s="40">
        <v>0.48</v>
      </c>
      <c r="AT81" s="40">
        <v>0.49</v>
      </c>
      <c r="AU81" s="40">
        <v>0.35</v>
      </c>
      <c r="AV81" s="40">
        <v>0.6</v>
      </c>
      <c r="AW81" s="40">
        <v>0.19</v>
      </c>
      <c r="AX81" s="40">
        <v>0.57999999999999996</v>
      </c>
      <c r="AY81" s="40">
        <v>0.32</v>
      </c>
      <c r="AZ81" s="40">
        <v>0.22</v>
      </c>
      <c r="BA81" s="40">
        <v>0.48</v>
      </c>
      <c r="BB81" s="40">
        <v>0.67</v>
      </c>
      <c r="BC81" s="40">
        <v>0.76</v>
      </c>
      <c r="BD81" s="40">
        <v>0.43</v>
      </c>
      <c r="BE81" s="40">
        <v>0.7</v>
      </c>
      <c r="BF81" s="40">
        <v>0.4</v>
      </c>
      <c r="BG81" s="40">
        <v>0.49</v>
      </c>
      <c r="BH81" s="40">
        <v>0.39</v>
      </c>
      <c r="BI81" s="40">
        <v>0.36</v>
      </c>
      <c r="BJ81" s="40">
        <v>0.4</v>
      </c>
      <c r="BK81" s="40">
        <v>0.4</v>
      </c>
      <c r="BL81" s="40">
        <v>0.46</v>
      </c>
      <c r="BM81" s="12">
        <v>53</v>
      </c>
      <c r="BN81" s="12">
        <v>10</v>
      </c>
      <c r="BO81" s="66">
        <v>0.08</v>
      </c>
      <c r="BP81" s="66">
        <v>0.5</v>
      </c>
      <c r="BQ81" s="66">
        <v>0.39</v>
      </c>
      <c r="BR81" s="66">
        <v>0.03</v>
      </c>
      <c r="BS81" s="66">
        <v>0.28000000000000003</v>
      </c>
      <c r="BT81" s="66">
        <v>0.44</v>
      </c>
      <c r="BU81" s="66">
        <v>0.57999999999999996</v>
      </c>
      <c r="BV81" s="66">
        <v>0.33</v>
      </c>
      <c r="BW81" s="66">
        <v>0.67</v>
      </c>
      <c r="BX81" s="66">
        <v>0.28999999999999998</v>
      </c>
      <c r="BY81" s="66">
        <v>0.33</v>
      </c>
      <c r="BZ81" s="66">
        <v>0.52</v>
      </c>
      <c r="CA81" s="66">
        <v>0.4</v>
      </c>
      <c r="CB81" s="66">
        <v>0.23</v>
      </c>
      <c r="CC81" s="66">
        <v>0.15</v>
      </c>
      <c r="CD81" s="66">
        <v>0.38</v>
      </c>
      <c r="CE81" s="66">
        <v>0.35</v>
      </c>
      <c r="CF81" s="66">
        <v>0.5</v>
      </c>
      <c r="CG81" s="66">
        <v>0.47</v>
      </c>
      <c r="CH81" s="66">
        <v>0.47</v>
      </c>
      <c r="CI81" s="66">
        <v>0.56000000000000005</v>
      </c>
      <c r="CJ81" s="66">
        <v>0.36</v>
      </c>
      <c r="CK81" s="66">
        <v>0.67</v>
      </c>
      <c r="CL81" s="66">
        <v>0.33</v>
      </c>
      <c r="CM81" s="66">
        <v>0.37</v>
      </c>
      <c r="CN81" s="66">
        <v>0.48</v>
      </c>
      <c r="CO81" s="66">
        <v>0.31</v>
      </c>
      <c r="CP81" s="66">
        <v>0.34</v>
      </c>
      <c r="CQ81" s="66">
        <v>0.48</v>
      </c>
      <c r="CR81" s="66">
        <v>0.46</v>
      </c>
      <c r="CS81" s="12">
        <v>54</v>
      </c>
      <c r="CT81" s="12">
        <v>9</v>
      </c>
      <c r="CU81" s="63">
        <v>0.1</v>
      </c>
      <c r="CV81" s="63">
        <v>0.43</v>
      </c>
      <c r="CW81" s="63">
        <v>0.47</v>
      </c>
      <c r="CX81" s="63">
        <v>0</v>
      </c>
      <c r="CY81" s="63">
        <v>0.56000000000000005</v>
      </c>
      <c r="CZ81" s="63">
        <v>0.28999999999999998</v>
      </c>
      <c r="DA81" s="63">
        <v>0.53</v>
      </c>
      <c r="DB81" s="63">
        <v>0.2</v>
      </c>
      <c r="DC81" s="63">
        <v>0.44</v>
      </c>
      <c r="DD81" s="63">
        <v>0.57999999999999996</v>
      </c>
      <c r="DE81" s="63">
        <v>0.31</v>
      </c>
      <c r="DF81" s="63">
        <v>0.48</v>
      </c>
      <c r="DG81" s="63">
        <v>0.42</v>
      </c>
      <c r="DH81" s="63">
        <v>0.34</v>
      </c>
      <c r="DI81" s="63">
        <v>0.45</v>
      </c>
      <c r="DJ81" s="63">
        <v>0.38</v>
      </c>
      <c r="DK81" s="63">
        <v>0.27</v>
      </c>
      <c r="DL81" s="63">
        <v>0.28999999999999998</v>
      </c>
      <c r="DM81" s="63">
        <v>0.49</v>
      </c>
      <c r="DN81" s="63">
        <v>0.43</v>
      </c>
      <c r="DO81" s="63">
        <v>0.3</v>
      </c>
      <c r="DP81" s="63">
        <v>0.38</v>
      </c>
      <c r="DQ81" s="63">
        <v>0.44</v>
      </c>
      <c r="DR81" s="63">
        <v>0.13</v>
      </c>
      <c r="DS81" s="63">
        <v>0.33</v>
      </c>
      <c r="DT81" s="63">
        <v>0.55000000000000004</v>
      </c>
      <c r="DU81" s="63">
        <v>0.5</v>
      </c>
      <c r="DV81" s="63">
        <v>0.53</v>
      </c>
      <c r="DW81" s="63">
        <v>0.33</v>
      </c>
      <c r="DX81" s="35">
        <v>54</v>
      </c>
      <c r="DY81" s="35">
        <v>7</v>
      </c>
      <c r="DZ81" s="40">
        <v>0.04</v>
      </c>
      <c r="EA81" s="40">
        <v>0.54</v>
      </c>
      <c r="EB81" s="40">
        <v>0.42</v>
      </c>
      <c r="EC81" s="40">
        <v>0</v>
      </c>
      <c r="ED81" s="40">
        <v>0.37</v>
      </c>
      <c r="EE81" s="40">
        <v>0.44</v>
      </c>
      <c r="EF81" s="40">
        <v>0.3</v>
      </c>
      <c r="EG81" s="40">
        <v>0.43</v>
      </c>
      <c r="EH81" s="40">
        <v>0.38</v>
      </c>
      <c r="EI81" s="40">
        <v>0.49</v>
      </c>
      <c r="EJ81" s="40">
        <v>0.55000000000000004</v>
      </c>
      <c r="EK81" s="40">
        <v>0.35</v>
      </c>
      <c r="EL81" s="40">
        <v>0.33</v>
      </c>
      <c r="EM81" s="40">
        <v>0.62</v>
      </c>
      <c r="EN81" s="40">
        <v>0.3</v>
      </c>
      <c r="EO81" s="40">
        <v>0.54</v>
      </c>
      <c r="EP81" s="40">
        <v>0.3</v>
      </c>
      <c r="EQ81" s="40">
        <v>0.32</v>
      </c>
      <c r="ER81" s="40">
        <v>0.5</v>
      </c>
      <c r="ES81" s="40">
        <v>0.34</v>
      </c>
      <c r="ET81" s="40">
        <v>0.3</v>
      </c>
      <c r="EU81" s="40">
        <v>0.48</v>
      </c>
      <c r="EV81" s="40">
        <v>0.31</v>
      </c>
      <c r="EW81" s="40">
        <v>0.28000000000000003</v>
      </c>
      <c r="EX81" s="40">
        <v>0.6</v>
      </c>
      <c r="EY81" s="40">
        <v>0.43</v>
      </c>
      <c r="EZ81" s="40">
        <v>0</v>
      </c>
      <c r="FA81" s="40">
        <v>0.56000000000000005</v>
      </c>
      <c r="FB81" s="247">
        <v>52</v>
      </c>
      <c r="FC81" s="247" t="s">
        <v>874</v>
      </c>
      <c r="FD81" s="247">
        <v>8</v>
      </c>
      <c r="FE81" s="247" t="s">
        <v>874</v>
      </c>
      <c r="FF81" s="264">
        <v>0.11</v>
      </c>
      <c r="FG81" s="264">
        <v>0.52</v>
      </c>
      <c r="FH81" s="264">
        <v>0.36</v>
      </c>
      <c r="FI81" s="264">
        <v>0</v>
      </c>
      <c r="FJ81" s="264">
        <v>0.41</v>
      </c>
      <c r="FK81" s="264">
        <v>0.61</v>
      </c>
      <c r="FL81" s="264">
        <v>0.51</v>
      </c>
      <c r="FM81" s="264">
        <v>0.35</v>
      </c>
      <c r="FN81" s="264">
        <v>0.31</v>
      </c>
      <c r="FO81" s="264">
        <v>0.37</v>
      </c>
      <c r="FP81" s="264">
        <v>0.34</v>
      </c>
      <c r="FQ81" s="264">
        <v>0.43</v>
      </c>
      <c r="FR81" s="264">
        <v>0.55000000000000004</v>
      </c>
      <c r="FS81" s="264">
        <v>0.52</v>
      </c>
      <c r="FT81" s="264">
        <v>0.52</v>
      </c>
      <c r="FU81" s="264">
        <v>0.39</v>
      </c>
      <c r="FV81" s="264">
        <v>0.56999999999999995</v>
      </c>
      <c r="FW81" s="264">
        <v>0.56000000000000005</v>
      </c>
      <c r="FX81" s="264">
        <v>0.39</v>
      </c>
      <c r="FY81" s="264">
        <v>0.28999999999999998</v>
      </c>
      <c r="FZ81" s="264">
        <v>0.34</v>
      </c>
      <c r="GA81" s="264">
        <v>0.5</v>
      </c>
      <c r="GB81" s="264">
        <v>0.41</v>
      </c>
      <c r="GC81" s="264">
        <v>0.38</v>
      </c>
      <c r="GD81" s="264">
        <v>0.55000000000000004</v>
      </c>
      <c r="GE81" s="264">
        <v>0.45</v>
      </c>
      <c r="GF81" s="264">
        <v>0.34</v>
      </c>
      <c r="GG81" s="264">
        <v>0.38</v>
      </c>
      <c r="GH81" s="264">
        <v>0.55000000000000004</v>
      </c>
      <c r="GI81" s="264">
        <v>0.2</v>
      </c>
      <c r="GJ81" s="311">
        <v>59</v>
      </c>
      <c r="GK81" s="311" t="s">
        <v>875</v>
      </c>
      <c r="GL81" s="311">
        <v>8</v>
      </c>
      <c r="GM81" s="311" t="s">
        <v>874</v>
      </c>
      <c r="GN81" s="329">
        <v>0</v>
      </c>
      <c r="GO81" s="329">
        <v>0.34</v>
      </c>
      <c r="GP81" s="329">
        <v>0.62</v>
      </c>
      <c r="GQ81" s="329">
        <v>0.03</v>
      </c>
      <c r="GR81" s="329">
        <v>0.36</v>
      </c>
      <c r="GS81" s="329">
        <v>0.35</v>
      </c>
      <c r="GT81" s="329">
        <v>0.41</v>
      </c>
      <c r="GU81" s="329">
        <v>0.13</v>
      </c>
      <c r="GV81" s="329">
        <v>0.36</v>
      </c>
      <c r="GW81" s="329">
        <v>0.25</v>
      </c>
      <c r="GX81" s="329">
        <v>0.31</v>
      </c>
      <c r="GY81" s="311" t="s">
        <v>283</v>
      </c>
      <c r="GZ81" s="329">
        <v>0.24</v>
      </c>
      <c r="HA81" s="329">
        <v>0.92</v>
      </c>
      <c r="HB81" s="329">
        <v>0.35</v>
      </c>
      <c r="HC81" s="329">
        <v>0.38</v>
      </c>
      <c r="HD81" s="329">
        <v>0.44</v>
      </c>
      <c r="HE81" s="329">
        <v>0.28999999999999998</v>
      </c>
      <c r="HF81" s="329">
        <v>0.31</v>
      </c>
      <c r="HG81" s="329">
        <v>0.61</v>
      </c>
      <c r="HH81" s="329">
        <v>0.18</v>
      </c>
      <c r="HI81" s="329">
        <v>0.26</v>
      </c>
      <c r="HJ81" s="329">
        <v>0.54</v>
      </c>
      <c r="HK81" s="329">
        <v>0.33</v>
      </c>
      <c r="HL81" s="329">
        <v>0.3</v>
      </c>
      <c r="HM81" s="329">
        <v>0.36</v>
      </c>
      <c r="HN81" s="329">
        <v>0.34</v>
      </c>
      <c r="HO81" s="329">
        <v>0.12</v>
      </c>
      <c r="HP81" s="311" t="s">
        <v>283</v>
      </c>
      <c r="HQ81" s="329">
        <v>0.28000000000000003</v>
      </c>
      <c r="HR81" s="426">
        <v>55</v>
      </c>
      <c r="HS81" s="426" t="s">
        <v>874</v>
      </c>
      <c r="HT81" s="426">
        <v>7</v>
      </c>
      <c r="HU81" s="426" t="s">
        <v>874</v>
      </c>
      <c r="HV81" s="430">
        <v>0.03</v>
      </c>
      <c r="HW81" s="430">
        <v>0.5</v>
      </c>
      <c r="HX81" s="430">
        <v>0.47</v>
      </c>
      <c r="HY81" s="430">
        <v>0</v>
      </c>
      <c r="HZ81" s="430">
        <v>0.35</v>
      </c>
      <c r="IA81" s="430">
        <v>0.45</v>
      </c>
      <c r="IB81" s="430">
        <v>0.3</v>
      </c>
      <c r="IC81" s="430">
        <v>0.48</v>
      </c>
      <c r="ID81" s="430">
        <v>0.62</v>
      </c>
      <c r="IE81" s="430">
        <v>0.28000000000000003</v>
      </c>
      <c r="IF81" s="430">
        <v>0.34</v>
      </c>
      <c r="IG81" s="430">
        <v>0.48</v>
      </c>
      <c r="IH81" s="430">
        <v>0.4</v>
      </c>
      <c r="II81" s="430">
        <v>0.47</v>
      </c>
      <c r="IJ81" s="430">
        <v>0.21</v>
      </c>
      <c r="IK81" s="430">
        <v>0.54</v>
      </c>
      <c r="IL81" s="430">
        <v>0.23</v>
      </c>
      <c r="IM81" s="430">
        <v>0.56999999999999995</v>
      </c>
      <c r="IN81" s="430">
        <v>0.39</v>
      </c>
      <c r="IO81" s="430">
        <v>0.4</v>
      </c>
      <c r="IP81" s="430">
        <v>0.31</v>
      </c>
      <c r="IQ81" s="430">
        <v>0.62</v>
      </c>
      <c r="IR81" s="430">
        <v>0.38</v>
      </c>
      <c r="IS81" s="430">
        <v>0.45</v>
      </c>
      <c r="IT81" s="430">
        <v>0.31</v>
      </c>
      <c r="IU81" s="426" t="s">
        <v>283</v>
      </c>
      <c r="IV81" s="430">
        <v>0.59</v>
      </c>
      <c r="IW81" s="430">
        <v>0.28000000000000003</v>
      </c>
      <c r="IX81" s="430">
        <v>0.48</v>
      </c>
      <c r="IY81" s="430">
        <v>0.45</v>
      </c>
      <c r="IZ81" s="466">
        <v>56</v>
      </c>
      <c r="JA81" s="466" t="s">
        <v>874</v>
      </c>
      <c r="JB81" s="466">
        <v>9</v>
      </c>
      <c r="JC81" s="466" t="s">
        <v>874</v>
      </c>
      <c r="JD81" s="480">
        <v>0.03</v>
      </c>
      <c r="JE81" s="480">
        <v>0.35</v>
      </c>
      <c r="JF81" s="480">
        <v>0.57999999999999996</v>
      </c>
      <c r="JG81" s="480">
        <v>0.03</v>
      </c>
      <c r="JH81" s="480">
        <v>0.33</v>
      </c>
      <c r="JI81" s="480">
        <v>0.4</v>
      </c>
      <c r="JJ81" s="480">
        <v>0.31</v>
      </c>
      <c r="JK81" s="480">
        <v>0.42</v>
      </c>
      <c r="JL81" s="480">
        <v>0.26</v>
      </c>
      <c r="JM81" s="480">
        <v>0.42</v>
      </c>
      <c r="JN81" s="480">
        <v>0.25</v>
      </c>
      <c r="JO81" s="480">
        <v>0.38</v>
      </c>
      <c r="JP81" s="480">
        <v>0.4</v>
      </c>
      <c r="JQ81" s="480">
        <v>0.17</v>
      </c>
      <c r="JR81" s="480">
        <v>0.57999999999999996</v>
      </c>
      <c r="JS81" s="480">
        <v>0.48</v>
      </c>
      <c r="JT81" s="480">
        <v>0.27</v>
      </c>
      <c r="JU81" s="480">
        <v>0.51</v>
      </c>
      <c r="JV81" s="480">
        <v>0.37</v>
      </c>
      <c r="JW81" s="480">
        <v>0.38</v>
      </c>
      <c r="JX81" s="480">
        <v>0.23</v>
      </c>
      <c r="JY81" s="480">
        <v>0.32</v>
      </c>
      <c r="JZ81" s="480">
        <v>0.45</v>
      </c>
      <c r="KA81" s="480">
        <v>0.68</v>
      </c>
      <c r="KB81" s="480">
        <v>0.39</v>
      </c>
      <c r="KC81" s="480">
        <v>0.62</v>
      </c>
      <c r="KD81" s="480">
        <v>0.26</v>
      </c>
      <c r="KE81" s="480">
        <v>0.49</v>
      </c>
      <c r="KF81" s="480">
        <v>0.4</v>
      </c>
      <c r="KG81" s="480">
        <v>0.44</v>
      </c>
    </row>
    <row r="82" spans="1:293" ht="24.95" customHeight="1" x14ac:dyDescent="0.2">
      <c r="A82" s="126" t="s">
        <v>924</v>
      </c>
      <c r="B82" s="14" t="s">
        <v>221</v>
      </c>
      <c r="C82" s="2">
        <v>3</v>
      </c>
      <c r="D82" s="12"/>
      <c r="E82" s="12"/>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12"/>
      <c r="AI82" s="12"/>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12"/>
      <c r="BN82" s="12"/>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12"/>
      <c r="CT82" s="12"/>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35"/>
      <c r="DY82" s="35"/>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247"/>
      <c r="FC82" s="247"/>
      <c r="FD82" s="247"/>
      <c r="FE82" s="247"/>
      <c r="FF82" s="264"/>
      <c r="FG82" s="264"/>
      <c r="FH82" s="264"/>
      <c r="FI82" s="264"/>
      <c r="FJ82" s="264"/>
      <c r="FK82" s="264"/>
      <c r="FL82" s="264"/>
      <c r="FM82" s="264"/>
      <c r="FN82" s="264"/>
      <c r="FO82" s="264"/>
      <c r="FP82" s="264"/>
      <c r="FQ82" s="264"/>
      <c r="FR82" s="264"/>
      <c r="FS82" s="264"/>
      <c r="FT82" s="264"/>
      <c r="FU82" s="264"/>
      <c r="FV82" s="264"/>
      <c r="FW82" s="264"/>
      <c r="FX82" s="264"/>
      <c r="FY82" s="264"/>
      <c r="FZ82" s="264"/>
      <c r="GA82" s="264"/>
      <c r="GB82" s="264"/>
      <c r="GC82" s="264"/>
      <c r="GD82" s="264"/>
      <c r="GE82" s="264"/>
      <c r="GF82" s="264"/>
      <c r="GG82" s="264"/>
      <c r="GH82" s="264"/>
      <c r="GI82" s="264"/>
      <c r="GJ82" s="311">
        <v>53</v>
      </c>
      <c r="GK82" s="311" t="s">
        <v>874</v>
      </c>
      <c r="GL82" s="311">
        <v>9</v>
      </c>
      <c r="GM82" s="311" t="s">
        <v>874</v>
      </c>
      <c r="GN82" s="329">
        <v>0.14000000000000001</v>
      </c>
      <c r="GO82" s="329">
        <v>0.5</v>
      </c>
      <c r="GP82" s="329">
        <v>0.36</v>
      </c>
      <c r="GQ82" s="329">
        <v>0</v>
      </c>
      <c r="GR82" s="329">
        <v>0.4</v>
      </c>
      <c r="GS82" s="329">
        <v>0.28000000000000003</v>
      </c>
      <c r="GT82" s="329">
        <v>0.55000000000000004</v>
      </c>
      <c r="GU82" s="329">
        <v>0.14000000000000001</v>
      </c>
      <c r="GV82" s="329">
        <v>0.56000000000000005</v>
      </c>
      <c r="GW82" s="329">
        <v>0.47</v>
      </c>
      <c r="GX82" s="329">
        <v>0.49</v>
      </c>
      <c r="GY82" s="311" t="s">
        <v>283</v>
      </c>
      <c r="GZ82" s="329">
        <v>0.2</v>
      </c>
      <c r="HA82" s="329">
        <v>0.83</v>
      </c>
      <c r="HB82" s="329">
        <v>0.36</v>
      </c>
      <c r="HC82" s="329">
        <v>0.52</v>
      </c>
      <c r="HD82" s="329">
        <v>0.52</v>
      </c>
      <c r="HE82" s="329">
        <v>0.36</v>
      </c>
      <c r="HF82" s="329">
        <v>0.33</v>
      </c>
      <c r="HG82" s="329">
        <v>0.65</v>
      </c>
      <c r="HH82" s="329">
        <v>0.26</v>
      </c>
      <c r="HI82" s="329">
        <v>0.53</v>
      </c>
      <c r="HJ82" s="329">
        <v>0.65</v>
      </c>
      <c r="HK82" s="329">
        <v>0.38</v>
      </c>
      <c r="HL82" s="329">
        <v>0.19</v>
      </c>
      <c r="HM82" s="329">
        <v>0.47</v>
      </c>
      <c r="HN82" s="329">
        <v>0.44</v>
      </c>
      <c r="HO82" s="329">
        <v>0.26</v>
      </c>
      <c r="HP82" s="311" t="s">
        <v>283</v>
      </c>
      <c r="HQ82" s="329">
        <v>0.35</v>
      </c>
      <c r="HR82" s="426">
        <v>48</v>
      </c>
      <c r="HS82" s="426" t="s">
        <v>874</v>
      </c>
      <c r="HT82" s="426">
        <v>10</v>
      </c>
      <c r="HU82" s="426" t="s">
        <v>874</v>
      </c>
      <c r="HV82" s="430">
        <v>0.15</v>
      </c>
      <c r="HW82" s="430">
        <v>0.65</v>
      </c>
      <c r="HX82" s="430">
        <v>0.2</v>
      </c>
      <c r="HY82" s="430">
        <v>0</v>
      </c>
      <c r="HZ82" s="430">
        <v>0.47</v>
      </c>
      <c r="IA82" s="430">
        <v>0.56000000000000005</v>
      </c>
      <c r="IB82" s="430">
        <v>0.62</v>
      </c>
      <c r="IC82" s="430">
        <v>0.56999999999999995</v>
      </c>
      <c r="ID82" s="430">
        <v>0.7</v>
      </c>
      <c r="IE82" s="430">
        <v>0.35</v>
      </c>
      <c r="IF82" s="430">
        <v>0.47</v>
      </c>
      <c r="IG82" s="430">
        <v>0.65</v>
      </c>
      <c r="IH82" s="430">
        <v>0.48</v>
      </c>
      <c r="II82" s="430">
        <v>0.71</v>
      </c>
      <c r="IJ82" s="430">
        <v>0.27</v>
      </c>
      <c r="IK82" s="430">
        <v>0.56999999999999995</v>
      </c>
      <c r="IL82" s="430">
        <v>0.2</v>
      </c>
      <c r="IM82" s="430">
        <v>0.6</v>
      </c>
      <c r="IN82" s="430">
        <v>0.47</v>
      </c>
      <c r="IO82" s="430">
        <v>0.61</v>
      </c>
      <c r="IP82" s="430">
        <v>0.37</v>
      </c>
      <c r="IQ82" s="430">
        <v>0.69</v>
      </c>
      <c r="IR82" s="430">
        <v>0.57999999999999996</v>
      </c>
      <c r="IS82" s="430">
        <v>0.5</v>
      </c>
      <c r="IT82" s="430">
        <v>0.61</v>
      </c>
      <c r="IU82" s="426" t="s">
        <v>283</v>
      </c>
      <c r="IV82" s="430">
        <v>0.6</v>
      </c>
      <c r="IW82" s="430">
        <v>0.67</v>
      </c>
      <c r="IX82" s="430">
        <v>0.42</v>
      </c>
      <c r="IY82" s="430">
        <v>0.6</v>
      </c>
      <c r="IZ82" s="466">
        <v>51</v>
      </c>
      <c r="JA82" s="466" t="s">
        <v>874</v>
      </c>
      <c r="JB82" s="466">
        <v>11</v>
      </c>
      <c r="JC82" s="466" t="s">
        <v>874</v>
      </c>
      <c r="JD82" s="480">
        <v>0.25</v>
      </c>
      <c r="JE82" s="480">
        <v>0.3</v>
      </c>
      <c r="JF82" s="480">
        <v>0.45</v>
      </c>
      <c r="JG82" s="480">
        <v>0</v>
      </c>
      <c r="JH82" s="480">
        <v>0.54</v>
      </c>
      <c r="JI82" s="480">
        <v>0.38</v>
      </c>
      <c r="JJ82" s="480">
        <v>0.53</v>
      </c>
      <c r="JK82" s="480">
        <v>0.47</v>
      </c>
      <c r="JL82" s="480">
        <v>0.47</v>
      </c>
      <c r="JM82" s="480">
        <v>0.43</v>
      </c>
      <c r="JN82" s="480">
        <v>0.56000000000000005</v>
      </c>
      <c r="JO82" s="480">
        <v>0.48</v>
      </c>
      <c r="JP82" s="480">
        <v>0.51</v>
      </c>
      <c r="JQ82" s="480">
        <v>0.31</v>
      </c>
      <c r="JR82" s="480">
        <v>0.67</v>
      </c>
      <c r="JS82" s="480">
        <v>0.5</v>
      </c>
      <c r="JT82" s="480">
        <v>0.39</v>
      </c>
      <c r="JU82" s="480">
        <v>0.39</v>
      </c>
      <c r="JV82" s="480">
        <v>0.48</v>
      </c>
      <c r="JW82" s="480">
        <v>0.52</v>
      </c>
      <c r="JX82" s="480">
        <v>0.22</v>
      </c>
      <c r="JY82" s="480">
        <v>0.5</v>
      </c>
      <c r="JZ82" s="480">
        <v>0.49</v>
      </c>
      <c r="KA82" s="480">
        <v>0.56000000000000005</v>
      </c>
      <c r="KB82" s="480">
        <v>0.47</v>
      </c>
      <c r="KC82" s="480">
        <v>0.78</v>
      </c>
      <c r="KD82" s="480">
        <v>0.38</v>
      </c>
      <c r="KE82" s="480">
        <v>0.44</v>
      </c>
      <c r="KF82" s="480">
        <v>0.42</v>
      </c>
      <c r="KG82" s="480">
        <v>0.63</v>
      </c>
    </row>
    <row r="83" spans="1:293" ht="24.95" customHeight="1" x14ac:dyDescent="0.2">
      <c r="A83" s="126" t="s">
        <v>1100</v>
      </c>
      <c r="B83" s="14" t="s">
        <v>221</v>
      </c>
      <c r="C83" s="824"/>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824"/>
      <c r="CF83" s="824"/>
      <c r="CG83" s="824"/>
      <c r="CH83" s="824"/>
      <c r="CI83" s="824"/>
      <c r="CJ83" s="824"/>
      <c r="CK83" s="824"/>
      <c r="CL83" s="824"/>
      <c r="CM83" s="824"/>
      <c r="CN83" s="824"/>
      <c r="CO83" s="824"/>
      <c r="CP83" s="824"/>
      <c r="CQ83" s="824"/>
      <c r="CR83" s="824"/>
      <c r="CS83" s="824"/>
      <c r="CT83" s="824"/>
      <c r="CU83" s="824"/>
      <c r="CV83" s="824"/>
      <c r="CW83" s="824"/>
      <c r="CX83" s="824"/>
      <c r="CY83" s="824"/>
      <c r="CZ83" s="824"/>
      <c r="DA83" s="824"/>
      <c r="DB83" s="824"/>
      <c r="DC83" s="824"/>
      <c r="DD83" s="824"/>
      <c r="DE83" s="824"/>
      <c r="DF83" s="824"/>
      <c r="DG83" s="824"/>
      <c r="DH83" s="824"/>
      <c r="DI83" s="824"/>
      <c r="DJ83" s="824"/>
      <c r="DK83" s="824"/>
      <c r="DL83" s="824"/>
      <c r="DM83" s="824"/>
      <c r="DN83" s="824"/>
      <c r="DO83" s="824"/>
      <c r="DP83" s="824"/>
      <c r="DQ83" s="824"/>
      <c r="DR83" s="824"/>
      <c r="DS83" s="824"/>
      <c r="DT83" s="824"/>
      <c r="DU83" s="824"/>
      <c r="DV83" s="824"/>
      <c r="DW83" s="824"/>
      <c r="DX83" s="824"/>
      <c r="DY83" s="824"/>
      <c r="DZ83" s="824"/>
      <c r="EA83" s="824"/>
      <c r="EB83" s="824"/>
      <c r="EC83" s="824"/>
      <c r="ED83" s="824"/>
      <c r="EE83" s="824"/>
      <c r="EF83" s="824"/>
      <c r="EG83" s="824"/>
      <c r="EH83" s="824"/>
      <c r="EI83" s="824"/>
      <c r="EJ83" s="824"/>
      <c r="EK83" s="824"/>
      <c r="EL83" s="824"/>
      <c r="EM83" s="824"/>
      <c r="EN83" s="824"/>
      <c r="EO83" s="824"/>
      <c r="EP83" s="824"/>
      <c r="EQ83" s="824"/>
      <c r="ER83" s="824"/>
      <c r="ES83" s="824"/>
      <c r="ET83" s="824"/>
      <c r="EU83" s="824"/>
      <c r="EV83" s="824"/>
      <c r="EW83" s="824"/>
      <c r="EX83" s="824"/>
      <c r="EY83" s="824"/>
      <c r="EZ83" s="824"/>
      <c r="FA83" s="824"/>
      <c r="FB83" s="824"/>
      <c r="FC83" s="824"/>
      <c r="FD83" s="824"/>
      <c r="FE83" s="824"/>
      <c r="FF83" s="824"/>
      <c r="FG83" s="824"/>
      <c r="FH83" s="824"/>
      <c r="FI83" s="824"/>
      <c r="FJ83" s="824"/>
      <c r="FK83" s="824"/>
      <c r="FL83" s="824"/>
      <c r="FM83" s="824"/>
      <c r="FN83" s="824"/>
      <c r="FO83" s="824"/>
      <c r="FP83" s="824"/>
      <c r="FQ83" s="824"/>
      <c r="FR83" s="824"/>
      <c r="FS83" s="824"/>
      <c r="FT83" s="824"/>
      <c r="FU83" s="824"/>
      <c r="FV83" s="824"/>
      <c r="FW83" s="824"/>
      <c r="FX83" s="824"/>
      <c r="FY83" s="824"/>
      <c r="FZ83" s="824"/>
      <c r="GA83" s="824"/>
      <c r="GB83" s="824"/>
      <c r="GC83" s="824"/>
      <c r="GD83" s="824"/>
      <c r="GE83" s="824"/>
      <c r="GF83" s="824"/>
      <c r="GG83" s="824"/>
      <c r="GH83" s="824"/>
      <c r="GI83" s="824"/>
      <c r="GJ83" s="824"/>
      <c r="GK83" s="824"/>
      <c r="GL83" s="824"/>
      <c r="GM83" s="824"/>
      <c r="GN83" s="824"/>
      <c r="GO83" s="824"/>
      <c r="GP83" s="824"/>
      <c r="GQ83" s="824"/>
      <c r="GR83" s="824"/>
      <c r="GS83" s="824"/>
      <c r="GT83" s="824"/>
      <c r="GU83" s="824"/>
      <c r="GV83" s="824"/>
      <c r="GW83" s="824"/>
      <c r="GX83" s="824"/>
      <c r="GY83" s="824"/>
      <c r="GZ83" s="824"/>
      <c r="HA83" s="824"/>
      <c r="HB83" s="824"/>
      <c r="HC83" s="824"/>
      <c r="HD83" s="824"/>
      <c r="HE83" s="824"/>
      <c r="HF83" s="824"/>
      <c r="HG83" s="824"/>
      <c r="HH83" s="824"/>
      <c r="HI83" s="824"/>
      <c r="HJ83" s="824"/>
      <c r="HK83" s="824"/>
      <c r="HL83" s="824"/>
      <c r="HM83" s="824"/>
      <c r="HN83" s="824"/>
      <c r="HO83" s="824"/>
      <c r="HP83" s="824"/>
      <c r="HQ83" s="824"/>
      <c r="HR83" s="824"/>
      <c r="HS83" s="824"/>
      <c r="HT83" s="824"/>
      <c r="HU83" s="824"/>
      <c r="HV83" s="824"/>
      <c r="HW83" s="824"/>
      <c r="HX83" s="824"/>
      <c r="HY83" s="824"/>
      <c r="HZ83" s="824"/>
      <c r="IA83" s="824"/>
      <c r="IB83" s="824"/>
      <c r="IC83" s="824"/>
      <c r="ID83" s="824"/>
      <c r="IE83" s="824"/>
      <c r="IF83" s="824"/>
      <c r="IG83" s="824"/>
      <c r="IH83" s="824"/>
      <c r="II83" s="824"/>
      <c r="IJ83" s="824"/>
      <c r="IK83" s="824"/>
      <c r="IL83" s="824"/>
      <c r="IM83" s="824"/>
      <c r="IN83" s="824"/>
      <c r="IO83" s="824"/>
      <c r="IP83" s="824"/>
      <c r="IQ83" s="824"/>
      <c r="IR83" s="824"/>
      <c r="IS83" s="824"/>
      <c r="IT83" s="824"/>
      <c r="IU83" s="824"/>
      <c r="IV83" s="824"/>
      <c r="IW83" s="824"/>
      <c r="IX83" s="824"/>
      <c r="IY83" s="824"/>
      <c r="IZ83" s="824"/>
      <c r="JA83" s="824"/>
      <c r="JB83" s="824"/>
      <c r="JC83" s="824"/>
      <c r="JD83" s="824"/>
      <c r="JE83" s="824"/>
      <c r="JF83" s="824"/>
      <c r="JG83" s="824"/>
      <c r="JH83" s="824"/>
      <c r="JI83" s="824"/>
      <c r="JJ83" s="824"/>
      <c r="JK83" s="824"/>
      <c r="JL83" s="824"/>
      <c r="JM83" s="824"/>
      <c r="JN83" s="824"/>
      <c r="JO83" s="824"/>
      <c r="JP83" s="824"/>
      <c r="JQ83" s="824"/>
      <c r="JR83" s="824"/>
      <c r="JS83" s="824"/>
      <c r="JT83" s="824"/>
      <c r="JU83" s="824"/>
      <c r="JV83" s="824"/>
      <c r="JW83" s="824"/>
      <c r="JX83" s="824"/>
      <c r="JY83" s="824"/>
      <c r="JZ83" s="824"/>
      <c r="KA83" s="824"/>
      <c r="KB83" s="824"/>
      <c r="KC83" s="824"/>
      <c r="KD83" s="824"/>
      <c r="KE83" s="824"/>
      <c r="KF83" s="824"/>
      <c r="KG83" s="824"/>
    </row>
    <row r="84" spans="1:293" ht="24.95" customHeight="1" x14ac:dyDescent="0.2">
      <c r="A84" s="126" t="s">
        <v>108</v>
      </c>
      <c r="B84" s="1" t="s">
        <v>221</v>
      </c>
      <c r="C84" s="2">
        <v>6</v>
      </c>
      <c r="D84" s="12">
        <v>57</v>
      </c>
      <c r="E84" s="12">
        <v>4</v>
      </c>
      <c r="F84" s="66">
        <v>0</v>
      </c>
      <c r="G84" s="66">
        <v>0.4</v>
      </c>
      <c r="H84" s="66">
        <v>0.6</v>
      </c>
      <c r="I84" s="66">
        <v>0</v>
      </c>
      <c r="J84" s="66">
        <v>0.17</v>
      </c>
      <c r="K84" s="66">
        <v>0.18</v>
      </c>
      <c r="L84" s="66">
        <v>0.77</v>
      </c>
      <c r="M84" s="66">
        <v>0.12</v>
      </c>
      <c r="N84" s="66">
        <v>0.22</v>
      </c>
      <c r="O84" s="66">
        <v>0.47</v>
      </c>
      <c r="P84" s="66">
        <v>0.19</v>
      </c>
      <c r="Q84" s="66">
        <v>0.41</v>
      </c>
      <c r="R84" s="66">
        <v>0.42</v>
      </c>
      <c r="S84" s="66">
        <v>0.53</v>
      </c>
      <c r="T84" s="66">
        <v>0.48</v>
      </c>
      <c r="U84" s="66">
        <v>0.44</v>
      </c>
      <c r="V84" s="66">
        <v>0.17</v>
      </c>
      <c r="W84" s="66">
        <v>0</v>
      </c>
      <c r="X84" s="66">
        <v>0.57999999999999996</v>
      </c>
      <c r="Y84" s="66">
        <v>0.36</v>
      </c>
      <c r="Z84" s="66">
        <v>1</v>
      </c>
      <c r="AA84" s="66">
        <v>0</v>
      </c>
      <c r="AB84" s="66">
        <v>0.45</v>
      </c>
      <c r="AC84" s="66">
        <v>0.38</v>
      </c>
      <c r="AD84" s="66">
        <v>0.51</v>
      </c>
      <c r="AE84" s="66">
        <v>0.33</v>
      </c>
      <c r="AF84" s="66">
        <v>0.45</v>
      </c>
      <c r="AG84" s="66">
        <v>0.36</v>
      </c>
      <c r="AH84" s="12">
        <v>48</v>
      </c>
      <c r="AI84" s="12">
        <v>8</v>
      </c>
      <c r="AJ84" s="40">
        <v>0.24</v>
      </c>
      <c r="AK84" s="40">
        <v>0.53</v>
      </c>
      <c r="AL84" s="40">
        <v>0.24</v>
      </c>
      <c r="AM84" s="40">
        <v>0</v>
      </c>
      <c r="AN84" s="40">
        <v>0.33</v>
      </c>
      <c r="AO84" s="40">
        <v>0.53</v>
      </c>
      <c r="AP84" s="40">
        <v>0.85</v>
      </c>
      <c r="AQ84" s="40">
        <v>0.49</v>
      </c>
      <c r="AR84" s="40">
        <v>0.41</v>
      </c>
      <c r="AS84" s="40">
        <v>0.63</v>
      </c>
      <c r="AT84" s="40">
        <v>0.72</v>
      </c>
      <c r="AU84" s="40">
        <v>0.67</v>
      </c>
      <c r="AV84" s="40">
        <v>0.69</v>
      </c>
      <c r="AW84" s="40">
        <v>0.82</v>
      </c>
      <c r="AX84" s="40">
        <v>0.81</v>
      </c>
      <c r="AY84" s="40">
        <v>0.35</v>
      </c>
      <c r="AZ84" s="40">
        <v>0.56000000000000005</v>
      </c>
      <c r="BA84" s="40">
        <v>0.46</v>
      </c>
      <c r="BB84" s="40">
        <v>0.77</v>
      </c>
      <c r="BC84" s="40">
        <v>0.73</v>
      </c>
      <c r="BD84" s="40">
        <v>0.49</v>
      </c>
      <c r="BE84" s="40">
        <v>0.71</v>
      </c>
      <c r="BF84" s="40">
        <v>0.83</v>
      </c>
      <c r="BG84" s="40">
        <v>0.5</v>
      </c>
      <c r="BH84" s="40">
        <v>0.48</v>
      </c>
      <c r="BI84" s="40">
        <v>0.48</v>
      </c>
      <c r="BJ84" s="40">
        <v>0.39</v>
      </c>
      <c r="BK84" s="40">
        <v>0.48</v>
      </c>
      <c r="BL84" s="40">
        <v>0.38</v>
      </c>
      <c r="BM84" s="12">
        <v>50</v>
      </c>
      <c r="BN84" s="12">
        <v>7</v>
      </c>
      <c r="BO84" s="66">
        <v>0.09</v>
      </c>
      <c r="BP84" s="66">
        <v>0.64</v>
      </c>
      <c r="BQ84" s="66">
        <v>0.27</v>
      </c>
      <c r="BR84" s="66">
        <v>0</v>
      </c>
      <c r="BS84" s="66">
        <v>0.28000000000000003</v>
      </c>
      <c r="BT84" s="66">
        <v>0.63</v>
      </c>
      <c r="BU84" s="66">
        <v>0.5</v>
      </c>
      <c r="BV84" s="66">
        <v>0.43</v>
      </c>
      <c r="BW84" s="66">
        <v>0.55000000000000004</v>
      </c>
      <c r="BX84" s="66">
        <v>0.28000000000000003</v>
      </c>
      <c r="BY84" s="66">
        <v>0.48</v>
      </c>
      <c r="BZ84" s="66">
        <v>0.53</v>
      </c>
      <c r="CA84" s="66">
        <v>0.3</v>
      </c>
      <c r="CB84" s="66">
        <v>0.35</v>
      </c>
      <c r="CC84" s="66">
        <v>0.28000000000000003</v>
      </c>
      <c r="CD84" s="66">
        <v>0.25</v>
      </c>
      <c r="CE84" s="66">
        <v>0.35</v>
      </c>
      <c r="CF84" s="66">
        <v>0.82</v>
      </c>
      <c r="CG84" s="66">
        <v>0.93</v>
      </c>
      <c r="CH84" s="66">
        <v>0.53</v>
      </c>
      <c r="CI84" s="66">
        <v>0.6</v>
      </c>
      <c r="CJ84" s="66">
        <v>0.17</v>
      </c>
      <c r="CK84" s="66">
        <v>0.74</v>
      </c>
      <c r="CL84" s="66">
        <v>0.28999999999999998</v>
      </c>
      <c r="CM84" s="66">
        <v>0.46</v>
      </c>
      <c r="CN84" s="66">
        <v>0.55000000000000004</v>
      </c>
      <c r="CO84" s="66">
        <v>0.27</v>
      </c>
      <c r="CP84" s="66">
        <v>0.28999999999999998</v>
      </c>
      <c r="CQ84" s="66">
        <v>0.54</v>
      </c>
      <c r="CR84" s="66">
        <v>0.57999999999999996</v>
      </c>
      <c r="CS84" s="12">
        <v>55</v>
      </c>
      <c r="CT84" s="12">
        <v>8</v>
      </c>
      <c r="CU84" s="63">
        <v>0</v>
      </c>
      <c r="CV84" s="63">
        <v>0.56000000000000005</v>
      </c>
      <c r="CW84" s="63">
        <v>0.38</v>
      </c>
      <c r="CX84" s="63">
        <v>0.06</v>
      </c>
      <c r="CY84" s="63">
        <v>0.5</v>
      </c>
      <c r="CZ84" s="63">
        <v>0.22</v>
      </c>
      <c r="DA84" s="63">
        <v>0.38</v>
      </c>
      <c r="DB84" s="63">
        <v>0.12</v>
      </c>
      <c r="DC84" s="63">
        <v>0.38</v>
      </c>
      <c r="DD84" s="63">
        <v>0.71</v>
      </c>
      <c r="DE84" s="63">
        <v>0.45</v>
      </c>
      <c r="DF84" s="63">
        <v>0.43</v>
      </c>
      <c r="DG84" s="63">
        <v>0.41</v>
      </c>
      <c r="DH84" s="63">
        <v>0.39</v>
      </c>
      <c r="DI84" s="63">
        <v>0.42</v>
      </c>
      <c r="DJ84" s="63">
        <v>0.36</v>
      </c>
      <c r="DK84" s="63">
        <v>0.36</v>
      </c>
      <c r="DL84" s="63">
        <v>0.38</v>
      </c>
      <c r="DM84" s="63">
        <v>0.45</v>
      </c>
      <c r="DN84" s="63">
        <v>0.38</v>
      </c>
      <c r="DO84" s="63">
        <v>0.5</v>
      </c>
      <c r="DP84" s="63">
        <v>0.23</v>
      </c>
      <c r="DQ84" s="63">
        <v>0.44</v>
      </c>
      <c r="DR84" s="63">
        <v>0.09</v>
      </c>
      <c r="DS84" s="63">
        <v>0.31</v>
      </c>
      <c r="DT84" s="63">
        <v>0.67</v>
      </c>
      <c r="DU84" s="63">
        <v>0.5</v>
      </c>
      <c r="DV84" s="63">
        <v>0.44</v>
      </c>
      <c r="DW84" s="63">
        <v>0.33</v>
      </c>
      <c r="DX84" s="35">
        <v>50</v>
      </c>
      <c r="DY84" s="35">
        <v>9</v>
      </c>
      <c r="DZ84" s="40">
        <v>0.05</v>
      </c>
      <c r="EA84" s="40">
        <v>0.57999999999999996</v>
      </c>
      <c r="EB84" s="40">
        <v>0.37</v>
      </c>
      <c r="EC84" s="40">
        <v>0</v>
      </c>
      <c r="ED84" s="40">
        <v>0.46</v>
      </c>
      <c r="EE84" s="40">
        <v>0.62</v>
      </c>
      <c r="EF84" s="40">
        <v>0.34</v>
      </c>
      <c r="EG84" s="40">
        <v>0.3</v>
      </c>
      <c r="EH84" s="40">
        <v>0.47</v>
      </c>
      <c r="EI84" s="40">
        <v>0.5</v>
      </c>
      <c r="EJ84" s="40">
        <v>0.5</v>
      </c>
      <c r="EK84" s="40">
        <v>0.26</v>
      </c>
      <c r="EL84" s="40">
        <v>0.5</v>
      </c>
      <c r="EM84" s="40">
        <v>0.9</v>
      </c>
      <c r="EN84" s="40">
        <v>0.3</v>
      </c>
      <c r="EO84" s="40">
        <v>0.55000000000000004</v>
      </c>
      <c r="EP84" s="40">
        <v>0.41</v>
      </c>
      <c r="EQ84" s="40">
        <v>0.24</v>
      </c>
      <c r="ER84" s="40">
        <v>0.56999999999999995</v>
      </c>
      <c r="ES84" s="40">
        <v>0.47</v>
      </c>
      <c r="ET84" s="40">
        <v>0.3</v>
      </c>
      <c r="EU84" s="40">
        <v>0.56000000000000005</v>
      </c>
      <c r="EV84" s="40">
        <v>0.33</v>
      </c>
      <c r="EW84" s="40">
        <v>0.42</v>
      </c>
      <c r="EX84" s="40">
        <v>0.63</v>
      </c>
      <c r="EY84" s="40">
        <v>0.51</v>
      </c>
      <c r="EZ84" s="40">
        <v>0.1</v>
      </c>
      <c r="FA84" s="40">
        <v>0.65</v>
      </c>
      <c r="FB84" s="247">
        <v>53</v>
      </c>
      <c r="FC84" s="247" t="s">
        <v>874</v>
      </c>
      <c r="FD84" s="247">
        <v>9</v>
      </c>
      <c r="FE84" s="247" t="s">
        <v>874</v>
      </c>
      <c r="FF84" s="264">
        <v>0.08</v>
      </c>
      <c r="FG84" s="264">
        <v>0.62</v>
      </c>
      <c r="FH84" s="264">
        <v>0.23</v>
      </c>
      <c r="FI84" s="264">
        <v>0.08</v>
      </c>
      <c r="FJ84" s="264">
        <v>0.43</v>
      </c>
      <c r="FK84" s="264">
        <v>0.59</v>
      </c>
      <c r="FL84" s="264">
        <v>0.44</v>
      </c>
      <c r="FM84" s="264">
        <v>0.47</v>
      </c>
      <c r="FN84" s="264">
        <v>0.36</v>
      </c>
      <c r="FO84" s="264">
        <v>0.22</v>
      </c>
      <c r="FP84" s="264">
        <v>0.44</v>
      </c>
      <c r="FQ84" s="264">
        <v>0.48</v>
      </c>
      <c r="FR84" s="264">
        <v>0.53</v>
      </c>
      <c r="FS84" s="264">
        <v>0.53</v>
      </c>
      <c r="FT84" s="264">
        <v>0.48</v>
      </c>
      <c r="FU84" s="264">
        <v>0.44</v>
      </c>
      <c r="FV84" s="264">
        <v>0.63</v>
      </c>
      <c r="FW84" s="264">
        <v>0.44</v>
      </c>
      <c r="FX84" s="264">
        <v>0.17</v>
      </c>
      <c r="FY84" s="264">
        <v>0.43</v>
      </c>
      <c r="FZ84" s="264">
        <v>0.19</v>
      </c>
      <c r="GA84" s="264">
        <v>0.37</v>
      </c>
      <c r="GB84" s="264">
        <v>0.38</v>
      </c>
      <c r="GC84" s="264">
        <v>0.36</v>
      </c>
      <c r="GD84" s="264">
        <v>0.48</v>
      </c>
      <c r="GE84" s="264">
        <v>0.42</v>
      </c>
      <c r="GF84" s="264">
        <v>0.53</v>
      </c>
      <c r="GG84" s="264">
        <v>0.44</v>
      </c>
      <c r="GH84" s="264">
        <v>0.64</v>
      </c>
      <c r="GI84" s="264">
        <v>0.14000000000000001</v>
      </c>
      <c r="GJ84" s="311">
        <v>46</v>
      </c>
      <c r="GK84" s="311" t="s">
        <v>874</v>
      </c>
      <c r="GL84" s="311">
        <v>10</v>
      </c>
      <c r="GM84" s="311" t="s">
        <v>874</v>
      </c>
      <c r="GN84" s="329">
        <v>0.4</v>
      </c>
      <c r="GO84" s="329">
        <v>0.5</v>
      </c>
      <c r="GP84" s="329">
        <v>0.1</v>
      </c>
      <c r="GQ84" s="329">
        <v>0</v>
      </c>
      <c r="GR84" s="329">
        <v>0.53</v>
      </c>
      <c r="GS84" s="329">
        <v>0.5</v>
      </c>
      <c r="GT84" s="329">
        <v>0.75</v>
      </c>
      <c r="GU84" s="329">
        <v>0.75</v>
      </c>
      <c r="GV84" s="329">
        <v>0.5</v>
      </c>
      <c r="GW84" s="329">
        <v>0.6</v>
      </c>
      <c r="GX84" s="329">
        <v>0.59</v>
      </c>
      <c r="GY84" s="311" t="s">
        <v>283</v>
      </c>
      <c r="GZ84" s="329">
        <v>0.28999999999999998</v>
      </c>
      <c r="HA84" s="329">
        <v>1</v>
      </c>
      <c r="HB84" s="329">
        <v>0.55000000000000004</v>
      </c>
      <c r="HC84" s="329">
        <v>0.75</v>
      </c>
      <c r="HD84" s="329">
        <v>0.57999999999999996</v>
      </c>
      <c r="HE84" s="329">
        <v>0.4</v>
      </c>
      <c r="HF84" s="329">
        <v>0.56000000000000005</v>
      </c>
      <c r="HG84" s="329">
        <v>0.71</v>
      </c>
      <c r="HH84" s="329">
        <v>0.55000000000000004</v>
      </c>
      <c r="HI84" s="329">
        <v>0.69</v>
      </c>
      <c r="HJ84" s="329">
        <v>0.76</v>
      </c>
      <c r="HK84" s="329">
        <v>0.72</v>
      </c>
      <c r="HL84" s="329">
        <v>0.52</v>
      </c>
      <c r="HM84" s="329">
        <v>0.5</v>
      </c>
      <c r="HN84" s="329">
        <v>0.53</v>
      </c>
      <c r="HO84" s="329">
        <v>0.59</v>
      </c>
      <c r="HP84" s="311" t="s">
        <v>283</v>
      </c>
      <c r="HQ84" s="329">
        <v>0.43</v>
      </c>
      <c r="HR84" s="426">
        <v>56</v>
      </c>
      <c r="HS84" s="426" t="s">
        <v>874</v>
      </c>
      <c r="HT84" s="426">
        <v>7</v>
      </c>
      <c r="HU84" s="426" t="s">
        <v>874</v>
      </c>
      <c r="HV84" s="430">
        <v>0</v>
      </c>
      <c r="HW84" s="430">
        <v>0.44</v>
      </c>
      <c r="HX84" s="430">
        <v>0.56000000000000005</v>
      </c>
      <c r="HY84" s="430">
        <v>0</v>
      </c>
      <c r="HZ84" s="430">
        <v>0.16</v>
      </c>
      <c r="IA84" s="430">
        <v>0.24</v>
      </c>
      <c r="IB84" s="430">
        <v>0.4</v>
      </c>
      <c r="IC84" s="430">
        <v>0.42</v>
      </c>
      <c r="ID84" s="430">
        <v>0.42</v>
      </c>
      <c r="IE84" s="430">
        <v>0.18</v>
      </c>
      <c r="IF84" s="430">
        <v>0.44</v>
      </c>
      <c r="IG84" s="430">
        <v>0.47</v>
      </c>
      <c r="IH84" s="430">
        <v>0.63</v>
      </c>
      <c r="II84" s="430">
        <v>0</v>
      </c>
      <c r="IJ84" s="430">
        <v>0.08</v>
      </c>
      <c r="IK84" s="430">
        <v>0.52</v>
      </c>
      <c r="IL84" s="430">
        <v>0.23</v>
      </c>
      <c r="IM84" s="430">
        <v>0.45</v>
      </c>
      <c r="IN84" s="430">
        <v>0.4</v>
      </c>
      <c r="IO84" s="430">
        <v>0.56999999999999995</v>
      </c>
      <c r="IP84" s="430">
        <v>0.13</v>
      </c>
      <c r="IQ84" s="430">
        <v>0.56000000000000005</v>
      </c>
      <c r="IR84" s="430">
        <v>0.4</v>
      </c>
      <c r="IS84" s="430">
        <v>0.33</v>
      </c>
      <c r="IT84" s="430">
        <v>0.28000000000000003</v>
      </c>
      <c r="IU84" s="426" t="s">
        <v>283</v>
      </c>
      <c r="IV84" s="430">
        <v>0.57999999999999996</v>
      </c>
      <c r="IW84" s="430">
        <v>0.28000000000000003</v>
      </c>
      <c r="IX84" s="430">
        <v>0.67</v>
      </c>
      <c r="IY84" s="430">
        <v>0.45</v>
      </c>
      <c r="IZ84" s="647"/>
      <c r="JA84" s="647"/>
      <c r="JB84" s="647"/>
      <c r="JC84" s="647"/>
      <c r="JD84" s="648"/>
      <c r="JE84" s="648"/>
      <c r="JF84" s="648"/>
      <c r="JG84" s="648"/>
      <c r="JH84" s="648"/>
      <c r="JI84" s="648"/>
      <c r="JJ84" s="648"/>
      <c r="JK84" s="648"/>
      <c r="JL84" s="648"/>
      <c r="JM84" s="648"/>
      <c r="JN84" s="648"/>
      <c r="JO84" s="648"/>
      <c r="JP84" s="648"/>
      <c r="JQ84" s="648"/>
      <c r="JR84" s="648"/>
      <c r="JS84" s="648"/>
      <c r="JT84" s="648"/>
      <c r="JU84" s="648"/>
      <c r="JV84" s="648"/>
      <c r="JW84" s="648"/>
      <c r="JX84" s="648"/>
      <c r="JY84" s="648"/>
      <c r="JZ84" s="647"/>
      <c r="KA84" s="648"/>
      <c r="KB84" s="648"/>
      <c r="KC84" s="648"/>
      <c r="KD84" s="648"/>
      <c r="KE84" s="648"/>
      <c r="KF84" s="648"/>
      <c r="KG84" s="648"/>
    </row>
    <row r="85" spans="1:293" ht="24.95" customHeight="1" x14ac:dyDescent="0.2">
      <c r="A85" s="560" t="s">
        <v>1081</v>
      </c>
      <c r="B85" s="14" t="s">
        <v>221</v>
      </c>
      <c r="C85" s="311">
        <v>5</v>
      </c>
      <c r="D85" s="330"/>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0"/>
      <c r="BN85" s="330"/>
      <c r="BO85" s="330"/>
      <c r="BP85" s="330"/>
      <c r="BQ85" s="330"/>
      <c r="BR85" s="330"/>
      <c r="BS85" s="330"/>
      <c r="BT85" s="330"/>
      <c r="BU85" s="330"/>
      <c r="BV85" s="330"/>
      <c r="BW85" s="330"/>
      <c r="BX85" s="330"/>
      <c r="BY85" s="330"/>
      <c r="BZ85" s="330"/>
      <c r="CA85" s="330"/>
      <c r="CB85" s="330"/>
      <c r="CC85" s="330"/>
      <c r="CD85" s="330"/>
      <c r="CE85" s="330"/>
      <c r="CF85" s="330"/>
      <c r="CG85" s="330"/>
      <c r="CH85" s="330"/>
      <c r="CI85" s="330"/>
      <c r="CJ85" s="330"/>
      <c r="CK85" s="330"/>
      <c r="CL85" s="330"/>
      <c r="CM85" s="330"/>
      <c r="CN85" s="330"/>
      <c r="CO85" s="330"/>
      <c r="CP85" s="330"/>
      <c r="CQ85" s="330"/>
      <c r="CR85" s="330"/>
      <c r="CS85" s="330"/>
      <c r="CT85" s="330"/>
      <c r="CU85" s="311"/>
      <c r="CV85" s="311"/>
      <c r="CW85" s="311"/>
      <c r="CX85" s="311"/>
      <c r="CY85" s="311"/>
      <c r="CZ85" s="311"/>
      <c r="DA85" s="311"/>
      <c r="DB85" s="311"/>
      <c r="DC85" s="311"/>
      <c r="DD85" s="311"/>
      <c r="DE85" s="311"/>
      <c r="DF85" s="311"/>
      <c r="DG85" s="311"/>
      <c r="DH85" s="311"/>
      <c r="DI85" s="311"/>
      <c r="DJ85" s="311"/>
      <c r="DK85" s="311"/>
      <c r="DL85" s="311"/>
      <c r="DM85" s="311"/>
      <c r="DN85" s="311"/>
      <c r="DO85" s="311"/>
      <c r="DP85" s="311"/>
      <c r="DQ85" s="311"/>
      <c r="DR85" s="311"/>
      <c r="DS85" s="311"/>
      <c r="DT85" s="311"/>
      <c r="DU85" s="311"/>
      <c r="DV85" s="311"/>
      <c r="DW85" s="311"/>
      <c r="DX85" s="313"/>
      <c r="DY85" s="31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13"/>
      <c r="EW85" s="333"/>
      <c r="EX85" s="333"/>
      <c r="EY85" s="333"/>
      <c r="EZ85" s="313"/>
      <c r="FA85" s="333"/>
      <c r="FB85" s="314"/>
      <c r="FC85" s="314"/>
      <c r="FD85" s="314"/>
      <c r="FE85" s="314"/>
      <c r="FF85" s="334"/>
      <c r="FG85" s="334"/>
      <c r="FH85" s="334"/>
      <c r="FI85" s="334"/>
      <c r="FJ85" s="334"/>
      <c r="FK85" s="334"/>
      <c r="FL85" s="334"/>
      <c r="FM85" s="334"/>
      <c r="FN85" s="334"/>
      <c r="FO85" s="334"/>
      <c r="FP85" s="334"/>
      <c r="FQ85" s="334"/>
      <c r="FR85" s="334"/>
      <c r="FS85" s="334"/>
      <c r="FT85" s="334"/>
      <c r="FU85" s="334"/>
      <c r="FV85" s="334"/>
      <c r="FW85" s="334"/>
      <c r="FX85" s="334"/>
      <c r="FY85" s="334"/>
      <c r="FZ85" s="334"/>
      <c r="GA85" s="314"/>
      <c r="GB85" s="334"/>
      <c r="GC85" s="334"/>
      <c r="GD85" s="334"/>
      <c r="GE85" s="334"/>
      <c r="GF85" s="334"/>
      <c r="GG85" s="334"/>
      <c r="GH85" s="334"/>
      <c r="GI85" s="334"/>
      <c r="GJ85" s="311"/>
      <c r="GK85" s="311"/>
      <c r="GL85" s="311"/>
      <c r="GM85" s="311"/>
      <c r="GN85" s="329"/>
      <c r="GO85" s="329"/>
      <c r="GP85" s="329"/>
      <c r="GQ85" s="329"/>
      <c r="GR85" s="329"/>
      <c r="GS85" s="329"/>
      <c r="GT85" s="329"/>
      <c r="GU85" s="329"/>
      <c r="GV85" s="329"/>
      <c r="GW85" s="329"/>
      <c r="GX85" s="329"/>
      <c r="GY85" s="311"/>
      <c r="GZ85" s="329"/>
      <c r="HA85" s="311"/>
      <c r="HB85" s="329"/>
      <c r="HC85" s="329"/>
      <c r="HD85" s="329"/>
      <c r="HE85" s="329"/>
      <c r="HF85" s="329"/>
      <c r="HG85" s="329"/>
      <c r="HH85" s="329"/>
      <c r="HI85" s="329"/>
      <c r="HJ85" s="329"/>
      <c r="HK85" s="329"/>
      <c r="HL85" s="329"/>
      <c r="HM85" s="329"/>
      <c r="HN85" s="329"/>
      <c r="HO85" s="329"/>
      <c r="HP85" s="311"/>
      <c r="HQ85" s="329"/>
      <c r="HR85" s="426"/>
      <c r="HS85" s="426"/>
      <c r="HT85" s="426"/>
      <c r="HU85" s="426"/>
      <c r="HV85" s="430"/>
      <c r="HW85" s="430"/>
      <c r="HX85" s="430"/>
      <c r="HY85" s="430"/>
      <c r="HZ85" s="430"/>
      <c r="IA85" s="430"/>
      <c r="IB85" s="430"/>
      <c r="IC85" s="430"/>
      <c r="ID85" s="430"/>
      <c r="IE85" s="430"/>
      <c r="IF85" s="430"/>
      <c r="IG85" s="430"/>
      <c r="IH85" s="430"/>
      <c r="II85" s="426"/>
      <c r="IJ85" s="430"/>
      <c r="IK85" s="430"/>
      <c r="IL85" s="430"/>
      <c r="IM85" s="430"/>
      <c r="IN85" s="430"/>
      <c r="IO85" s="430"/>
      <c r="IP85" s="430"/>
      <c r="IQ85" s="430"/>
      <c r="IR85" s="430"/>
      <c r="IS85" s="430"/>
      <c r="IT85" s="430"/>
      <c r="IU85" s="426"/>
      <c r="IV85" s="430"/>
      <c r="IW85" s="430"/>
      <c r="IX85" s="430"/>
      <c r="IY85" s="430"/>
      <c r="IZ85" s="466">
        <v>41</v>
      </c>
      <c r="JA85" s="466" t="s">
        <v>876</v>
      </c>
      <c r="JB85" s="466">
        <v>8</v>
      </c>
      <c r="JC85" s="466" t="s">
        <v>874</v>
      </c>
      <c r="JD85" s="480">
        <v>0.33</v>
      </c>
      <c r="JE85" s="480">
        <v>0.67</v>
      </c>
      <c r="JF85" s="480">
        <v>0</v>
      </c>
      <c r="JG85" s="480">
        <v>0</v>
      </c>
      <c r="JH85" s="480">
        <v>0.5</v>
      </c>
      <c r="JI85" s="480">
        <v>0.78</v>
      </c>
      <c r="JJ85" s="480">
        <v>0.67</v>
      </c>
      <c r="JK85" s="480">
        <v>0.5</v>
      </c>
      <c r="JL85" s="480">
        <v>0.71</v>
      </c>
      <c r="JM85" s="480">
        <v>0.71</v>
      </c>
      <c r="JN85" s="480">
        <v>0.75</v>
      </c>
      <c r="JO85" s="480">
        <v>0.71</v>
      </c>
      <c r="JP85" s="480">
        <v>0.75</v>
      </c>
      <c r="JQ85" s="480">
        <v>0.71</v>
      </c>
      <c r="JR85" s="480">
        <v>0.25</v>
      </c>
      <c r="JS85" s="480">
        <v>0.6</v>
      </c>
      <c r="JT85" s="480">
        <v>0.8</v>
      </c>
      <c r="JU85" s="480">
        <v>0.6</v>
      </c>
      <c r="JV85" s="480">
        <v>1</v>
      </c>
      <c r="JW85" s="480">
        <v>0.67</v>
      </c>
      <c r="JX85" s="480">
        <v>0.56999999999999995</v>
      </c>
      <c r="JY85" s="480">
        <v>0.17</v>
      </c>
      <c r="JZ85" s="480">
        <v>0.67</v>
      </c>
      <c r="KA85" s="480">
        <v>0.7</v>
      </c>
      <c r="KB85" s="480">
        <v>0.71</v>
      </c>
      <c r="KC85" s="480">
        <v>0.6</v>
      </c>
      <c r="KD85" s="480">
        <v>0.83</v>
      </c>
      <c r="KE85" s="480">
        <v>1</v>
      </c>
      <c r="KF85" s="480">
        <v>1</v>
      </c>
      <c r="KG85" s="480">
        <v>1</v>
      </c>
    </row>
    <row r="86" spans="1:293" ht="24.95" customHeight="1" x14ac:dyDescent="0.2">
      <c r="A86" s="126" t="s">
        <v>38</v>
      </c>
      <c r="B86" s="1" t="s">
        <v>221</v>
      </c>
      <c r="C86" s="2">
        <v>6</v>
      </c>
      <c r="D86" s="12">
        <v>58</v>
      </c>
      <c r="E86" s="12">
        <v>7</v>
      </c>
      <c r="F86" s="66">
        <v>0</v>
      </c>
      <c r="G86" s="66">
        <v>0.35</v>
      </c>
      <c r="H86" s="66">
        <v>0.65</v>
      </c>
      <c r="I86" s="66">
        <v>0</v>
      </c>
      <c r="J86" s="66">
        <v>0.21</v>
      </c>
      <c r="K86" s="66">
        <v>0.19</v>
      </c>
      <c r="L86" s="66">
        <v>0.6</v>
      </c>
      <c r="M86" s="66">
        <v>0.08</v>
      </c>
      <c r="N86" s="66">
        <v>0.22</v>
      </c>
      <c r="O86" s="66">
        <v>0.59</v>
      </c>
      <c r="P86" s="66">
        <v>0.35</v>
      </c>
      <c r="Q86" s="66">
        <v>0.28999999999999998</v>
      </c>
      <c r="R86" s="66">
        <v>0.43</v>
      </c>
      <c r="S86" s="66">
        <v>0.6</v>
      </c>
      <c r="T86" s="66">
        <v>0.43</v>
      </c>
      <c r="U86" s="66">
        <v>0.49</v>
      </c>
      <c r="V86" s="66">
        <v>0.08</v>
      </c>
      <c r="W86" s="66">
        <v>0.14000000000000001</v>
      </c>
      <c r="X86" s="66">
        <v>0.4</v>
      </c>
      <c r="Y86" s="66">
        <v>0.43</v>
      </c>
      <c r="Z86" s="12" t="s">
        <v>283</v>
      </c>
      <c r="AA86" s="66">
        <v>0</v>
      </c>
      <c r="AB86" s="66">
        <v>0.31</v>
      </c>
      <c r="AC86" s="66">
        <v>0.16</v>
      </c>
      <c r="AD86" s="66">
        <v>0.4</v>
      </c>
      <c r="AE86" s="66">
        <v>0.37</v>
      </c>
      <c r="AF86" s="66">
        <v>0.28000000000000003</v>
      </c>
      <c r="AG86" s="66">
        <v>0.52</v>
      </c>
      <c r="AH86" s="12">
        <v>52</v>
      </c>
      <c r="AI86" s="12">
        <v>8</v>
      </c>
      <c r="AJ86" s="40">
        <v>0.13</v>
      </c>
      <c r="AK86" s="40">
        <v>0.45</v>
      </c>
      <c r="AL86" s="40">
        <v>0.42</v>
      </c>
      <c r="AM86" s="40">
        <v>0</v>
      </c>
      <c r="AN86" s="40">
        <v>0.23</v>
      </c>
      <c r="AO86" s="40">
        <v>0.38</v>
      </c>
      <c r="AP86" s="40">
        <v>0.62</v>
      </c>
      <c r="AQ86" s="40">
        <v>0.41</v>
      </c>
      <c r="AR86" s="40">
        <v>0.5</v>
      </c>
      <c r="AS86" s="40">
        <v>0.5</v>
      </c>
      <c r="AT86" s="40">
        <v>0.53</v>
      </c>
      <c r="AU86" s="40">
        <v>0.44</v>
      </c>
      <c r="AV86" s="40">
        <v>0.65</v>
      </c>
      <c r="AW86" s="40">
        <v>0.5</v>
      </c>
      <c r="AX86" s="40">
        <v>0.5</v>
      </c>
      <c r="AY86" s="40">
        <v>0.34</v>
      </c>
      <c r="AZ86" s="40">
        <v>0.22</v>
      </c>
      <c r="BA86" s="40">
        <v>0.44</v>
      </c>
      <c r="BB86" s="40">
        <v>0.72</v>
      </c>
      <c r="BC86" s="40">
        <v>0.61</v>
      </c>
      <c r="BD86" s="40">
        <v>0.4</v>
      </c>
      <c r="BE86" s="40">
        <v>0.53</v>
      </c>
      <c r="BF86" s="40">
        <v>0.8</v>
      </c>
      <c r="BG86" s="40">
        <v>0.45</v>
      </c>
      <c r="BH86" s="40">
        <v>0.45</v>
      </c>
      <c r="BI86" s="40">
        <v>0.43</v>
      </c>
      <c r="BJ86" s="40">
        <v>0.32</v>
      </c>
      <c r="BK86" s="40">
        <v>0.46</v>
      </c>
      <c r="BL86" s="40">
        <v>0.4</v>
      </c>
      <c r="BM86" s="12">
        <v>51</v>
      </c>
      <c r="BN86" s="12">
        <v>8</v>
      </c>
      <c r="BO86" s="66">
        <v>0.09</v>
      </c>
      <c r="BP86" s="66">
        <v>0.62</v>
      </c>
      <c r="BQ86" s="66">
        <v>0.3</v>
      </c>
      <c r="BR86" s="66">
        <v>0</v>
      </c>
      <c r="BS86" s="66">
        <v>0.36</v>
      </c>
      <c r="BT86" s="66">
        <v>0.38</v>
      </c>
      <c r="BU86" s="66">
        <v>0.72</v>
      </c>
      <c r="BV86" s="66">
        <v>0.22</v>
      </c>
      <c r="BW86" s="66">
        <v>0.63</v>
      </c>
      <c r="BX86" s="66">
        <v>0.28000000000000003</v>
      </c>
      <c r="BY86" s="66">
        <v>0.48</v>
      </c>
      <c r="BZ86" s="66">
        <v>0.56999999999999995</v>
      </c>
      <c r="CA86" s="66">
        <v>0.49</v>
      </c>
      <c r="CB86" s="66">
        <v>0.42</v>
      </c>
      <c r="CC86" s="66">
        <v>0.18</v>
      </c>
      <c r="CD86" s="66">
        <v>0.44</v>
      </c>
      <c r="CE86" s="66">
        <v>0.35</v>
      </c>
      <c r="CF86" s="66">
        <v>0.56999999999999995</v>
      </c>
      <c r="CG86" s="66">
        <v>0.52</v>
      </c>
      <c r="CH86" s="66">
        <v>0.53</v>
      </c>
      <c r="CI86" s="66">
        <v>0.64</v>
      </c>
      <c r="CJ86" s="66">
        <v>0.26</v>
      </c>
      <c r="CK86" s="66">
        <v>0.7</v>
      </c>
      <c r="CL86" s="66">
        <v>0.3</v>
      </c>
      <c r="CM86" s="66">
        <v>0.42</v>
      </c>
      <c r="CN86" s="66">
        <v>0.37</v>
      </c>
      <c r="CO86" s="66">
        <v>0.39</v>
      </c>
      <c r="CP86" s="66">
        <v>0.36</v>
      </c>
      <c r="CQ86" s="66">
        <v>0.49</v>
      </c>
      <c r="CR86" s="66">
        <v>0.54</v>
      </c>
      <c r="CS86" s="12">
        <v>51</v>
      </c>
      <c r="CT86" s="12">
        <v>10</v>
      </c>
      <c r="CU86" s="63">
        <v>0.13</v>
      </c>
      <c r="CV86" s="63">
        <v>0.55000000000000004</v>
      </c>
      <c r="CW86" s="63">
        <v>0.3</v>
      </c>
      <c r="CX86" s="63">
        <v>0.02</v>
      </c>
      <c r="CY86" s="63">
        <v>0.49</v>
      </c>
      <c r="CZ86" s="63">
        <v>0.28000000000000003</v>
      </c>
      <c r="DA86" s="63">
        <v>0.57999999999999996</v>
      </c>
      <c r="DB86" s="63">
        <v>0.34</v>
      </c>
      <c r="DC86" s="63">
        <v>0.47</v>
      </c>
      <c r="DD86" s="63">
        <v>0.57999999999999996</v>
      </c>
      <c r="DE86" s="63">
        <v>0.49</v>
      </c>
      <c r="DF86" s="63">
        <v>0.55000000000000004</v>
      </c>
      <c r="DG86" s="63">
        <v>0.41</v>
      </c>
      <c r="DH86" s="63">
        <v>0.35</v>
      </c>
      <c r="DI86" s="63">
        <v>0.52</v>
      </c>
      <c r="DJ86" s="63">
        <v>0.5</v>
      </c>
      <c r="DK86" s="63">
        <v>0.38</v>
      </c>
      <c r="DL86" s="63">
        <v>0.37</v>
      </c>
      <c r="DM86" s="63">
        <v>0.5</v>
      </c>
      <c r="DN86" s="63">
        <v>0.47</v>
      </c>
      <c r="DO86" s="63">
        <v>0.44</v>
      </c>
      <c r="DP86" s="63">
        <v>0.45</v>
      </c>
      <c r="DQ86" s="63">
        <v>0.56000000000000005</v>
      </c>
      <c r="DR86" s="63">
        <v>0.14000000000000001</v>
      </c>
      <c r="DS86" s="63">
        <v>0.3</v>
      </c>
      <c r="DT86" s="63">
        <v>0.5</v>
      </c>
      <c r="DU86" s="63">
        <v>0.52</v>
      </c>
      <c r="DV86" s="63">
        <v>0.59</v>
      </c>
      <c r="DW86" s="63">
        <v>0.2</v>
      </c>
      <c r="DX86" s="35">
        <v>48</v>
      </c>
      <c r="DY86" s="35">
        <v>8</v>
      </c>
      <c r="DZ86" s="40">
        <v>0.15</v>
      </c>
      <c r="EA86" s="40">
        <v>0.69</v>
      </c>
      <c r="EB86" s="40">
        <v>0.16</v>
      </c>
      <c r="EC86" s="40">
        <v>0</v>
      </c>
      <c r="ED86" s="40">
        <v>0.6</v>
      </c>
      <c r="EE86" s="40">
        <v>0.47</v>
      </c>
      <c r="EF86" s="40">
        <v>0.62</v>
      </c>
      <c r="EG86" s="40">
        <v>0.47</v>
      </c>
      <c r="EH86" s="40">
        <v>0.53</v>
      </c>
      <c r="EI86" s="40">
        <v>0.57999999999999996</v>
      </c>
      <c r="EJ86" s="40">
        <v>0.65</v>
      </c>
      <c r="EK86" s="40">
        <v>0.23</v>
      </c>
      <c r="EL86" s="40">
        <v>0.49</v>
      </c>
      <c r="EM86" s="40">
        <v>0.57999999999999996</v>
      </c>
      <c r="EN86" s="40">
        <v>0.52</v>
      </c>
      <c r="EO86" s="40">
        <v>0.59</v>
      </c>
      <c r="EP86" s="40">
        <v>0.46</v>
      </c>
      <c r="EQ86" s="40">
        <v>0.3</v>
      </c>
      <c r="ER86" s="40">
        <v>0.64</v>
      </c>
      <c r="ES86" s="40">
        <v>0.5</v>
      </c>
      <c r="ET86" s="40">
        <v>0.39</v>
      </c>
      <c r="EU86" s="40">
        <v>0.66</v>
      </c>
      <c r="EV86" s="40">
        <v>0.38</v>
      </c>
      <c r="EW86" s="40">
        <v>0.32</v>
      </c>
      <c r="EX86" s="40">
        <v>0.69</v>
      </c>
      <c r="EY86" s="40">
        <v>0.62</v>
      </c>
      <c r="EZ86" s="40">
        <v>0.1</v>
      </c>
      <c r="FA86" s="40">
        <v>0.64</v>
      </c>
      <c r="FB86" s="247">
        <v>48</v>
      </c>
      <c r="FC86" s="247" t="s">
        <v>874</v>
      </c>
      <c r="FD86" s="247">
        <v>9</v>
      </c>
      <c r="FE86" s="247" t="s">
        <v>874</v>
      </c>
      <c r="FF86" s="264">
        <v>0.26</v>
      </c>
      <c r="FG86" s="264">
        <v>0.53</v>
      </c>
      <c r="FH86" s="264">
        <v>0.21</v>
      </c>
      <c r="FI86" s="264">
        <v>0</v>
      </c>
      <c r="FJ86" s="264">
        <v>0.48</v>
      </c>
      <c r="FK86" s="264">
        <v>0.63</v>
      </c>
      <c r="FL86" s="264">
        <v>0.49</v>
      </c>
      <c r="FM86" s="264">
        <v>0.65</v>
      </c>
      <c r="FN86" s="264">
        <v>0.3</v>
      </c>
      <c r="FO86" s="264">
        <v>0.42</v>
      </c>
      <c r="FP86" s="264">
        <v>0.4</v>
      </c>
      <c r="FQ86" s="264">
        <v>0.43</v>
      </c>
      <c r="FR86" s="264">
        <v>0.62</v>
      </c>
      <c r="FS86" s="264">
        <v>0.65</v>
      </c>
      <c r="FT86" s="264">
        <v>0.49</v>
      </c>
      <c r="FU86" s="264">
        <v>0.44</v>
      </c>
      <c r="FV86" s="264">
        <v>0.59</v>
      </c>
      <c r="FW86" s="264">
        <v>0.55000000000000004</v>
      </c>
      <c r="FX86" s="264">
        <v>0.48</v>
      </c>
      <c r="FY86" s="264">
        <v>0.38</v>
      </c>
      <c r="FZ86" s="264">
        <v>0.4</v>
      </c>
      <c r="GA86" s="264">
        <v>0.55000000000000004</v>
      </c>
      <c r="GB86" s="264">
        <v>0.67</v>
      </c>
      <c r="GC86" s="264">
        <v>0.51</v>
      </c>
      <c r="GD86" s="264">
        <v>0.64</v>
      </c>
      <c r="GE86" s="264">
        <v>0.55000000000000004</v>
      </c>
      <c r="GF86" s="264">
        <v>0.55000000000000004</v>
      </c>
      <c r="GG86" s="264">
        <v>0.53</v>
      </c>
      <c r="GH86" s="264">
        <v>0.56000000000000005</v>
      </c>
      <c r="GI86" s="264">
        <v>0.36</v>
      </c>
      <c r="GJ86" s="311">
        <v>49</v>
      </c>
      <c r="GK86" s="311" t="s">
        <v>874</v>
      </c>
      <c r="GL86" s="311">
        <v>9</v>
      </c>
      <c r="GM86" s="311" t="s">
        <v>874</v>
      </c>
      <c r="GN86" s="329">
        <v>0.18</v>
      </c>
      <c r="GO86" s="329">
        <v>0.63</v>
      </c>
      <c r="GP86" s="329">
        <v>0.18</v>
      </c>
      <c r="GQ86" s="329">
        <v>0.01</v>
      </c>
      <c r="GR86" s="329">
        <v>0.44</v>
      </c>
      <c r="GS86" s="329">
        <v>0.55000000000000004</v>
      </c>
      <c r="GT86" s="329">
        <v>0.63</v>
      </c>
      <c r="GU86" s="329">
        <v>0.17</v>
      </c>
      <c r="GV86" s="329">
        <v>0.54</v>
      </c>
      <c r="GW86" s="329">
        <v>0.56000000000000005</v>
      </c>
      <c r="GX86" s="329">
        <v>0.45</v>
      </c>
      <c r="GY86" s="311" t="s">
        <v>283</v>
      </c>
      <c r="GZ86" s="329">
        <v>0.35</v>
      </c>
      <c r="HA86" s="329">
        <v>0.76</v>
      </c>
      <c r="HB86" s="329">
        <v>0.5</v>
      </c>
      <c r="HC86" s="329">
        <v>0.57999999999999996</v>
      </c>
      <c r="HD86" s="329">
        <v>0.61</v>
      </c>
      <c r="HE86" s="329">
        <v>0.55000000000000004</v>
      </c>
      <c r="HF86" s="329">
        <v>0.52</v>
      </c>
      <c r="HG86" s="329">
        <v>0.69</v>
      </c>
      <c r="HH86" s="329">
        <v>0.43</v>
      </c>
      <c r="HI86" s="329">
        <v>0.56999999999999995</v>
      </c>
      <c r="HJ86" s="329">
        <v>0.55000000000000004</v>
      </c>
      <c r="HK86" s="329">
        <v>0.54</v>
      </c>
      <c r="HL86" s="329">
        <v>0.46</v>
      </c>
      <c r="HM86" s="329">
        <v>0.51</v>
      </c>
      <c r="HN86" s="329">
        <v>0.46</v>
      </c>
      <c r="HO86" s="329">
        <v>0.46</v>
      </c>
      <c r="HP86" s="311" t="s">
        <v>283</v>
      </c>
      <c r="HQ86" s="329">
        <v>0.51</v>
      </c>
      <c r="HR86" s="426">
        <v>50</v>
      </c>
      <c r="HS86" s="426" t="s">
        <v>874</v>
      </c>
      <c r="HT86" s="426">
        <v>9</v>
      </c>
      <c r="HU86" s="426" t="s">
        <v>874</v>
      </c>
      <c r="HV86" s="430">
        <v>0.17</v>
      </c>
      <c r="HW86" s="430">
        <v>0.55000000000000004</v>
      </c>
      <c r="HX86" s="430">
        <v>0.28999999999999998</v>
      </c>
      <c r="HY86" s="430">
        <v>0</v>
      </c>
      <c r="HZ86" s="430">
        <v>0.38</v>
      </c>
      <c r="IA86" s="430">
        <v>0.56999999999999995</v>
      </c>
      <c r="IB86" s="430">
        <v>0.37</v>
      </c>
      <c r="IC86" s="430">
        <v>0.52</v>
      </c>
      <c r="ID86" s="430">
        <v>0.6</v>
      </c>
      <c r="IE86" s="430">
        <v>0.35</v>
      </c>
      <c r="IF86" s="430">
        <v>0.43</v>
      </c>
      <c r="IG86" s="430">
        <v>0.61</v>
      </c>
      <c r="IH86" s="430">
        <v>0.54</v>
      </c>
      <c r="II86" s="430">
        <v>0.33</v>
      </c>
      <c r="IJ86" s="430">
        <v>0.27</v>
      </c>
      <c r="IK86" s="430">
        <v>0.64</v>
      </c>
      <c r="IL86" s="430">
        <v>0.33</v>
      </c>
      <c r="IM86" s="430">
        <v>0.61</v>
      </c>
      <c r="IN86" s="430">
        <v>0.49</v>
      </c>
      <c r="IO86" s="430">
        <v>0.62</v>
      </c>
      <c r="IP86" s="430">
        <v>0.47</v>
      </c>
      <c r="IQ86" s="430">
        <v>0.69</v>
      </c>
      <c r="IR86" s="430">
        <v>0.63</v>
      </c>
      <c r="IS86" s="430">
        <v>0.56000000000000005</v>
      </c>
      <c r="IT86" s="430">
        <v>0.44</v>
      </c>
      <c r="IU86" s="426" t="s">
        <v>283</v>
      </c>
      <c r="IV86" s="430">
        <v>0.66</v>
      </c>
      <c r="IW86" s="430">
        <v>0.5</v>
      </c>
      <c r="IX86" s="430">
        <v>0.46</v>
      </c>
      <c r="IY86" s="430">
        <v>0.54</v>
      </c>
      <c r="IZ86" s="660">
        <v>48</v>
      </c>
      <c r="JA86" s="660" t="s">
        <v>874</v>
      </c>
      <c r="JB86" s="660">
        <v>10</v>
      </c>
      <c r="JC86" s="660" t="s">
        <v>874</v>
      </c>
      <c r="JD86" s="661">
        <v>0.24</v>
      </c>
      <c r="JE86" s="661">
        <v>0.53</v>
      </c>
      <c r="JF86" s="661">
        <v>0.24</v>
      </c>
      <c r="JG86" s="661">
        <v>0</v>
      </c>
      <c r="JH86" s="661">
        <v>0.56000000000000005</v>
      </c>
      <c r="JI86" s="661">
        <v>0.48</v>
      </c>
      <c r="JJ86" s="661">
        <v>0.47</v>
      </c>
      <c r="JK86" s="661">
        <v>0.55000000000000004</v>
      </c>
      <c r="JL86" s="661">
        <v>0.49</v>
      </c>
      <c r="JM86" s="661">
        <v>0.55000000000000004</v>
      </c>
      <c r="JN86" s="661">
        <v>0.52</v>
      </c>
      <c r="JO86" s="661">
        <v>0.5</v>
      </c>
      <c r="JP86" s="661">
        <v>0.61</v>
      </c>
      <c r="JQ86" s="661">
        <v>0.38</v>
      </c>
      <c r="JR86" s="661">
        <v>0.66</v>
      </c>
      <c r="JS86" s="661">
        <v>0.53</v>
      </c>
      <c r="JT86" s="661">
        <v>0.52</v>
      </c>
      <c r="JU86" s="661">
        <v>0.56000000000000005</v>
      </c>
      <c r="JV86" s="661">
        <v>0.54</v>
      </c>
      <c r="JW86" s="661">
        <v>0.51</v>
      </c>
      <c r="JX86" s="661">
        <v>0.5</v>
      </c>
      <c r="JY86" s="661">
        <v>0.6</v>
      </c>
      <c r="JZ86" s="661">
        <v>0.54</v>
      </c>
      <c r="KA86" s="661">
        <v>0.62</v>
      </c>
      <c r="KB86" s="661">
        <v>0.46</v>
      </c>
      <c r="KC86" s="661">
        <v>0.65</v>
      </c>
      <c r="KD86" s="661">
        <v>0.4</v>
      </c>
      <c r="KE86" s="661">
        <v>0.53</v>
      </c>
      <c r="KF86" s="661">
        <v>0.65</v>
      </c>
      <c r="KG86" s="661">
        <v>0.61</v>
      </c>
    </row>
    <row r="87" spans="1:293" ht="24.95" customHeight="1" x14ac:dyDescent="0.2">
      <c r="A87" s="126" t="s">
        <v>183</v>
      </c>
      <c r="B87" s="1" t="s">
        <v>221</v>
      </c>
      <c r="C87" s="2">
        <v>3</v>
      </c>
      <c r="D87" s="12">
        <v>55</v>
      </c>
      <c r="E87" s="12">
        <v>9</v>
      </c>
      <c r="F87" s="66">
        <v>0.09</v>
      </c>
      <c r="G87" s="66">
        <v>0.39</v>
      </c>
      <c r="H87" s="66">
        <v>0.52</v>
      </c>
      <c r="I87" s="66">
        <v>0</v>
      </c>
      <c r="J87" s="66">
        <v>0.25</v>
      </c>
      <c r="K87" s="66">
        <v>0.21</v>
      </c>
      <c r="L87" s="66">
        <v>0.9</v>
      </c>
      <c r="M87" s="66">
        <v>0.21</v>
      </c>
      <c r="N87" s="66">
        <v>0.23</v>
      </c>
      <c r="O87" s="66">
        <v>0.75</v>
      </c>
      <c r="P87" s="66">
        <v>0.38</v>
      </c>
      <c r="Q87" s="66">
        <v>0.34</v>
      </c>
      <c r="R87" s="66">
        <v>0.53</v>
      </c>
      <c r="S87" s="66">
        <v>0.57999999999999996</v>
      </c>
      <c r="T87" s="66">
        <v>0.43</v>
      </c>
      <c r="U87" s="66">
        <v>0.45</v>
      </c>
      <c r="V87" s="66">
        <v>0.04</v>
      </c>
      <c r="W87" s="66">
        <v>7.0000000000000007E-2</v>
      </c>
      <c r="X87" s="66">
        <v>0.43</v>
      </c>
      <c r="Y87" s="66">
        <v>0.42</v>
      </c>
      <c r="Z87" s="12" t="s">
        <v>283</v>
      </c>
      <c r="AA87" s="66">
        <v>0.21</v>
      </c>
      <c r="AB87" s="66">
        <v>0.37</v>
      </c>
      <c r="AC87" s="66">
        <v>0.31</v>
      </c>
      <c r="AD87" s="66">
        <v>0.5</v>
      </c>
      <c r="AE87" s="66">
        <v>0.4</v>
      </c>
      <c r="AF87" s="66">
        <v>0.43</v>
      </c>
      <c r="AG87" s="66">
        <v>0.38</v>
      </c>
      <c r="AH87" s="12">
        <v>52</v>
      </c>
      <c r="AI87" s="12">
        <v>8</v>
      </c>
      <c r="AJ87" s="40">
        <v>0.04</v>
      </c>
      <c r="AK87" s="40">
        <v>0.63</v>
      </c>
      <c r="AL87" s="40">
        <v>0.33</v>
      </c>
      <c r="AM87" s="40">
        <v>0</v>
      </c>
      <c r="AN87" s="40">
        <v>0.35</v>
      </c>
      <c r="AO87" s="40">
        <v>0.38</v>
      </c>
      <c r="AP87" s="40">
        <v>0.43</v>
      </c>
      <c r="AQ87" s="40">
        <v>0.44</v>
      </c>
      <c r="AR87" s="40">
        <v>0.44</v>
      </c>
      <c r="AS87" s="40">
        <v>0.53</v>
      </c>
      <c r="AT87" s="40">
        <v>0.51</v>
      </c>
      <c r="AU87" s="40">
        <v>0.56999999999999995</v>
      </c>
      <c r="AV87" s="40">
        <v>0.52</v>
      </c>
      <c r="AW87" s="40">
        <v>0.44</v>
      </c>
      <c r="AX87" s="40">
        <v>0.5</v>
      </c>
      <c r="AY87" s="40">
        <v>0.38</v>
      </c>
      <c r="AZ87" s="40">
        <v>0.39</v>
      </c>
      <c r="BA87" s="40">
        <v>0.59</v>
      </c>
      <c r="BB87" s="40">
        <v>0.66</v>
      </c>
      <c r="BC87" s="40">
        <v>0.73</v>
      </c>
      <c r="BD87" s="40">
        <v>0.4</v>
      </c>
      <c r="BE87" s="40">
        <v>0.79</v>
      </c>
      <c r="BF87" s="40">
        <v>0.69</v>
      </c>
      <c r="BG87" s="40">
        <v>0.57999999999999996</v>
      </c>
      <c r="BH87" s="40">
        <v>0.4</v>
      </c>
      <c r="BI87" s="40">
        <v>0.46</v>
      </c>
      <c r="BJ87" s="40">
        <v>0.37</v>
      </c>
      <c r="BK87" s="40">
        <v>0.4</v>
      </c>
      <c r="BL87" s="40">
        <v>0.33</v>
      </c>
      <c r="BM87" s="12">
        <v>52</v>
      </c>
      <c r="BN87" s="12">
        <v>7</v>
      </c>
      <c r="BO87" s="66">
        <v>0.06</v>
      </c>
      <c r="BP87" s="66">
        <v>0.61</v>
      </c>
      <c r="BQ87" s="66">
        <v>0.33</v>
      </c>
      <c r="BR87" s="66">
        <v>0</v>
      </c>
      <c r="BS87" s="66">
        <v>0.35</v>
      </c>
      <c r="BT87" s="66">
        <v>0.5</v>
      </c>
      <c r="BU87" s="66">
        <v>0.77</v>
      </c>
      <c r="BV87" s="66">
        <v>0.22</v>
      </c>
      <c r="BW87" s="66">
        <v>0.5</v>
      </c>
      <c r="BX87" s="66">
        <v>0.35</v>
      </c>
      <c r="BY87" s="66">
        <v>0.37</v>
      </c>
      <c r="BZ87" s="66">
        <v>0.56000000000000005</v>
      </c>
      <c r="CA87" s="66">
        <v>0.22</v>
      </c>
      <c r="CB87" s="66">
        <v>0.24</v>
      </c>
      <c r="CC87" s="66">
        <v>0.26</v>
      </c>
      <c r="CD87" s="66">
        <v>0.43</v>
      </c>
      <c r="CE87" s="66">
        <v>0.27</v>
      </c>
      <c r="CF87" s="66">
        <v>0.61</v>
      </c>
      <c r="CG87" s="66">
        <v>0.62</v>
      </c>
      <c r="CH87" s="66">
        <v>0.39</v>
      </c>
      <c r="CI87" s="66">
        <v>0.59</v>
      </c>
      <c r="CJ87" s="66">
        <v>0.5</v>
      </c>
      <c r="CK87" s="66">
        <v>0.67</v>
      </c>
      <c r="CL87" s="66">
        <v>0.14000000000000001</v>
      </c>
      <c r="CM87" s="66">
        <v>0.38</v>
      </c>
      <c r="CN87" s="66">
        <v>0.37</v>
      </c>
      <c r="CO87" s="66">
        <v>0.42</v>
      </c>
      <c r="CP87" s="66">
        <v>0.28999999999999998</v>
      </c>
      <c r="CQ87" s="66">
        <v>0.56000000000000005</v>
      </c>
      <c r="CR87" s="66">
        <v>0.5</v>
      </c>
      <c r="CS87" s="12">
        <v>50</v>
      </c>
      <c r="CT87" s="12">
        <v>7</v>
      </c>
      <c r="CU87" s="63">
        <v>0.11</v>
      </c>
      <c r="CV87" s="63">
        <v>0.78</v>
      </c>
      <c r="CW87" s="63">
        <v>0.11</v>
      </c>
      <c r="CX87" s="63">
        <v>0</v>
      </c>
      <c r="CY87" s="63">
        <v>0.53</v>
      </c>
      <c r="CZ87" s="63">
        <v>0.25</v>
      </c>
      <c r="DA87" s="63">
        <v>0.51</v>
      </c>
      <c r="DB87" s="63">
        <v>0.32</v>
      </c>
      <c r="DC87" s="63">
        <v>0.35</v>
      </c>
      <c r="DD87" s="63">
        <v>0.69</v>
      </c>
      <c r="DE87" s="63">
        <v>0.56999999999999995</v>
      </c>
      <c r="DF87" s="63">
        <v>0.56000000000000005</v>
      </c>
      <c r="DG87" s="63">
        <v>0.41</v>
      </c>
      <c r="DH87" s="63">
        <v>0.26</v>
      </c>
      <c r="DI87" s="63">
        <v>0.56999999999999995</v>
      </c>
      <c r="DJ87" s="63">
        <v>0.57999999999999996</v>
      </c>
      <c r="DK87" s="63">
        <v>0.15</v>
      </c>
      <c r="DL87" s="63">
        <v>0.25</v>
      </c>
      <c r="DM87" s="63">
        <v>0.6</v>
      </c>
      <c r="DN87" s="63">
        <v>0.69</v>
      </c>
      <c r="DO87" s="63">
        <v>0.67</v>
      </c>
      <c r="DP87" s="63">
        <v>0.52</v>
      </c>
      <c r="DQ87" s="63">
        <v>0.49</v>
      </c>
      <c r="DR87" s="63">
        <v>0.09</v>
      </c>
      <c r="DS87" s="63">
        <v>0.38</v>
      </c>
      <c r="DT87" s="63">
        <v>0.69</v>
      </c>
      <c r="DU87" s="63">
        <v>0.6</v>
      </c>
      <c r="DV87" s="63">
        <v>0.64</v>
      </c>
      <c r="DW87" s="63">
        <v>0.37</v>
      </c>
      <c r="DX87" s="35">
        <v>56</v>
      </c>
      <c r="DY87" s="35">
        <v>10</v>
      </c>
      <c r="DZ87" s="40">
        <v>0.05</v>
      </c>
      <c r="EA87" s="40">
        <v>0.3</v>
      </c>
      <c r="EB87" s="40">
        <v>0.6</v>
      </c>
      <c r="EC87" s="40">
        <v>0.05</v>
      </c>
      <c r="ED87" s="40">
        <v>0.35</v>
      </c>
      <c r="EE87" s="40">
        <v>0.38</v>
      </c>
      <c r="EF87" s="40">
        <v>0.32</v>
      </c>
      <c r="EG87" s="40">
        <v>0.28999999999999998</v>
      </c>
      <c r="EH87" s="40">
        <v>0.32</v>
      </c>
      <c r="EI87" s="40">
        <v>0.33</v>
      </c>
      <c r="EJ87" s="40">
        <v>0.4</v>
      </c>
      <c r="EK87" s="40">
        <v>0.35</v>
      </c>
      <c r="EL87" s="40">
        <v>0.48</v>
      </c>
      <c r="EM87" s="40">
        <v>0.65</v>
      </c>
      <c r="EN87" s="40">
        <v>0.28000000000000003</v>
      </c>
      <c r="EO87" s="40">
        <v>0.41</v>
      </c>
      <c r="EP87" s="40">
        <v>0.14000000000000001</v>
      </c>
      <c r="EQ87" s="40">
        <v>0.14000000000000001</v>
      </c>
      <c r="ER87" s="40">
        <v>0.46</v>
      </c>
      <c r="ES87" s="40">
        <v>0.37</v>
      </c>
      <c r="ET87" s="40">
        <v>0.17</v>
      </c>
      <c r="EU87" s="40">
        <v>0.31</v>
      </c>
      <c r="EV87" s="40">
        <v>0.28999999999999998</v>
      </c>
      <c r="EW87" s="40">
        <v>0.26</v>
      </c>
      <c r="EX87" s="40">
        <v>0.6</v>
      </c>
      <c r="EY87" s="40">
        <v>0.49</v>
      </c>
      <c r="EZ87" s="40">
        <v>0.14000000000000001</v>
      </c>
      <c r="FA87" s="40">
        <v>0.49</v>
      </c>
      <c r="FB87" s="247">
        <v>50</v>
      </c>
      <c r="FC87" s="247" t="s">
        <v>874</v>
      </c>
      <c r="FD87" s="247">
        <v>7</v>
      </c>
      <c r="FE87" s="247" t="s">
        <v>874</v>
      </c>
      <c r="FF87" s="264">
        <v>0.13</v>
      </c>
      <c r="FG87" s="264">
        <v>0.56000000000000005</v>
      </c>
      <c r="FH87" s="264">
        <v>0.31</v>
      </c>
      <c r="FI87" s="264">
        <v>0</v>
      </c>
      <c r="FJ87" s="264">
        <v>0.45</v>
      </c>
      <c r="FK87" s="264">
        <v>0.62</v>
      </c>
      <c r="FL87" s="264">
        <v>0.49</v>
      </c>
      <c r="FM87" s="264">
        <v>0.47</v>
      </c>
      <c r="FN87" s="264">
        <v>0.23</v>
      </c>
      <c r="FO87" s="264">
        <v>0.46</v>
      </c>
      <c r="FP87" s="264">
        <v>0.42</v>
      </c>
      <c r="FQ87" s="264">
        <v>0.32</v>
      </c>
      <c r="FR87" s="264">
        <v>0.62</v>
      </c>
      <c r="FS87" s="264">
        <v>0.4</v>
      </c>
      <c r="FT87" s="264">
        <v>0.45</v>
      </c>
      <c r="FU87" s="264">
        <v>0.25</v>
      </c>
      <c r="FV87" s="264">
        <v>0.66</v>
      </c>
      <c r="FW87" s="264">
        <v>0.56000000000000005</v>
      </c>
      <c r="FX87" s="264">
        <v>0.38</v>
      </c>
      <c r="FY87" s="264">
        <v>0.34</v>
      </c>
      <c r="FZ87" s="264">
        <v>0.43</v>
      </c>
      <c r="GA87" s="264">
        <v>0.45</v>
      </c>
      <c r="GB87" s="264">
        <v>0.54</v>
      </c>
      <c r="GC87" s="264">
        <v>0.42</v>
      </c>
      <c r="GD87" s="264">
        <v>0.64</v>
      </c>
      <c r="GE87" s="264">
        <v>0.53</v>
      </c>
      <c r="GF87" s="264">
        <v>0.49</v>
      </c>
      <c r="GG87" s="264">
        <v>0.4</v>
      </c>
      <c r="GH87" s="264">
        <v>0.63</v>
      </c>
      <c r="GI87" s="264">
        <v>0.24</v>
      </c>
      <c r="GJ87" s="311">
        <v>49</v>
      </c>
      <c r="GK87" s="311" t="s">
        <v>874</v>
      </c>
      <c r="GL87" s="311">
        <v>9</v>
      </c>
      <c r="GM87" s="311" t="s">
        <v>874</v>
      </c>
      <c r="GN87" s="329">
        <v>0.19</v>
      </c>
      <c r="GO87" s="329">
        <v>0.56000000000000005</v>
      </c>
      <c r="GP87" s="329">
        <v>0.25</v>
      </c>
      <c r="GQ87" s="329">
        <v>0</v>
      </c>
      <c r="GR87" s="329">
        <v>0.57999999999999996</v>
      </c>
      <c r="GS87" s="329">
        <v>0.59</v>
      </c>
      <c r="GT87" s="329">
        <v>0.6</v>
      </c>
      <c r="GU87" s="329">
        <v>0.33</v>
      </c>
      <c r="GV87" s="329">
        <v>0.45</v>
      </c>
      <c r="GW87" s="329">
        <v>0.45</v>
      </c>
      <c r="GX87" s="329">
        <v>0.44</v>
      </c>
      <c r="GY87" s="311" t="s">
        <v>283</v>
      </c>
      <c r="GZ87" s="329">
        <v>0.21</v>
      </c>
      <c r="HA87" s="329">
        <v>0.6</v>
      </c>
      <c r="HB87" s="329">
        <v>0.42</v>
      </c>
      <c r="HC87" s="329">
        <v>0.64</v>
      </c>
      <c r="HD87" s="329">
        <v>0.64</v>
      </c>
      <c r="HE87" s="329">
        <v>0.41</v>
      </c>
      <c r="HF87" s="329">
        <v>0.55000000000000004</v>
      </c>
      <c r="HG87" s="329">
        <v>0.64</v>
      </c>
      <c r="HH87" s="329">
        <v>0.44</v>
      </c>
      <c r="HI87" s="329">
        <v>0.65</v>
      </c>
      <c r="HJ87" s="329">
        <v>0.62</v>
      </c>
      <c r="HK87" s="329">
        <v>0.64</v>
      </c>
      <c r="HL87" s="329">
        <v>0.5</v>
      </c>
      <c r="HM87" s="329">
        <v>0.49</v>
      </c>
      <c r="HN87" s="329">
        <v>0.56000000000000005</v>
      </c>
      <c r="HO87" s="329">
        <v>0.42</v>
      </c>
      <c r="HP87" s="311" t="s">
        <v>283</v>
      </c>
      <c r="HQ87" s="329">
        <v>0.68</v>
      </c>
      <c r="HR87" s="426">
        <v>51</v>
      </c>
      <c r="HS87" s="426" t="s">
        <v>874</v>
      </c>
      <c r="HT87" s="426">
        <v>8</v>
      </c>
      <c r="HU87" s="426" t="s">
        <v>874</v>
      </c>
      <c r="HV87" s="430">
        <v>0.15</v>
      </c>
      <c r="HW87" s="430">
        <v>0.62</v>
      </c>
      <c r="HX87" s="430">
        <v>0.23</v>
      </c>
      <c r="HY87" s="430">
        <v>0</v>
      </c>
      <c r="HZ87" s="430">
        <v>0.33</v>
      </c>
      <c r="IA87" s="430">
        <v>0.53</v>
      </c>
      <c r="IB87" s="430">
        <v>0.33</v>
      </c>
      <c r="IC87" s="430">
        <v>0.56000000000000005</v>
      </c>
      <c r="ID87" s="430">
        <v>0.66</v>
      </c>
      <c r="IE87" s="430">
        <v>0.36</v>
      </c>
      <c r="IF87" s="430">
        <v>0.44</v>
      </c>
      <c r="IG87" s="430">
        <v>0.4</v>
      </c>
      <c r="IH87" s="430">
        <v>0.61</v>
      </c>
      <c r="II87" s="430">
        <v>0.6</v>
      </c>
      <c r="IJ87" s="430">
        <v>0.24</v>
      </c>
      <c r="IK87" s="430">
        <v>0.72</v>
      </c>
      <c r="IL87" s="430">
        <v>0.28999999999999998</v>
      </c>
      <c r="IM87" s="430">
        <v>0.59</v>
      </c>
      <c r="IN87" s="430">
        <v>0.41</v>
      </c>
      <c r="IO87" s="430">
        <v>0.57999999999999996</v>
      </c>
      <c r="IP87" s="430">
        <v>0.41</v>
      </c>
      <c r="IQ87" s="430">
        <v>0.65</v>
      </c>
      <c r="IR87" s="430">
        <v>0.52</v>
      </c>
      <c r="IS87" s="430">
        <v>0.47</v>
      </c>
      <c r="IT87" s="430">
        <v>0.38</v>
      </c>
      <c r="IU87" s="426" t="s">
        <v>283</v>
      </c>
      <c r="IV87" s="430">
        <v>0.56000000000000005</v>
      </c>
      <c r="IW87" s="430">
        <v>0.35</v>
      </c>
      <c r="IX87" s="430">
        <v>0.46</v>
      </c>
      <c r="IY87" s="430">
        <v>0.43</v>
      </c>
      <c r="IZ87" s="466">
        <v>49</v>
      </c>
      <c r="JA87" s="466" t="s">
        <v>874</v>
      </c>
      <c r="JB87" s="466">
        <v>9</v>
      </c>
      <c r="JC87" s="466" t="s">
        <v>874</v>
      </c>
      <c r="JD87" s="480">
        <v>0.14000000000000001</v>
      </c>
      <c r="JE87" s="480">
        <v>0.56999999999999995</v>
      </c>
      <c r="JF87" s="480">
        <v>0.28999999999999998</v>
      </c>
      <c r="JG87" s="480">
        <v>0</v>
      </c>
      <c r="JH87" s="480">
        <v>0.42</v>
      </c>
      <c r="JI87" s="480">
        <v>0.47</v>
      </c>
      <c r="JJ87" s="480">
        <v>0.5</v>
      </c>
      <c r="JK87" s="480">
        <v>0.53</v>
      </c>
      <c r="JL87" s="480">
        <v>0.35</v>
      </c>
      <c r="JM87" s="480">
        <v>0.55000000000000004</v>
      </c>
      <c r="JN87" s="480">
        <v>0.53</v>
      </c>
      <c r="JO87" s="480">
        <v>0.49</v>
      </c>
      <c r="JP87" s="480">
        <v>0.56000000000000005</v>
      </c>
      <c r="JQ87" s="480">
        <v>0.41</v>
      </c>
      <c r="JR87" s="480">
        <v>0.64</v>
      </c>
      <c r="JS87" s="480">
        <v>0.68</v>
      </c>
      <c r="JT87" s="480">
        <v>0.41</v>
      </c>
      <c r="JU87" s="480">
        <v>0.57999999999999996</v>
      </c>
      <c r="JV87" s="480">
        <v>0.64</v>
      </c>
      <c r="JW87" s="480">
        <v>0.54</v>
      </c>
      <c r="JX87" s="480">
        <v>0.51</v>
      </c>
      <c r="JY87" s="480">
        <v>0.61</v>
      </c>
      <c r="JZ87" s="480">
        <v>0.5</v>
      </c>
      <c r="KA87" s="480">
        <v>0.75</v>
      </c>
      <c r="KB87" s="480">
        <v>0.5</v>
      </c>
      <c r="KC87" s="480">
        <v>0.75</v>
      </c>
      <c r="KD87" s="480">
        <v>0.36</v>
      </c>
      <c r="KE87" s="480">
        <v>0.56999999999999995</v>
      </c>
      <c r="KF87" s="480">
        <v>0.54</v>
      </c>
      <c r="KG87" s="480">
        <v>0.51</v>
      </c>
    </row>
    <row r="88" spans="1:293" ht="24.95" customHeight="1" x14ac:dyDescent="0.2">
      <c r="A88" s="126" t="s">
        <v>110</v>
      </c>
      <c r="B88" s="1" t="s">
        <v>221</v>
      </c>
      <c r="C88" s="2">
        <v>2</v>
      </c>
      <c r="D88" s="12">
        <v>60</v>
      </c>
      <c r="E88" s="12">
        <v>6</v>
      </c>
      <c r="F88" s="66">
        <v>0</v>
      </c>
      <c r="G88" s="66">
        <v>0.28000000000000003</v>
      </c>
      <c r="H88" s="66">
        <v>0.7</v>
      </c>
      <c r="I88" s="66">
        <v>0.03</v>
      </c>
      <c r="J88" s="66">
        <v>0.26</v>
      </c>
      <c r="K88" s="66">
        <v>0.19</v>
      </c>
      <c r="L88" s="66">
        <v>0.62</v>
      </c>
      <c r="M88" s="66">
        <v>7.0000000000000007E-2</v>
      </c>
      <c r="N88" s="66">
        <v>0.21</v>
      </c>
      <c r="O88" s="66">
        <v>0.57999999999999996</v>
      </c>
      <c r="P88" s="66">
        <v>0.22</v>
      </c>
      <c r="Q88" s="66">
        <v>0.28999999999999998</v>
      </c>
      <c r="R88" s="66">
        <v>0.42</v>
      </c>
      <c r="S88" s="66">
        <v>0.49</v>
      </c>
      <c r="T88" s="66">
        <v>0.33</v>
      </c>
      <c r="U88" s="66">
        <v>0.44</v>
      </c>
      <c r="V88" s="66">
        <v>0.03</v>
      </c>
      <c r="W88" s="66">
        <v>7.0000000000000007E-2</v>
      </c>
      <c r="X88" s="66">
        <v>0.3</v>
      </c>
      <c r="Y88" s="66">
        <v>0.3</v>
      </c>
      <c r="Z88" s="12" t="s">
        <v>283</v>
      </c>
      <c r="AA88" s="66">
        <v>0.03</v>
      </c>
      <c r="AB88" s="66">
        <v>0.31</v>
      </c>
      <c r="AC88" s="66">
        <v>0.1</v>
      </c>
      <c r="AD88" s="66">
        <v>0.35</v>
      </c>
      <c r="AE88" s="66">
        <v>0.32</v>
      </c>
      <c r="AF88" s="66">
        <v>0.47</v>
      </c>
      <c r="AG88" s="66">
        <v>0.41</v>
      </c>
      <c r="AH88" s="12">
        <v>58</v>
      </c>
      <c r="AI88" s="12">
        <v>6</v>
      </c>
      <c r="AJ88" s="40">
        <v>0</v>
      </c>
      <c r="AK88" s="40">
        <v>0.32</v>
      </c>
      <c r="AL88" s="40">
        <v>0.68</v>
      </c>
      <c r="AM88" s="40">
        <v>0</v>
      </c>
      <c r="AN88" s="40">
        <v>0.16</v>
      </c>
      <c r="AO88" s="40">
        <v>0.37</v>
      </c>
      <c r="AP88" s="40">
        <v>0.42</v>
      </c>
      <c r="AQ88" s="40">
        <v>0.3</v>
      </c>
      <c r="AR88" s="40">
        <v>0.5</v>
      </c>
      <c r="AS88" s="40">
        <v>0.39</v>
      </c>
      <c r="AT88" s="40">
        <v>0.38</v>
      </c>
      <c r="AU88" s="40">
        <v>0.33</v>
      </c>
      <c r="AV88" s="40">
        <v>0.51</v>
      </c>
      <c r="AW88" s="40">
        <v>0.51</v>
      </c>
      <c r="AX88" s="40">
        <v>0.42</v>
      </c>
      <c r="AY88" s="40">
        <v>0.19</v>
      </c>
      <c r="AZ88" s="40">
        <v>0.11</v>
      </c>
      <c r="BA88" s="40">
        <v>0.35</v>
      </c>
      <c r="BB88" s="40">
        <v>0.54</v>
      </c>
      <c r="BC88" s="40">
        <v>0.61</v>
      </c>
      <c r="BD88" s="40">
        <v>0.35</v>
      </c>
      <c r="BE88" s="40">
        <v>0.39</v>
      </c>
      <c r="BF88" s="40">
        <v>0.38</v>
      </c>
      <c r="BG88" s="40">
        <v>0.38</v>
      </c>
      <c r="BH88" s="40">
        <v>0.37</v>
      </c>
      <c r="BI88" s="40">
        <v>0.31</v>
      </c>
      <c r="BJ88" s="40">
        <v>0.23</v>
      </c>
      <c r="BK88" s="40">
        <v>0.33</v>
      </c>
      <c r="BL88" s="40">
        <v>0.34</v>
      </c>
      <c r="BM88" s="12">
        <v>57</v>
      </c>
      <c r="BN88" s="12">
        <v>9</v>
      </c>
      <c r="BO88" s="66">
        <v>0</v>
      </c>
      <c r="BP88" s="66">
        <v>0.45</v>
      </c>
      <c r="BQ88" s="66">
        <v>0.51</v>
      </c>
      <c r="BR88" s="66">
        <v>0.04</v>
      </c>
      <c r="BS88" s="66">
        <v>0.27</v>
      </c>
      <c r="BT88" s="66">
        <v>0.3</v>
      </c>
      <c r="BU88" s="66">
        <v>0.65</v>
      </c>
      <c r="BV88" s="66">
        <v>0.13</v>
      </c>
      <c r="BW88" s="66">
        <v>0.59</v>
      </c>
      <c r="BX88" s="66">
        <v>0.23</v>
      </c>
      <c r="BY88" s="66">
        <v>0.34</v>
      </c>
      <c r="BZ88" s="66">
        <v>0.42</v>
      </c>
      <c r="CA88" s="66">
        <v>0.46</v>
      </c>
      <c r="CB88" s="66">
        <v>0.17</v>
      </c>
      <c r="CC88" s="66">
        <v>0.09</v>
      </c>
      <c r="CD88" s="66">
        <v>0.28000000000000003</v>
      </c>
      <c r="CE88" s="66">
        <v>0.19</v>
      </c>
      <c r="CF88" s="66">
        <v>0.45</v>
      </c>
      <c r="CG88" s="66">
        <v>0.42</v>
      </c>
      <c r="CH88" s="66">
        <v>0.36</v>
      </c>
      <c r="CI88" s="66">
        <v>0.47</v>
      </c>
      <c r="CJ88" s="66">
        <v>0.28000000000000003</v>
      </c>
      <c r="CK88" s="66">
        <v>0.54</v>
      </c>
      <c r="CL88" s="66">
        <v>0.2</v>
      </c>
      <c r="CM88" s="66">
        <v>0.33</v>
      </c>
      <c r="CN88" s="66">
        <v>0.32</v>
      </c>
      <c r="CO88" s="66">
        <v>0.26</v>
      </c>
      <c r="CP88" s="66">
        <v>0.27</v>
      </c>
      <c r="CQ88" s="66">
        <v>0.4</v>
      </c>
      <c r="CR88" s="66">
        <v>0.48</v>
      </c>
      <c r="CS88" s="12">
        <v>58</v>
      </c>
      <c r="CT88" s="12">
        <v>6</v>
      </c>
      <c r="CU88" s="63">
        <v>0</v>
      </c>
      <c r="CV88" s="63">
        <v>0.35</v>
      </c>
      <c r="CW88" s="63">
        <v>0.65</v>
      </c>
      <c r="CX88" s="63">
        <v>0</v>
      </c>
      <c r="CY88" s="63">
        <v>0.44</v>
      </c>
      <c r="CZ88" s="63">
        <v>0.21</v>
      </c>
      <c r="DA88" s="63">
        <v>0.42</v>
      </c>
      <c r="DB88" s="63">
        <v>0.2</v>
      </c>
      <c r="DC88" s="63">
        <v>0.25</v>
      </c>
      <c r="DD88" s="63">
        <v>0.57999999999999996</v>
      </c>
      <c r="DE88" s="63">
        <v>0.24</v>
      </c>
      <c r="DF88" s="63">
        <v>0.37</v>
      </c>
      <c r="DG88" s="63">
        <v>0.28000000000000003</v>
      </c>
      <c r="DH88" s="63">
        <v>0.28999999999999998</v>
      </c>
      <c r="DI88" s="63">
        <v>0.48</v>
      </c>
      <c r="DJ88" s="63">
        <v>0.3</v>
      </c>
      <c r="DK88" s="63">
        <v>0.19</v>
      </c>
      <c r="DL88" s="63">
        <v>0.08</v>
      </c>
      <c r="DM88" s="63">
        <v>0.39</v>
      </c>
      <c r="DN88" s="63">
        <v>0.28000000000000003</v>
      </c>
      <c r="DO88" s="63">
        <v>0.13</v>
      </c>
      <c r="DP88" s="63">
        <v>0.34</v>
      </c>
      <c r="DQ88" s="63">
        <v>0.4</v>
      </c>
      <c r="DR88" s="63">
        <v>0.06</v>
      </c>
      <c r="DS88" s="63">
        <v>0.27</v>
      </c>
      <c r="DT88" s="63">
        <v>0.41</v>
      </c>
      <c r="DU88" s="63">
        <v>0.36</v>
      </c>
      <c r="DV88" s="63">
        <v>0.45</v>
      </c>
      <c r="DW88" s="63">
        <v>0.14000000000000001</v>
      </c>
      <c r="DX88" s="35">
        <v>59</v>
      </c>
      <c r="DY88" s="35">
        <v>7</v>
      </c>
      <c r="DZ88" s="40">
        <v>0</v>
      </c>
      <c r="EA88" s="40">
        <v>0.38</v>
      </c>
      <c r="EB88" s="40">
        <v>0.55000000000000004</v>
      </c>
      <c r="EC88" s="40">
        <v>7.0000000000000007E-2</v>
      </c>
      <c r="ED88" s="40">
        <v>0.28999999999999998</v>
      </c>
      <c r="EE88" s="40">
        <v>0.34</v>
      </c>
      <c r="EF88" s="40">
        <v>0.41</v>
      </c>
      <c r="EG88" s="40">
        <v>0.15</v>
      </c>
      <c r="EH88" s="40">
        <v>0.32</v>
      </c>
      <c r="EI88" s="40">
        <v>0.41</v>
      </c>
      <c r="EJ88" s="40">
        <v>0.47</v>
      </c>
      <c r="EK88" s="40">
        <v>0.1</v>
      </c>
      <c r="EL88" s="40">
        <v>0.33</v>
      </c>
      <c r="EM88" s="40">
        <v>0.49</v>
      </c>
      <c r="EN88" s="40">
        <v>0.24</v>
      </c>
      <c r="EO88" s="40">
        <v>0.47</v>
      </c>
      <c r="EP88" s="40">
        <v>0.19</v>
      </c>
      <c r="EQ88" s="40">
        <v>0.1</v>
      </c>
      <c r="ER88" s="40">
        <v>0.5</v>
      </c>
      <c r="ES88" s="40">
        <v>0.28999999999999998</v>
      </c>
      <c r="ET88" s="40">
        <v>0.12</v>
      </c>
      <c r="EU88" s="40">
        <v>0.34</v>
      </c>
      <c r="EV88" s="40">
        <v>0.15</v>
      </c>
      <c r="EW88" s="40">
        <v>0.19</v>
      </c>
      <c r="EX88" s="40">
        <v>0.47</v>
      </c>
      <c r="EY88" s="40">
        <v>0.35</v>
      </c>
      <c r="EZ88" s="40">
        <v>0.05</v>
      </c>
      <c r="FA88" s="40">
        <v>0.38</v>
      </c>
      <c r="FB88" s="247">
        <v>56</v>
      </c>
      <c r="FC88" s="247" t="s">
        <v>874</v>
      </c>
      <c r="FD88" s="247">
        <v>9</v>
      </c>
      <c r="FE88" s="247" t="s">
        <v>874</v>
      </c>
      <c r="FF88" s="264">
        <v>0.03</v>
      </c>
      <c r="FG88" s="264">
        <v>0.39</v>
      </c>
      <c r="FH88" s="264">
        <v>0.53</v>
      </c>
      <c r="FI88" s="264">
        <v>0.05</v>
      </c>
      <c r="FJ88" s="264">
        <v>0.38</v>
      </c>
      <c r="FK88" s="264">
        <v>0.55000000000000004</v>
      </c>
      <c r="FL88" s="264">
        <v>0.35</v>
      </c>
      <c r="FM88" s="264">
        <v>0.26</v>
      </c>
      <c r="FN88" s="264">
        <v>0.26</v>
      </c>
      <c r="FO88" s="264">
        <v>0.17</v>
      </c>
      <c r="FP88" s="264">
        <v>0.2</v>
      </c>
      <c r="FQ88" s="264">
        <v>0.31</v>
      </c>
      <c r="FR88" s="264">
        <v>0.5</v>
      </c>
      <c r="FS88" s="264">
        <v>0.43</v>
      </c>
      <c r="FT88" s="264">
        <v>0.42</v>
      </c>
      <c r="FU88" s="264">
        <v>0.24</v>
      </c>
      <c r="FV88" s="264">
        <v>0.33</v>
      </c>
      <c r="FW88" s="264">
        <v>0.46</v>
      </c>
      <c r="FX88" s="264">
        <v>0.33</v>
      </c>
      <c r="FY88" s="264">
        <v>0.23</v>
      </c>
      <c r="FZ88" s="264">
        <v>0.45</v>
      </c>
      <c r="GA88" s="264">
        <v>0.56999999999999995</v>
      </c>
      <c r="GB88" s="264">
        <v>0.32</v>
      </c>
      <c r="GC88" s="264">
        <v>0.36</v>
      </c>
      <c r="GD88" s="264">
        <v>0.48</v>
      </c>
      <c r="GE88" s="264">
        <v>0.44</v>
      </c>
      <c r="GF88" s="264">
        <v>0.28999999999999998</v>
      </c>
      <c r="GG88" s="264">
        <v>0.24</v>
      </c>
      <c r="GH88" s="264">
        <v>0.36</v>
      </c>
      <c r="GI88" s="264">
        <v>0.24</v>
      </c>
      <c r="GJ88" s="311">
        <v>61</v>
      </c>
      <c r="GK88" s="311" t="s">
        <v>875</v>
      </c>
      <c r="GL88" s="311">
        <v>7</v>
      </c>
      <c r="GM88" s="311" t="s">
        <v>874</v>
      </c>
      <c r="GN88" s="329">
        <v>0</v>
      </c>
      <c r="GO88" s="329">
        <v>0.17</v>
      </c>
      <c r="GP88" s="329">
        <v>0.74</v>
      </c>
      <c r="GQ88" s="329">
        <v>0.09</v>
      </c>
      <c r="GR88" s="329">
        <v>0.13</v>
      </c>
      <c r="GS88" s="329">
        <v>0.3</v>
      </c>
      <c r="GT88" s="329">
        <v>0.51</v>
      </c>
      <c r="GU88" s="329">
        <v>0</v>
      </c>
      <c r="GV88" s="329">
        <v>0.3</v>
      </c>
      <c r="GW88" s="329">
        <v>0.28999999999999998</v>
      </c>
      <c r="GX88" s="329">
        <v>0.22</v>
      </c>
      <c r="GY88" s="311" t="s">
        <v>283</v>
      </c>
      <c r="GZ88" s="329">
        <v>0.22</v>
      </c>
      <c r="HA88" s="329">
        <v>0.7</v>
      </c>
      <c r="HB88" s="329">
        <v>0.36</v>
      </c>
      <c r="HC88" s="329">
        <v>0.34</v>
      </c>
      <c r="HD88" s="329">
        <v>0.39</v>
      </c>
      <c r="HE88" s="329">
        <v>0.19</v>
      </c>
      <c r="HF88" s="329">
        <v>0.23</v>
      </c>
      <c r="HG88" s="329">
        <v>0.55000000000000004</v>
      </c>
      <c r="HH88" s="329">
        <v>0.12</v>
      </c>
      <c r="HI88" s="329">
        <v>0.35</v>
      </c>
      <c r="HJ88" s="329">
        <v>0.46</v>
      </c>
      <c r="HK88" s="329">
        <v>0.38</v>
      </c>
      <c r="HL88" s="329">
        <v>0.27</v>
      </c>
      <c r="HM88" s="329">
        <v>0.32</v>
      </c>
      <c r="HN88" s="329">
        <v>0.28999999999999998</v>
      </c>
      <c r="HO88" s="329">
        <v>0.11</v>
      </c>
      <c r="HP88" s="311" t="s">
        <v>283</v>
      </c>
      <c r="HQ88" s="329">
        <v>0.28000000000000003</v>
      </c>
      <c r="HR88" s="426">
        <v>64</v>
      </c>
      <c r="HS88" s="426" t="s">
        <v>875</v>
      </c>
      <c r="HT88" s="426">
        <v>8</v>
      </c>
      <c r="HU88" s="426" t="s">
        <v>874</v>
      </c>
      <c r="HV88" s="430">
        <v>0</v>
      </c>
      <c r="HW88" s="430">
        <v>0.18</v>
      </c>
      <c r="HX88" s="430">
        <v>0.65</v>
      </c>
      <c r="HY88" s="430">
        <v>0.18</v>
      </c>
      <c r="HZ88" s="430">
        <v>0.12</v>
      </c>
      <c r="IA88" s="430">
        <v>0.33</v>
      </c>
      <c r="IB88" s="430">
        <v>0.06</v>
      </c>
      <c r="IC88" s="430">
        <v>0.47</v>
      </c>
      <c r="ID88" s="430">
        <v>0.56000000000000005</v>
      </c>
      <c r="IE88" s="430">
        <v>0.03</v>
      </c>
      <c r="IF88" s="430">
        <v>0.38</v>
      </c>
      <c r="IG88" s="430">
        <v>0.54</v>
      </c>
      <c r="IH88" s="430">
        <v>0.32</v>
      </c>
      <c r="II88" s="430">
        <v>0</v>
      </c>
      <c r="IJ88" s="430">
        <v>0.14000000000000001</v>
      </c>
      <c r="IK88" s="430">
        <v>0.46</v>
      </c>
      <c r="IL88" s="430">
        <v>0.21</v>
      </c>
      <c r="IM88" s="430">
        <v>0.25</v>
      </c>
      <c r="IN88" s="430">
        <v>0.24</v>
      </c>
      <c r="IO88" s="430">
        <v>0.28000000000000003</v>
      </c>
      <c r="IP88" s="430">
        <v>0.22</v>
      </c>
      <c r="IQ88" s="430">
        <v>0.23</v>
      </c>
      <c r="IR88" s="430">
        <v>0.3</v>
      </c>
      <c r="IS88" s="430">
        <v>0.4</v>
      </c>
      <c r="IT88" s="430">
        <v>0.23</v>
      </c>
      <c r="IU88" s="426" t="s">
        <v>283</v>
      </c>
      <c r="IV88" s="430">
        <v>0.48</v>
      </c>
      <c r="IW88" s="430">
        <v>0.16</v>
      </c>
      <c r="IX88" s="430">
        <v>0.14000000000000001</v>
      </c>
      <c r="IY88" s="430">
        <v>0.17</v>
      </c>
      <c r="IZ88" s="466">
        <v>62</v>
      </c>
      <c r="JA88" s="466" t="s">
        <v>875</v>
      </c>
      <c r="JB88" s="466">
        <v>6</v>
      </c>
      <c r="JC88" s="466" t="s">
        <v>874</v>
      </c>
      <c r="JD88" s="480">
        <v>0</v>
      </c>
      <c r="JE88" s="480">
        <v>7.0000000000000007E-2</v>
      </c>
      <c r="JF88" s="480">
        <v>0.89</v>
      </c>
      <c r="JG88" s="480">
        <v>0.04</v>
      </c>
      <c r="JH88" s="480">
        <v>0.35</v>
      </c>
      <c r="JI88" s="480">
        <v>0.17</v>
      </c>
      <c r="JJ88" s="480">
        <v>0.19</v>
      </c>
      <c r="JK88" s="480">
        <v>0.32</v>
      </c>
      <c r="JL88" s="480">
        <v>0.28000000000000003</v>
      </c>
      <c r="JM88" s="480">
        <v>0.27</v>
      </c>
      <c r="JN88" s="480">
        <v>0.14000000000000001</v>
      </c>
      <c r="JO88" s="480">
        <v>0.28999999999999998</v>
      </c>
      <c r="JP88" s="480">
        <v>0.35</v>
      </c>
      <c r="JQ88" s="480">
        <v>0.05</v>
      </c>
      <c r="JR88" s="480">
        <v>0.26</v>
      </c>
      <c r="JS88" s="480">
        <v>0.33</v>
      </c>
      <c r="JT88" s="480">
        <v>0.28000000000000003</v>
      </c>
      <c r="JU88" s="480">
        <v>0.33</v>
      </c>
      <c r="JV88" s="480">
        <v>0.34</v>
      </c>
      <c r="JW88" s="480">
        <v>0.38</v>
      </c>
      <c r="JX88" s="480">
        <v>0.15</v>
      </c>
      <c r="JY88" s="480">
        <v>0.35</v>
      </c>
      <c r="JZ88" s="480">
        <v>0.3</v>
      </c>
      <c r="KA88" s="480">
        <v>0.54</v>
      </c>
      <c r="KB88" s="480">
        <v>0.16</v>
      </c>
      <c r="KC88" s="480">
        <v>0.27</v>
      </c>
      <c r="KD88" s="480">
        <v>0.2</v>
      </c>
      <c r="KE88" s="480">
        <v>0.39</v>
      </c>
      <c r="KF88" s="480">
        <v>0.25</v>
      </c>
      <c r="KG88" s="480">
        <v>0.26</v>
      </c>
    </row>
    <row r="89" spans="1:293" ht="24.95" customHeight="1" x14ac:dyDescent="0.2">
      <c r="A89" s="126" t="s">
        <v>926</v>
      </c>
      <c r="B89" s="14" t="s">
        <v>221</v>
      </c>
      <c r="C89" s="2">
        <v>6</v>
      </c>
      <c r="D89" s="12"/>
      <c r="E89" s="12"/>
      <c r="F89" s="66"/>
      <c r="G89" s="66"/>
      <c r="H89" s="66"/>
      <c r="I89" s="66"/>
      <c r="J89" s="66"/>
      <c r="K89" s="66"/>
      <c r="L89" s="66"/>
      <c r="M89" s="66"/>
      <c r="N89" s="66"/>
      <c r="O89" s="66"/>
      <c r="P89" s="66"/>
      <c r="Q89" s="66"/>
      <c r="R89" s="66"/>
      <c r="S89" s="66"/>
      <c r="T89" s="66"/>
      <c r="U89" s="66"/>
      <c r="V89" s="66"/>
      <c r="W89" s="66"/>
      <c r="X89" s="66"/>
      <c r="Y89" s="66"/>
      <c r="Z89" s="12"/>
      <c r="AA89" s="66"/>
      <c r="AB89" s="66"/>
      <c r="AC89" s="66"/>
      <c r="AD89" s="66"/>
      <c r="AE89" s="66"/>
      <c r="AF89" s="66"/>
      <c r="AG89" s="66"/>
      <c r="AH89" s="12"/>
      <c r="AI89" s="12"/>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12"/>
      <c r="BN89" s="12"/>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12"/>
      <c r="CT89" s="12"/>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35"/>
      <c r="DY89" s="35"/>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247"/>
      <c r="FC89" s="247"/>
      <c r="FD89" s="247"/>
      <c r="FE89" s="247"/>
      <c r="FF89" s="264"/>
      <c r="FG89" s="264"/>
      <c r="FH89" s="264"/>
      <c r="FI89" s="264"/>
      <c r="FJ89" s="264"/>
      <c r="FK89" s="264"/>
      <c r="FL89" s="264"/>
      <c r="FM89" s="264"/>
      <c r="FN89" s="264"/>
      <c r="FO89" s="264"/>
      <c r="FP89" s="264"/>
      <c r="FQ89" s="264"/>
      <c r="FR89" s="264"/>
      <c r="FS89" s="264"/>
      <c r="FT89" s="264"/>
      <c r="FU89" s="264"/>
      <c r="FV89" s="264"/>
      <c r="FW89" s="264"/>
      <c r="FX89" s="264"/>
      <c r="FY89" s="264"/>
      <c r="FZ89" s="264"/>
      <c r="GA89" s="264"/>
      <c r="GB89" s="264"/>
      <c r="GC89" s="264"/>
      <c r="GD89" s="264"/>
      <c r="GE89" s="264"/>
      <c r="GF89" s="264"/>
      <c r="GG89" s="264"/>
      <c r="GH89" s="264"/>
      <c r="GI89" s="264"/>
      <c r="GJ89" s="311">
        <v>42</v>
      </c>
      <c r="GK89" s="311" t="s">
        <v>876</v>
      </c>
      <c r="GL89" s="311">
        <v>8</v>
      </c>
      <c r="GM89" s="311" t="s">
        <v>874</v>
      </c>
      <c r="GN89" s="329">
        <v>0.47</v>
      </c>
      <c r="GO89" s="329">
        <v>0.47</v>
      </c>
      <c r="GP89" s="329">
        <v>0.06</v>
      </c>
      <c r="GQ89" s="329">
        <v>0</v>
      </c>
      <c r="GR89" s="329">
        <v>0.56999999999999995</v>
      </c>
      <c r="GS89" s="329">
        <v>0.68</v>
      </c>
      <c r="GT89" s="329">
        <v>0.66</v>
      </c>
      <c r="GU89" s="329">
        <v>0.56000000000000005</v>
      </c>
      <c r="GV89" s="329">
        <v>0.74</v>
      </c>
      <c r="GW89" s="329">
        <v>0.53</v>
      </c>
      <c r="GX89" s="329">
        <v>0.65</v>
      </c>
      <c r="GY89" s="311" t="s">
        <v>283</v>
      </c>
      <c r="GZ89" s="329">
        <v>0.63</v>
      </c>
      <c r="HA89" s="329">
        <v>0.38</v>
      </c>
      <c r="HB89" s="329">
        <v>0.64</v>
      </c>
      <c r="HC89" s="329">
        <v>0.71</v>
      </c>
      <c r="HD89" s="329">
        <v>0.69</v>
      </c>
      <c r="HE89" s="329">
        <v>0.55000000000000004</v>
      </c>
      <c r="HF89" s="329">
        <v>0.61</v>
      </c>
      <c r="HG89" s="329">
        <v>0.72</v>
      </c>
      <c r="HH89" s="329">
        <v>0.51</v>
      </c>
      <c r="HI89" s="329">
        <v>0.64</v>
      </c>
      <c r="HJ89" s="329">
        <v>0.69</v>
      </c>
      <c r="HK89" s="329">
        <v>0.74</v>
      </c>
      <c r="HL89" s="329">
        <v>0.56999999999999995</v>
      </c>
      <c r="HM89" s="329">
        <v>0.64</v>
      </c>
      <c r="HN89" s="329">
        <v>0.57999999999999996</v>
      </c>
      <c r="HO89" s="329">
        <v>0.56999999999999995</v>
      </c>
      <c r="HP89" s="311" t="s">
        <v>283</v>
      </c>
      <c r="HQ89" s="329">
        <v>0.67</v>
      </c>
      <c r="HR89" s="426">
        <v>50</v>
      </c>
      <c r="HS89" s="426" t="s">
        <v>874</v>
      </c>
      <c r="HT89" s="426">
        <v>0</v>
      </c>
      <c r="HU89" s="426" t="s">
        <v>876</v>
      </c>
      <c r="HV89" s="430">
        <v>0</v>
      </c>
      <c r="HW89" s="430">
        <v>1</v>
      </c>
      <c r="HX89" s="430">
        <v>0</v>
      </c>
      <c r="HY89" s="430">
        <v>0</v>
      </c>
      <c r="HZ89" s="430">
        <v>0.5</v>
      </c>
      <c r="IA89" s="430">
        <v>0.67</v>
      </c>
      <c r="IB89" s="430">
        <v>0</v>
      </c>
      <c r="IC89" s="430">
        <v>0.25</v>
      </c>
      <c r="ID89" s="430">
        <v>0.67</v>
      </c>
      <c r="IE89" s="430">
        <v>0</v>
      </c>
      <c r="IF89" s="430">
        <v>0.5</v>
      </c>
      <c r="IG89" s="430">
        <v>0.67</v>
      </c>
      <c r="IH89" s="430">
        <v>0.5</v>
      </c>
      <c r="II89" s="426" t="s">
        <v>283</v>
      </c>
      <c r="IJ89" s="430">
        <v>0.33</v>
      </c>
      <c r="IK89" s="430">
        <v>0.67</v>
      </c>
      <c r="IL89" s="430">
        <v>1</v>
      </c>
      <c r="IM89" s="430">
        <v>1</v>
      </c>
      <c r="IN89" s="430">
        <v>0.5</v>
      </c>
      <c r="IO89" s="430">
        <v>0.75</v>
      </c>
      <c r="IP89" s="430">
        <v>0.33</v>
      </c>
      <c r="IQ89" s="430">
        <v>0</v>
      </c>
      <c r="IR89" s="430">
        <v>1</v>
      </c>
      <c r="IS89" s="426" t="s">
        <v>283</v>
      </c>
      <c r="IT89" s="430">
        <v>0.33</v>
      </c>
      <c r="IU89" s="426" t="s">
        <v>283</v>
      </c>
      <c r="IV89" s="430">
        <v>0.5</v>
      </c>
      <c r="IW89" s="430">
        <v>0.33</v>
      </c>
      <c r="IX89" s="430">
        <v>1</v>
      </c>
      <c r="IY89" s="430">
        <v>1</v>
      </c>
      <c r="IZ89" s="647"/>
      <c r="JA89" s="647"/>
      <c r="JB89" s="647"/>
      <c r="JC89" s="647"/>
      <c r="JD89" s="648"/>
      <c r="JE89" s="648"/>
      <c r="JF89" s="648"/>
      <c r="JG89" s="648"/>
      <c r="JH89" s="648"/>
      <c r="JI89" s="648"/>
      <c r="JJ89" s="648"/>
      <c r="JK89" s="648"/>
      <c r="JL89" s="648"/>
      <c r="JM89" s="647"/>
      <c r="JN89" s="648"/>
      <c r="JO89" s="648"/>
      <c r="JP89" s="648"/>
      <c r="JQ89" s="648"/>
      <c r="JR89" s="647"/>
      <c r="JS89" s="648"/>
      <c r="JT89" s="648"/>
      <c r="JU89" s="648"/>
      <c r="JV89" s="648"/>
      <c r="JW89" s="648"/>
      <c r="JX89" s="648"/>
      <c r="JY89" s="648"/>
      <c r="JZ89" s="647"/>
      <c r="KA89" s="648"/>
      <c r="KB89" s="648"/>
      <c r="KC89" s="648"/>
      <c r="KD89" s="648"/>
      <c r="KE89" s="648"/>
      <c r="KF89" s="648"/>
      <c r="KG89" s="648"/>
    </row>
    <row r="90" spans="1:293" ht="24.95" customHeight="1" x14ac:dyDescent="0.2">
      <c r="A90" s="324" t="s">
        <v>266</v>
      </c>
      <c r="B90" s="1" t="s">
        <v>221</v>
      </c>
      <c r="C90" s="311">
        <v>3</v>
      </c>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t="s">
        <v>224</v>
      </c>
      <c r="AI90" s="330" t="s">
        <v>224</v>
      </c>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0" t="s">
        <v>224</v>
      </c>
      <c r="BN90" s="330" t="s">
        <v>224</v>
      </c>
      <c r="BO90" s="330"/>
      <c r="BP90" s="330"/>
      <c r="BQ90" s="330"/>
      <c r="BR90" s="330"/>
      <c r="BS90" s="330"/>
      <c r="BT90" s="330"/>
      <c r="BU90" s="330"/>
      <c r="BV90" s="330"/>
      <c r="BW90" s="330"/>
      <c r="BX90" s="330"/>
      <c r="BY90" s="330"/>
      <c r="BZ90" s="330"/>
      <c r="CA90" s="330"/>
      <c r="CB90" s="330"/>
      <c r="CC90" s="330"/>
      <c r="CD90" s="330"/>
      <c r="CE90" s="330"/>
      <c r="CF90" s="330"/>
      <c r="CG90" s="330"/>
      <c r="CH90" s="330"/>
      <c r="CI90" s="330"/>
      <c r="CJ90" s="330"/>
      <c r="CK90" s="330"/>
      <c r="CL90" s="330"/>
      <c r="CM90" s="330"/>
      <c r="CN90" s="330"/>
      <c r="CO90" s="330"/>
      <c r="CP90" s="330"/>
      <c r="CQ90" s="330"/>
      <c r="CR90" s="330"/>
      <c r="CS90" s="330" t="s">
        <v>224</v>
      </c>
      <c r="CT90" s="330" t="s">
        <v>224</v>
      </c>
      <c r="CU90" s="311"/>
      <c r="CV90" s="311"/>
      <c r="CW90" s="311"/>
      <c r="CX90" s="311"/>
      <c r="CY90" s="311"/>
      <c r="CZ90" s="311"/>
      <c r="DA90" s="311"/>
      <c r="DB90" s="311"/>
      <c r="DC90" s="311"/>
      <c r="DD90" s="311"/>
      <c r="DE90" s="311"/>
      <c r="DF90" s="311"/>
      <c r="DG90" s="311"/>
      <c r="DH90" s="311"/>
      <c r="DI90" s="311"/>
      <c r="DJ90" s="311"/>
      <c r="DK90" s="311"/>
      <c r="DL90" s="311"/>
      <c r="DM90" s="311"/>
      <c r="DN90" s="311"/>
      <c r="DO90" s="311"/>
      <c r="DP90" s="311"/>
      <c r="DQ90" s="311"/>
      <c r="DR90" s="311"/>
      <c r="DS90" s="311"/>
      <c r="DT90" s="311"/>
      <c r="DU90" s="311"/>
      <c r="DV90" s="311"/>
      <c r="DW90" s="311"/>
      <c r="DX90" s="313">
        <v>51</v>
      </c>
      <c r="DY90" s="313">
        <v>7</v>
      </c>
      <c r="DZ90" s="333">
        <v>0.13</v>
      </c>
      <c r="EA90" s="333">
        <v>0.63</v>
      </c>
      <c r="EB90" s="333">
        <v>0.25</v>
      </c>
      <c r="EC90" s="333">
        <v>0</v>
      </c>
      <c r="ED90" s="333">
        <v>0.73</v>
      </c>
      <c r="EE90" s="333">
        <v>0.53</v>
      </c>
      <c r="EF90" s="333">
        <v>0.54</v>
      </c>
      <c r="EG90" s="333">
        <v>0.33</v>
      </c>
      <c r="EH90" s="333">
        <v>0.54</v>
      </c>
      <c r="EI90" s="333">
        <v>0.46</v>
      </c>
      <c r="EJ90" s="333">
        <v>0.61</v>
      </c>
      <c r="EK90" s="333">
        <v>0.28999999999999998</v>
      </c>
      <c r="EL90" s="333">
        <v>0.23</v>
      </c>
      <c r="EM90" s="333">
        <v>0.71</v>
      </c>
      <c r="EN90" s="333">
        <v>0.46</v>
      </c>
      <c r="EO90" s="333">
        <v>0.63</v>
      </c>
      <c r="EP90" s="333">
        <v>0.31</v>
      </c>
      <c r="EQ90" s="333">
        <v>0</v>
      </c>
      <c r="ER90" s="333">
        <v>0.56999999999999995</v>
      </c>
      <c r="ES90" s="333">
        <v>0.31</v>
      </c>
      <c r="ET90" s="333">
        <v>0.33</v>
      </c>
      <c r="EU90" s="333">
        <v>0.78</v>
      </c>
      <c r="EV90" s="333">
        <v>0</v>
      </c>
      <c r="EW90" s="333">
        <v>0.18</v>
      </c>
      <c r="EX90" s="333">
        <v>0.67</v>
      </c>
      <c r="EY90" s="333">
        <v>0.56999999999999995</v>
      </c>
      <c r="EZ90" s="333">
        <v>0.2</v>
      </c>
      <c r="FA90" s="333">
        <v>0.65</v>
      </c>
      <c r="FB90" s="314">
        <v>57</v>
      </c>
      <c r="FC90" s="314" t="s">
        <v>874</v>
      </c>
      <c r="FD90" s="314">
        <v>7</v>
      </c>
      <c r="FE90" s="314" t="s">
        <v>874</v>
      </c>
      <c r="FF90" s="334">
        <v>0</v>
      </c>
      <c r="FG90" s="334">
        <v>0.33</v>
      </c>
      <c r="FH90" s="334">
        <v>0.67</v>
      </c>
      <c r="FI90" s="334">
        <v>0</v>
      </c>
      <c r="FJ90" s="334">
        <v>0.38</v>
      </c>
      <c r="FK90" s="334">
        <v>0.6</v>
      </c>
      <c r="FL90" s="334">
        <v>0.38</v>
      </c>
      <c r="FM90" s="334">
        <v>0.33</v>
      </c>
      <c r="FN90" s="334">
        <v>0</v>
      </c>
      <c r="FO90" s="334">
        <v>0.18</v>
      </c>
      <c r="FP90" s="334">
        <v>0.19</v>
      </c>
      <c r="FQ90" s="334">
        <v>0.32</v>
      </c>
      <c r="FR90" s="334">
        <v>0.33</v>
      </c>
      <c r="FS90" s="334">
        <v>0.56000000000000005</v>
      </c>
      <c r="FT90" s="334">
        <v>0.4</v>
      </c>
      <c r="FU90" s="334">
        <v>0</v>
      </c>
      <c r="FV90" s="334">
        <v>0.2</v>
      </c>
      <c r="FW90" s="334">
        <v>0.62</v>
      </c>
      <c r="FX90" s="334">
        <v>0.2</v>
      </c>
      <c r="FY90" s="334">
        <v>0.13</v>
      </c>
      <c r="FZ90" s="334">
        <v>0.33</v>
      </c>
      <c r="GA90" s="334">
        <v>0.5</v>
      </c>
      <c r="GB90" s="334">
        <v>0.33</v>
      </c>
      <c r="GC90" s="334">
        <v>0.46</v>
      </c>
      <c r="GD90" s="334">
        <v>0.59</v>
      </c>
      <c r="GE90" s="334">
        <v>0.33</v>
      </c>
      <c r="GF90" s="334">
        <v>0.17</v>
      </c>
      <c r="GG90" s="334">
        <v>0.25</v>
      </c>
      <c r="GH90" s="334">
        <v>0.28000000000000003</v>
      </c>
      <c r="GI90" s="334">
        <v>0.06</v>
      </c>
      <c r="GJ90" s="311">
        <v>55</v>
      </c>
      <c r="GK90" s="311" t="s">
        <v>874</v>
      </c>
      <c r="GL90" s="311">
        <v>9</v>
      </c>
      <c r="GM90" s="311" t="s">
        <v>874</v>
      </c>
      <c r="GN90" s="329">
        <v>0.11</v>
      </c>
      <c r="GO90" s="329">
        <v>0.22</v>
      </c>
      <c r="GP90" s="329">
        <v>0.67</v>
      </c>
      <c r="GQ90" s="329">
        <v>0</v>
      </c>
      <c r="GR90" s="329">
        <v>0.27</v>
      </c>
      <c r="GS90" s="329">
        <v>0.28000000000000003</v>
      </c>
      <c r="GT90" s="329">
        <v>0.49</v>
      </c>
      <c r="GU90" s="329">
        <v>0</v>
      </c>
      <c r="GV90" s="329">
        <v>0.55000000000000004</v>
      </c>
      <c r="GW90" s="329">
        <v>0.46</v>
      </c>
      <c r="GX90" s="329">
        <v>0.44</v>
      </c>
      <c r="GY90" s="311" t="s">
        <v>283</v>
      </c>
      <c r="GZ90" s="329">
        <v>0.15</v>
      </c>
      <c r="HA90" s="329">
        <v>0.56999999999999995</v>
      </c>
      <c r="HB90" s="329">
        <v>0.4</v>
      </c>
      <c r="HC90" s="329">
        <v>0.32</v>
      </c>
      <c r="HD90" s="329">
        <v>0.39</v>
      </c>
      <c r="HE90" s="329">
        <v>0.5</v>
      </c>
      <c r="HF90" s="329">
        <v>0.37</v>
      </c>
      <c r="HG90" s="329">
        <v>0.59</v>
      </c>
      <c r="HH90" s="329">
        <v>0.35</v>
      </c>
      <c r="HI90" s="329">
        <v>0.32</v>
      </c>
      <c r="HJ90" s="329">
        <v>0.61</v>
      </c>
      <c r="HK90" s="329">
        <v>0.55000000000000004</v>
      </c>
      <c r="HL90" s="329">
        <v>0.39</v>
      </c>
      <c r="HM90" s="329">
        <v>0.52</v>
      </c>
      <c r="HN90" s="329">
        <v>0.28999999999999998</v>
      </c>
      <c r="HO90" s="329">
        <v>0.17</v>
      </c>
      <c r="HP90" s="311" t="s">
        <v>283</v>
      </c>
      <c r="HQ90" s="329">
        <v>0.37</v>
      </c>
      <c r="HR90" s="426">
        <v>58</v>
      </c>
      <c r="HS90" s="426" t="s">
        <v>874</v>
      </c>
      <c r="HT90" s="426">
        <v>9</v>
      </c>
      <c r="HU90" s="426" t="s">
        <v>874</v>
      </c>
      <c r="HV90" s="430">
        <v>0.1</v>
      </c>
      <c r="HW90" s="430">
        <v>0.2</v>
      </c>
      <c r="HX90" s="430">
        <v>0.6</v>
      </c>
      <c r="HY90" s="430">
        <v>0.1</v>
      </c>
      <c r="HZ90" s="430">
        <v>0.14000000000000001</v>
      </c>
      <c r="IA90" s="430">
        <v>0.39</v>
      </c>
      <c r="IB90" s="430">
        <v>0.1</v>
      </c>
      <c r="IC90" s="430">
        <v>0.33</v>
      </c>
      <c r="ID90" s="430">
        <v>0.32</v>
      </c>
      <c r="IE90" s="430">
        <v>0.22</v>
      </c>
      <c r="IF90" s="430">
        <v>0.32</v>
      </c>
      <c r="IG90" s="430">
        <v>0.26</v>
      </c>
      <c r="IH90" s="430">
        <v>0.35</v>
      </c>
      <c r="II90" s="430">
        <v>0</v>
      </c>
      <c r="IJ90" s="430">
        <v>0.28000000000000003</v>
      </c>
      <c r="IK90" s="430">
        <v>0.36</v>
      </c>
      <c r="IL90" s="430">
        <v>0.25</v>
      </c>
      <c r="IM90" s="430">
        <v>0.48</v>
      </c>
      <c r="IN90" s="430">
        <v>0.41</v>
      </c>
      <c r="IO90" s="430">
        <v>0.56999999999999995</v>
      </c>
      <c r="IP90" s="430">
        <v>0.43</v>
      </c>
      <c r="IQ90" s="430">
        <v>0.57999999999999996</v>
      </c>
      <c r="IR90" s="430">
        <v>0.42</v>
      </c>
      <c r="IS90" s="430">
        <v>0.28999999999999998</v>
      </c>
      <c r="IT90" s="430">
        <v>0.27</v>
      </c>
      <c r="IU90" s="426" t="s">
        <v>283</v>
      </c>
      <c r="IV90" s="430">
        <v>0.55000000000000004</v>
      </c>
      <c r="IW90" s="430">
        <v>0.44</v>
      </c>
      <c r="IX90" s="430">
        <v>0.5</v>
      </c>
      <c r="IY90" s="430">
        <v>0.3</v>
      </c>
      <c r="IZ90" s="660">
        <v>58</v>
      </c>
      <c r="JA90" s="660" t="s">
        <v>874</v>
      </c>
      <c r="JB90" s="660">
        <v>8</v>
      </c>
      <c r="JC90" s="660" t="s">
        <v>874</v>
      </c>
      <c r="JD90" s="661">
        <v>0</v>
      </c>
      <c r="JE90" s="661">
        <v>0.22</v>
      </c>
      <c r="JF90" s="661">
        <v>0.72</v>
      </c>
      <c r="JG90" s="661">
        <v>0.06</v>
      </c>
      <c r="JH90" s="661">
        <v>0.31</v>
      </c>
      <c r="JI90" s="661">
        <v>0.33</v>
      </c>
      <c r="JJ90" s="661">
        <v>0.3</v>
      </c>
      <c r="JK90" s="661">
        <v>0.28999999999999998</v>
      </c>
      <c r="JL90" s="661">
        <v>0.36</v>
      </c>
      <c r="JM90" s="661">
        <v>0.36</v>
      </c>
      <c r="JN90" s="661">
        <v>0.23</v>
      </c>
      <c r="JO90" s="661">
        <v>0.36</v>
      </c>
      <c r="JP90" s="661">
        <v>0.53</v>
      </c>
      <c r="JQ90" s="661">
        <v>0.12</v>
      </c>
      <c r="JR90" s="661">
        <v>0.39</v>
      </c>
      <c r="JS90" s="661">
        <v>0.39</v>
      </c>
      <c r="JT90" s="661">
        <v>0.42</v>
      </c>
      <c r="JU90" s="661">
        <v>0.27</v>
      </c>
      <c r="JV90" s="661">
        <v>0.31</v>
      </c>
      <c r="JW90" s="661">
        <v>0.36</v>
      </c>
      <c r="JX90" s="661">
        <v>0.3</v>
      </c>
      <c r="JY90" s="661">
        <v>0.32</v>
      </c>
      <c r="JZ90" s="661">
        <v>0.26</v>
      </c>
      <c r="KA90" s="661">
        <v>0.67</v>
      </c>
      <c r="KB90" s="661">
        <v>0.32</v>
      </c>
      <c r="KC90" s="661">
        <v>0.39</v>
      </c>
      <c r="KD90" s="661">
        <v>0.3</v>
      </c>
      <c r="KE90" s="661">
        <v>0.44</v>
      </c>
      <c r="KF90" s="661">
        <v>0.31</v>
      </c>
      <c r="KG90" s="661">
        <v>0.31</v>
      </c>
    </row>
    <row r="91" spans="1:293" ht="24.95" customHeight="1" x14ac:dyDescent="0.2">
      <c r="A91" s="126" t="s">
        <v>232</v>
      </c>
      <c r="B91" s="1" t="s">
        <v>221</v>
      </c>
      <c r="C91" s="2">
        <v>5</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t="s">
        <v>224</v>
      </c>
      <c r="AI91" s="12" t="s">
        <v>224</v>
      </c>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12" t="s">
        <v>224</v>
      </c>
      <c r="BN91" s="12" t="s">
        <v>224</v>
      </c>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v>47</v>
      </c>
      <c r="CT91" s="12">
        <v>7</v>
      </c>
      <c r="CU91" s="63">
        <v>0.17</v>
      </c>
      <c r="CV91" s="63">
        <v>0.75</v>
      </c>
      <c r="CW91" s="63">
        <v>0.08</v>
      </c>
      <c r="CX91" s="63">
        <v>0</v>
      </c>
      <c r="CY91" s="63">
        <v>0.5</v>
      </c>
      <c r="CZ91" s="63">
        <v>0.33</v>
      </c>
      <c r="DA91" s="63">
        <v>0.52</v>
      </c>
      <c r="DB91" s="63">
        <v>0.45</v>
      </c>
      <c r="DC91" s="63">
        <v>0.39</v>
      </c>
      <c r="DD91" s="63">
        <v>0.73</v>
      </c>
      <c r="DE91" s="63">
        <v>0.2</v>
      </c>
      <c r="DF91" s="63">
        <v>0.45</v>
      </c>
      <c r="DG91" s="63">
        <v>0.55000000000000004</v>
      </c>
      <c r="DH91" s="63">
        <v>0.44</v>
      </c>
      <c r="DI91" s="63">
        <v>0.56999999999999995</v>
      </c>
      <c r="DJ91" s="63">
        <v>0.63</v>
      </c>
      <c r="DK91" s="63">
        <v>0.32</v>
      </c>
      <c r="DL91" s="63">
        <v>0.4</v>
      </c>
      <c r="DM91" s="63">
        <v>0.56999999999999995</v>
      </c>
      <c r="DN91" s="63">
        <v>0.46</v>
      </c>
      <c r="DO91" s="63">
        <v>0.47</v>
      </c>
      <c r="DP91" s="63">
        <v>0.44</v>
      </c>
      <c r="DQ91" s="63">
        <v>0.7</v>
      </c>
      <c r="DR91" s="63">
        <v>0.35</v>
      </c>
      <c r="DS91" s="63">
        <v>0.39</v>
      </c>
      <c r="DT91" s="63">
        <v>0.66</v>
      </c>
      <c r="DU91" s="63">
        <v>0.5</v>
      </c>
      <c r="DV91" s="63">
        <v>0.71</v>
      </c>
      <c r="DW91" s="63">
        <v>0.4</v>
      </c>
      <c r="DX91" s="35"/>
      <c r="DY91" s="35"/>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652"/>
      <c r="FC91" s="652"/>
      <c r="FD91" s="652"/>
      <c r="FE91" s="652"/>
      <c r="FF91" s="652"/>
      <c r="FG91" s="652"/>
      <c r="FH91" s="652"/>
      <c r="FI91" s="652"/>
      <c r="FJ91" s="652"/>
      <c r="FK91" s="652"/>
      <c r="FL91" s="652"/>
      <c r="FM91" s="652"/>
      <c r="FN91" s="652"/>
      <c r="FO91" s="652"/>
      <c r="FP91" s="652"/>
      <c r="FQ91" s="652"/>
      <c r="FR91" s="652"/>
      <c r="FS91" s="652"/>
      <c r="FT91" s="652"/>
      <c r="FU91" s="652"/>
      <c r="FV91" s="652"/>
      <c r="FW91" s="652"/>
      <c r="FX91" s="652"/>
      <c r="FY91" s="652"/>
      <c r="FZ91" s="652"/>
      <c r="GA91" s="652"/>
      <c r="GB91" s="652"/>
      <c r="GC91" s="652"/>
      <c r="GD91" s="652"/>
      <c r="GE91" s="652"/>
      <c r="GF91" s="652"/>
      <c r="GG91" s="652"/>
      <c r="GH91" s="652"/>
      <c r="GI91" s="652"/>
      <c r="GJ91" s="655"/>
      <c r="GK91" s="655"/>
      <c r="GL91" s="655"/>
      <c r="GM91" s="655"/>
      <c r="GN91" s="655"/>
      <c r="GO91" s="655"/>
      <c r="GP91" s="655"/>
      <c r="GQ91" s="655"/>
      <c r="GR91" s="655"/>
      <c r="GS91" s="655"/>
      <c r="GT91" s="655"/>
      <c r="GU91" s="655"/>
      <c r="GV91" s="655"/>
      <c r="GW91" s="655"/>
      <c r="GX91" s="655"/>
      <c r="GY91" s="655"/>
      <c r="GZ91" s="655"/>
      <c r="HA91" s="655"/>
      <c r="HB91" s="655"/>
      <c r="HC91" s="655"/>
      <c r="HD91" s="655"/>
      <c r="HE91" s="655"/>
      <c r="HF91" s="655"/>
      <c r="HG91" s="655"/>
      <c r="HH91" s="655"/>
      <c r="HI91" s="655"/>
      <c r="HJ91" s="655"/>
      <c r="HK91" s="655"/>
      <c r="HL91" s="655"/>
      <c r="HM91" s="655"/>
      <c r="HN91" s="655"/>
      <c r="HO91" s="655"/>
      <c r="HP91" s="655"/>
      <c r="HQ91" s="655"/>
      <c r="HR91" s="657"/>
      <c r="HS91" s="657"/>
      <c r="HT91" s="657"/>
      <c r="HU91" s="657"/>
      <c r="HV91" s="657"/>
      <c r="HW91" s="657"/>
      <c r="HX91" s="657"/>
      <c r="HY91" s="657"/>
      <c r="HZ91" s="657"/>
      <c r="IA91" s="657"/>
      <c r="IB91" s="657"/>
      <c r="IC91" s="657"/>
      <c r="ID91" s="657"/>
      <c r="IE91" s="657"/>
      <c r="IF91" s="657"/>
      <c r="IG91" s="657"/>
      <c r="IH91" s="657"/>
      <c r="II91" s="657"/>
      <c r="IJ91" s="657"/>
      <c r="IK91" s="657"/>
      <c r="IL91" s="657"/>
      <c r="IM91" s="657"/>
      <c r="IN91" s="657"/>
      <c r="IO91" s="657"/>
      <c r="IP91" s="657"/>
      <c r="IQ91" s="657"/>
      <c r="IR91" s="657"/>
      <c r="IS91" s="657"/>
      <c r="IT91" s="657"/>
      <c r="IU91" s="657"/>
      <c r="IV91" s="657"/>
      <c r="IW91" s="657"/>
      <c r="IX91" s="657"/>
      <c r="IY91" s="657"/>
      <c r="IZ91" s="656"/>
      <c r="JA91" s="656"/>
      <c r="JB91" s="656"/>
      <c r="JC91" s="656"/>
      <c r="JD91" s="656"/>
      <c r="JE91" s="656"/>
      <c r="JF91" s="656"/>
      <c r="JG91" s="656"/>
      <c r="JH91" s="656"/>
      <c r="JI91" s="656"/>
      <c r="JJ91" s="656"/>
      <c r="JK91" s="656"/>
      <c r="JL91" s="656"/>
      <c r="JM91" s="656"/>
      <c r="JN91" s="656"/>
      <c r="JO91" s="656"/>
      <c r="JP91" s="656"/>
      <c r="JQ91" s="656"/>
      <c r="JR91" s="656"/>
      <c r="JS91" s="656"/>
      <c r="JT91" s="656"/>
      <c r="JU91" s="656"/>
      <c r="JV91" s="656"/>
      <c r="JW91" s="656"/>
      <c r="JX91" s="656"/>
      <c r="JY91" s="656"/>
      <c r="JZ91" s="656"/>
      <c r="KA91" s="656"/>
      <c r="KB91" s="656"/>
      <c r="KC91" s="656"/>
      <c r="KD91" s="656"/>
      <c r="KE91" s="656"/>
      <c r="KF91" s="656"/>
      <c r="KG91" s="656"/>
    </row>
    <row r="92" spans="1:293" ht="24.95" customHeight="1" x14ac:dyDescent="0.2">
      <c r="A92" s="36" t="s">
        <v>153</v>
      </c>
      <c r="B92" s="1" t="s">
        <v>221</v>
      </c>
      <c r="C92" s="2">
        <v>2</v>
      </c>
      <c r="D92" s="12">
        <v>57</v>
      </c>
      <c r="E92" s="12">
        <v>7</v>
      </c>
      <c r="F92" s="66">
        <v>0</v>
      </c>
      <c r="G92" s="66">
        <v>0.48</v>
      </c>
      <c r="H92" s="66">
        <v>0.48</v>
      </c>
      <c r="I92" s="66">
        <v>0.03</v>
      </c>
      <c r="J92" s="66">
        <v>0.34</v>
      </c>
      <c r="K92" s="66">
        <v>0.11</v>
      </c>
      <c r="L92" s="66">
        <v>0.66</v>
      </c>
      <c r="M92" s="66">
        <v>0.1</v>
      </c>
      <c r="N92" s="66">
        <v>0.25</v>
      </c>
      <c r="O92" s="66">
        <v>0.69</v>
      </c>
      <c r="P92" s="66">
        <v>0.35</v>
      </c>
      <c r="Q92" s="66">
        <v>0.33</v>
      </c>
      <c r="R92" s="66">
        <v>0.45</v>
      </c>
      <c r="S92" s="66">
        <v>0.52</v>
      </c>
      <c r="T92" s="66">
        <v>0.38</v>
      </c>
      <c r="U92" s="66">
        <v>0.49</v>
      </c>
      <c r="V92" s="66">
        <v>7.0000000000000007E-2</v>
      </c>
      <c r="W92" s="66">
        <v>0.04</v>
      </c>
      <c r="X92" s="66">
        <v>0.52</v>
      </c>
      <c r="Y92" s="66">
        <v>0.5</v>
      </c>
      <c r="Z92" s="12" t="s">
        <v>283</v>
      </c>
      <c r="AA92" s="66">
        <v>0.1</v>
      </c>
      <c r="AB92" s="66">
        <v>0.4</v>
      </c>
      <c r="AC92" s="66">
        <v>0.18</v>
      </c>
      <c r="AD92" s="66">
        <v>0.44</v>
      </c>
      <c r="AE92" s="66">
        <v>0.25</v>
      </c>
      <c r="AF92" s="66">
        <v>0.44</v>
      </c>
      <c r="AG92" s="66">
        <v>0.5</v>
      </c>
      <c r="AH92" s="12">
        <v>55</v>
      </c>
      <c r="AI92" s="12">
        <v>7</v>
      </c>
      <c r="AJ92" s="40">
        <v>0</v>
      </c>
      <c r="AK92" s="40">
        <v>0.47</v>
      </c>
      <c r="AL92" s="40">
        <v>0.5</v>
      </c>
      <c r="AM92" s="40">
        <v>0.03</v>
      </c>
      <c r="AN92" s="40">
        <v>0.33</v>
      </c>
      <c r="AO92" s="40">
        <v>0.45</v>
      </c>
      <c r="AP92" s="40">
        <v>0.61</v>
      </c>
      <c r="AQ92" s="40">
        <v>0.28000000000000003</v>
      </c>
      <c r="AR92" s="40">
        <v>0.4</v>
      </c>
      <c r="AS92" s="40">
        <v>0.49</v>
      </c>
      <c r="AT92" s="40">
        <v>0.49</v>
      </c>
      <c r="AU92" s="40">
        <v>0.53</v>
      </c>
      <c r="AV92" s="40">
        <v>0.56999999999999995</v>
      </c>
      <c r="AW92" s="40">
        <v>0.42</v>
      </c>
      <c r="AX92" s="40">
        <v>0.34</v>
      </c>
      <c r="AY92" s="40">
        <v>0.27</v>
      </c>
      <c r="AZ92" s="40">
        <v>0.18</v>
      </c>
      <c r="BA92" s="40">
        <v>0.52</v>
      </c>
      <c r="BB92" s="40">
        <v>0.46</v>
      </c>
      <c r="BC92" s="40">
        <v>0.71</v>
      </c>
      <c r="BD92" s="40">
        <v>0.35</v>
      </c>
      <c r="BE92" s="40">
        <v>0.41</v>
      </c>
      <c r="BF92" s="40">
        <v>0.62</v>
      </c>
      <c r="BG92" s="40">
        <v>0.31</v>
      </c>
      <c r="BH92" s="40">
        <v>0.36</v>
      </c>
      <c r="BI92" s="40">
        <v>0.39</v>
      </c>
      <c r="BJ92" s="40">
        <v>0.33</v>
      </c>
      <c r="BK92" s="40">
        <v>0.38</v>
      </c>
      <c r="BL92" s="40">
        <v>0.31</v>
      </c>
      <c r="BM92" s="12">
        <v>52</v>
      </c>
      <c r="BN92" s="12">
        <v>10</v>
      </c>
      <c r="BO92" s="66">
        <v>0.18</v>
      </c>
      <c r="BP92" s="66">
        <v>0.41</v>
      </c>
      <c r="BQ92" s="66">
        <v>0.41</v>
      </c>
      <c r="BR92" s="66">
        <v>0</v>
      </c>
      <c r="BS92" s="66">
        <v>0.35</v>
      </c>
      <c r="BT92" s="66">
        <v>0.6</v>
      </c>
      <c r="BU92" s="66">
        <v>0.67</v>
      </c>
      <c r="BV92" s="66">
        <v>0.31</v>
      </c>
      <c r="BW92" s="66">
        <v>0.56000000000000005</v>
      </c>
      <c r="BX92" s="66">
        <v>0.38</v>
      </c>
      <c r="BY92" s="66">
        <v>0.28000000000000003</v>
      </c>
      <c r="BZ92" s="66">
        <v>0.52</v>
      </c>
      <c r="CA92" s="66">
        <v>0.4</v>
      </c>
      <c r="CB92" s="66">
        <v>0.24</v>
      </c>
      <c r="CC92" s="66">
        <v>0.21</v>
      </c>
      <c r="CD92" s="66">
        <v>0.34</v>
      </c>
      <c r="CE92" s="66">
        <v>0.33</v>
      </c>
      <c r="CF92" s="66">
        <v>0.63</v>
      </c>
      <c r="CG92" s="66">
        <v>0.53</v>
      </c>
      <c r="CH92" s="66">
        <v>0.45</v>
      </c>
      <c r="CI92" s="66">
        <v>0.51</v>
      </c>
      <c r="CJ92" s="66">
        <v>0.43</v>
      </c>
      <c r="CK92" s="66">
        <v>0.66</v>
      </c>
      <c r="CL92" s="66">
        <v>0.37</v>
      </c>
      <c r="CM92" s="66">
        <v>0.45</v>
      </c>
      <c r="CN92" s="66">
        <v>0.41</v>
      </c>
      <c r="CO92" s="66">
        <v>0.45</v>
      </c>
      <c r="CP92" s="66">
        <v>0.33</v>
      </c>
      <c r="CQ92" s="66">
        <v>0.48</v>
      </c>
      <c r="CR92" s="66">
        <v>0.5</v>
      </c>
      <c r="CS92" s="12">
        <v>54</v>
      </c>
      <c r="CT92" s="12">
        <v>7</v>
      </c>
      <c r="CU92" s="63">
        <v>0.04</v>
      </c>
      <c r="CV92" s="63">
        <v>0.52</v>
      </c>
      <c r="CW92" s="63">
        <v>0.44</v>
      </c>
      <c r="CX92" s="63">
        <v>0</v>
      </c>
      <c r="CY92" s="63">
        <v>0.44</v>
      </c>
      <c r="CZ92" s="63">
        <v>0.18</v>
      </c>
      <c r="DA92" s="63">
        <v>0.4</v>
      </c>
      <c r="DB92" s="63">
        <v>0.21</v>
      </c>
      <c r="DC92" s="63">
        <v>0.32</v>
      </c>
      <c r="DD92" s="63">
        <v>0.57999999999999996</v>
      </c>
      <c r="DE92" s="63">
        <v>0.48</v>
      </c>
      <c r="DF92" s="63">
        <v>0.42</v>
      </c>
      <c r="DG92" s="63">
        <v>0.43</v>
      </c>
      <c r="DH92" s="63">
        <v>0.24</v>
      </c>
      <c r="DI92" s="63">
        <v>0.4</v>
      </c>
      <c r="DJ92" s="63">
        <v>0.53</v>
      </c>
      <c r="DK92" s="63">
        <v>0.31</v>
      </c>
      <c r="DL92" s="63">
        <v>0.27</v>
      </c>
      <c r="DM92" s="63">
        <v>0.37</v>
      </c>
      <c r="DN92" s="63">
        <v>0.41</v>
      </c>
      <c r="DO92" s="63">
        <v>0.38</v>
      </c>
      <c r="DP92" s="63">
        <v>0.44</v>
      </c>
      <c r="DQ92" s="63">
        <v>0.53</v>
      </c>
      <c r="DR92" s="63">
        <v>0.2</v>
      </c>
      <c r="DS92" s="63">
        <v>0.41</v>
      </c>
      <c r="DT92" s="63">
        <v>0.66</v>
      </c>
      <c r="DU92" s="63">
        <v>0.27</v>
      </c>
      <c r="DV92" s="63">
        <v>0.47</v>
      </c>
      <c r="DW92" s="63">
        <v>0.19</v>
      </c>
      <c r="DX92" s="35">
        <v>53</v>
      </c>
      <c r="DY92" s="35">
        <v>8</v>
      </c>
      <c r="DZ92" s="40">
        <v>0.09</v>
      </c>
      <c r="EA92" s="40">
        <v>0.51</v>
      </c>
      <c r="EB92" s="40">
        <v>0.4</v>
      </c>
      <c r="EC92" s="40">
        <v>0</v>
      </c>
      <c r="ED92" s="40">
        <v>0.53</v>
      </c>
      <c r="EE92" s="40">
        <v>0.41</v>
      </c>
      <c r="EF92" s="40">
        <v>0.41</v>
      </c>
      <c r="EG92" s="40">
        <v>0.44</v>
      </c>
      <c r="EH92" s="40">
        <v>0.31</v>
      </c>
      <c r="EI92" s="40">
        <v>0.42</v>
      </c>
      <c r="EJ92" s="40">
        <v>0.53</v>
      </c>
      <c r="EK92" s="40">
        <v>0.18</v>
      </c>
      <c r="EL92" s="40">
        <v>0.36</v>
      </c>
      <c r="EM92" s="40">
        <v>0.56000000000000005</v>
      </c>
      <c r="EN92" s="40">
        <v>0.31</v>
      </c>
      <c r="EO92" s="40">
        <v>0.53</v>
      </c>
      <c r="EP92" s="40">
        <v>0.2</v>
      </c>
      <c r="EQ92" s="40">
        <v>0.08</v>
      </c>
      <c r="ER92" s="40">
        <v>0.6</v>
      </c>
      <c r="ES92" s="40">
        <v>0.49</v>
      </c>
      <c r="ET92" s="40">
        <v>0.27</v>
      </c>
      <c r="EU92" s="40">
        <v>0.51</v>
      </c>
      <c r="EV92" s="40">
        <v>0.35</v>
      </c>
      <c r="EW92" s="40">
        <v>0.15</v>
      </c>
      <c r="EX92" s="40">
        <v>0.67</v>
      </c>
      <c r="EY92" s="40">
        <v>0.49</v>
      </c>
      <c r="EZ92" s="40">
        <v>0.17</v>
      </c>
      <c r="FA92" s="40">
        <v>0.64</v>
      </c>
      <c r="FB92" s="653">
        <v>50</v>
      </c>
      <c r="FC92" s="653" t="s">
        <v>874</v>
      </c>
      <c r="FD92" s="653">
        <v>8</v>
      </c>
      <c r="FE92" s="653" t="s">
        <v>874</v>
      </c>
      <c r="FF92" s="654">
        <v>0.08</v>
      </c>
      <c r="FG92" s="654">
        <v>0.68</v>
      </c>
      <c r="FH92" s="654">
        <v>0.23</v>
      </c>
      <c r="FI92" s="654">
        <v>0</v>
      </c>
      <c r="FJ92" s="654">
        <v>0.46</v>
      </c>
      <c r="FK92" s="654">
        <v>0.7</v>
      </c>
      <c r="FL92" s="654">
        <v>0.46</v>
      </c>
      <c r="FM92" s="654">
        <v>0.37</v>
      </c>
      <c r="FN92" s="654">
        <v>0.27</v>
      </c>
      <c r="FO92" s="654">
        <v>0.25</v>
      </c>
      <c r="FP92" s="654">
        <v>0.45</v>
      </c>
      <c r="FQ92" s="654">
        <v>0.47</v>
      </c>
      <c r="FR92" s="654">
        <v>0.7</v>
      </c>
      <c r="FS92" s="654">
        <v>0.56000000000000005</v>
      </c>
      <c r="FT92" s="654">
        <v>0.4</v>
      </c>
      <c r="FU92" s="654">
        <v>0.33</v>
      </c>
      <c r="FV92" s="654">
        <v>0.56000000000000005</v>
      </c>
      <c r="FW92" s="654">
        <v>0.57999999999999996</v>
      </c>
      <c r="FX92" s="654">
        <v>0.52</v>
      </c>
      <c r="FY92" s="654">
        <v>0.41</v>
      </c>
      <c r="FZ92" s="654">
        <v>0.41</v>
      </c>
      <c r="GA92" s="654">
        <v>0.52</v>
      </c>
      <c r="GB92" s="654">
        <v>0.56000000000000005</v>
      </c>
      <c r="GC92" s="654">
        <v>0.44</v>
      </c>
      <c r="GD92" s="654">
        <v>0.59</v>
      </c>
      <c r="GE92" s="654">
        <v>0.52</v>
      </c>
      <c r="GF92" s="654">
        <v>0.49</v>
      </c>
      <c r="GG92" s="654">
        <v>0.41</v>
      </c>
      <c r="GH92" s="654">
        <v>0.54</v>
      </c>
      <c r="GI92" s="654">
        <v>0.19</v>
      </c>
      <c r="GJ92" s="74">
        <v>52</v>
      </c>
      <c r="GK92" s="74" t="s">
        <v>874</v>
      </c>
      <c r="GL92" s="74">
        <v>8</v>
      </c>
      <c r="GM92" s="74" t="s">
        <v>874</v>
      </c>
      <c r="GN92" s="96">
        <v>0.08</v>
      </c>
      <c r="GO92" s="96">
        <v>0.57999999999999996</v>
      </c>
      <c r="GP92" s="96">
        <v>0.31</v>
      </c>
      <c r="GQ92" s="96">
        <v>0.04</v>
      </c>
      <c r="GR92" s="96">
        <v>0.42</v>
      </c>
      <c r="GS92" s="96">
        <v>0.53</v>
      </c>
      <c r="GT92" s="96">
        <v>0.56999999999999995</v>
      </c>
      <c r="GU92" s="96">
        <v>0.28000000000000003</v>
      </c>
      <c r="GV92" s="96">
        <v>0.56000000000000005</v>
      </c>
      <c r="GW92" s="96">
        <v>0.4</v>
      </c>
      <c r="GX92" s="96">
        <v>0.41</v>
      </c>
      <c r="GY92" s="74" t="s">
        <v>283</v>
      </c>
      <c r="GZ92" s="96">
        <v>0.26</v>
      </c>
      <c r="HA92" s="96">
        <v>0.59</v>
      </c>
      <c r="HB92" s="96">
        <v>0.47</v>
      </c>
      <c r="HC92" s="96">
        <v>0.49</v>
      </c>
      <c r="HD92" s="96">
        <v>0.53</v>
      </c>
      <c r="HE92" s="96">
        <v>0.34</v>
      </c>
      <c r="HF92" s="96">
        <v>0.49</v>
      </c>
      <c r="HG92" s="96">
        <v>0.65</v>
      </c>
      <c r="HH92" s="96">
        <v>0.36</v>
      </c>
      <c r="HI92" s="96">
        <v>0.61</v>
      </c>
      <c r="HJ92" s="96">
        <v>0.54</v>
      </c>
      <c r="HK92" s="96">
        <v>0.46</v>
      </c>
      <c r="HL92" s="96">
        <v>0.39</v>
      </c>
      <c r="HM92" s="96">
        <v>0.56000000000000005</v>
      </c>
      <c r="HN92" s="96">
        <v>0.4</v>
      </c>
      <c r="HO92" s="96">
        <v>0.42</v>
      </c>
      <c r="HP92" s="74" t="s">
        <v>283</v>
      </c>
      <c r="HQ92" s="96">
        <v>0.33</v>
      </c>
      <c r="HR92" s="658">
        <v>52</v>
      </c>
      <c r="HS92" s="658" t="s">
        <v>874</v>
      </c>
      <c r="HT92" s="658">
        <v>7</v>
      </c>
      <c r="HU92" s="658" t="s">
        <v>874</v>
      </c>
      <c r="HV92" s="659">
        <v>0.03</v>
      </c>
      <c r="HW92" s="659">
        <v>0.67</v>
      </c>
      <c r="HX92" s="659">
        <v>0.3</v>
      </c>
      <c r="HY92" s="659">
        <v>0</v>
      </c>
      <c r="HZ92" s="659">
        <v>0.36</v>
      </c>
      <c r="IA92" s="659">
        <v>0.6</v>
      </c>
      <c r="IB92" s="659">
        <v>0.25</v>
      </c>
      <c r="IC92" s="659">
        <v>0.38</v>
      </c>
      <c r="ID92" s="659">
        <v>0.73</v>
      </c>
      <c r="IE92" s="659">
        <v>0.28999999999999998</v>
      </c>
      <c r="IF92" s="659">
        <v>0.35</v>
      </c>
      <c r="IG92" s="659">
        <v>0.56999999999999995</v>
      </c>
      <c r="IH92" s="659">
        <v>0.41</v>
      </c>
      <c r="II92" s="659">
        <v>0.37</v>
      </c>
      <c r="IJ92" s="659">
        <v>0.24</v>
      </c>
      <c r="IK92" s="659">
        <v>0.57999999999999996</v>
      </c>
      <c r="IL92" s="659">
        <v>0.27</v>
      </c>
      <c r="IM92" s="659">
        <v>0.51</v>
      </c>
      <c r="IN92" s="659">
        <v>0.42</v>
      </c>
      <c r="IO92" s="659">
        <v>0.63</v>
      </c>
      <c r="IP92" s="659">
        <v>0.46</v>
      </c>
      <c r="IQ92" s="659">
        <v>0.66</v>
      </c>
      <c r="IR92" s="659">
        <v>0.57999999999999996</v>
      </c>
      <c r="IS92" s="659">
        <v>0.53</v>
      </c>
      <c r="IT92" s="659">
        <v>0.41</v>
      </c>
      <c r="IU92" s="658" t="s">
        <v>283</v>
      </c>
      <c r="IV92" s="659">
        <v>0.56000000000000005</v>
      </c>
      <c r="IW92" s="659">
        <v>0.43</v>
      </c>
      <c r="IX92" s="659">
        <v>0.46</v>
      </c>
      <c r="IY92" s="659">
        <v>0.5</v>
      </c>
      <c r="IZ92" s="74">
        <v>51</v>
      </c>
      <c r="JA92" s="74" t="s">
        <v>874</v>
      </c>
      <c r="JB92" s="74">
        <v>8</v>
      </c>
      <c r="JC92" s="74" t="s">
        <v>874</v>
      </c>
      <c r="JD92" s="96">
        <v>0.1</v>
      </c>
      <c r="JE92" s="96">
        <v>0.67</v>
      </c>
      <c r="JF92" s="96">
        <v>0.23</v>
      </c>
      <c r="JG92" s="96">
        <v>0</v>
      </c>
      <c r="JH92" s="96">
        <v>0.43</v>
      </c>
      <c r="JI92" s="96">
        <v>0.53</v>
      </c>
      <c r="JJ92" s="96">
        <v>0.48</v>
      </c>
      <c r="JK92" s="96">
        <v>0.56000000000000005</v>
      </c>
      <c r="JL92" s="96">
        <v>0.43</v>
      </c>
      <c r="JM92" s="96">
        <v>0.53</v>
      </c>
      <c r="JN92" s="96">
        <v>0.36</v>
      </c>
      <c r="JO92" s="96">
        <v>0.48</v>
      </c>
      <c r="JP92" s="96">
        <v>0.61</v>
      </c>
      <c r="JQ92" s="96">
        <v>0.25</v>
      </c>
      <c r="JR92" s="96">
        <v>0.72</v>
      </c>
      <c r="JS92" s="96">
        <v>0.44</v>
      </c>
      <c r="JT92" s="96">
        <v>0.51</v>
      </c>
      <c r="JU92" s="96">
        <v>0.49</v>
      </c>
      <c r="JV92" s="96">
        <v>0.48</v>
      </c>
      <c r="JW92" s="96">
        <v>0.46</v>
      </c>
      <c r="JX92" s="96">
        <v>0.4</v>
      </c>
      <c r="JY92" s="96">
        <v>0.5</v>
      </c>
      <c r="JZ92" s="96">
        <v>0.37</v>
      </c>
      <c r="KA92" s="96">
        <v>0.47</v>
      </c>
      <c r="KB92" s="96">
        <v>0.36</v>
      </c>
      <c r="KC92" s="96">
        <v>0.66</v>
      </c>
      <c r="KD92" s="96">
        <v>0.33</v>
      </c>
      <c r="KE92" s="96">
        <v>0.48</v>
      </c>
      <c r="KF92" s="96">
        <v>0.4</v>
      </c>
      <c r="KG92" s="96">
        <v>0.41</v>
      </c>
    </row>
    <row r="93" spans="1:293" ht="24.95" customHeight="1" x14ac:dyDescent="0.2">
      <c r="A93" s="126" t="s">
        <v>136</v>
      </c>
      <c r="B93" s="1" t="s">
        <v>221</v>
      </c>
      <c r="C93" s="2">
        <v>4</v>
      </c>
      <c r="D93" s="12">
        <v>50</v>
      </c>
      <c r="E93" s="12">
        <v>6</v>
      </c>
      <c r="F93" s="66">
        <v>0.12</v>
      </c>
      <c r="G93" s="66">
        <v>0.73</v>
      </c>
      <c r="H93" s="66">
        <v>0.15</v>
      </c>
      <c r="I93" s="66">
        <v>0</v>
      </c>
      <c r="J93" s="66">
        <v>0.54</v>
      </c>
      <c r="K93" s="66">
        <v>0.42</v>
      </c>
      <c r="L93" s="66">
        <v>0.87</v>
      </c>
      <c r="M93" s="66">
        <v>0.19</v>
      </c>
      <c r="N93" s="66">
        <v>0.36</v>
      </c>
      <c r="O93" s="66">
        <v>0.71</v>
      </c>
      <c r="P93" s="66">
        <v>0.51</v>
      </c>
      <c r="Q93" s="66">
        <v>0.43</v>
      </c>
      <c r="R93" s="66">
        <v>0.59</v>
      </c>
      <c r="S93" s="66">
        <v>0.67</v>
      </c>
      <c r="T93" s="66">
        <v>0.65</v>
      </c>
      <c r="U93" s="66">
        <v>0.73</v>
      </c>
      <c r="V93" s="66">
        <v>0.15</v>
      </c>
      <c r="W93" s="66">
        <v>0.15</v>
      </c>
      <c r="X93" s="66">
        <v>0.61</v>
      </c>
      <c r="Y93" s="66">
        <v>0.55000000000000004</v>
      </c>
      <c r="Z93" s="12" t="s">
        <v>283</v>
      </c>
      <c r="AA93" s="66">
        <v>0.15</v>
      </c>
      <c r="AB93" s="66">
        <v>0.51</v>
      </c>
      <c r="AC93" s="66">
        <v>0.28000000000000003</v>
      </c>
      <c r="AD93" s="66">
        <v>0.4</v>
      </c>
      <c r="AE93" s="66">
        <v>0.42</v>
      </c>
      <c r="AF93" s="66">
        <v>0.56000000000000005</v>
      </c>
      <c r="AG93" s="66">
        <v>0.68</v>
      </c>
      <c r="AH93" s="12">
        <v>53</v>
      </c>
      <c r="AI93" s="12">
        <v>9</v>
      </c>
      <c r="AJ93" s="40">
        <v>0.08</v>
      </c>
      <c r="AK93" s="40">
        <v>0.56000000000000005</v>
      </c>
      <c r="AL93" s="40">
        <v>0.33</v>
      </c>
      <c r="AM93" s="40">
        <v>0.03</v>
      </c>
      <c r="AN93" s="40">
        <v>0.26</v>
      </c>
      <c r="AO93" s="40">
        <v>0.45</v>
      </c>
      <c r="AP93" s="40">
        <v>0.56000000000000005</v>
      </c>
      <c r="AQ93" s="40">
        <v>0.39</v>
      </c>
      <c r="AR93" s="40">
        <v>0.48</v>
      </c>
      <c r="AS93" s="40">
        <v>0.45</v>
      </c>
      <c r="AT93" s="40">
        <v>0.42</v>
      </c>
      <c r="AU93" s="40">
        <v>0.57999999999999996</v>
      </c>
      <c r="AV93" s="40">
        <v>0.64</v>
      </c>
      <c r="AW93" s="40">
        <v>0.38</v>
      </c>
      <c r="AX93" s="40">
        <v>0.61</v>
      </c>
      <c r="AY93" s="40">
        <v>0.31</v>
      </c>
      <c r="AZ93" s="40">
        <v>0.17</v>
      </c>
      <c r="BA93" s="40">
        <v>0.48</v>
      </c>
      <c r="BB93" s="40">
        <v>0.72</v>
      </c>
      <c r="BC93" s="40">
        <v>0.62</v>
      </c>
      <c r="BD93" s="40">
        <v>0.38</v>
      </c>
      <c r="BE93" s="40">
        <v>0.79</v>
      </c>
      <c r="BF93" s="40">
        <v>0.61</v>
      </c>
      <c r="BG93" s="40">
        <v>0.5</v>
      </c>
      <c r="BH93" s="40">
        <v>0.43</v>
      </c>
      <c r="BI93" s="40">
        <v>0.4</v>
      </c>
      <c r="BJ93" s="40">
        <v>0.4</v>
      </c>
      <c r="BK93" s="40">
        <v>0.34</v>
      </c>
      <c r="BL93" s="40">
        <v>0.26</v>
      </c>
      <c r="BM93" s="12">
        <v>50</v>
      </c>
      <c r="BN93" s="12">
        <v>8</v>
      </c>
      <c r="BO93" s="66">
        <v>0.14000000000000001</v>
      </c>
      <c r="BP93" s="66">
        <v>0.61</v>
      </c>
      <c r="BQ93" s="66">
        <v>0.25</v>
      </c>
      <c r="BR93" s="66">
        <v>0</v>
      </c>
      <c r="BS93" s="66">
        <v>0.4</v>
      </c>
      <c r="BT93" s="66">
        <v>0.44</v>
      </c>
      <c r="BU93" s="66">
        <v>0.61</v>
      </c>
      <c r="BV93" s="66">
        <v>0.25</v>
      </c>
      <c r="BW93" s="66">
        <v>0.57999999999999996</v>
      </c>
      <c r="BX93" s="66">
        <v>0.4</v>
      </c>
      <c r="BY93" s="66">
        <v>0.43</v>
      </c>
      <c r="BZ93" s="66">
        <v>0.52</v>
      </c>
      <c r="CA93" s="66">
        <v>0.47</v>
      </c>
      <c r="CB93" s="66">
        <v>0.37</v>
      </c>
      <c r="CC93" s="66">
        <v>0.17</v>
      </c>
      <c r="CD93" s="66">
        <v>0.49</v>
      </c>
      <c r="CE93" s="66">
        <v>0.32</v>
      </c>
      <c r="CF93" s="66">
        <v>0.63</v>
      </c>
      <c r="CG93" s="66">
        <v>0.63</v>
      </c>
      <c r="CH93" s="66">
        <v>0.43</v>
      </c>
      <c r="CI93" s="66">
        <v>0.48</v>
      </c>
      <c r="CJ93" s="66">
        <v>0.34</v>
      </c>
      <c r="CK93" s="66">
        <v>0.74</v>
      </c>
      <c r="CL93" s="66">
        <v>0.38</v>
      </c>
      <c r="CM93" s="66">
        <v>0.47</v>
      </c>
      <c r="CN93" s="66">
        <v>0.56000000000000005</v>
      </c>
      <c r="CO93" s="66">
        <v>0.53</v>
      </c>
      <c r="CP93" s="66">
        <v>0.34</v>
      </c>
      <c r="CQ93" s="66">
        <v>0.6</v>
      </c>
      <c r="CR93" s="66">
        <v>0.51</v>
      </c>
      <c r="CS93" s="12">
        <v>48</v>
      </c>
      <c r="CT93" s="12">
        <v>7</v>
      </c>
      <c r="CU93" s="63">
        <v>0.12</v>
      </c>
      <c r="CV93" s="63">
        <v>0.74</v>
      </c>
      <c r="CW93" s="63">
        <v>0.12</v>
      </c>
      <c r="CX93" s="63">
        <v>0.02</v>
      </c>
      <c r="CY93" s="63">
        <v>0.44</v>
      </c>
      <c r="CZ93" s="63">
        <v>0.28999999999999998</v>
      </c>
      <c r="DA93" s="63">
        <v>0.62</v>
      </c>
      <c r="DB93" s="63">
        <v>0.41</v>
      </c>
      <c r="DC93" s="63">
        <v>0.42</v>
      </c>
      <c r="DD93" s="63">
        <v>0.62</v>
      </c>
      <c r="DE93" s="63">
        <v>0.45</v>
      </c>
      <c r="DF93" s="63">
        <v>0.57999999999999996</v>
      </c>
      <c r="DG93" s="63">
        <v>0.5</v>
      </c>
      <c r="DH93" s="63">
        <v>0.31</v>
      </c>
      <c r="DI93" s="63">
        <v>0.55000000000000004</v>
      </c>
      <c r="DJ93" s="63">
        <v>0.65</v>
      </c>
      <c r="DK93" s="63">
        <v>0.44</v>
      </c>
      <c r="DL93" s="63">
        <v>0.48</v>
      </c>
      <c r="DM93" s="63">
        <v>0.54</v>
      </c>
      <c r="DN93" s="63">
        <v>0.55000000000000004</v>
      </c>
      <c r="DO93" s="63">
        <v>0.52</v>
      </c>
      <c r="DP93" s="63">
        <v>0.49</v>
      </c>
      <c r="DQ93" s="63">
        <v>0.6</v>
      </c>
      <c r="DR93" s="63">
        <v>0.24</v>
      </c>
      <c r="DS93" s="63">
        <v>0.47</v>
      </c>
      <c r="DT93" s="63">
        <v>0.72</v>
      </c>
      <c r="DU93" s="63">
        <v>0.5</v>
      </c>
      <c r="DV93" s="63">
        <v>0.63</v>
      </c>
      <c r="DW93" s="63">
        <v>0.33</v>
      </c>
      <c r="DX93" s="35">
        <v>52</v>
      </c>
      <c r="DY93" s="35">
        <v>9</v>
      </c>
      <c r="DZ93" s="40">
        <v>0.15</v>
      </c>
      <c r="EA93" s="40">
        <v>0.44</v>
      </c>
      <c r="EB93" s="40">
        <v>0.41</v>
      </c>
      <c r="EC93" s="40">
        <v>0</v>
      </c>
      <c r="ED93" s="40">
        <v>0.56000000000000005</v>
      </c>
      <c r="EE93" s="40">
        <v>0.44</v>
      </c>
      <c r="EF93" s="40">
        <v>0.41</v>
      </c>
      <c r="EG93" s="40">
        <v>0.13</v>
      </c>
      <c r="EH93" s="40">
        <v>0.33</v>
      </c>
      <c r="EI93" s="40">
        <v>0.41</v>
      </c>
      <c r="EJ93" s="40">
        <v>0.52</v>
      </c>
      <c r="EK93" s="40">
        <v>0.26</v>
      </c>
      <c r="EL93" s="40">
        <v>0.46</v>
      </c>
      <c r="EM93" s="40">
        <v>0.67</v>
      </c>
      <c r="EN93" s="40">
        <v>0.39</v>
      </c>
      <c r="EO93" s="40">
        <v>0.47</v>
      </c>
      <c r="EP93" s="40">
        <v>0.31</v>
      </c>
      <c r="EQ93" s="40">
        <v>0.3</v>
      </c>
      <c r="ER93" s="40">
        <v>0.56999999999999995</v>
      </c>
      <c r="ES93" s="40">
        <v>0.31</v>
      </c>
      <c r="ET93" s="40">
        <v>0.28999999999999998</v>
      </c>
      <c r="EU93" s="40">
        <v>0.71</v>
      </c>
      <c r="EV93" s="40">
        <v>0.06</v>
      </c>
      <c r="EW93" s="40">
        <v>0.26</v>
      </c>
      <c r="EX93" s="40">
        <v>0.5</v>
      </c>
      <c r="EY93" s="40">
        <v>0.61</v>
      </c>
      <c r="EZ93" s="40">
        <v>0.21</v>
      </c>
      <c r="FA93" s="40">
        <v>0.6</v>
      </c>
      <c r="FB93" s="247">
        <v>51</v>
      </c>
      <c r="FC93" s="247" t="s">
        <v>874</v>
      </c>
      <c r="FD93" s="247">
        <v>9</v>
      </c>
      <c r="FE93" s="247" t="s">
        <v>874</v>
      </c>
      <c r="FF93" s="264">
        <v>0.16</v>
      </c>
      <c r="FG93" s="264">
        <v>0.56000000000000005</v>
      </c>
      <c r="FH93" s="264">
        <v>0.27</v>
      </c>
      <c r="FI93" s="264">
        <v>0.02</v>
      </c>
      <c r="FJ93" s="264">
        <v>0.35</v>
      </c>
      <c r="FK93" s="264">
        <v>0.65</v>
      </c>
      <c r="FL93" s="264">
        <v>0.43</v>
      </c>
      <c r="FM93" s="264">
        <v>0.5</v>
      </c>
      <c r="FN93" s="264">
        <v>0.38</v>
      </c>
      <c r="FO93" s="264">
        <v>0.38</v>
      </c>
      <c r="FP93" s="264">
        <v>0.28000000000000003</v>
      </c>
      <c r="FQ93" s="264">
        <v>0.38</v>
      </c>
      <c r="FR93" s="264">
        <v>0.6</v>
      </c>
      <c r="FS93" s="264">
        <v>0.5</v>
      </c>
      <c r="FT93" s="264">
        <v>0.44</v>
      </c>
      <c r="FU93" s="264">
        <v>0.52</v>
      </c>
      <c r="FV93" s="264">
        <v>0.66</v>
      </c>
      <c r="FW93" s="264">
        <v>0.54</v>
      </c>
      <c r="FX93" s="264">
        <v>0.44</v>
      </c>
      <c r="FY93" s="264">
        <v>0.4</v>
      </c>
      <c r="FZ93" s="264">
        <v>0.36</v>
      </c>
      <c r="GA93" s="264">
        <v>0.55000000000000004</v>
      </c>
      <c r="GB93" s="264">
        <v>0.64</v>
      </c>
      <c r="GC93" s="264">
        <v>0.34</v>
      </c>
      <c r="GD93" s="264">
        <v>0.59</v>
      </c>
      <c r="GE93" s="264">
        <v>0.57999999999999996</v>
      </c>
      <c r="GF93" s="264">
        <v>0.39</v>
      </c>
      <c r="GG93" s="264">
        <v>0.45</v>
      </c>
      <c r="GH93" s="264">
        <v>0.46</v>
      </c>
      <c r="GI93" s="264">
        <v>0.36</v>
      </c>
      <c r="GJ93" s="311">
        <v>53</v>
      </c>
      <c r="GK93" s="311" t="s">
        <v>874</v>
      </c>
      <c r="GL93" s="311">
        <v>10</v>
      </c>
      <c r="GM93" s="311" t="s">
        <v>874</v>
      </c>
      <c r="GN93" s="329">
        <v>0.13</v>
      </c>
      <c r="GO93" s="329">
        <v>0.48</v>
      </c>
      <c r="GP93" s="329">
        <v>0.35</v>
      </c>
      <c r="GQ93" s="329">
        <v>0.04</v>
      </c>
      <c r="GR93" s="329">
        <v>0.44</v>
      </c>
      <c r="GS93" s="329">
        <v>0.45</v>
      </c>
      <c r="GT93" s="329">
        <v>0.62</v>
      </c>
      <c r="GU93" s="329">
        <v>0.18</v>
      </c>
      <c r="GV93" s="329">
        <v>0.54</v>
      </c>
      <c r="GW93" s="329">
        <v>0.42</v>
      </c>
      <c r="GX93" s="329">
        <v>0.43</v>
      </c>
      <c r="GY93" s="311" t="s">
        <v>283</v>
      </c>
      <c r="GZ93" s="329">
        <v>0.24</v>
      </c>
      <c r="HA93" s="329">
        <v>0.7</v>
      </c>
      <c r="HB93" s="329">
        <v>0.42</v>
      </c>
      <c r="HC93" s="329">
        <v>0.51</v>
      </c>
      <c r="HD93" s="329">
        <v>0.5</v>
      </c>
      <c r="HE93" s="329">
        <v>0.47</v>
      </c>
      <c r="HF93" s="329">
        <v>0.46</v>
      </c>
      <c r="HG93" s="329">
        <v>0.62</v>
      </c>
      <c r="HH93" s="329">
        <v>0.33</v>
      </c>
      <c r="HI93" s="329">
        <v>0.46</v>
      </c>
      <c r="HJ93" s="329">
        <v>0.61</v>
      </c>
      <c r="HK93" s="329">
        <v>0.51</v>
      </c>
      <c r="HL93" s="329">
        <v>0.38</v>
      </c>
      <c r="HM93" s="329">
        <v>0.45</v>
      </c>
      <c r="HN93" s="329">
        <v>0.38</v>
      </c>
      <c r="HO93" s="329">
        <v>0.38</v>
      </c>
      <c r="HP93" s="311" t="s">
        <v>283</v>
      </c>
      <c r="HQ93" s="329">
        <v>0.34</v>
      </c>
      <c r="HR93" s="426">
        <v>49</v>
      </c>
      <c r="HS93" s="426" t="s">
        <v>874</v>
      </c>
      <c r="HT93" s="426">
        <v>8</v>
      </c>
      <c r="HU93" s="426" t="s">
        <v>874</v>
      </c>
      <c r="HV93" s="430">
        <v>0.16</v>
      </c>
      <c r="HW93" s="430">
        <v>0.63</v>
      </c>
      <c r="HX93" s="430">
        <v>0.21</v>
      </c>
      <c r="HY93" s="430">
        <v>0</v>
      </c>
      <c r="HZ93" s="430">
        <v>0.44</v>
      </c>
      <c r="IA93" s="430">
        <v>0.56000000000000005</v>
      </c>
      <c r="IB93" s="430">
        <v>0.28999999999999998</v>
      </c>
      <c r="IC93" s="430">
        <v>0.53</v>
      </c>
      <c r="ID93" s="430">
        <v>0.64</v>
      </c>
      <c r="IE93" s="430">
        <v>0.42</v>
      </c>
      <c r="IF93" s="430">
        <v>0.49</v>
      </c>
      <c r="IG93" s="430">
        <v>0.65</v>
      </c>
      <c r="IH93" s="430">
        <v>0.56999999999999995</v>
      </c>
      <c r="II93" s="430">
        <v>0.33</v>
      </c>
      <c r="IJ93" s="430">
        <v>0.38</v>
      </c>
      <c r="IK93" s="430">
        <v>0.61</v>
      </c>
      <c r="IL93" s="430">
        <v>0.39</v>
      </c>
      <c r="IM93" s="430">
        <v>0.56999999999999995</v>
      </c>
      <c r="IN93" s="430">
        <v>0.49</v>
      </c>
      <c r="IO93" s="430">
        <v>0.62</v>
      </c>
      <c r="IP93" s="430">
        <v>0.44</v>
      </c>
      <c r="IQ93" s="430">
        <v>0.63</v>
      </c>
      <c r="IR93" s="430">
        <v>0.64</v>
      </c>
      <c r="IS93" s="430">
        <v>0.59</v>
      </c>
      <c r="IT93" s="430">
        <v>0.45</v>
      </c>
      <c r="IU93" s="426" t="s">
        <v>283</v>
      </c>
      <c r="IV93" s="430">
        <v>0.66</v>
      </c>
      <c r="IW93" s="430">
        <v>0.44</v>
      </c>
      <c r="IX93" s="430">
        <v>0.5</v>
      </c>
      <c r="IY93" s="430">
        <v>0.59</v>
      </c>
      <c r="IZ93" s="466">
        <v>51</v>
      </c>
      <c r="JA93" s="466" t="s">
        <v>874</v>
      </c>
      <c r="JB93" s="466">
        <v>10</v>
      </c>
      <c r="JC93" s="466" t="s">
        <v>874</v>
      </c>
      <c r="JD93" s="480">
        <v>0.14000000000000001</v>
      </c>
      <c r="JE93" s="480">
        <v>0.56000000000000005</v>
      </c>
      <c r="JF93" s="480">
        <v>0.28999999999999998</v>
      </c>
      <c r="JG93" s="480">
        <v>0.01</v>
      </c>
      <c r="JH93" s="480">
        <v>0.5</v>
      </c>
      <c r="JI93" s="480">
        <v>0.49</v>
      </c>
      <c r="JJ93" s="480">
        <v>0.44</v>
      </c>
      <c r="JK93" s="480">
        <v>0.46</v>
      </c>
      <c r="JL93" s="480">
        <v>0.47</v>
      </c>
      <c r="JM93" s="480">
        <v>0.49</v>
      </c>
      <c r="JN93" s="480">
        <v>0.47</v>
      </c>
      <c r="JO93" s="480">
        <v>0.45</v>
      </c>
      <c r="JP93" s="480">
        <v>0.51</v>
      </c>
      <c r="JQ93" s="480">
        <v>0.25</v>
      </c>
      <c r="JR93" s="480">
        <v>0.56000000000000005</v>
      </c>
      <c r="JS93" s="480">
        <v>0.62</v>
      </c>
      <c r="JT93" s="480">
        <v>0.41</v>
      </c>
      <c r="JU93" s="480">
        <v>0.56999999999999995</v>
      </c>
      <c r="JV93" s="480">
        <v>0.43</v>
      </c>
      <c r="JW93" s="480">
        <v>0.43</v>
      </c>
      <c r="JX93" s="480">
        <v>0.46</v>
      </c>
      <c r="JY93" s="480">
        <v>0.5</v>
      </c>
      <c r="JZ93" s="480">
        <v>0.43</v>
      </c>
      <c r="KA93" s="480">
        <v>0.64</v>
      </c>
      <c r="KB93" s="480">
        <v>0.47</v>
      </c>
      <c r="KC93" s="480">
        <v>0.71</v>
      </c>
      <c r="KD93" s="480">
        <v>0.34</v>
      </c>
      <c r="KE93" s="480">
        <v>0.47</v>
      </c>
      <c r="KF93" s="480">
        <v>0.47</v>
      </c>
      <c r="KG93" s="480">
        <v>0.59</v>
      </c>
    </row>
    <row r="94" spans="1:293" ht="24.95" customHeight="1" x14ac:dyDescent="0.2">
      <c r="A94" s="126" t="s">
        <v>97</v>
      </c>
      <c r="B94" s="1" t="s">
        <v>221</v>
      </c>
      <c r="C94" s="2">
        <v>2</v>
      </c>
      <c r="D94" s="12">
        <v>61</v>
      </c>
      <c r="E94" s="12">
        <v>7</v>
      </c>
      <c r="F94" s="66">
        <v>0</v>
      </c>
      <c r="G94" s="66">
        <v>0.28999999999999998</v>
      </c>
      <c r="H94" s="66">
        <v>0.71</v>
      </c>
      <c r="I94" s="66">
        <v>0</v>
      </c>
      <c r="J94" s="66">
        <v>0.13</v>
      </c>
      <c r="K94" s="66">
        <v>0.13</v>
      </c>
      <c r="L94" s="66">
        <v>0.75</v>
      </c>
      <c r="M94" s="66">
        <v>0.13</v>
      </c>
      <c r="N94" s="66">
        <v>0.2</v>
      </c>
      <c r="O94" s="66">
        <v>0.6</v>
      </c>
      <c r="P94" s="66">
        <v>0.31</v>
      </c>
      <c r="Q94" s="66">
        <v>0.22</v>
      </c>
      <c r="R94" s="66">
        <v>0.38</v>
      </c>
      <c r="S94" s="66">
        <v>0.44</v>
      </c>
      <c r="T94" s="66">
        <v>0.13</v>
      </c>
      <c r="U94" s="66">
        <v>0</v>
      </c>
      <c r="V94" s="66">
        <v>0</v>
      </c>
      <c r="W94" s="66">
        <v>0.13</v>
      </c>
      <c r="X94" s="66">
        <v>0.34</v>
      </c>
      <c r="Y94" s="66">
        <v>0.25</v>
      </c>
      <c r="Z94" s="12" t="s">
        <v>283</v>
      </c>
      <c r="AA94" s="66">
        <v>0</v>
      </c>
      <c r="AB94" s="66">
        <v>0.27</v>
      </c>
      <c r="AC94" s="66">
        <v>0.19</v>
      </c>
      <c r="AD94" s="66">
        <v>0.33</v>
      </c>
      <c r="AE94" s="66">
        <v>0.69</v>
      </c>
      <c r="AF94" s="66">
        <v>0.25</v>
      </c>
      <c r="AG94" s="66">
        <v>0.28999999999999998</v>
      </c>
      <c r="AH94" s="12">
        <v>44</v>
      </c>
      <c r="AI94" s="12">
        <v>7</v>
      </c>
      <c r="AJ94" s="40">
        <v>0.22</v>
      </c>
      <c r="AK94" s="40">
        <v>0.67</v>
      </c>
      <c r="AL94" s="40">
        <v>0.11</v>
      </c>
      <c r="AM94" s="40">
        <v>0</v>
      </c>
      <c r="AN94" s="40">
        <v>0.56000000000000005</v>
      </c>
      <c r="AO94" s="40">
        <v>0.59</v>
      </c>
      <c r="AP94" s="40">
        <v>0.75</v>
      </c>
      <c r="AQ94" s="40">
        <v>0.61</v>
      </c>
      <c r="AR94" s="40">
        <v>0.8</v>
      </c>
      <c r="AS94" s="40">
        <v>0.56000000000000005</v>
      </c>
      <c r="AT94" s="40">
        <v>0.65</v>
      </c>
      <c r="AU94" s="40">
        <v>0.84</v>
      </c>
      <c r="AV94" s="40">
        <v>0.59</v>
      </c>
      <c r="AW94" s="40">
        <v>0.5</v>
      </c>
      <c r="AX94" s="40">
        <v>0.83</v>
      </c>
      <c r="AY94" s="40">
        <v>0.41</v>
      </c>
      <c r="AZ94" s="40">
        <v>0.43</v>
      </c>
      <c r="BA94" s="40">
        <v>0.73</v>
      </c>
      <c r="BB94" s="40">
        <v>0.65</v>
      </c>
      <c r="BC94" s="40">
        <v>0.7</v>
      </c>
      <c r="BD94" s="40">
        <v>0.7</v>
      </c>
      <c r="BE94" s="40">
        <v>0.67</v>
      </c>
      <c r="BF94" s="40">
        <v>1</v>
      </c>
      <c r="BG94" s="40">
        <v>0.65</v>
      </c>
      <c r="BH94" s="40">
        <v>0.66</v>
      </c>
      <c r="BI94" s="40">
        <v>0.57999999999999996</v>
      </c>
      <c r="BJ94" s="40">
        <v>0.52</v>
      </c>
      <c r="BK94" s="40">
        <v>0.52</v>
      </c>
      <c r="BL94" s="40">
        <v>0.33</v>
      </c>
      <c r="BM94" s="12">
        <v>46</v>
      </c>
      <c r="BN94" s="12">
        <v>7</v>
      </c>
      <c r="BO94" s="66">
        <v>0.17</v>
      </c>
      <c r="BP94" s="66">
        <v>0.67</v>
      </c>
      <c r="BQ94" s="66">
        <v>0.17</v>
      </c>
      <c r="BR94" s="66">
        <v>0</v>
      </c>
      <c r="BS94" s="66">
        <v>0.25</v>
      </c>
      <c r="BT94" s="66">
        <v>0.5</v>
      </c>
      <c r="BU94" s="66">
        <v>0.83</v>
      </c>
      <c r="BV94" s="66">
        <v>1</v>
      </c>
      <c r="BW94" s="66">
        <v>0.8</v>
      </c>
      <c r="BX94" s="66">
        <v>0.28999999999999998</v>
      </c>
      <c r="BY94" s="66">
        <v>0.47</v>
      </c>
      <c r="BZ94" s="66">
        <v>0.65</v>
      </c>
      <c r="CA94" s="66">
        <v>0.5</v>
      </c>
      <c r="CB94" s="66">
        <v>0.5</v>
      </c>
      <c r="CC94" s="66">
        <v>0</v>
      </c>
      <c r="CD94" s="66">
        <v>0.71</v>
      </c>
      <c r="CE94" s="66">
        <v>0.4</v>
      </c>
      <c r="CF94" s="66">
        <v>0.56999999999999995</v>
      </c>
      <c r="CG94" s="66">
        <v>0.4</v>
      </c>
      <c r="CH94" s="66">
        <v>0.65</v>
      </c>
      <c r="CI94" s="66">
        <v>0.81</v>
      </c>
      <c r="CJ94" s="66">
        <v>0.8</v>
      </c>
      <c r="CK94" s="66">
        <v>0.94</v>
      </c>
      <c r="CL94" s="66">
        <v>0.57999999999999996</v>
      </c>
      <c r="CM94" s="66">
        <v>0.64</v>
      </c>
      <c r="CN94" s="66">
        <v>0.56000000000000005</v>
      </c>
      <c r="CO94" s="66">
        <v>0.4</v>
      </c>
      <c r="CP94" s="66">
        <v>0.56999999999999995</v>
      </c>
      <c r="CQ94" s="66">
        <v>0.73</v>
      </c>
      <c r="CR94" s="66">
        <v>0.6</v>
      </c>
      <c r="CS94" s="12">
        <v>47</v>
      </c>
      <c r="CT94" s="12">
        <v>10</v>
      </c>
      <c r="CU94" s="63">
        <v>0.44</v>
      </c>
      <c r="CV94" s="63">
        <v>0.33</v>
      </c>
      <c r="CW94" s="63">
        <v>0.22</v>
      </c>
      <c r="CX94" s="63">
        <v>0</v>
      </c>
      <c r="CY94" s="63">
        <v>0.56999999999999995</v>
      </c>
      <c r="CZ94" s="63">
        <v>0.33</v>
      </c>
      <c r="DA94" s="63">
        <v>0.61</v>
      </c>
      <c r="DB94" s="63">
        <v>0.56000000000000005</v>
      </c>
      <c r="DC94" s="63">
        <v>0.52</v>
      </c>
      <c r="DD94" s="63">
        <v>0.64</v>
      </c>
      <c r="DE94" s="63">
        <v>0.6</v>
      </c>
      <c r="DF94" s="63">
        <v>0.82</v>
      </c>
      <c r="DG94" s="63">
        <v>0.25</v>
      </c>
      <c r="DH94" s="63">
        <v>0.38</v>
      </c>
      <c r="DI94" s="63">
        <v>0.88</v>
      </c>
      <c r="DJ94" s="63">
        <v>0.63</v>
      </c>
      <c r="DK94" s="63">
        <v>0.63</v>
      </c>
      <c r="DL94" s="63">
        <v>0.33</v>
      </c>
      <c r="DM94" s="63">
        <v>0.56999999999999995</v>
      </c>
      <c r="DN94" s="63">
        <v>0.68</v>
      </c>
      <c r="DO94" s="63">
        <v>0.43</v>
      </c>
      <c r="DP94" s="63">
        <v>0.39</v>
      </c>
      <c r="DQ94" s="63">
        <v>0.53</v>
      </c>
      <c r="DR94" s="63">
        <v>0.2</v>
      </c>
      <c r="DS94" s="63">
        <v>0.19</v>
      </c>
      <c r="DT94" s="63">
        <v>0.65</v>
      </c>
      <c r="DU94" s="63">
        <v>0.75</v>
      </c>
      <c r="DV94" s="63">
        <v>0.56000000000000005</v>
      </c>
      <c r="DW94" s="63">
        <v>0.33</v>
      </c>
      <c r="DX94" s="35">
        <v>46</v>
      </c>
      <c r="DY94" s="35">
        <v>7</v>
      </c>
      <c r="DZ94" s="40">
        <v>0.27</v>
      </c>
      <c r="EA94" s="40">
        <v>0.73</v>
      </c>
      <c r="EB94" s="40">
        <v>0</v>
      </c>
      <c r="EC94" s="40">
        <v>0</v>
      </c>
      <c r="ED94" s="40">
        <v>0.59</v>
      </c>
      <c r="EE94" s="40">
        <v>0.3</v>
      </c>
      <c r="EF94" s="40">
        <v>0.5</v>
      </c>
      <c r="EG94" s="40">
        <v>0.4</v>
      </c>
      <c r="EH94" s="40">
        <v>0.53</v>
      </c>
      <c r="EI94" s="40">
        <v>0.37</v>
      </c>
      <c r="EJ94" s="40">
        <v>0.67</v>
      </c>
      <c r="EK94" s="40">
        <v>0.22</v>
      </c>
      <c r="EL94" s="40">
        <v>0.47</v>
      </c>
      <c r="EM94" s="40">
        <v>0.67</v>
      </c>
      <c r="EN94" s="40">
        <v>0.55000000000000004</v>
      </c>
      <c r="EO94" s="40">
        <v>0.52</v>
      </c>
      <c r="EP94" s="40">
        <v>0.59</v>
      </c>
      <c r="EQ94" s="40">
        <v>0.2</v>
      </c>
      <c r="ER94" s="40">
        <v>0.61</v>
      </c>
      <c r="ES94" s="40">
        <v>0.6</v>
      </c>
      <c r="ET94" s="40">
        <v>0.33</v>
      </c>
      <c r="EU94" s="40">
        <v>0.69</v>
      </c>
      <c r="EV94" s="40">
        <v>0.6</v>
      </c>
      <c r="EW94" s="40">
        <v>0.5</v>
      </c>
      <c r="EX94" s="40">
        <v>0.86</v>
      </c>
      <c r="EY94" s="40">
        <v>0.6</v>
      </c>
      <c r="EZ94" s="40">
        <v>0.17</v>
      </c>
      <c r="FA94" s="40">
        <v>0.81</v>
      </c>
      <c r="FB94" s="247">
        <v>47</v>
      </c>
      <c r="FC94" s="247" t="s">
        <v>874</v>
      </c>
      <c r="FD94" s="247">
        <v>5</v>
      </c>
      <c r="FE94" s="247" t="s">
        <v>876</v>
      </c>
      <c r="FF94" s="264">
        <v>0</v>
      </c>
      <c r="FG94" s="264">
        <v>1</v>
      </c>
      <c r="FH94" s="264">
        <v>0</v>
      </c>
      <c r="FI94" s="264">
        <v>0</v>
      </c>
      <c r="FJ94" s="264">
        <v>0.75</v>
      </c>
      <c r="FK94" s="264">
        <v>0.72</v>
      </c>
      <c r="FL94" s="264">
        <v>0.25</v>
      </c>
      <c r="FM94" s="264">
        <v>0.67</v>
      </c>
      <c r="FN94" s="264">
        <v>0</v>
      </c>
      <c r="FO94" s="264">
        <v>0.3</v>
      </c>
      <c r="FP94" s="264">
        <v>0.4</v>
      </c>
      <c r="FQ94" s="264">
        <v>0.36</v>
      </c>
      <c r="FR94" s="264">
        <v>0.94</v>
      </c>
      <c r="FS94" s="264">
        <v>0.5</v>
      </c>
      <c r="FT94" s="264">
        <v>0.5</v>
      </c>
      <c r="FU94" s="264">
        <v>0.5</v>
      </c>
      <c r="FV94" s="264">
        <v>0.75</v>
      </c>
      <c r="FW94" s="264">
        <v>0.5</v>
      </c>
      <c r="FX94" s="264">
        <v>0.67</v>
      </c>
      <c r="FY94" s="264">
        <v>0.4</v>
      </c>
      <c r="FZ94" s="264">
        <v>0.6</v>
      </c>
      <c r="GA94" s="264">
        <v>0.6</v>
      </c>
      <c r="GB94" s="264">
        <v>0.63</v>
      </c>
      <c r="GC94" s="264">
        <v>0.39</v>
      </c>
      <c r="GD94" s="264">
        <v>0.56000000000000005</v>
      </c>
      <c r="GE94" s="264">
        <v>0.33</v>
      </c>
      <c r="GF94" s="264">
        <v>0.67</v>
      </c>
      <c r="GG94" s="264">
        <v>0.63</v>
      </c>
      <c r="GH94" s="264">
        <v>0.79</v>
      </c>
      <c r="GI94" s="264">
        <v>0.38</v>
      </c>
      <c r="GJ94" s="311">
        <v>50</v>
      </c>
      <c r="GK94" s="311" t="s">
        <v>874</v>
      </c>
      <c r="GL94" s="311">
        <v>13</v>
      </c>
      <c r="GM94" s="311" t="s">
        <v>875</v>
      </c>
      <c r="GN94" s="329">
        <v>0</v>
      </c>
      <c r="GO94" s="329">
        <v>0.67</v>
      </c>
      <c r="GP94" s="329">
        <v>0.33</v>
      </c>
      <c r="GQ94" s="329">
        <v>0</v>
      </c>
      <c r="GR94" s="329">
        <v>0.4</v>
      </c>
      <c r="GS94" s="329">
        <v>0.75</v>
      </c>
      <c r="GT94" s="329">
        <v>0.83</v>
      </c>
      <c r="GU94" s="329">
        <v>0</v>
      </c>
      <c r="GV94" s="329">
        <v>0.33</v>
      </c>
      <c r="GW94" s="329">
        <v>0.67</v>
      </c>
      <c r="GX94" s="329">
        <v>0.4</v>
      </c>
      <c r="GY94" s="311" t="s">
        <v>283</v>
      </c>
      <c r="GZ94" s="329">
        <v>0</v>
      </c>
      <c r="HA94" s="329">
        <v>1</v>
      </c>
      <c r="HB94" s="329">
        <v>0.75</v>
      </c>
      <c r="HC94" s="329">
        <v>0.2</v>
      </c>
      <c r="HD94" s="329">
        <v>0.6</v>
      </c>
      <c r="HE94" s="329">
        <v>0.43</v>
      </c>
      <c r="HF94" s="329">
        <v>0.5</v>
      </c>
      <c r="HG94" s="329">
        <v>0.45</v>
      </c>
      <c r="HH94" s="329">
        <v>0.56999999999999995</v>
      </c>
      <c r="HI94" s="329">
        <v>0.67</v>
      </c>
      <c r="HJ94" s="329">
        <v>0.64</v>
      </c>
      <c r="HK94" s="329">
        <v>0.33</v>
      </c>
      <c r="HL94" s="329">
        <v>0.43</v>
      </c>
      <c r="HM94" s="329">
        <v>0.67</v>
      </c>
      <c r="HN94" s="329">
        <v>0.4</v>
      </c>
      <c r="HO94" s="329">
        <v>0.67</v>
      </c>
      <c r="HP94" s="311" t="s">
        <v>283</v>
      </c>
      <c r="HQ94" s="329">
        <v>0.33</v>
      </c>
      <c r="HR94" s="426">
        <v>52</v>
      </c>
      <c r="HS94" s="426" t="s">
        <v>874</v>
      </c>
      <c r="HT94" s="426">
        <v>8</v>
      </c>
      <c r="HU94" s="426" t="s">
        <v>874</v>
      </c>
      <c r="HV94" s="430">
        <v>0.13</v>
      </c>
      <c r="HW94" s="430">
        <v>0.5</v>
      </c>
      <c r="HX94" s="430">
        <v>0.38</v>
      </c>
      <c r="HY94" s="430">
        <v>0</v>
      </c>
      <c r="HZ94" s="430">
        <v>0.43</v>
      </c>
      <c r="IA94" s="430">
        <v>0.53</v>
      </c>
      <c r="IB94" s="430">
        <v>0.25</v>
      </c>
      <c r="IC94" s="430">
        <v>0.53</v>
      </c>
      <c r="ID94" s="430">
        <v>0.57999999999999996</v>
      </c>
      <c r="IE94" s="430">
        <v>0.22</v>
      </c>
      <c r="IF94" s="430">
        <v>0.56000000000000005</v>
      </c>
      <c r="IG94" s="430">
        <v>0.56000000000000005</v>
      </c>
      <c r="IH94" s="430">
        <v>0.36</v>
      </c>
      <c r="II94" s="430">
        <v>0.4</v>
      </c>
      <c r="IJ94" s="430">
        <v>0.11</v>
      </c>
      <c r="IK94" s="430">
        <v>0.62</v>
      </c>
      <c r="IL94" s="430">
        <v>0.18</v>
      </c>
      <c r="IM94" s="430">
        <v>0.53</v>
      </c>
      <c r="IN94" s="430">
        <v>0.46</v>
      </c>
      <c r="IO94" s="430">
        <v>0.74</v>
      </c>
      <c r="IP94" s="430">
        <v>0.23</v>
      </c>
      <c r="IQ94" s="430">
        <v>0.56000000000000005</v>
      </c>
      <c r="IR94" s="430">
        <v>0.6</v>
      </c>
      <c r="IS94" s="430">
        <v>0.53</v>
      </c>
      <c r="IT94" s="430">
        <v>0.41</v>
      </c>
      <c r="IU94" s="426" t="s">
        <v>283</v>
      </c>
      <c r="IV94" s="430">
        <v>0.56999999999999995</v>
      </c>
      <c r="IW94" s="430">
        <v>0.44</v>
      </c>
      <c r="IX94" s="430">
        <v>0.46</v>
      </c>
      <c r="IY94" s="430">
        <v>0.48</v>
      </c>
      <c r="IZ94" s="466">
        <v>53</v>
      </c>
      <c r="JA94" s="466" t="s">
        <v>874</v>
      </c>
      <c r="JB94" s="466">
        <v>8</v>
      </c>
      <c r="JC94" s="466" t="s">
        <v>874</v>
      </c>
      <c r="JD94" s="480">
        <v>0.17</v>
      </c>
      <c r="JE94" s="480">
        <v>0.5</v>
      </c>
      <c r="JF94" s="480">
        <v>0.33</v>
      </c>
      <c r="JG94" s="480">
        <v>0</v>
      </c>
      <c r="JH94" s="480">
        <v>0.2</v>
      </c>
      <c r="JI94" s="480">
        <v>0.53</v>
      </c>
      <c r="JJ94" s="480">
        <v>0.44</v>
      </c>
      <c r="JK94" s="480">
        <v>0.38</v>
      </c>
      <c r="JL94" s="480">
        <v>0.56000000000000005</v>
      </c>
      <c r="JM94" s="480">
        <v>0.47</v>
      </c>
      <c r="JN94" s="480">
        <v>0.28999999999999998</v>
      </c>
      <c r="JO94" s="480">
        <v>0.35</v>
      </c>
      <c r="JP94" s="480">
        <v>0.67</v>
      </c>
      <c r="JQ94" s="480">
        <v>0.15</v>
      </c>
      <c r="JR94" s="480">
        <v>0.59</v>
      </c>
      <c r="JS94" s="480">
        <v>0.6</v>
      </c>
      <c r="JT94" s="480">
        <v>0.38</v>
      </c>
      <c r="JU94" s="480">
        <v>0.67</v>
      </c>
      <c r="JV94" s="480">
        <v>0.53</v>
      </c>
      <c r="JW94" s="480">
        <v>0.33</v>
      </c>
      <c r="JX94" s="480">
        <v>0.57999999999999996</v>
      </c>
      <c r="JY94" s="480">
        <v>0.56000000000000005</v>
      </c>
      <c r="JZ94" s="480">
        <v>0.57999999999999996</v>
      </c>
      <c r="KA94" s="480">
        <v>0.33</v>
      </c>
      <c r="KB94" s="480">
        <v>0.38</v>
      </c>
      <c r="KC94" s="480">
        <v>0.4</v>
      </c>
      <c r="KD94" s="480">
        <v>0.42</v>
      </c>
      <c r="KE94" s="480">
        <v>0.36</v>
      </c>
      <c r="KF94" s="480">
        <v>0.3</v>
      </c>
      <c r="KG94" s="480">
        <v>0.57999999999999996</v>
      </c>
    </row>
    <row r="95" spans="1:293" ht="24.95" customHeight="1" x14ac:dyDescent="0.2">
      <c r="A95" s="126" t="s">
        <v>180</v>
      </c>
      <c r="B95" s="1" t="s">
        <v>221</v>
      </c>
      <c r="C95" s="2">
        <v>3</v>
      </c>
      <c r="D95" s="12">
        <v>60</v>
      </c>
      <c r="E95" s="12">
        <v>6</v>
      </c>
      <c r="F95" s="66">
        <v>0</v>
      </c>
      <c r="G95" s="66">
        <v>0.23</v>
      </c>
      <c r="H95" s="66">
        <v>0.77</v>
      </c>
      <c r="I95" s="66">
        <v>0</v>
      </c>
      <c r="J95" s="66">
        <v>0.19</v>
      </c>
      <c r="K95" s="66">
        <v>0.21</v>
      </c>
      <c r="L95" s="66">
        <v>0.59</v>
      </c>
      <c r="M95" s="66">
        <v>0.11</v>
      </c>
      <c r="N95" s="66">
        <v>0.18</v>
      </c>
      <c r="O95" s="66">
        <v>0.5</v>
      </c>
      <c r="P95" s="66">
        <v>0.33</v>
      </c>
      <c r="Q95" s="66">
        <v>0.31</v>
      </c>
      <c r="R95" s="66">
        <v>0.35</v>
      </c>
      <c r="S95" s="66">
        <v>0.45</v>
      </c>
      <c r="T95" s="66">
        <v>0.42</v>
      </c>
      <c r="U95" s="66">
        <v>0.4</v>
      </c>
      <c r="V95" s="66">
        <v>0</v>
      </c>
      <c r="W95" s="66">
        <v>0.04</v>
      </c>
      <c r="X95" s="66">
        <v>0.28999999999999998</v>
      </c>
      <c r="Y95" s="66">
        <v>0.28000000000000003</v>
      </c>
      <c r="Z95" s="12" t="s">
        <v>283</v>
      </c>
      <c r="AA95" s="66">
        <v>0.03</v>
      </c>
      <c r="AB95" s="66">
        <v>0.43</v>
      </c>
      <c r="AC95" s="66">
        <v>0.18</v>
      </c>
      <c r="AD95" s="66">
        <v>0.34</v>
      </c>
      <c r="AE95" s="66">
        <v>0.4</v>
      </c>
      <c r="AF95" s="66">
        <v>0.37</v>
      </c>
      <c r="AG95" s="66">
        <v>0.45</v>
      </c>
      <c r="AH95" s="12">
        <v>59</v>
      </c>
      <c r="AI95" s="12">
        <v>8</v>
      </c>
      <c r="AJ95" s="40">
        <v>0</v>
      </c>
      <c r="AK95" s="40">
        <v>0.31</v>
      </c>
      <c r="AL95" s="40">
        <v>0.59</v>
      </c>
      <c r="AM95" s="40">
        <v>0.09</v>
      </c>
      <c r="AN95" s="40">
        <v>0.25</v>
      </c>
      <c r="AO95" s="40">
        <v>0.4</v>
      </c>
      <c r="AP95" s="40">
        <v>0.4</v>
      </c>
      <c r="AQ95" s="40">
        <v>0.21</v>
      </c>
      <c r="AR95" s="40">
        <v>0.3</v>
      </c>
      <c r="AS95" s="40">
        <v>0.44</v>
      </c>
      <c r="AT95" s="40">
        <v>0.37</v>
      </c>
      <c r="AU95" s="40">
        <v>0.34</v>
      </c>
      <c r="AV95" s="40">
        <v>0.45</v>
      </c>
      <c r="AW95" s="40">
        <v>0.13</v>
      </c>
      <c r="AX95" s="40">
        <v>0.37</v>
      </c>
      <c r="AY95" s="40">
        <v>0.21</v>
      </c>
      <c r="AZ95" s="40">
        <v>0.18</v>
      </c>
      <c r="BA95" s="40">
        <v>0.31</v>
      </c>
      <c r="BB95" s="40">
        <v>0.46</v>
      </c>
      <c r="BC95" s="40">
        <v>0.54</v>
      </c>
      <c r="BD95" s="40">
        <v>0.33</v>
      </c>
      <c r="BE95" s="40">
        <v>0.28999999999999998</v>
      </c>
      <c r="BF95" s="40">
        <v>0.26</v>
      </c>
      <c r="BG95" s="40">
        <v>0.35</v>
      </c>
      <c r="BH95" s="40">
        <v>0.3</v>
      </c>
      <c r="BI95" s="40">
        <v>0.34</v>
      </c>
      <c r="BJ95" s="40">
        <v>0.27</v>
      </c>
      <c r="BK95" s="40">
        <v>0.28999999999999998</v>
      </c>
      <c r="BL95" s="40">
        <v>0.2</v>
      </c>
      <c r="BM95" s="12">
        <v>57</v>
      </c>
      <c r="BN95" s="12">
        <v>8</v>
      </c>
      <c r="BO95" s="66">
        <v>0</v>
      </c>
      <c r="BP95" s="66">
        <v>0.38</v>
      </c>
      <c r="BQ95" s="66">
        <v>0.59</v>
      </c>
      <c r="BR95" s="66">
        <v>0.03</v>
      </c>
      <c r="BS95" s="66">
        <v>0.27</v>
      </c>
      <c r="BT95" s="66">
        <v>0.62</v>
      </c>
      <c r="BU95" s="66">
        <v>0.52</v>
      </c>
      <c r="BV95" s="66">
        <v>0.27</v>
      </c>
      <c r="BW95" s="66">
        <v>0.57999999999999996</v>
      </c>
      <c r="BX95" s="66">
        <v>0.22</v>
      </c>
      <c r="BY95" s="66">
        <v>0.49</v>
      </c>
      <c r="BZ95" s="66">
        <v>0.41</v>
      </c>
      <c r="CA95" s="66">
        <v>0.41</v>
      </c>
      <c r="CB95" s="66">
        <v>0.19</v>
      </c>
      <c r="CC95" s="66">
        <v>0.02</v>
      </c>
      <c r="CD95" s="66">
        <v>0.23</v>
      </c>
      <c r="CE95" s="66">
        <v>0.22</v>
      </c>
      <c r="CF95" s="66">
        <v>0.67</v>
      </c>
      <c r="CG95" s="66">
        <v>0.52</v>
      </c>
      <c r="CH95" s="66">
        <v>0.34</v>
      </c>
      <c r="CI95" s="66">
        <v>0.45</v>
      </c>
      <c r="CJ95" s="66">
        <v>0.37</v>
      </c>
      <c r="CK95" s="66">
        <v>0.67</v>
      </c>
      <c r="CL95" s="66">
        <v>0.2</v>
      </c>
      <c r="CM95" s="66">
        <v>0.41</v>
      </c>
      <c r="CN95" s="66">
        <v>0.28000000000000003</v>
      </c>
      <c r="CO95" s="66">
        <v>0.32</v>
      </c>
      <c r="CP95" s="66">
        <v>0.2</v>
      </c>
      <c r="CQ95" s="66">
        <v>0.48</v>
      </c>
      <c r="CR95" s="66">
        <v>0.37</v>
      </c>
      <c r="CS95" s="12">
        <v>53</v>
      </c>
      <c r="CT95" s="12">
        <v>10</v>
      </c>
      <c r="CU95" s="63">
        <v>0.08</v>
      </c>
      <c r="CV95" s="63">
        <v>0.57999999999999996</v>
      </c>
      <c r="CW95" s="63">
        <v>0.31</v>
      </c>
      <c r="CX95" s="63">
        <v>0.04</v>
      </c>
      <c r="CY95" s="63">
        <v>0.44</v>
      </c>
      <c r="CZ95" s="63">
        <v>0.27</v>
      </c>
      <c r="DA95" s="63">
        <v>0.56000000000000005</v>
      </c>
      <c r="DB95" s="63">
        <v>0.33</v>
      </c>
      <c r="DC95" s="63">
        <v>0.42</v>
      </c>
      <c r="DD95" s="63">
        <v>0.59</v>
      </c>
      <c r="DE95" s="63">
        <v>0.38</v>
      </c>
      <c r="DF95" s="63">
        <v>0.46</v>
      </c>
      <c r="DG95" s="63">
        <v>0.38</v>
      </c>
      <c r="DH95" s="63">
        <v>0.37</v>
      </c>
      <c r="DI95" s="63">
        <v>0.53</v>
      </c>
      <c r="DJ95" s="63">
        <v>0.5</v>
      </c>
      <c r="DK95" s="63">
        <v>0.4</v>
      </c>
      <c r="DL95" s="63">
        <v>0.34</v>
      </c>
      <c r="DM95" s="63">
        <v>0.48</v>
      </c>
      <c r="DN95" s="63">
        <v>0.38</v>
      </c>
      <c r="DO95" s="63">
        <v>0.28999999999999998</v>
      </c>
      <c r="DP95" s="63">
        <v>0.42</v>
      </c>
      <c r="DQ95" s="63">
        <v>0.52</v>
      </c>
      <c r="DR95" s="63">
        <v>0.11</v>
      </c>
      <c r="DS95" s="63">
        <v>0.33</v>
      </c>
      <c r="DT95" s="63">
        <v>0.47</v>
      </c>
      <c r="DU95" s="63">
        <v>0.3</v>
      </c>
      <c r="DV95" s="63">
        <v>0.54</v>
      </c>
      <c r="DW95" s="63">
        <v>0.31</v>
      </c>
      <c r="DX95" s="35">
        <v>54</v>
      </c>
      <c r="DY95" s="35">
        <v>9</v>
      </c>
      <c r="DZ95" s="40">
        <v>0.1</v>
      </c>
      <c r="EA95" s="40">
        <v>0.41</v>
      </c>
      <c r="EB95" s="40">
        <v>0.48</v>
      </c>
      <c r="EC95" s="40">
        <v>0.02</v>
      </c>
      <c r="ED95" s="40">
        <v>0.37</v>
      </c>
      <c r="EE95" s="40">
        <v>0.41</v>
      </c>
      <c r="EF95" s="40">
        <v>0.46</v>
      </c>
      <c r="EG95" s="40">
        <v>0.26</v>
      </c>
      <c r="EH95" s="40">
        <v>0.38</v>
      </c>
      <c r="EI95" s="40">
        <v>0.43</v>
      </c>
      <c r="EJ95" s="40">
        <v>0.43</v>
      </c>
      <c r="EK95" s="40">
        <v>0.18</v>
      </c>
      <c r="EL95" s="40">
        <v>0.38</v>
      </c>
      <c r="EM95" s="40">
        <v>0.66</v>
      </c>
      <c r="EN95" s="40">
        <v>0.42</v>
      </c>
      <c r="EO95" s="40">
        <v>0.52</v>
      </c>
      <c r="EP95" s="40">
        <v>0.24</v>
      </c>
      <c r="EQ95" s="40">
        <v>0.15</v>
      </c>
      <c r="ER95" s="40">
        <v>0.62</v>
      </c>
      <c r="ES95" s="40">
        <v>0.35</v>
      </c>
      <c r="ET95" s="40">
        <v>0.23</v>
      </c>
      <c r="EU95" s="40">
        <v>0.55000000000000004</v>
      </c>
      <c r="EV95" s="40">
        <v>0.41</v>
      </c>
      <c r="EW95" s="40">
        <v>0.21</v>
      </c>
      <c r="EX95" s="40">
        <v>0.85</v>
      </c>
      <c r="EY95" s="40">
        <v>0.42</v>
      </c>
      <c r="EZ95" s="40">
        <v>0.15</v>
      </c>
      <c r="FA95" s="40">
        <v>0.51</v>
      </c>
      <c r="FB95" s="247">
        <v>53</v>
      </c>
      <c r="FC95" s="247" t="s">
        <v>874</v>
      </c>
      <c r="FD95" s="247">
        <v>8</v>
      </c>
      <c r="FE95" s="247" t="s">
        <v>874</v>
      </c>
      <c r="FF95" s="264">
        <v>0.04</v>
      </c>
      <c r="FG95" s="264">
        <v>0.55000000000000004</v>
      </c>
      <c r="FH95" s="264">
        <v>0.4</v>
      </c>
      <c r="FI95" s="264">
        <v>0.01</v>
      </c>
      <c r="FJ95" s="264">
        <v>0.4</v>
      </c>
      <c r="FK95" s="264">
        <v>0.64</v>
      </c>
      <c r="FL95" s="264">
        <v>0.4</v>
      </c>
      <c r="FM95" s="264">
        <v>0.46</v>
      </c>
      <c r="FN95" s="264">
        <v>0.2</v>
      </c>
      <c r="FO95" s="264">
        <v>0.22</v>
      </c>
      <c r="FP95" s="264">
        <v>0.32</v>
      </c>
      <c r="FQ95" s="264">
        <v>0.26</v>
      </c>
      <c r="FR95" s="264">
        <v>0.56000000000000005</v>
      </c>
      <c r="FS95" s="264">
        <v>0.5</v>
      </c>
      <c r="FT95" s="264">
        <v>0.39</v>
      </c>
      <c r="FU95" s="264">
        <v>0.25</v>
      </c>
      <c r="FV95" s="264">
        <v>0.45</v>
      </c>
      <c r="FW95" s="264">
        <v>0.49</v>
      </c>
      <c r="FX95" s="264">
        <v>0.28999999999999998</v>
      </c>
      <c r="FY95" s="264">
        <v>0.3</v>
      </c>
      <c r="FZ95" s="264">
        <v>0.3</v>
      </c>
      <c r="GA95" s="264">
        <v>0.52</v>
      </c>
      <c r="GB95" s="264">
        <v>0.55000000000000004</v>
      </c>
      <c r="GC95" s="264">
        <v>0.4</v>
      </c>
      <c r="GD95" s="264">
        <v>0.56999999999999995</v>
      </c>
      <c r="GE95" s="264">
        <v>0.47</v>
      </c>
      <c r="GF95" s="264">
        <v>0.43</v>
      </c>
      <c r="GG95" s="264">
        <v>0.33</v>
      </c>
      <c r="GH95" s="264">
        <v>0.55000000000000004</v>
      </c>
      <c r="GI95" s="264">
        <v>0.25</v>
      </c>
      <c r="GJ95" s="311">
        <v>53</v>
      </c>
      <c r="GK95" s="311" t="s">
        <v>874</v>
      </c>
      <c r="GL95" s="311">
        <v>8</v>
      </c>
      <c r="GM95" s="311" t="s">
        <v>874</v>
      </c>
      <c r="GN95" s="329">
        <v>0.08</v>
      </c>
      <c r="GO95" s="329">
        <v>0.53</v>
      </c>
      <c r="GP95" s="329">
        <v>0.39</v>
      </c>
      <c r="GQ95" s="329">
        <v>0</v>
      </c>
      <c r="GR95" s="329">
        <v>0.49</v>
      </c>
      <c r="GS95" s="329">
        <v>0.48</v>
      </c>
      <c r="GT95" s="329">
        <v>0.56000000000000005</v>
      </c>
      <c r="GU95" s="329">
        <v>0.11</v>
      </c>
      <c r="GV95" s="329">
        <v>0.49</v>
      </c>
      <c r="GW95" s="329">
        <v>0.28000000000000003</v>
      </c>
      <c r="GX95" s="329">
        <v>0.41</v>
      </c>
      <c r="GY95" s="311" t="s">
        <v>283</v>
      </c>
      <c r="GZ95" s="329">
        <v>0.28999999999999998</v>
      </c>
      <c r="HA95" s="329">
        <v>0.61</v>
      </c>
      <c r="HB95" s="329">
        <v>0.45</v>
      </c>
      <c r="HC95" s="329">
        <v>0.47</v>
      </c>
      <c r="HD95" s="329">
        <v>0.59</v>
      </c>
      <c r="HE95" s="329">
        <v>0.48</v>
      </c>
      <c r="HF95" s="329">
        <v>0.4</v>
      </c>
      <c r="HG95" s="329">
        <v>0.65</v>
      </c>
      <c r="HH95" s="329">
        <v>0.33</v>
      </c>
      <c r="HI95" s="329">
        <v>0.49</v>
      </c>
      <c r="HJ95" s="329">
        <v>0.56999999999999995</v>
      </c>
      <c r="HK95" s="329">
        <v>0.53</v>
      </c>
      <c r="HL95" s="329">
        <v>0.35</v>
      </c>
      <c r="HM95" s="329">
        <v>0.39</v>
      </c>
      <c r="HN95" s="329">
        <v>0.42</v>
      </c>
      <c r="HO95" s="329">
        <v>0.35</v>
      </c>
      <c r="HP95" s="311" t="s">
        <v>283</v>
      </c>
      <c r="HQ95" s="329">
        <v>0.37</v>
      </c>
      <c r="HR95" s="426">
        <v>55</v>
      </c>
      <c r="HS95" s="426" t="s">
        <v>874</v>
      </c>
      <c r="HT95" s="426">
        <v>7</v>
      </c>
      <c r="HU95" s="426" t="s">
        <v>874</v>
      </c>
      <c r="HV95" s="430">
        <v>0.02</v>
      </c>
      <c r="HW95" s="430">
        <v>0.56999999999999995</v>
      </c>
      <c r="HX95" s="430">
        <v>0.4</v>
      </c>
      <c r="HY95" s="430">
        <v>0</v>
      </c>
      <c r="HZ95" s="430">
        <v>0.28999999999999998</v>
      </c>
      <c r="IA95" s="430">
        <v>0.51</v>
      </c>
      <c r="IB95" s="430">
        <v>0.27</v>
      </c>
      <c r="IC95" s="430">
        <v>0.45</v>
      </c>
      <c r="ID95" s="430">
        <v>0.56999999999999995</v>
      </c>
      <c r="IE95" s="430">
        <v>0.28000000000000003</v>
      </c>
      <c r="IF95" s="430">
        <v>0.3</v>
      </c>
      <c r="IG95" s="430">
        <v>0.48</v>
      </c>
      <c r="IH95" s="430">
        <v>0.43</v>
      </c>
      <c r="II95" s="430">
        <v>0.26</v>
      </c>
      <c r="IJ95" s="430">
        <v>0.21</v>
      </c>
      <c r="IK95" s="430">
        <v>0.5</v>
      </c>
      <c r="IL95" s="430">
        <v>0.23</v>
      </c>
      <c r="IM95" s="430">
        <v>0.5</v>
      </c>
      <c r="IN95" s="430">
        <v>0.42</v>
      </c>
      <c r="IO95" s="430">
        <v>0.49</v>
      </c>
      <c r="IP95" s="430">
        <v>0.4</v>
      </c>
      <c r="IQ95" s="430">
        <v>0.61</v>
      </c>
      <c r="IR95" s="430">
        <v>0.48</v>
      </c>
      <c r="IS95" s="430">
        <v>0.45</v>
      </c>
      <c r="IT95" s="430">
        <v>0.32</v>
      </c>
      <c r="IU95" s="426" t="s">
        <v>283</v>
      </c>
      <c r="IV95" s="430">
        <v>0.61</v>
      </c>
      <c r="IW95" s="430">
        <v>0.39</v>
      </c>
      <c r="IX95" s="430">
        <v>0.45</v>
      </c>
      <c r="IY95" s="430">
        <v>0.47</v>
      </c>
      <c r="IZ95" s="466">
        <v>53</v>
      </c>
      <c r="JA95" s="466" t="s">
        <v>874</v>
      </c>
      <c r="JB95" s="466">
        <v>8</v>
      </c>
      <c r="JC95" s="466" t="s">
        <v>874</v>
      </c>
      <c r="JD95" s="480">
        <v>0.06</v>
      </c>
      <c r="JE95" s="480">
        <v>0.52</v>
      </c>
      <c r="JF95" s="480">
        <v>0.42</v>
      </c>
      <c r="JG95" s="480">
        <v>0</v>
      </c>
      <c r="JH95" s="480">
        <v>0.37</v>
      </c>
      <c r="JI95" s="480">
        <v>0.35</v>
      </c>
      <c r="JJ95" s="480">
        <v>0.41</v>
      </c>
      <c r="JK95" s="480">
        <v>0.45</v>
      </c>
      <c r="JL95" s="480">
        <v>0.46</v>
      </c>
      <c r="JM95" s="480">
        <v>0.48</v>
      </c>
      <c r="JN95" s="480">
        <v>0.37</v>
      </c>
      <c r="JO95" s="480">
        <v>0.4</v>
      </c>
      <c r="JP95" s="480">
        <v>0.51</v>
      </c>
      <c r="JQ95" s="480">
        <v>0.23</v>
      </c>
      <c r="JR95" s="480">
        <v>0.52</v>
      </c>
      <c r="JS95" s="480">
        <v>0.39</v>
      </c>
      <c r="JT95" s="480">
        <v>0.36</v>
      </c>
      <c r="JU95" s="480">
        <v>0.45</v>
      </c>
      <c r="JV95" s="480">
        <v>0.46</v>
      </c>
      <c r="JW95" s="480">
        <v>0.44</v>
      </c>
      <c r="JX95" s="480">
        <v>0.45</v>
      </c>
      <c r="JY95" s="480">
        <v>0.48</v>
      </c>
      <c r="JZ95" s="480">
        <v>0.49</v>
      </c>
      <c r="KA95" s="480">
        <v>0.6</v>
      </c>
      <c r="KB95" s="480">
        <v>0.42</v>
      </c>
      <c r="KC95" s="480">
        <v>0.77</v>
      </c>
      <c r="KD95" s="480">
        <v>0.28000000000000003</v>
      </c>
      <c r="KE95" s="480">
        <v>0.43</v>
      </c>
      <c r="KF95" s="480">
        <v>0.44</v>
      </c>
      <c r="KG95" s="480">
        <v>0.52</v>
      </c>
    </row>
    <row r="96" spans="1:293" ht="24.95" customHeight="1" x14ac:dyDescent="0.2">
      <c r="A96" s="126" t="s">
        <v>170</v>
      </c>
      <c r="B96" s="1" t="s">
        <v>221</v>
      </c>
      <c r="C96" s="2">
        <v>2</v>
      </c>
      <c r="D96" s="12">
        <v>56</v>
      </c>
      <c r="E96" s="12">
        <v>7</v>
      </c>
      <c r="F96" s="66">
        <v>0</v>
      </c>
      <c r="G96" s="66">
        <v>0.51</v>
      </c>
      <c r="H96" s="66">
        <v>0.49</v>
      </c>
      <c r="I96" s="66">
        <v>0</v>
      </c>
      <c r="J96" s="66">
        <v>0.51</v>
      </c>
      <c r="K96" s="66">
        <v>0.39</v>
      </c>
      <c r="L96" s="66">
        <v>0.75</v>
      </c>
      <c r="M96" s="66">
        <v>0.2</v>
      </c>
      <c r="N96" s="66">
        <v>0.22</v>
      </c>
      <c r="O96" s="66">
        <v>0.55000000000000004</v>
      </c>
      <c r="P96" s="66">
        <v>0.28000000000000003</v>
      </c>
      <c r="Q96" s="66">
        <v>0.46</v>
      </c>
      <c r="R96" s="66">
        <v>0.45</v>
      </c>
      <c r="S96" s="66">
        <v>0.65</v>
      </c>
      <c r="T96" s="66">
        <v>0.31</v>
      </c>
      <c r="U96" s="66">
        <v>0.57999999999999996</v>
      </c>
      <c r="V96" s="66">
        <v>0.05</v>
      </c>
      <c r="W96" s="66">
        <v>0.1</v>
      </c>
      <c r="X96" s="66">
        <v>0.43</v>
      </c>
      <c r="Y96" s="66">
        <v>0.44</v>
      </c>
      <c r="Z96" s="66">
        <v>0</v>
      </c>
      <c r="AA96" s="66">
        <v>0.02</v>
      </c>
      <c r="AB96" s="66">
        <v>0.37</v>
      </c>
      <c r="AC96" s="66">
        <v>0.11</v>
      </c>
      <c r="AD96" s="66">
        <v>0.42</v>
      </c>
      <c r="AE96" s="66">
        <v>0.47</v>
      </c>
      <c r="AF96" s="66">
        <v>0.44</v>
      </c>
      <c r="AG96" s="66">
        <v>0.49</v>
      </c>
      <c r="AH96" s="12">
        <v>55</v>
      </c>
      <c r="AI96" s="12">
        <v>8</v>
      </c>
      <c r="AJ96" s="40">
        <v>0.06</v>
      </c>
      <c r="AK96" s="40">
        <v>0.5</v>
      </c>
      <c r="AL96" s="40">
        <v>0.39</v>
      </c>
      <c r="AM96" s="40">
        <v>0.06</v>
      </c>
      <c r="AN96" s="40">
        <v>0.22</v>
      </c>
      <c r="AO96" s="40">
        <v>0.43</v>
      </c>
      <c r="AP96" s="40">
        <v>0.4</v>
      </c>
      <c r="AQ96" s="40">
        <v>0.3</v>
      </c>
      <c r="AR96" s="40">
        <v>0.5</v>
      </c>
      <c r="AS96" s="40">
        <v>0.4</v>
      </c>
      <c r="AT96" s="40">
        <v>0.53</v>
      </c>
      <c r="AU96" s="40">
        <v>0.56000000000000005</v>
      </c>
      <c r="AV96" s="40">
        <v>0.53</v>
      </c>
      <c r="AW96" s="40">
        <v>0.61</v>
      </c>
      <c r="AX96" s="40">
        <v>0.36</v>
      </c>
      <c r="AY96" s="40">
        <v>0.26</v>
      </c>
      <c r="AZ96" s="40">
        <v>0.2</v>
      </c>
      <c r="BA96" s="40">
        <v>0.53</v>
      </c>
      <c r="BB96" s="40">
        <v>0.6</v>
      </c>
      <c r="BC96" s="40">
        <v>0.67</v>
      </c>
      <c r="BD96" s="40">
        <v>0.21</v>
      </c>
      <c r="BE96" s="40">
        <v>0.57999999999999996</v>
      </c>
      <c r="BF96" s="40">
        <v>0.69</v>
      </c>
      <c r="BG96" s="40">
        <v>0.45</v>
      </c>
      <c r="BH96" s="40">
        <v>0.39</v>
      </c>
      <c r="BI96" s="40">
        <v>0.41</v>
      </c>
      <c r="BJ96" s="40">
        <v>0.36</v>
      </c>
      <c r="BK96" s="40">
        <v>0.42</v>
      </c>
      <c r="BL96" s="40">
        <v>0.44</v>
      </c>
      <c r="BM96" s="12">
        <v>52</v>
      </c>
      <c r="BN96" s="12">
        <v>7</v>
      </c>
      <c r="BO96" s="66">
        <v>0.03</v>
      </c>
      <c r="BP96" s="66">
        <v>0.67</v>
      </c>
      <c r="BQ96" s="66">
        <v>0.3</v>
      </c>
      <c r="BR96" s="66">
        <v>0</v>
      </c>
      <c r="BS96" s="66">
        <v>0.36</v>
      </c>
      <c r="BT96" s="66">
        <v>0.46</v>
      </c>
      <c r="BU96" s="66">
        <v>0.7</v>
      </c>
      <c r="BV96" s="66">
        <v>0.28999999999999998</v>
      </c>
      <c r="BW96" s="66">
        <v>0.64</v>
      </c>
      <c r="BX96" s="66">
        <v>0.36</v>
      </c>
      <c r="BY96" s="66">
        <v>0.42</v>
      </c>
      <c r="BZ96" s="66">
        <v>0.59</v>
      </c>
      <c r="CA96" s="66">
        <v>0.43</v>
      </c>
      <c r="CB96" s="66">
        <v>0.31</v>
      </c>
      <c r="CC96" s="66">
        <v>0.13</v>
      </c>
      <c r="CD96" s="66">
        <v>0.36</v>
      </c>
      <c r="CE96" s="66">
        <v>0.32</v>
      </c>
      <c r="CF96" s="66">
        <v>0.77</v>
      </c>
      <c r="CG96" s="66">
        <v>0.55000000000000004</v>
      </c>
      <c r="CH96" s="66">
        <v>0.44</v>
      </c>
      <c r="CI96" s="66">
        <v>0.5</v>
      </c>
      <c r="CJ96" s="66">
        <v>0.33</v>
      </c>
      <c r="CK96" s="66">
        <v>0.67</v>
      </c>
      <c r="CL96" s="66">
        <v>0.28000000000000003</v>
      </c>
      <c r="CM96" s="66">
        <v>0.35</v>
      </c>
      <c r="CN96" s="66">
        <v>0.53</v>
      </c>
      <c r="CO96" s="66">
        <v>0.44</v>
      </c>
      <c r="CP96" s="66">
        <v>0.26</v>
      </c>
      <c r="CQ96" s="66">
        <v>0.55000000000000004</v>
      </c>
      <c r="CR96" s="66">
        <v>0.45</v>
      </c>
      <c r="CS96" s="12">
        <v>52</v>
      </c>
      <c r="CT96" s="12">
        <v>8</v>
      </c>
      <c r="CU96" s="63">
        <v>0.05</v>
      </c>
      <c r="CV96" s="63">
        <v>0.59</v>
      </c>
      <c r="CW96" s="63">
        <v>0.32</v>
      </c>
      <c r="CX96" s="63">
        <v>0.03</v>
      </c>
      <c r="CY96" s="63">
        <v>0.45</v>
      </c>
      <c r="CZ96" s="63">
        <v>0.25</v>
      </c>
      <c r="DA96" s="63">
        <v>0.54</v>
      </c>
      <c r="DB96" s="63">
        <v>0.3</v>
      </c>
      <c r="DC96" s="63">
        <v>0.44</v>
      </c>
      <c r="DD96" s="63">
        <v>0.53</v>
      </c>
      <c r="DE96" s="63">
        <v>0.34</v>
      </c>
      <c r="DF96" s="63">
        <v>0.5</v>
      </c>
      <c r="DG96" s="63">
        <v>0.44</v>
      </c>
      <c r="DH96" s="63">
        <v>0.35</v>
      </c>
      <c r="DI96" s="63">
        <v>0.43</v>
      </c>
      <c r="DJ96" s="63">
        <v>0.54</v>
      </c>
      <c r="DK96" s="63">
        <v>0.35</v>
      </c>
      <c r="DL96" s="63">
        <v>0.31</v>
      </c>
      <c r="DM96" s="63">
        <v>0.51</v>
      </c>
      <c r="DN96" s="63">
        <v>0.5</v>
      </c>
      <c r="DO96" s="63">
        <v>0.27</v>
      </c>
      <c r="DP96" s="63">
        <v>0.48</v>
      </c>
      <c r="DQ96" s="63">
        <v>0.51</v>
      </c>
      <c r="DR96" s="63">
        <v>0.13</v>
      </c>
      <c r="DS96" s="63">
        <v>0.32</v>
      </c>
      <c r="DT96" s="63">
        <v>0.56999999999999995</v>
      </c>
      <c r="DU96" s="63">
        <v>0.33</v>
      </c>
      <c r="DV96" s="63">
        <v>0.7</v>
      </c>
      <c r="DW96" s="63">
        <v>0.39</v>
      </c>
      <c r="DX96" s="35">
        <v>51</v>
      </c>
      <c r="DY96" s="35">
        <v>9</v>
      </c>
      <c r="DZ96" s="40">
        <v>0.12</v>
      </c>
      <c r="EA96" s="40">
        <v>0.54</v>
      </c>
      <c r="EB96" s="40">
        <v>0.34</v>
      </c>
      <c r="EC96" s="40">
        <v>0</v>
      </c>
      <c r="ED96" s="40">
        <v>0.48</v>
      </c>
      <c r="EE96" s="40">
        <v>0.37</v>
      </c>
      <c r="EF96" s="40">
        <v>0.47</v>
      </c>
      <c r="EG96" s="40">
        <v>0.32</v>
      </c>
      <c r="EH96" s="40">
        <v>0.38</v>
      </c>
      <c r="EI96" s="40">
        <v>0.45</v>
      </c>
      <c r="EJ96" s="40">
        <v>0.68</v>
      </c>
      <c r="EK96" s="40">
        <v>0.2</v>
      </c>
      <c r="EL96" s="40">
        <v>0.45</v>
      </c>
      <c r="EM96" s="40">
        <v>0.6</v>
      </c>
      <c r="EN96" s="40">
        <v>0.4</v>
      </c>
      <c r="EO96" s="40">
        <v>0.59</v>
      </c>
      <c r="EP96" s="40">
        <v>0.37</v>
      </c>
      <c r="EQ96" s="40">
        <v>0.23</v>
      </c>
      <c r="ER96" s="40">
        <v>0.59</v>
      </c>
      <c r="ES96" s="40">
        <v>0.45</v>
      </c>
      <c r="ET96" s="40">
        <v>0.24</v>
      </c>
      <c r="EU96" s="40">
        <v>0.62</v>
      </c>
      <c r="EV96" s="40">
        <v>0.3</v>
      </c>
      <c r="EW96" s="40">
        <v>0.3</v>
      </c>
      <c r="EX96" s="40">
        <v>0.63</v>
      </c>
      <c r="EY96" s="40">
        <v>0.56999999999999995</v>
      </c>
      <c r="EZ96" s="40">
        <v>0.32</v>
      </c>
      <c r="FA96" s="40">
        <v>0.68</v>
      </c>
      <c r="FB96" s="247">
        <v>53</v>
      </c>
      <c r="FC96" s="247" t="s">
        <v>874</v>
      </c>
      <c r="FD96" s="247">
        <v>10</v>
      </c>
      <c r="FE96" s="247" t="s">
        <v>874</v>
      </c>
      <c r="FF96" s="264">
        <v>0.09</v>
      </c>
      <c r="FG96" s="264">
        <v>0.53</v>
      </c>
      <c r="FH96" s="264">
        <v>0.34</v>
      </c>
      <c r="FI96" s="264">
        <v>0.04</v>
      </c>
      <c r="FJ96" s="264">
        <v>0.33</v>
      </c>
      <c r="FK96" s="264">
        <v>0.54</v>
      </c>
      <c r="FL96" s="264">
        <v>0.45</v>
      </c>
      <c r="FM96" s="264">
        <v>0.3</v>
      </c>
      <c r="FN96" s="264">
        <v>0.22</v>
      </c>
      <c r="FO96" s="264">
        <v>0.31</v>
      </c>
      <c r="FP96" s="264">
        <v>0.37</v>
      </c>
      <c r="FQ96" s="264">
        <v>0.37</v>
      </c>
      <c r="FR96" s="264">
        <v>0.53</v>
      </c>
      <c r="FS96" s="264">
        <v>0.38</v>
      </c>
      <c r="FT96" s="264">
        <v>0.4</v>
      </c>
      <c r="FU96" s="264">
        <v>0.38</v>
      </c>
      <c r="FV96" s="264">
        <v>0.54</v>
      </c>
      <c r="FW96" s="264">
        <v>0.5</v>
      </c>
      <c r="FX96" s="264">
        <v>0.28000000000000003</v>
      </c>
      <c r="FY96" s="264">
        <v>0.36</v>
      </c>
      <c r="FZ96" s="264">
        <v>0.51</v>
      </c>
      <c r="GA96" s="264">
        <v>0.46</v>
      </c>
      <c r="GB96" s="264">
        <v>0.41</v>
      </c>
      <c r="GC96" s="264">
        <v>0.48</v>
      </c>
      <c r="GD96" s="264">
        <v>0.56000000000000005</v>
      </c>
      <c r="GE96" s="264">
        <v>0.43</v>
      </c>
      <c r="GF96" s="264">
        <v>0.28999999999999998</v>
      </c>
      <c r="GG96" s="264">
        <v>0.39</v>
      </c>
      <c r="GH96" s="264">
        <v>0.51</v>
      </c>
      <c r="GI96" s="264">
        <v>0.27</v>
      </c>
      <c r="GJ96" s="311">
        <v>54</v>
      </c>
      <c r="GK96" s="311" t="s">
        <v>874</v>
      </c>
      <c r="GL96" s="311">
        <v>8</v>
      </c>
      <c r="GM96" s="311" t="s">
        <v>874</v>
      </c>
      <c r="GN96" s="329">
        <v>0.05</v>
      </c>
      <c r="GO96" s="329">
        <v>0.49</v>
      </c>
      <c r="GP96" s="329">
        <v>0.46</v>
      </c>
      <c r="GQ96" s="329">
        <v>0</v>
      </c>
      <c r="GR96" s="329">
        <v>0.5</v>
      </c>
      <c r="GS96" s="329">
        <v>0.38</v>
      </c>
      <c r="GT96" s="329">
        <v>0.5</v>
      </c>
      <c r="GU96" s="329">
        <v>0.18</v>
      </c>
      <c r="GV96" s="329">
        <v>0.54</v>
      </c>
      <c r="GW96" s="329">
        <v>0.24</v>
      </c>
      <c r="GX96" s="329">
        <v>0.4</v>
      </c>
      <c r="GY96" s="311" t="s">
        <v>283</v>
      </c>
      <c r="GZ96" s="329">
        <v>0.28999999999999998</v>
      </c>
      <c r="HA96" s="329">
        <v>0.62</v>
      </c>
      <c r="HB96" s="329">
        <v>0.41</v>
      </c>
      <c r="HC96" s="329">
        <v>0.61</v>
      </c>
      <c r="HD96" s="329">
        <v>0.65</v>
      </c>
      <c r="HE96" s="329">
        <v>0.34</v>
      </c>
      <c r="HF96" s="329">
        <v>0.45</v>
      </c>
      <c r="HG96" s="329">
        <v>0.56000000000000005</v>
      </c>
      <c r="HH96" s="329">
        <v>0.35</v>
      </c>
      <c r="HI96" s="329">
        <v>0.39</v>
      </c>
      <c r="HJ96" s="329">
        <v>0.54</v>
      </c>
      <c r="HK96" s="329">
        <v>0.45</v>
      </c>
      <c r="HL96" s="329">
        <v>0.31</v>
      </c>
      <c r="HM96" s="329">
        <v>0.46</v>
      </c>
      <c r="HN96" s="329">
        <v>0.43</v>
      </c>
      <c r="HO96" s="329">
        <v>0.3</v>
      </c>
      <c r="HP96" s="311" t="s">
        <v>283</v>
      </c>
      <c r="HQ96" s="329">
        <v>0.27</v>
      </c>
      <c r="HR96" s="426">
        <v>53</v>
      </c>
      <c r="HS96" s="426" t="s">
        <v>874</v>
      </c>
      <c r="HT96" s="426">
        <v>9</v>
      </c>
      <c r="HU96" s="426" t="s">
        <v>874</v>
      </c>
      <c r="HV96" s="430">
        <v>0.09</v>
      </c>
      <c r="HW96" s="430">
        <v>0.56000000000000005</v>
      </c>
      <c r="HX96" s="430">
        <v>0.28999999999999998</v>
      </c>
      <c r="HY96" s="430">
        <v>0.06</v>
      </c>
      <c r="HZ96" s="430">
        <v>0.3</v>
      </c>
      <c r="IA96" s="430">
        <v>0.48</v>
      </c>
      <c r="IB96" s="430">
        <v>0.25</v>
      </c>
      <c r="IC96" s="430">
        <v>0.38</v>
      </c>
      <c r="ID96" s="430">
        <v>0.56000000000000005</v>
      </c>
      <c r="IE96" s="430">
        <v>0.33</v>
      </c>
      <c r="IF96" s="430">
        <v>0.42</v>
      </c>
      <c r="IG96" s="430">
        <v>0.44</v>
      </c>
      <c r="IH96" s="430">
        <v>0.56000000000000005</v>
      </c>
      <c r="II96" s="430">
        <v>0.45</v>
      </c>
      <c r="IJ96" s="430">
        <v>0.28999999999999998</v>
      </c>
      <c r="IK96" s="430">
        <v>0.49</v>
      </c>
      <c r="IL96" s="430">
        <v>0.37</v>
      </c>
      <c r="IM96" s="430">
        <v>0.55000000000000004</v>
      </c>
      <c r="IN96" s="430">
        <v>0.41</v>
      </c>
      <c r="IO96" s="430">
        <v>0.49</v>
      </c>
      <c r="IP96" s="430">
        <v>0.36</v>
      </c>
      <c r="IQ96" s="430">
        <v>0.66</v>
      </c>
      <c r="IR96" s="430">
        <v>0.55000000000000004</v>
      </c>
      <c r="IS96" s="430">
        <v>0.56999999999999995</v>
      </c>
      <c r="IT96" s="430">
        <v>0.33</v>
      </c>
      <c r="IU96" s="426" t="s">
        <v>283</v>
      </c>
      <c r="IV96" s="430">
        <v>0.63</v>
      </c>
      <c r="IW96" s="430">
        <v>0.38</v>
      </c>
      <c r="IX96" s="430">
        <v>0.43</v>
      </c>
      <c r="IY96" s="430">
        <v>0.41</v>
      </c>
      <c r="IZ96" s="466">
        <v>51</v>
      </c>
      <c r="JA96" s="466" t="s">
        <v>874</v>
      </c>
      <c r="JB96" s="466">
        <v>9</v>
      </c>
      <c r="JC96" s="466" t="s">
        <v>874</v>
      </c>
      <c r="JD96" s="480">
        <v>0.17</v>
      </c>
      <c r="JE96" s="480">
        <v>0.47</v>
      </c>
      <c r="JF96" s="480">
        <v>0.36</v>
      </c>
      <c r="JG96" s="480">
        <v>0</v>
      </c>
      <c r="JH96" s="480">
        <v>0.54</v>
      </c>
      <c r="JI96" s="480">
        <v>0.5</v>
      </c>
      <c r="JJ96" s="480">
        <v>0.47</v>
      </c>
      <c r="JK96" s="480">
        <v>0.5</v>
      </c>
      <c r="JL96" s="480">
        <v>0.47</v>
      </c>
      <c r="JM96" s="480">
        <v>0.5</v>
      </c>
      <c r="JN96" s="480">
        <v>0.37</v>
      </c>
      <c r="JO96" s="480">
        <v>0.51</v>
      </c>
      <c r="JP96" s="480">
        <v>0.53</v>
      </c>
      <c r="JQ96" s="480">
        <v>0.32</v>
      </c>
      <c r="JR96" s="480">
        <v>0.57999999999999996</v>
      </c>
      <c r="JS96" s="480">
        <v>0.43</v>
      </c>
      <c r="JT96" s="480">
        <v>0.45</v>
      </c>
      <c r="JU96" s="480">
        <v>0.54</v>
      </c>
      <c r="JV96" s="480">
        <v>0.52</v>
      </c>
      <c r="JW96" s="480">
        <v>0.44</v>
      </c>
      <c r="JX96" s="480">
        <v>0.44</v>
      </c>
      <c r="JY96" s="480">
        <v>0.44</v>
      </c>
      <c r="JZ96" s="480">
        <v>0.48</v>
      </c>
      <c r="KA96" s="480">
        <v>0.71</v>
      </c>
      <c r="KB96" s="480">
        <v>0.46</v>
      </c>
      <c r="KC96" s="480">
        <v>0.76</v>
      </c>
      <c r="KD96" s="480">
        <v>0.32</v>
      </c>
      <c r="KE96" s="480">
        <v>0.37</v>
      </c>
      <c r="KF96" s="480">
        <v>0.43</v>
      </c>
      <c r="KG96" s="480">
        <v>0.52</v>
      </c>
    </row>
    <row r="97" spans="1:293" ht="24.95" customHeight="1" x14ac:dyDescent="0.2">
      <c r="A97" s="126" t="s">
        <v>77</v>
      </c>
      <c r="B97" s="1" t="s">
        <v>221</v>
      </c>
      <c r="C97" s="2">
        <v>2</v>
      </c>
      <c r="D97" s="12">
        <v>53</v>
      </c>
      <c r="E97" s="12">
        <v>8</v>
      </c>
      <c r="F97" s="66">
        <v>0.06</v>
      </c>
      <c r="G97" s="66">
        <v>0.47</v>
      </c>
      <c r="H97" s="66">
        <v>0.47</v>
      </c>
      <c r="I97" s="66">
        <v>0</v>
      </c>
      <c r="J97" s="66">
        <v>0.25</v>
      </c>
      <c r="K97" s="66">
        <v>0.52</v>
      </c>
      <c r="L97" s="66">
        <v>0.78</v>
      </c>
      <c r="M97" s="66">
        <v>0.27</v>
      </c>
      <c r="N97" s="66">
        <v>0.32</v>
      </c>
      <c r="O97" s="66">
        <v>0.77</v>
      </c>
      <c r="P97" s="66">
        <v>0.32</v>
      </c>
      <c r="Q97" s="66">
        <v>0.42</v>
      </c>
      <c r="R97" s="66">
        <v>0.49</v>
      </c>
      <c r="S97" s="66">
        <v>0.66</v>
      </c>
      <c r="T97" s="66">
        <v>0.48</v>
      </c>
      <c r="U97" s="66">
        <v>0.6</v>
      </c>
      <c r="V97" s="66">
        <v>0.08</v>
      </c>
      <c r="W97" s="66">
        <v>0.1</v>
      </c>
      <c r="X97" s="66">
        <v>0.41</v>
      </c>
      <c r="Y97" s="66">
        <v>0.61</v>
      </c>
      <c r="Z97" s="66">
        <v>0.5</v>
      </c>
      <c r="AA97" s="66">
        <v>0.27</v>
      </c>
      <c r="AB97" s="66">
        <v>0.48</v>
      </c>
      <c r="AC97" s="66">
        <v>0.27</v>
      </c>
      <c r="AD97" s="66">
        <v>0.45</v>
      </c>
      <c r="AE97" s="66">
        <v>0.56000000000000005</v>
      </c>
      <c r="AF97" s="66">
        <v>0.54</v>
      </c>
      <c r="AG97" s="66">
        <v>0.5</v>
      </c>
      <c r="AH97" s="12">
        <v>46</v>
      </c>
      <c r="AI97" s="12">
        <v>9</v>
      </c>
      <c r="AJ97" s="40">
        <v>0.35</v>
      </c>
      <c r="AK97" s="40">
        <v>0.59</v>
      </c>
      <c r="AL97" s="40">
        <v>0.06</v>
      </c>
      <c r="AM97" s="40">
        <v>0</v>
      </c>
      <c r="AN97" s="40">
        <v>0.64</v>
      </c>
      <c r="AO97" s="40">
        <v>0.48</v>
      </c>
      <c r="AP97" s="40">
        <v>0.75</v>
      </c>
      <c r="AQ97" s="40">
        <v>0.52</v>
      </c>
      <c r="AR97" s="40">
        <v>0.73</v>
      </c>
      <c r="AS97" s="40">
        <v>0.62</v>
      </c>
      <c r="AT97" s="40">
        <v>0.39</v>
      </c>
      <c r="AU97" s="40">
        <v>0.64</v>
      </c>
      <c r="AV97" s="40">
        <v>0.66</v>
      </c>
      <c r="AW97" s="40">
        <v>0.5</v>
      </c>
      <c r="AX97" s="40">
        <v>0.69</v>
      </c>
      <c r="AY97" s="40">
        <v>0.42</v>
      </c>
      <c r="AZ97" s="40">
        <v>0.3</v>
      </c>
      <c r="BA97" s="40">
        <v>0.56999999999999995</v>
      </c>
      <c r="BB97" s="40">
        <v>0.66</v>
      </c>
      <c r="BC97" s="40">
        <v>0.63</v>
      </c>
      <c r="BD97" s="40">
        <v>0.6</v>
      </c>
      <c r="BE97" s="40">
        <v>1</v>
      </c>
      <c r="BF97" s="40">
        <v>0.89</v>
      </c>
      <c r="BG97" s="40">
        <v>0.51</v>
      </c>
      <c r="BH97" s="40">
        <v>0.49</v>
      </c>
      <c r="BI97" s="40">
        <v>0.51</v>
      </c>
      <c r="BJ97" s="40">
        <v>0.48</v>
      </c>
      <c r="BK97" s="40">
        <v>0.53</v>
      </c>
      <c r="BL97" s="40">
        <v>0.5</v>
      </c>
      <c r="BM97" s="12">
        <v>50</v>
      </c>
      <c r="BN97" s="12">
        <v>8</v>
      </c>
      <c r="BO97" s="66">
        <v>7.0000000000000007E-2</v>
      </c>
      <c r="BP97" s="66">
        <v>0.53</v>
      </c>
      <c r="BQ97" s="66">
        <v>0.4</v>
      </c>
      <c r="BR97" s="66">
        <v>0</v>
      </c>
      <c r="BS97" s="66">
        <v>0.28000000000000003</v>
      </c>
      <c r="BT97" s="66">
        <v>0.78</v>
      </c>
      <c r="BU97" s="66">
        <v>0.6</v>
      </c>
      <c r="BV97" s="66">
        <v>0.38</v>
      </c>
      <c r="BW97" s="66">
        <v>0.55000000000000004</v>
      </c>
      <c r="BX97" s="66">
        <v>0.38</v>
      </c>
      <c r="BY97" s="66">
        <v>0.33</v>
      </c>
      <c r="BZ97" s="66">
        <v>0.43</v>
      </c>
      <c r="CA97" s="66">
        <v>0.5</v>
      </c>
      <c r="CB97" s="66">
        <v>0.65</v>
      </c>
      <c r="CC97" s="66">
        <v>0.12</v>
      </c>
      <c r="CD97" s="66">
        <v>0.39</v>
      </c>
      <c r="CE97" s="66">
        <v>0.41</v>
      </c>
      <c r="CF97" s="66">
        <v>0.4</v>
      </c>
      <c r="CG97" s="66">
        <v>0.82</v>
      </c>
      <c r="CH97" s="66">
        <v>0.45</v>
      </c>
      <c r="CI97" s="66">
        <v>0.53</v>
      </c>
      <c r="CJ97" s="66">
        <v>0.4</v>
      </c>
      <c r="CK97" s="66">
        <v>0.72</v>
      </c>
      <c r="CL97" s="66">
        <v>0.41</v>
      </c>
      <c r="CM97" s="66">
        <v>0.39</v>
      </c>
      <c r="CN97" s="66">
        <v>0.53</v>
      </c>
      <c r="CO97" s="66">
        <v>0.3</v>
      </c>
      <c r="CP97" s="66">
        <v>0.38</v>
      </c>
      <c r="CQ97" s="66">
        <v>0.56000000000000005</v>
      </c>
      <c r="CR97" s="66">
        <v>0.67</v>
      </c>
      <c r="CS97" s="12">
        <v>50</v>
      </c>
      <c r="CT97" s="12">
        <v>6</v>
      </c>
      <c r="CU97" s="63">
        <v>0.09</v>
      </c>
      <c r="CV97" s="63">
        <v>0.73</v>
      </c>
      <c r="CW97" s="63">
        <v>0.18</v>
      </c>
      <c r="CX97" s="63">
        <v>0</v>
      </c>
      <c r="CY97" s="63">
        <v>0.46</v>
      </c>
      <c r="CZ97" s="63">
        <v>0.31</v>
      </c>
      <c r="DA97" s="63">
        <v>0.52</v>
      </c>
      <c r="DB97" s="63">
        <v>0.14000000000000001</v>
      </c>
      <c r="DC97" s="63">
        <v>0.39</v>
      </c>
      <c r="DD97" s="63">
        <v>0.53</v>
      </c>
      <c r="DE97" s="63">
        <v>0.5</v>
      </c>
      <c r="DF97" s="63">
        <v>0.5</v>
      </c>
      <c r="DG97" s="63">
        <v>0.32</v>
      </c>
      <c r="DH97" s="63">
        <v>0.38</v>
      </c>
      <c r="DI97" s="63">
        <v>0.56000000000000005</v>
      </c>
      <c r="DJ97" s="63">
        <v>0.67</v>
      </c>
      <c r="DK97" s="63">
        <v>0.4</v>
      </c>
      <c r="DL97" s="63">
        <v>0.2</v>
      </c>
      <c r="DM97" s="63">
        <v>0.48</v>
      </c>
      <c r="DN97" s="63">
        <v>0.46</v>
      </c>
      <c r="DO97" s="63">
        <v>0.79</v>
      </c>
      <c r="DP97" s="63">
        <v>0.48</v>
      </c>
      <c r="DQ97" s="63">
        <v>0.67</v>
      </c>
      <c r="DR97" s="63">
        <v>0.26</v>
      </c>
      <c r="DS97" s="63">
        <v>0.28999999999999998</v>
      </c>
      <c r="DT97" s="63">
        <v>0.7</v>
      </c>
      <c r="DU97" s="63">
        <v>0.67</v>
      </c>
      <c r="DV97" s="63">
        <v>0.52</v>
      </c>
      <c r="DW97" s="63">
        <v>0.31</v>
      </c>
      <c r="DX97" s="35">
        <v>51</v>
      </c>
      <c r="DY97" s="35">
        <v>9</v>
      </c>
      <c r="DZ97" s="40">
        <v>0.14000000000000001</v>
      </c>
      <c r="EA97" s="40">
        <v>0.5</v>
      </c>
      <c r="EB97" s="40">
        <v>0.36</v>
      </c>
      <c r="EC97" s="40">
        <v>0</v>
      </c>
      <c r="ED97" s="40">
        <v>0.38</v>
      </c>
      <c r="EE97" s="40">
        <v>0.59</v>
      </c>
      <c r="EF97" s="40">
        <v>0.5</v>
      </c>
      <c r="EG97" s="40">
        <v>0.44</v>
      </c>
      <c r="EH97" s="40">
        <v>0.33</v>
      </c>
      <c r="EI97" s="40">
        <v>0.26</v>
      </c>
      <c r="EJ97" s="40">
        <v>0.59</v>
      </c>
      <c r="EK97" s="40">
        <v>0.13</v>
      </c>
      <c r="EL97" s="40">
        <v>0.47</v>
      </c>
      <c r="EM97" s="40">
        <v>0.8</v>
      </c>
      <c r="EN97" s="40">
        <v>0.4</v>
      </c>
      <c r="EO97" s="40">
        <v>0.49</v>
      </c>
      <c r="EP97" s="40">
        <v>0.38</v>
      </c>
      <c r="EQ97" s="40">
        <v>0.2</v>
      </c>
      <c r="ER97" s="40">
        <v>0.48</v>
      </c>
      <c r="ES97" s="40">
        <v>0.42</v>
      </c>
      <c r="ET97" s="40">
        <v>0.22</v>
      </c>
      <c r="EU97" s="40">
        <v>0.64</v>
      </c>
      <c r="EV97" s="40">
        <v>0.38</v>
      </c>
      <c r="EW97" s="40">
        <v>0.35</v>
      </c>
      <c r="EX97" s="40">
        <v>0.71</v>
      </c>
      <c r="EY97" s="40">
        <v>0.71</v>
      </c>
      <c r="EZ97" s="40">
        <v>0.13</v>
      </c>
      <c r="FA97" s="40">
        <v>0.59</v>
      </c>
      <c r="FB97" s="247">
        <v>47</v>
      </c>
      <c r="FC97" s="247" t="s">
        <v>874</v>
      </c>
      <c r="FD97" s="247">
        <v>7</v>
      </c>
      <c r="FE97" s="247" t="s">
        <v>874</v>
      </c>
      <c r="FF97" s="264">
        <v>0.14000000000000001</v>
      </c>
      <c r="FG97" s="264">
        <v>0.71</v>
      </c>
      <c r="FH97" s="264">
        <v>0.14000000000000001</v>
      </c>
      <c r="FI97" s="264">
        <v>0</v>
      </c>
      <c r="FJ97" s="264">
        <v>0.36</v>
      </c>
      <c r="FK97" s="264">
        <v>0.56000000000000005</v>
      </c>
      <c r="FL97" s="264">
        <v>0.68</v>
      </c>
      <c r="FM97" s="264">
        <v>0.56999999999999995</v>
      </c>
      <c r="FN97" s="264">
        <v>0.6</v>
      </c>
      <c r="FO97" s="264">
        <v>0.33</v>
      </c>
      <c r="FP97" s="264">
        <v>0.28999999999999998</v>
      </c>
      <c r="FQ97" s="264">
        <v>0.53</v>
      </c>
      <c r="FR97" s="264">
        <v>0.41</v>
      </c>
      <c r="FS97" s="264">
        <v>0.45</v>
      </c>
      <c r="FT97" s="264">
        <v>0.56000000000000005</v>
      </c>
      <c r="FU97" s="264">
        <v>0.25</v>
      </c>
      <c r="FV97" s="264">
        <v>0.7</v>
      </c>
      <c r="FW97" s="264">
        <v>0.92</v>
      </c>
      <c r="FX97" s="264">
        <v>0.33</v>
      </c>
      <c r="FY97" s="264">
        <v>0.28999999999999998</v>
      </c>
      <c r="FZ97" s="264">
        <v>0.5</v>
      </c>
      <c r="GA97" s="264">
        <v>0.38</v>
      </c>
      <c r="GB97" s="264">
        <v>0.62</v>
      </c>
      <c r="GC97" s="264">
        <v>0.56000000000000005</v>
      </c>
      <c r="GD97" s="264">
        <v>0.64</v>
      </c>
      <c r="GE97" s="264">
        <v>0.44</v>
      </c>
      <c r="GF97" s="264">
        <v>0.17</v>
      </c>
      <c r="GG97" s="264">
        <v>0.5</v>
      </c>
      <c r="GH97" s="264">
        <v>0.69</v>
      </c>
      <c r="GI97" s="264">
        <v>0.55000000000000004</v>
      </c>
      <c r="GJ97" s="311">
        <v>48</v>
      </c>
      <c r="GK97" s="311" t="s">
        <v>874</v>
      </c>
      <c r="GL97" s="311">
        <v>10</v>
      </c>
      <c r="GM97" s="311" t="s">
        <v>874</v>
      </c>
      <c r="GN97" s="329">
        <v>0.2</v>
      </c>
      <c r="GO97" s="329">
        <v>0.6</v>
      </c>
      <c r="GP97" s="329">
        <v>0.2</v>
      </c>
      <c r="GQ97" s="329">
        <v>0</v>
      </c>
      <c r="GR97" s="329">
        <v>0.6</v>
      </c>
      <c r="GS97" s="329">
        <v>0.77</v>
      </c>
      <c r="GT97" s="329">
        <v>0.7</v>
      </c>
      <c r="GU97" s="329">
        <v>0.33</v>
      </c>
      <c r="GV97" s="329">
        <v>0.59</v>
      </c>
      <c r="GW97" s="329">
        <v>0.56000000000000005</v>
      </c>
      <c r="GX97" s="329">
        <v>0.45</v>
      </c>
      <c r="GY97" s="311" t="s">
        <v>283</v>
      </c>
      <c r="GZ97" s="329">
        <v>0.31</v>
      </c>
      <c r="HA97" s="329">
        <v>0.83</v>
      </c>
      <c r="HB97" s="329">
        <v>0.46</v>
      </c>
      <c r="HC97" s="329">
        <v>0.71</v>
      </c>
      <c r="HD97" s="329">
        <v>0.56000000000000005</v>
      </c>
      <c r="HE97" s="329">
        <v>0.52</v>
      </c>
      <c r="HF97" s="329">
        <v>0.43</v>
      </c>
      <c r="HG97" s="329">
        <v>0.56999999999999995</v>
      </c>
      <c r="HH97" s="329">
        <v>0.52</v>
      </c>
      <c r="HI97" s="329">
        <v>0.56000000000000005</v>
      </c>
      <c r="HJ97" s="329">
        <v>0.71</v>
      </c>
      <c r="HK97" s="329">
        <v>0.6</v>
      </c>
      <c r="HL97" s="329">
        <v>0.3</v>
      </c>
      <c r="HM97" s="329">
        <v>0.48</v>
      </c>
      <c r="HN97" s="329">
        <v>0.5</v>
      </c>
      <c r="HO97" s="329">
        <v>0.44</v>
      </c>
      <c r="HP97" s="311" t="s">
        <v>283</v>
      </c>
      <c r="HQ97" s="329">
        <v>0.68</v>
      </c>
      <c r="HR97" s="426">
        <v>49</v>
      </c>
      <c r="HS97" s="426" t="s">
        <v>874</v>
      </c>
      <c r="HT97" s="426">
        <v>8</v>
      </c>
      <c r="HU97" s="426" t="s">
        <v>874</v>
      </c>
      <c r="HV97" s="430">
        <v>0.17</v>
      </c>
      <c r="HW97" s="430">
        <v>0.67</v>
      </c>
      <c r="HX97" s="430">
        <v>0.17</v>
      </c>
      <c r="HY97" s="430">
        <v>0</v>
      </c>
      <c r="HZ97" s="430">
        <v>0.23</v>
      </c>
      <c r="IA97" s="430">
        <v>0.56999999999999995</v>
      </c>
      <c r="IB97" s="430">
        <v>0.2</v>
      </c>
      <c r="IC97" s="430">
        <v>0.35</v>
      </c>
      <c r="ID97" s="430">
        <v>0.57999999999999996</v>
      </c>
      <c r="IE97" s="430">
        <v>0.36</v>
      </c>
      <c r="IF97" s="430">
        <v>0.54</v>
      </c>
      <c r="IG97" s="430">
        <v>0.86</v>
      </c>
      <c r="IH97" s="430">
        <v>0.5</v>
      </c>
      <c r="II97" s="430">
        <v>0.5</v>
      </c>
      <c r="IJ97" s="430">
        <v>0.3</v>
      </c>
      <c r="IK97" s="430">
        <v>0.71</v>
      </c>
      <c r="IL97" s="430">
        <v>0.5</v>
      </c>
      <c r="IM97" s="430">
        <v>0.64</v>
      </c>
      <c r="IN97" s="430">
        <v>0.39</v>
      </c>
      <c r="IO97" s="430">
        <v>0.72</v>
      </c>
      <c r="IP97" s="430">
        <v>0.4</v>
      </c>
      <c r="IQ97" s="430">
        <v>0.64</v>
      </c>
      <c r="IR97" s="430">
        <v>0.56999999999999995</v>
      </c>
      <c r="IS97" s="430">
        <v>0.6</v>
      </c>
      <c r="IT97" s="430">
        <v>0.37</v>
      </c>
      <c r="IU97" s="426" t="s">
        <v>283</v>
      </c>
      <c r="IV97" s="430">
        <v>0.6</v>
      </c>
      <c r="IW97" s="430">
        <v>0.46</v>
      </c>
      <c r="IX97" s="430">
        <v>0.6</v>
      </c>
      <c r="IY97" s="430">
        <v>0.61</v>
      </c>
      <c r="IZ97" s="466">
        <v>56</v>
      </c>
      <c r="JA97" s="466" t="s">
        <v>874</v>
      </c>
      <c r="JB97" s="466">
        <v>7</v>
      </c>
      <c r="JC97" s="466" t="s">
        <v>874</v>
      </c>
      <c r="JD97" s="480">
        <v>0</v>
      </c>
      <c r="JE97" s="480">
        <v>0.56999999999999995</v>
      </c>
      <c r="JF97" s="480">
        <v>0.43</v>
      </c>
      <c r="JG97" s="480">
        <v>0</v>
      </c>
      <c r="JH97" s="480">
        <v>0.28999999999999998</v>
      </c>
      <c r="JI97" s="480">
        <v>0.5</v>
      </c>
      <c r="JJ97" s="480">
        <v>0.33</v>
      </c>
      <c r="JK97" s="480">
        <v>0.4</v>
      </c>
      <c r="JL97" s="480">
        <v>0.5</v>
      </c>
      <c r="JM97" s="480">
        <v>0.38</v>
      </c>
      <c r="JN97" s="480">
        <v>0.42</v>
      </c>
      <c r="JO97" s="480">
        <v>0.41</v>
      </c>
      <c r="JP97" s="480">
        <v>0.33</v>
      </c>
      <c r="JQ97" s="480">
        <v>0.23</v>
      </c>
      <c r="JR97" s="480">
        <v>0.2</v>
      </c>
      <c r="JS97" s="480">
        <v>0.17</v>
      </c>
      <c r="JT97" s="480">
        <v>0.5</v>
      </c>
      <c r="JU97" s="480">
        <v>0.5</v>
      </c>
      <c r="JV97" s="480">
        <v>0.44</v>
      </c>
      <c r="JW97" s="480">
        <v>0.39</v>
      </c>
      <c r="JX97" s="480">
        <v>0.36</v>
      </c>
      <c r="JY97" s="480">
        <v>0.25</v>
      </c>
      <c r="JZ97" s="480">
        <v>0.46</v>
      </c>
      <c r="KA97" s="480">
        <v>0.5</v>
      </c>
      <c r="KB97" s="480">
        <v>0.33</v>
      </c>
      <c r="KC97" s="480">
        <v>0.71</v>
      </c>
      <c r="KD97" s="480">
        <v>0.2</v>
      </c>
      <c r="KE97" s="480">
        <v>0.54</v>
      </c>
      <c r="KF97" s="480">
        <v>0.38</v>
      </c>
      <c r="KG97" s="480">
        <v>0.4</v>
      </c>
    </row>
    <row r="98" spans="1:293" ht="24.95" customHeight="1" x14ac:dyDescent="0.2">
      <c r="A98" s="126" t="s">
        <v>36</v>
      </c>
      <c r="B98" s="1" t="s">
        <v>219</v>
      </c>
      <c r="C98" s="2" t="s">
        <v>220</v>
      </c>
      <c r="D98" s="12">
        <v>54</v>
      </c>
      <c r="E98" s="12">
        <v>7</v>
      </c>
      <c r="F98" s="66">
        <v>0</v>
      </c>
      <c r="G98" s="66">
        <v>0.59</v>
      </c>
      <c r="H98" s="66">
        <v>0.41</v>
      </c>
      <c r="I98" s="66">
        <v>0</v>
      </c>
      <c r="J98" s="66">
        <v>0.46</v>
      </c>
      <c r="K98" s="66">
        <v>0.35</v>
      </c>
      <c r="L98" s="66">
        <v>0.8</v>
      </c>
      <c r="M98" s="66">
        <v>0.19</v>
      </c>
      <c r="N98" s="66">
        <v>0.27</v>
      </c>
      <c r="O98" s="66">
        <v>0.57999999999999996</v>
      </c>
      <c r="P98" s="66">
        <v>0.3</v>
      </c>
      <c r="Q98" s="66">
        <v>0.49</v>
      </c>
      <c r="R98" s="66">
        <v>0.52</v>
      </c>
      <c r="S98" s="66">
        <v>0.65</v>
      </c>
      <c r="T98" s="66">
        <v>0.45</v>
      </c>
      <c r="U98" s="66">
        <v>0.55000000000000004</v>
      </c>
      <c r="V98" s="66">
        <v>0.08</v>
      </c>
      <c r="W98" s="66">
        <v>0.06</v>
      </c>
      <c r="X98" s="66">
        <v>0.53</v>
      </c>
      <c r="Y98" s="66">
        <v>0.43</v>
      </c>
      <c r="Z98" s="66">
        <v>1</v>
      </c>
      <c r="AA98" s="66">
        <v>0.02</v>
      </c>
      <c r="AB98" s="66">
        <v>0.45</v>
      </c>
      <c r="AC98" s="66">
        <v>0.22</v>
      </c>
      <c r="AD98" s="66">
        <v>0.45</v>
      </c>
      <c r="AE98" s="66">
        <v>0.47</v>
      </c>
      <c r="AF98" s="66">
        <v>0.49</v>
      </c>
      <c r="AG98" s="66">
        <v>0.53</v>
      </c>
      <c r="AH98" s="12">
        <v>51</v>
      </c>
      <c r="AI98" s="12">
        <v>7</v>
      </c>
      <c r="AJ98" s="40">
        <v>0.1</v>
      </c>
      <c r="AK98" s="40">
        <v>0.62</v>
      </c>
      <c r="AL98" s="40">
        <v>0.28999999999999998</v>
      </c>
      <c r="AM98" s="40">
        <v>0</v>
      </c>
      <c r="AN98" s="40">
        <v>0.28000000000000003</v>
      </c>
      <c r="AO98" s="40">
        <v>0.52</v>
      </c>
      <c r="AP98" s="40">
        <v>0.56999999999999995</v>
      </c>
      <c r="AQ98" s="40">
        <v>0.43</v>
      </c>
      <c r="AR98" s="40">
        <v>0.62</v>
      </c>
      <c r="AS98" s="40">
        <v>0.48</v>
      </c>
      <c r="AT98" s="40">
        <v>0.56999999999999995</v>
      </c>
      <c r="AU98" s="40">
        <v>0.56999999999999995</v>
      </c>
      <c r="AV98" s="40">
        <v>0.59</v>
      </c>
      <c r="AW98" s="40">
        <v>0.55000000000000004</v>
      </c>
      <c r="AX98" s="40">
        <v>0.6</v>
      </c>
      <c r="AY98" s="40">
        <v>0.28999999999999998</v>
      </c>
      <c r="AZ98" s="40">
        <v>0.24</v>
      </c>
      <c r="BA98" s="40">
        <v>0.54</v>
      </c>
      <c r="BB98" s="40">
        <v>0.67</v>
      </c>
      <c r="BC98" s="40">
        <v>0.73</v>
      </c>
      <c r="BD98" s="40">
        <v>0.39</v>
      </c>
      <c r="BE98" s="40">
        <v>0.65</v>
      </c>
      <c r="BF98" s="40">
        <v>0.52</v>
      </c>
      <c r="BG98" s="40">
        <v>0.63</v>
      </c>
      <c r="BH98" s="40">
        <v>0.42</v>
      </c>
      <c r="BI98" s="40">
        <v>0.4</v>
      </c>
      <c r="BJ98" s="40">
        <v>0.38</v>
      </c>
      <c r="BK98" s="40">
        <v>0.46</v>
      </c>
      <c r="BL98" s="40">
        <v>0.5</v>
      </c>
      <c r="BM98" s="12">
        <v>50</v>
      </c>
      <c r="BN98" s="12">
        <v>9</v>
      </c>
      <c r="BO98" s="66">
        <v>0.12</v>
      </c>
      <c r="BP98" s="66">
        <v>0.62</v>
      </c>
      <c r="BQ98" s="66">
        <v>0.26</v>
      </c>
      <c r="BR98" s="66">
        <v>0</v>
      </c>
      <c r="BS98" s="66">
        <v>0.31</v>
      </c>
      <c r="BT98" s="66">
        <v>0.63</v>
      </c>
      <c r="BU98" s="66">
        <v>0.77</v>
      </c>
      <c r="BV98" s="66">
        <v>0.44</v>
      </c>
      <c r="BW98" s="66">
        <v>0.6</v>
      </c>
      <c r="BX98" s="66">
        <v>0.34</v>
      </c>
      <c r="BY98" s="66">
        <v>0.52</v>
      </c>
      <c r="BZ98" s="66">
        <v>0.51</v>
      </c>
      <c r="CA98" s="66">
        <v>0.46</v>
      </c>
      <c r="CB98" s="66">
        <v>0.45</v>
      </c>
      <c r="CC98" s="66">
        <v>0.15</v>
      </c>
      <c r="CD98" s="66">
        <v>0.41</v>
      </c>
      <c r="CE98" s="66">
        <v>0.34</v>
      </c>
      <c r="CF98" s="66">
        <v>0.69</v>
      </c>
      <c r="CG98" s="66">
        <v>0.69</v>
      </c>
      <c r="CH98" s="66">
        <v>0.42</v>
      </c>
      <c r="CI98" s="66">
        <v>0.62</v>
      </c>
      <c r="CJ98" s="66">
        <v>0.43</v>
      </c>
      <c r="CK98" s="66">
        <v>0.73</v>
      </c>
      <c r="CL98" s="66">
        <v>0.37</v>
      </c>
      <c r="CM98" s="66">
        <v>0.44</v>
      </c>
      <c r="CN98" s="66">
        <v>0.49</v>
      </c>
      <c r="CO98" s="66">
        <v>0.36</v>
      </c>
      <c r="CP98" s="66">
        <v>0.31</v>
      </c>
      <c r="CQ98" s="66">
        <v>0.59</v>
      </c>
      <c r="CR98" s="66">
        <v>0.51</v>
      </c>
      <c r="CS98" s="12">
        <v>49</v>
      </c>
      <c r="CT98" s="12">
        <v>9</v>
      </c>
      <c r="CU98" s="63">
        <v>0.18</v>
      </c>
      <c r="CV98" s="63">
        <v>0.56999999999999995</v>
      </c>
      <c r="CW98" s="63">
        <v>0.25</v>
      </c>
      <c r="CX98" s="63">
        <v>0</v>
      </c>
      <c r="CY98" s="63">
        <v>0.48</v>
      </c>
      <c r="CZ98" s="63">
        <v>0.3</v>
      </c>
      <c r="DA98" s="63">
        <v>0.66</v>
      </c>
      <c r="DB98" s="63">
        <v>0.42</v>
      </c>
      <c r="DC98" s="63">
        <v>0.48</v>
      </c>
      <c r="DD98" s="63">
        <v>0.62</v>
      </c>
      <c r="DE98" s="63">
        <v>0.53</v>
      </c>
      <c r="DF98" s="63">
        <v>0.57999999999999996</v>
      </c>
      <c r="DG98" s="63">
        <v>0.44</v>
      </c>
      <c r="DH98" s="63">
        <v>0.41</v>
      </c>
      <c r="DI98" s="63">
        <v>0.51</v>
      </c>
      <c r="DJ98" s="63">
        <v>0.56000000000000005</v>
      </c>
      <c r="DK98" s="63">
        <v>0.44</v>
      </c>
      <c r="DL98" s="63">
        <v>0.33</v>
      </c>
      <c r="DM98" s="63">
        <v>0.56000000000000005</v>
      </c>
      <c r="DN98" s="63">
        <v>0.49</v>
      </c>
      <c r="DO98" s="63">
        <v>0.53</v>
      </c>
      <c r="DP98" s="63">
        <v>0.44</v>
      </c>
      <c r="DQ98" s="63">
        <v>0.55000000000000004</v>
      </c>
      <c r="DR98" s="63">
        <v>0.18</v>
      </c>
      <c r="DS98" s="63">
        <v>0.44</v>
      </c>
      <c r="DT98" s="63">
        <v>0.57999999999999996</v>
      </c>
      <c r="DU98" s="63">
        <v>0.56000000000000005</v>
      </c>
      <c r="DV98" s="63">
        <v>0.55000000000000004</v>
      </c>
      <c r="DW98" s="63">
        <v>0.37</v>
      </c>
      <c r="DX98" s="35">
        <v>48</v>
      </c>
      <c r="DY98" s="35">
        <v>9</v>
      </c>
      <c r="DZ98" s="40">
        <v>0.21</v>
      </c>
      <c r="EA98" s="40">
        <v>0.61</v>
      </c>
      <c r="EB98" s="40">
        <v>0.18</v>
      </c>
      <c r="EC98" s="40">
        <v>0</v>
      </c>
      <c r="ED98" s="40">
        <v>0.48</v>
      </c>
      <c r="EE98" s="40">
        <v>0.52</v>
      </c>
      <c r="EF98" s="40">
        <v>0.42</v>
      </c>
      <c r="EG98" s="40">
        <v>0.35</v>
      </c>
      <c r="EH98" s="40">
        <v>0.46</v>
      </c>
      <c r="EI98" s="40">
        <v>0.51</v>
      </c>
      <c r="EJ98" s="40">
        <v>0.55000000000000004</v>
      </c>
      <c r="EK98" s="40">
        <v>0.2</v>
      </c>
      <c r="EL98" s="40">
        <v>0.46</v>
      </c>
      <c r="EM98" s="40">
        <v>0.5</v>
      </c>
      <c r="EN98" s="40">
        <v>0.56000000000000005</v>
      </c>
      <c r="EO98" s="40">
        <v>0.56999999999999995</v>
      </c>
      <c r="EP98" s="40">
        <v>0.51</v>
      </c>
      <c r="EQ98" s="40">
        <v>0.27</v>
      </c>
      <c r="ER98" s="40">
        <v>0.62</v>
      </c>
      <c r="ES98" s="40">
        <v>0.48</v>
      </c>
      <c r="ET98" s="40">
        <v>0.4</v>
      </c>
      <c r="EU98" s="40">
        <v>0.63</v>
      </c>
      <c r="EV98" s="40">
        <v>0.44</v>
      </c>
      <c r="EW98" s="40">
        <v>0.3</v>
      </c>
      <c r="EX98" s="40">
        <v>0.78</v>
      </c>
      <c r="EY98" s="40">
        <v>0.65</v>
      </c>
      <c r="EZ98" s="40">
        <v>0.24</v>
      </c>
      <c r="FA98" s="40">
        <v>0.64</v>
      </c>
      <c r="FB98" s="247">
        <v>48</v>
      </c>
      <c r="FC98" s="247" t="s">
        <v>874</v>
      </c>
      <c r="FD98" s="247">
        <v>9</v>
      </c>
      <c r="FE98" s="247" t="s">
        <v>874</v>
      </c>
      <c r="FF98" s="264">
        <v>0.25</v>
      </c>
      <c r="FG98" s="264">
        <v>0.55000000000000004</v>
      </c>
      <c r="FH98" s="264">
        <v>0.2</v>
      </c>
      <c r="FI98" s="264">
        <v>0</v>
      </c>
      <c r="FJ98" s="264">
        <v>0.53</v>
      </c>
      <c r="FK98" s="264">
        <v>0.67</v>
      </c>
      <c r="FL98" s="264">
        <v>0.56999999999999995</v>
      </c>
      <c r="FM98" s="264">
        <v>0.43</v>
      </c>
      <c r="FN98" s="264">
        <v>0.34</v>
      </c>
      <c r="FO98" s="264">
        <v>0.41</v>
      </c>
      <c r="FP98" s="264">
        <v>0.43</v>
      </c>
      <c r="FQ98" s="264">
        <v>0.4</v>
      </c>
      <c r="FR98" s="264">
        <v>0.59</v>
      </c>
      <c r="FS98" s="264">
        <v>0.56999999999999995</v>
      </c>
      <c r="FT98" s="264">
        <v>0.53</v>
      </c>
      <c r="FU98" s="264">
        <v>0.38</v>
      </c>
      <c r="FV98" s="264">
        <v>0.67</v>
      </c>
      <c r="FW98" s="264">
        <v>0.56999999999999995</v>
      </c>
      <c r="FX98" s="264">
        <v>0.49</v>
      </c>
      <c r="FY98" s="264">
        <v>0.41</v>
      </c>
      <c r="FZ98" s="264">
        <v>0.39</v>
      </c>
      <c r="GA98" s="264">
        <v>0.6</v>
      </c>
      <c r="GB98" s="264">
        <v>0.54</v>
      </c>
      <c r="GC98" s="264">
        <v>0.5</v>
      </c>
      <c r="GD98" s="264">
        <v>0.6</v>
      </c>
      <c r="GE98" s="264">
        <v>0.52</v>
      </c>
      <c r="GF98" s="264">
        <v>0.62</v>
      </c>
      <c r="GG98" s="264">
        <v>0.43</v>
      </c>
      <c r="GH98" s="264">
        <v>0.64</v>
      </c>
      <c r="GI98" s="264">
        <v>0.3</v>
      </c>
      <c r="GJ98" s="311">
        <v>50</v>
      </c>
      <c r="GK98" s="311" t="s">
        <v>874</v>
      </c>
      <c r="GL98" s="311">
        <v>9</v>
      </c>
      <c r="GM98" s="311" t="s">
        <v>874</v>
      </c>
      <c r="GN98" s="329">
        <v>0.18</v>
      </c>
      <c r="GO98" s="329">
        <v>0.57999999999999996</v>
      </c>
      <c r="GP98" s="329">
        <v>0.25</v>
      </c>
      <c r="GQ98" s="329">
        <v>0</v>
      </c>
      <c r="GR98" s="329">
        <v>0.49</v>
      </c>
      <c r="GS98" s="329">
        <v>0.63</v>
      </c>
      <c r="GT98" s="329">
        <v>0.59</v>
      </c>
      <c r="GU98" s="329">
        <v>0.1</v>
      </c>
      <c r="GV98" s="329">
        <v>0.55000000000000004</v>
      </c>
      <c r="GW98" s="329">
        <v>0.48</v>
      </c>
      <c r="GX98" s="329">
        <v>0.52</v>
      </c>
      <c r="GY98" s="311" t="s">
        <v>283</v>
      </c>
      <c r="GZ98" s="329">
        <v>0.28999999999999998</v>
      </c>
      <c r="HA98" s="329">
        <v>0.86</v>
      </c>
      <c r="HB98" s="329">
        <v>0.51</v>
      </c>
      <c r="HC98" s="329">
        <v>0.51</v>
      </c>
      <c r="HD98" s="329">
        <v>0.54</v>
      </c>
      <c r="HE98" s="329">
        <v>0.49</v>
      </c>
      <c r="HF98" s="329">
        <v>0.55000000000000004</v>
      </c>
      <c r="HG98" s="329">
        <v>0.63</v>
      </c>
      <c r="HH98" s="329">
        <v>0.41</v>
      </c>
      <c r="HI98" s="329">
        <v>0.56000000000000005</v>
      </c>
      <c r="HJ98" s="329">
        <v>0.61</v>
      </c>
      <c r="HK98" s="329">
        <v>0.47</v>
      </c>
      <c r="HL98" s="329">
        <v>0.38</v>
      </c>
      <c r="HM98" s="329">
        <v>0.57999999999999996</v>
      </c>
      <c r="HN98" s="329">
        <v>0.59</v>
      </c>
      <c r="HO98" s="329">
        <v>0.46</v>
      </c>
      <c r="HP98" s="311" t="s">
        <v>283</v>
      </c>
      <c r="HQ98" s="329">
        <v>0.47</v>
      </c>
      <c r="HR98" s="426">
        <v>47</v>
      </c>
      <c r="HS98" s="426" t="s">
        <v>874</v>
      </c>
      <c r="HT98" s="426">
        <v>8</v>
      </c>
      <c r="HU98" s="426" t="s">
        <v>874</v>
      </c>
      <c r="HV98" s="430">
        <v>0.24</v>
      </c>
      <c r="HW98" s="430">
        <v>0.6</v>
      </c>
      <c r="HX98" s="430">
        <v>0.16</v>
      </c>
      <c r="HY98" s="430">
        <v>0</v>
      </c>
      <c r="HZ98" s="430">
        <v>0.49</v>
      </c>
      <c r="IA98" s="430">
        <v>0.55000000000000004</v>
      </c>
      <c r="IB98" s="430">
        <v>0.41</v>
      </c>
      <c r="IC98" s="430">
        <v>0.65</v>
      </c>
      <c r="ID98" s="430">
        <v>0.63</v>
      </c>
      <c r="IE98" s="430">
        <v>0.47</v>
      </c>
      <c r="IF98" s="430">
        <v>0.41</v>
      </c>
      <c r="IG98" s="430">
        <v>0.64</v>
      </c>
      <c r="IH98" s="430">
        <v>0.62</v>
      </c>
      <c r="II98" s="430">
        <v>0.35</v>
      </c>
      <c r="IJ98" s="430">
        <v>0.35</v>
      </c>
      <c r="IK98" s="430">
        <v>0.65</v>
      </c>
      <c r="IL98" s="430">
        <v>0.52</v>
      </c>
      <c r="IM98" s="430">
        <v>0.69</v>
      </c>
      <c r="IN98" s="430">
        <v>0.55000000000000004</v>
      </c>
      <c r="IO98" s="430">
        <v>0.56000000000000005</v>
      </c>
      <c r="IP98" s="430">
        <v>0.49</v>
      </c>
      <c r="IQ98" s="430">
        <v>0.66</v>
      </c>
      <c r="IR98" s="430">
        <v>0.69</v>
      </c>
      <c r="IS98" s="430">
        <v>0.55000000000000004</v>
      </c>
      <c r="IT98" s="430">
        <v>0.56999999999999995</v>
      </c>
      <c r="IU98" s="426" t="s">
        <v>283</v>
      </c>
      <c r="IV98" s="430">
        <v>0.63</v>
      </c>
      <c r="IW98" s="430">
        <v>0.47</v>
      </c>
      <c r="IX98" s="430">
        <v>0.54</v>
      </c>
      <c r="IY98" s="430">
        <v>0.63</v>
      </c>
      <c r="IZ98" s="466">
        <v>47</v>
      </c>
      <c r="JA98" s="466" t="s">
        <v>874</v>
      </c>
      <c r="JB98" s="466">
        <v>8</v>
      </c>
      <c r="JC98" s="466" t="s">
        <v>874</v>
      </c>
      <c r="JD98" s="480">
        <v>0.26</v>
      </c>
      <c r="JE98" s="480">
        <v>0.6</v>
      </c>
      <c r="JF98" s="480">
        <v>0.15</v>
      </c>
      <c r="JG98" s="480">
        <v>0</v>
      </c>
      <c r="JH98" s="480">
        <v>0.52</v>
      </c>
      <c r="JI98" s="480">
        <v>0.53</v>
      </c>
      <c r="JJ98" s="480">
        <v>0.5</v>
      </c>
      <c r="JK98" s="480">
        <v>0.55000000000000004</v>
      </c>
      <c r="JL98" s="480">
        <v>0.53</v>
      </c>
      <c r="JM98" s="480">
        <v>0.61</v>
      </c>
      <c r="JN98" s="480">
        <v>0.6</v>
      </c>
      <c r="JO98" s="480">
        <v>0.54</v>
      </c>
      <c r="JP98" s="480">
        <v>0.64</v>
      </c>
      <c r="JQ98" s="480">
        <v>0.33</v>
      </c>
      <c r="JR98" s="480">
        <v>0.62</v>
      </c>
      <c r="JS98" s="480">
        <v>0.6</v>
      </c>
      <c r="JT98" s="480">
        <v>0.47</v>
      </c>
      <c r="JU98" s="480">
        <v>0.6</v>
      </c>
      <c r="JV98" s="480">
        <v>0.53</v>
      </c>
      <c r="JW98" s="480">
        <v>0.54</v>
      </c>
      <c r="JX98" s="480">
        <v>0.55000000000000004</v>
      </c>
      <c r="JY98" s="480">
        <v>0.61</v>
      </c>
      <c r="JZ98" s="480">
        <v>0.53</v>
      </c>
      <c r="KA98" s="480">
        <v>0.68</v>
      </c>
      <c r="KB98" s="480">
        <v>0.53</v>
      </c>
      <c r="KC98" s="480">
        <v>0.62</v>
      </c>
      <c r="KD98" s="480">
        <v>0.45</v>
      </c>
      <c r="KE98" s="480">
        <v>0.56999999999999995</v>
      </c>
      <c r="KF98" s="480">
        <v>0.5</v>
      </c>
      <c r="KG98" s="480">
        <v>0.67</v>
      </c>
    </row>
    <row r="99" spans="1:293" ht="24.95" customHeight="1" x14ac:dyDescent="0.2">
      <c r="A99" s="126" t="s">
        <v>225</v>
      </c>
      <c r="B99" s="1" t="s">
        <v>221</v>
      </c>
      <c r="C99" s="2">
        <v>4</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v>58</v>
      </c>
      <c r="AI99" s="12">
        <v>0</v>
      </c>
      <c r="AJ99" s="40">
        <v>0</v>
      </c>
      <c r="AK99" s="40">
        <v>0</v>
      </c>
      <c r="AL99" s="40">
        <v>1</v>
      </c>
      <c r="AM99" s="40">
        <v>0</v>
      </c>
      <c r="AN99" s="40">
        <v>0</v>
      </c>
      <c r="AO99" s="40">
        <v>0</v>
      </c>
      <c r="AP99" s="40">
        <v>1</v>
      </c>
      <c r="AQ99" s="40">
        <v>0.33</v>
      </c>
      <c r="AR99" s="40">
        <v>0.67</v>
      </c>
      <c r="AS99" s="40">
        <v>0.5</v>
      </c>
      <c r="AT99" s="40">
        <v>0.33</v>
      </c>
      <c r="AU99" s="40">
        <v>0.5</v>
      </c>
      <c r="AV99" s="40">
        <v>0.5</v>
      </c>
      <c r="AW99" s="40">
        <v>0</v>
      </c>
      <c r="AX99" s="35" t="s">
        <v>283</v>
      </c>
      <c r="AY99" s="40">
        <v>0.25</v>
      </c>
      <c r="AZ99" s="40">
        <v>0.5</v>
      </c>
      <c r="BA99" s="40">
        <v>0.5</v>
      </c>
      <c r="BB99" s="40">
        <v>0</v>
      </c>
      <c r="BC99" s="40">
        <v>0</v>
      </c>
      <c r="BD99" s="40">
        <v>0</v>
      </c>
      <c r="BE99" s="40">
        <v>0</v>
      </c>
      <c r="BF99" s="35" t="s">
        <v>283</v>
      </c>
      <c r="BG99" s="40">
        <v>0</v>
      </c>
      <c r="BH99" s="40">
        <v>0.2</v>
      </c>
      <c r="BI99" s="40">
        <v>0.33</v>
      </c>
      <c r="BJ99" s="40">
        <v>0.5</v>
      </c>
      <c r="BK99" s="40">
        <v>0.5</v>
      </c>
      <c r="BL99" s="35" t="s">
        <v>283</v>
      </c>
      <c r="BM99" s="12" t="s">
        <v>224</v>
      </c>
      <c r="BN99" s="12" t="s">
        <v>224</v>
      </c>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t="s">
        <v>224</v>
      </c>
      <c r="CT99" s="12" t="s">
        <v>224</v>
      </c>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35"/>
      <c r="DY99" s="35"/>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652"/>
      <c r="FC99" s="652"/>
      <c r="FD99" s="652"/>
      <c r="FE99" s="652"/>
      <c r="FF99" s="652"/>
      <c r="FG99" s="652"/>
      <c r="FH99" s="652"/>
      <c r="FI99" s="652"/>
      <c r="FJ99" s="652"/>
      <c r="FK99" s="652"/>
      <c r="FL99" s="652"/>
      <c r="FM99" s="652"/>
      <c r="FN99" s="652"/>
      <c r="FO99" s="652"/>
      <c r="FP99" s="652"/>
      <c r="FQ99" s="652"/>
      <c r="FR99" s="652"/>
      <c r="FS99" s="652"/>
      <c r="FT99" s="652"/>
      <c r="FU99" s="652"/>
      <c r="FV99" s="652"/>
      <c r="FW99" s="652"/>
      <c r="FX99" s="652"/>
      <c r="FY99" s="652"/>
      <c r="FZ99" s="652"/>
      <c r="GA99" s="652"/>
      <c r="GB99" s="652"/>
      <c r="GC99" s="652"/>
      <c r="GD99" s="652"/>
      <c r="GE99" s="652"/>
      <c r="GF99" s="652"/>
      <c r="GG99" s="652"/>
      <c r="GH99" s="652"/>
      <c r="GI99" s="652"/>
      <c r="GJ99" s="655"/>
      <c r="GK99" s="655"/>
      <c r="GL99" s="655"/>
      <c r="GM99" s="655"/>
      <c r="GN99" s="655"/>
      <c r="GO99" s="655"/>
      <c r="GP99" s="655"/>
      <c r="GQ99" s="655"/>
      <c r="GR99" s="655"/>
      <c r="GS99" s="655"/>
      <c r="GT99" s="655"/>
      <c r="GU99" s="655"/>
      <c r="GV99" s="655"/>
      <c r="GW99" s="655"/>
      <c r="GX99" s="655"/>
      <c r="GY99" s="655"/>
      <c r="GZ99" s="655"/>
      <c r="HA99" s="655"/>
      <c r="HB99" s="655"/>
      <c r="HC99" s="655"/>
      <c r="HD99" s="655"/>
      <c r="HE99" s="655"/>
      <c r="HF99" s="655"/>
      <c r="HG99" s="655"/>
      <c r="HH99" s="655"/>
      <c r="HI99" s="655"/>
      <c r="HJ99" s="655"/>
      <c r="HK99" s="655"/>
      <c r="HL99" s="655"/>
      <c r="HM99" s="655"/>
      <c r="HN99" s="655"/>
      <c r="HO99" s="655"/>
      <c r="HP99" s="655"/>
      <c r="HQ99" s="655"/>
      <c r="HR99" s="657"/>
      <c r="HS99" s="657"/>
      <c r="HT99" s="657"/>
      <c r="HU99" s="657"/>
      <c r="HV99" s="657"/>
      <c r="HW99" s="657"/>
      <c r="HX99" s="657"/>
      <c r="HY99" s="657"/>
      <c r="HZ99" s="657"/>
      <c r="IA99" s="657"/>
      <c r="IB99" s="657"/>
      <c r="IC99" s="657"/>
      <c r="ID99" s="657"/>
      <c r="IE99" s="657"/>
      <c r="IF99" s="657"/>
      <c r="IG99" s="657"/>
      <c r="IH99" s="657"/>
      <c r="II99" s="657"/>
      <c r="IJ99" s="657"/>
      <c r="IK99" s="657"/>
      <c r="IL99" s="657"/>
      <c r="IM99" s="657"/>
      <c r="IN99" s="657"/>
      <c r="IO99" s="657"/>
      <c r="IP99" s="657"/>
      <c r="IQ99" s="657"/>
      <c r="IR99" s="657"/>
      <c r="IS99" s="657"/>
      <c r="IT99" s="657"/>
      <c r="IU99" s="657"/>
      <c r="IV99" s="657"/>
      <c r="IW99" s="657"/>
      <c r="IX99" s="657"/>
      <c r="IY99" s="657"/>
      <c r="IZ99" s="656"/>
      <c r="JA99" s="656"/>
      <c r="JB99" s="656"/>
      <c r="JC99" s="656"/>
      <c r="JD99" s="656"/>
      <c r="JE99" s="656"/>
      <c r="JF99" s="656"/>
      <c r="JG99" s="656"/>
      <c r="JH99" s="656"/>
      <c r="JI99" s="656"/>
      <c r="JJ99" s="656"/>
      <c r="JK99" s="656"/>
      <c r="JL99" s="656"/>
      <c r="JM99" s="656"/>
      <c r="JN99" s="656"/>
      <c r="JO99" s="656"/>
      <c r="JP99" s="656"/>
      <c r="JQ99" s="656"/>
      <c r="JR99" s="656"/>
      <c r="JS99" s="656"/>
      <c r="JT99" s="656"/>
      <c r="JU99" s="656"/>
      <c r="JV99" s="656"/>
      <c r="JW99" s="656"/>
      <c r="JX99" s="656"/>
      <c r="JY99" s="656"/>
      <c r="JZ99" s="656"/>
      <c r="KA99" s="656"/>
      <c r="KB99" s="656"/>
      <c r="KC99" s="656"/>
      <c r="KD99" s="656"/>
      <c r="KE99" s="656"/>
      <c r="KF99" s="656"/>
      <c r="KG99" s="656"/>
    </row>
    <row r="100" spans="1:293" ht="24.95" customHeight="1" x14ac:dyDescent="0.2">
      <c r="A100" s="126" t="s">
        <v>92</v>
      </c>
      <c r="B100" s="1" t="s">
        <v>219</v>
      </c>
      <c r="C100" s="2">
        <v>1</v>
      </c>
      <c r="D100" s="12">
        <v>53</v>
      </c>
      <c r="E100" s="12">
        <v>7</v>
      </c>
      <c r="F100" s="66">
        <v>0.05</v>
      </c>
      <c r="G100" s="66">
        <v>0.65</v>
      </c>
      <c r="H100" s="66">
        <v>0.28999999999999998</v>
      </c>
      <c r="I100" s="66">
        <v>0</v>
      </c>
      <c r="J100" s="66">
        <v>0.43</v>
      </c>
      <c r="K100" s="66">
        <v>0.41</v>
      </c>
      <c r="L100" s="66">
        <v>0.75</v>
      </c>
      <c r="M100" s="66">
        <v>0.19</v>
      </c>
      <c r="N100" s="66">
        <v>0.32</v>
      </c>
      <c r="O100" s="66">
        <v>0.59</v>
      </c>
      <c r="P100" s="66">
        <v>0.31</v>
      </c>
      <c r="Q100" s="66">
        <v>0.43</v>
      </c>
      <c r="R100" s="66">
        <v>0.52</v>
      </c>
      <c r="S100" s="66">
        <v>0.62</v>
      </c>
      <c r="T100" s="66">
        <v>0.48</v>
      </c>
      <c r="U100" s="66">
        <v>0.69</v>
      </c>
      <c r="V100" s="66">
        <v>0.04</v>
      </c>
      <c r="W100" s="66">
        <v>0.12</v>
      </c>
      <c r="X100" s="66">
        <v>0.47</v>
      </c>
      <c r="Y100" s="66">
        <v>0.47</v>
      </c>
      <c r="Z100" s="66">
        <v>1</v>
      </c>
      <c r="AA100" s="66">
        <v>0.05</v>
      </c>
      <c r="AB100" s="66">
        <v>0.45</v>
      </c>
      <c r="AC100" s="66">
        <v>0.26</v>
      </c>
      <c r="AD100" s="66">
        <v>0.43</v>
      </c>
      <c r="AE100" s="66">
        <v>0.42</v>
      </c>
      <c r="AF100" s="66">
        <v>0.56999999999999995</v>
      </c>
      <c r="AG100" s="66">
        <v>0.51</v>
      </c>
      <c r="AH100" s="12">
        <v>53</v>
      </c>
      <c r="AI100" s="12">
        <v>8</v>
      </c>
      <c r="AJ100" s="40">
        <v>0.05</v>
      </c>
      <c r="AK100" s="40">
        <v>0.57999999999999996</v>
      </c>
      <c r="AL100" s="40">
        <v>0.36</v>
      </c>
      <c r="AM100" s="40">
        <v>0.01</v>
      </c>
      <c r="AN100" s="40">
        <v>0.28999999999999998</v>
      </c>
      <c r="AO100" s="40">
        <v>0.44</v>
      </c>
      <c r="AP100" s="40">
        <v>0.56999999999999995</v>
      </c>
      <c r="AQ100" s="40">
        <v>0.35</v>
      </c>
      <c r="AR100" s="40">
        <v>0.53</v>
      </c>
      <c r="AS100" s="40">
        <v>0.56000000000000005</v>
      </c>
      <c r="AT100" s="40">
        <v>0.51</v>
      </c>
      <c r="AU100" s="40">
        <v>0.47</v>
      </c>
      <c r="AV100" s="40">
        <v>0.59</v>
      </c>
      <c r="AW100" s="40">
        <v>0.46</v>
      </c>
      <c r="AX100" s="40">
        <v>0.57999999999999996</v>
      </c>
      <c r="AY100" s="40">
        <v>0.3</v>
      </c>
      <c r="AZ100" s="40">
        <v>0.24</v>
      </c>
      <c r="BA100" s="40">
        <v>0.49</v>
      </c>
      <c r="BB100" s="40">
        <v>0.66</v>
      </c>
      <c r="BC100" s="40">
        <v>0.64</v>
      </c>
      <c r="BD100" s="40">
        <v>0.41</v>
      </c>
      <c r="BE100" s="40">
        <v>0.61</v>
      </c>
      <c r="BF100" s="40">
        <v>0.57999999999999996</v>
      </c>
      <c r="BG100" s="40">
        <v>0.45</v>
      </c>
      <c r="BH100" s="40">
        <v>0.44</v>
      </c>
      <c r="BI100" s="40">
        <v>0.37</v>
      </c>
      <c r="BJ100" s="40">
        <v>0.34</v>
      </c>
      <c r="BK100" s="40">
        <v>0.46</v>
      </c>
      <c r="BL100" s="40">
        <v>0.45</v>
      </c>
      <c r="BM100" s="12">
        <v>50</v>
      </c>
      <c r="BN100" s="12">
        <v>8</v>
      </c>
      <c r="BO100" s="66">
        <v>0.09</v>
      </c>
      <c r="BP100" s="66">
        <v>0.69</v>
      </c>
      <c r="BQ100" s="66">
        <v>0.22</v>
      </c>
      <c r="BR100" s="66">
        <v>0.01</v>
      </c>
      <c r="BS100" s="66">
        <v>0.31</v>
      </c>
      <c r="BT100" s="66">
        <v>0.55000000000000004</v>
      </c>
      <c r="BU100" s="66">
        <v>0.68</v>
      </c>
      <c r="BV100" s="66">
        <v>0.28999999999999998</v>
      </c>
      <c r="BW100" s="66">
        <v>0.6</v>
      </c>
      <c r="BX100" s="66">
        <v>0.32</v>
      </c>
      <c r="BY100" s="66">
        <v>0.44</v>
      </c>
      <c r="BZ100" s="66">
        <v>0.55000000000000004</v>
      </c>
      <c r="CA100" s="66">
        <v>0.45</v>
      </c>
      <c r="CB100" s="66">
        <v>0.42</v>
      </c>
      <c r="CC100" s="66">
        <v>0.17</v>
      </c>
      <c r="CD100" s="66">
        <v>0.46</v>
      </c>
      <c r="CE100" s="66">
        <v>0.34</v>
      </c>
      <c r="CF100" s="66">
        <v>0.65</v>
      </c>
      <c r="CG100" s="66">
        <v>0.62</v>
      </c>
      <c r="CH100" s="66">
        <v>0.49</v>
      </c>
      <c r="CI100" s="66">
        <v>0.59</v>
      </c>
      <c r="CJ100" s="66">
        <v>0.38</v>
      </c>
      <c r="CK100" s="66">
        <v>0.7</v>
      </c>
      <c r="CL100" s="66">
        <v>0.31</v>
      </c>
      <c r="CM100" s="66">
        <v>0.47</v>
      </c>
      <c r="CN100" s="66">
        <v>0.45</v>
      </c>
      <c r="CO100" s="66">
        <v>0.4</v>
      </c>
      <c r="CP100" s="66">
        <v>0.39</v>
      </c>
      <c r="CQ100" s="66">
        <v>0.55000000000000004</v>
      </c>
      <c r="CR100" s="66">
        <v>0.56000000000000005</v>
      </c>
      <c r="CS100" s="12">
        <v>50</v>
      </c>
      <c r="CT100" s="12">
        <v>9</v>
      </c>
      <c r="CU100" s="63">
        <v>0.15</v>
      </c>
      <c r="CV100" s="63">
        <v>0.56000000000000005</v>
      </c>
      <c r="CW100" s="63">
        <v>0.28000000000000003</v>
      </c>
      <c r="CX100" s="63">
        <v>0.01</v>
      </c>
      <c r="CY100" s="63">
        <v>0.53</v>
      </c>
      <c r="CZ100" s="63">
        <v>0.33</v>
      </c>
      <c r="DA100" s="63">
        <v>0.61</v>
      </c>
      <c r="DB100" s="63">
        <v>0.37</v>
      </c>
      <c r="DC100" s="63">
        <v>0.43</v>
      </c>
      <c r="DD100" s="63">
        <v>0.69</v>
      </c>
      <c r="DE100" s="63">
        <v>0.45</v>
      </c>
      <c r="DF100" s="63">
        <v>0.59</v>
      </c>
      <c r="DG100" s="63">
        <v>0.38</v>
      </c>
      <c r="DH100" s="63">
        <v>0.39</v>
      </c>
      <c r="DI100" s="63">
        <v>0.51</v>
      </c>
      <c r="DJ100" s="63">
        <v>0.49</v>
      </c>
      <c r="DK100" s="63">
        <v>0.4</v>
      </c>
      <c r="DL100" s="63">
        <v>0.33</v>
      </c>
      <c r="DM100" s="63">
        <v>0.51</v>
      </c>
      <c r="DN100" s="63">
        <v>0.42</v>
      </c>
      <c r="DO100" s="63">
        <v>0.47</v>
      </c>
      <c r="DP100" s="63">
        <v>0.44</v>
      </c>
      <c r="DQ100" s="63">
        <v>0.51</v>
      </c>
      <c r="DR100" s="63">
        <v>0.18</v>
      </c>
      <c r="DS100" s="63">
        <v>0.38</v>
      </c>
      <c r="DT100" s="63">
        <v>0.6</v>
      </c>
      <c r="DU100" s="63">
        <v>0.5</v>
      </c>
      <c r="DV100" s="63">
        <v>0.62</v>
      </c>
      <c r="DW100" s="63">
        <v>0.38</v>
      </c>
      <c r="DX100" s="35">
        <v>49</v>
      </c>
      <c r="DY100" s="35">
        <v>9</v>
      </c>
      <c r="DZ100" s="40">
        <v>0.18</v>
      </c>
      <c r="EA100" s="40">
        <v>0.55000000000000004</v>
      </c>
      <c r="EB100" s="40">
        <v>0.27</v>
      </c>
      <c r="EC100" s="40">
        <v>0.01</v>
      </c>
      <c r="ED100" s="40">
        <v>0.52</v>
      </c>
      <c r="EE100" s="40">
        <v>0.45</v>
      </c>
      <c r="EF100" s="40">
        <v>0.55000000000000004</v>
      </c>
      <c r="EG100" s="40">
        <v>0.37</v>
      </c>
      <c r="EH100" s="40">
        <v>0.46</v>
      </c>
      <c r="EI100" s="40">
        <v>0.48</v>
      </c>
      <c r="EJ100" s="40">
        <v>0.57999999999999996</v>
      </c>
      <c r="EK100" s="40">
        <v>0.3</v>
      </c>
      <c r="EL100" s="40">
        <v>0.51</v>
      </c>
      <c r="EM100" s="40">
        <v>0.62</v>
      </c>
      <c r="EN100" s="40">
        <v>0.39</v>
      </c>
      <c r="EO100" s="40">
        <v>0.59</v>
      </c>
      <c r="EP100" s="40">
        <v>0.4</v>
      </c>
      <c r="EQ100" s="40">
        <v>0.32</v>
      </c>
      <c r="ER100" s="40">
        <v>0.6</v>
      </c>
      <c r="ES100" s="40">
        <v>0.47</v>
      </c>
      <c r="ET100" s="40">
        <v>0.37</v>
      </c>
      <c r="EU100" s="40">
        <v>0.56000000000000005</v>
      </c>
      <c r="EV100" s="40">
        <v>0.39</v>
      </c>
      <c r="EW100" s="40">
        <v>0.33</v>
      </c>
      <c r="EX100" s="40">
        <v>0.72</v>
      </c>
      <c r="EY100" s="40">
        <v>0.56000000000000005</v>
      </c>
      <c r="EZ100" s="40">
        <v>0.28000000000000003</v>
      </c>
      <c r="FA100" s="40">
        <v>0.63</v>
      </c>
      <c r="FB100" s="653">
        <v>49</v>
      </c>
      <c r="FC100" s="653" t="s">
        <v>874</v>
      </c>
      <c r="FD100" s="653">
        <v>8</v>
      </c>
      <c r="FE100" s="653" t="s">
        <v>874</v>
      </c>
      <c r="FF100" s="654">
        <v>0.14000000000000001</v>
      </c>
      <c r="FG100" s="654">
        <v>0.64</v>
      </c>
      <c r="FH100" s="654">
        <v>0.23</v>
      </c>
      <c r="FI100" s="654">
        <v>0</v>
      </c>
      <c r="FJ100" s="654">
        <v>0.48</v>
      </c>
      <c r="FK100" s="654">
        <v>0.7</v>
      </c>
      <c r="FL100" s="654">
        <v>0.47</v>
      </c>
      <c r="FM100" s="654">
        <v>0.45</v>
      </c>
      <c r="FN100" s="654">
        <v>0.32</v>
      </c>
      <c r="FO100" s="654">
        <v>0.37</v>
      </c>
      <c r="FP100" s="654">
        <v>0.41</v>
      </c>
      <c r="FQ100" s="654">
        <v>0.41</v>
      </c>
      <c r="FR100" s="654">
        <v>0.59</v>
      </c>
      <c r="FS100" s="654">
        <v>0.53</v>
      </c>
      <c r="FT100" s="654">
        <v>0.53</v>
      </c>
      <c r="FU100" s="654">
        <v>0.42</v>
      </c>
      <c r="FV100" s="654">
        <v>0.61</v>
      </c>
      <c r="FW100" s="654">
        <v>0.56999999999999995</v>
      </c>
      <c r="FX100" s="654">
        <v>0.49</v>
      </c>
      <c r="FY100" s="654">
        <v>0.4</v>
      </c>
      <c r="FZ100" s="654">
        <v>0.43</v>
      </c>
      <c r="GA100" s="654">
        <v>0.46</v>
      </c>
      <c r="GB100" s="654">
        <v>0.56999999999999995</v>
      </c>
      <c r="GC100" s="654">
        <v>0.45</v>
      </c>
      <c r="GD100" s="654">
        <v>0.59</v>
      </c>
      <c r="GE100" s="654">
        <v>0.56000000000000005</v>
      </c>
      <c r="GF100" s="654">
        <v>0.49</v>
      </c>
      <c r="GG100" s="654">
        <v>0.49</v>
      </c>
      <c r="GH100" s="654">
        <v>0.57999999999999996</v>
      </c>
      <c r="GI100" s="654">
        <v>0.3</v>
      </c>
      <c r="GJ100" s="74">
        <v>49</v>
      </c>
      <c r="GK100" s="74" t="s">
        <v>874</v>
      </c>
      <c r="GL100" s="74">
        <v>9</v>
      </c>
      <c r="GM100" s="74" t="s">
        <v>874</v>
      </c>
      <c r="GN100" s="96">
        <v>0.18</v>
      </c>
      <c r="GO100" s="96">
        <v>0.61</v>
      </c>
      <c r="GP100" s="96">
        <v>0.2</v>
      </c>
      <c r="GQ100" s="96">
        <v>0.01</v>
      </c>
      <c r="GR100" s="96">
        <v>0.55000000000000004</v>
      </c>
      <c r="GS100" s="96">
        <v>0.56999999999999995</v>
      </c>
      <c r="GT100" s="96">
        <v>0.64</v>
      </c>
      <c r="GU100" s="96">
        <v>0.25</v>
      </c>
      <c r="GV100" s="96">
        <v>0.59</v>
      </c>
      <c r="GW100" s="96">
        <v>0.52</v>
      </c>
      <c r="GX100" s="96">
        <v>0.48</v>
      </c>
      <c r="GY100" s="74" t="s">
        <v>283</v>
      </c>
      <c r="GZ100" s="96">
        <v>0.36</v>
      </c>
      <c r="HA100" s="96">
        <v>0.7</v>
      </c>
      <c r="HB100" s="96">
        <v>0.49</v>
      </c>
      <c r="HC100" s="96">
        <v>0.5</v>
      </c>
      <c r="HD100" s="96">
        <v>0.62</v>
      </c>
      <c r="HE100" s="96">
        <v>0.5</v>
      </c>
      <c r="HF100" s="96">
        <v>0.55000000000000004</v>
      </c>
      <c r="HG100" s="96">
        <v>0.65</v>
      </c>
      <c r="HH100" s="96">
        <v>0.44</v>
      </c>
      <c r="HI100" s="96">
        <v>0.53</v>
      </c>
      <c r="HJ100" s="96">
        <v>0.63</v>
      </c>
      <c r="HK100" s="96">
        <v>0.53</v>
      </c>
      <c r="HL100" s="96">
        <v>0.49</v>
      </c>
      <c r="HM100" s="96">
        <v>0.48</v>
      </c>
      <c r="HN100" s="96">
        <v>0.53</v>
      </c>
      <c r="HO100" s="96">
        <v>0.51</v>
      </c>
      <c r="HP100" s="74" t="s">
        <v>283</v>
      </c>
      <c r="HQ100" s="96">
        <v>0.42</v>
      </c>
      <c r="HR100" s="658">
        <v>49</v>
      </c>
      <c r="HS100" s="658" t="s">
        <v>874</v>
      </c>
      <c r="HT100" s="658">
        <v>8</v>
      </c>
      <c r="HU100" s="658" t="s">
        <v>874</v>
      </c>
      <c r="HV100" s="659">
        <v>0.2</v>
      </c>
      <c r="HW100" s="659">
        <v>0.63</v>
      </c>
      <c r="HX100" s="659">
        <v>0.16</v>
      </c>
      <c r="HY100" s="659">
        <v>0.01</v>
      </c>
      <c r="HZ100" s="659">
        <v>0.42</v>
      </c>
      <c r="IA100" s="659">
        <v>0.59</v>
      </c>
      <c r="IB100" s="659">
        <v>0.41</v>
      </c>
      <c r="IC100" s="659">
        <v>0.51</v>
      </c>
      <c r="ID100" s="659">
        <v>0.66</v>
      </c>
      <c r="IE100" s="659">
        <v>0.42</v>
      </c>
      <c r="IF100" s="659">
        <v>0.45</v>
      </c>
      <c r="IG100" s="659">
        <v>0.61</v>
      </c>
      <c r="IH100" s="659">
        <v>0.56000000000000005</v>
      </c>
      <c r="II100" s="659">
        <v>0.51</v>
      </c>
      <c r="IJ100" s="659">
        <v>0.35</v>
      </c>
      <c r="IK100" s="659">
        <v>0.62</v>
      </c>
      <c r="IL100" s="659">
        <v>0.33</v>
      </c>
      <c r="IM100" s="659">
        <v>0.59</v>
      </c>
      <c r="IN100" s="659">
        <v>0.51</v>
      </c>
      <c r="IO100" s="659">
        <v>0.57999999999999996</v>
      </c>
      <c r="IP100" s="659">
        <v>0.45</v>
      </c>
      <c r="IQ100" s="659">
        <v>0.64</v>
      </c>
      <c r="IR100" s="659">
        <v>0.66</v>
      </c>
      <c r="IS100" s="659">
        <v>0.56000000000000005</v>
      </c>
      <c r="IT100" s="659">
        <v>0.48</v>
      </c>
      <c r="IU100" s="658" t="s">
        <v>283</v>
      </c>
      <c r="IV100" s="659">
        <v>0.69</v>
      </c>
      <c r="IW100" s="659">
        <v>0.47</v>
      </c>
      <c r="IX100" s="659">
        <v>0.51</v>
      </c>
      <c r="IY100" s="659">
        <v>0.56999999999999995</v>
      </c>
      <c r="IZ100" s="74">
        <v>50</v>
      </c>
      <c r="JA100" s="74" t="s">
        <v>874</v>
      </c>
      <c r="JB100" s="74">
        <v>9</v>
      </c>
      <c r="JC100" s="74" t="s">
        <v>874</v>
      </c>
      <c r="JD100" s="96">
        <v>0.17</v>
      </c>
      <c r="JE100" s="96">
        <v>0.54</v>
      </c>
      <c r="JF100" s="96">
        <v>0.28000000000000003</v>
      </c>
      <c r="JG100" s="96">
        <v>0.01</v>
      </c>
      <c r="JH100" s="96">
        <v>0.53</v>
      </c>
      <c r="JI100" s="96">
        <v>0.46</v>
      </c>
      <c r="JJ100" s="96">
        <v>0.44</v>
      </c>
      <c r="JK100" s="96">
        <v>0.5</v>
      </c>
      <c r="JL100" s="96">
        <v>0.51</v>
      </c>
      <c r="JM100" s="96">
        <v>0.53</v>
      </c>
      <c r="JN100" s="96">
        <v>0.47</v>
      </c>
      <c r="JO100" s="96">
        <v>0.52</v>
      </c>
      <c r="JP100" s="96">
        <v>0.56999999999999995</v>
      </c>
      <c r="JQ100" s="96">
        <v>0.28999999999999998</v>
      </c>
      <c r="JR100" s="96">
        <v>0.61</v>
      </c>
      <c r="JS100" s="96">
        <v>0.5</v>
      </c>
      <c r="JT100" s="96">
        <v>0.47</v>
      </c>
      <c r="JU100" s="96">
        <v>0.5</v>
      </c>
      <c r="JV100" s="96">
        <v>0.53</v>
      </c>
      <c r="JW100" s="96">
        <v>0.49</v>
      </c>
      <c r="JX100" s="96">
        <v>0.46</v>
      </c>
      <c r="JY100" s="96">
        <v>0.47</v>
      </c>
      <c r="JZ100" s="96">
        <v>0.49</v>
      </c>
      <c r="KA100" s="96">
        <v>0.63</v>
      </c>
      <c r="KB100" s="96">
        <v>0.48</v>
      </c>
      <c r="KC100" s="96">
        <v>0.68</v>
      </c>
      <c r="KD100" s="96">
        <v>0.4</v>
      </c>
      <c r="KE100" s="96">
        <v>0.51</v>
      </c>
      <c r="KF100" s="96">
        <v>0.48</v>
      </c>
      <c r="KG100" s="96">
        <v>0.53</v>
      </c>
    </row>
    <row r="101" spans="1:293" ht="24.95" customHeight="1" x14ac:dyDescent="0.2">
      <c r="A101" s="126" t="s">
        <v>27</v>
      </c>
      <c r="B101" s="1" t="s">
        <v>219</v>
      </c>
      <c r="C101" s="2">
        <v>6</v>
      </c>
      <c r="D101" s="12">
        <v>54</v>
      </c>
      <c r="E101" s="12">
        <v>7</v>
      </c>
      <c r="F101" s="66">
        <v>0.02</v>
      </c>
      <c r="G101" s="66">
        <v>0.62</v>
      </c>
      <c r="H101" s="66">
        <v>0.35</v>
      </c>
      <c r="I101" s="66">
        <v>0</v>
      </c>
      <c r="J101" s="66">
        <v>0.32</v>
      </c>
      <c r="K101" s="66">
        <v>0.39</v>
      </c>
      <c r="L101" s="66">
        <v>0.74</v>
      </c>
      <c r="M101" s="66">
        <v>0.22</v>
      </c>
      <c r="N101" s="66">
        <v>0.32</v>
      </c>
      <c r="O101" s="66">
        <v>0.68</v>
      </c>
      <c r="P101" s="66">
        <v>0.41</v>
      </c>
      <c r="Q101" s="66">
        <v>0.36</v>
      </c>
      <c r="R101" s="66">
        <v>0.51</v>
      </c>
      <c r="S101" s="66">
        <v>0.59</v>
      </c>
      <c r="T101" s="66">
        <v>0.48</v>
      </c>
      <c r="U101" s="66">
        <v>0.61</v>
      </c>
      <c r="V101" s="66">
        <v>0.04</v>
      </c>
      <c r="W101" s="66">
        <v>0.22</v>
      </c>
      <c r="X101" s="66">
        <v>0.43</v>
      </c>
      <c r="Y101" s="66">
        <v>0.52</v>
      </c>
      <c r="Z101" s="12" t="s">
        <v>283</v>
      </c>
      <c r="AA101" s="66">
        <v>0.11</v>
      </c>
      <c r="AB101" s="66">
        <v>0.34</v>
      </c>
      <c r="AC101" s="66">
        <v>0.25</v>
      </c>
      <c r="AD101" s="66">
        <v>0.44</v>
      </c>
      <c r="AE101" s="66">
        <v>0.47</v>
      </c>
      <c r="AF101" s="66">
        <v>0.5</v>
      </c>
      <c r="AG101" s="66">
        <v>0.53</v>
      </c>
      <c r="AH101" s="12">
        <v>51</v>
      </c>
      <c r="AI101" s="12">
        <v>7</v>
      </c>
      <c r="AJ101" s="40">
        <v>0.1</v>
      </c>
      <c r="AK101" s="40">
        <v>0.63</v>
      </c>
      <c r="AL101" s="40">
        <v>0.27</v>
      </c>
      <c r="AM101" s="40">
        <v>0</v>
      </c>
      <c r="AN101" s="40">
        <v>0.32</v>
      </c>
      <c r="AO101" s="40">
        <v>0.5</v>
      </c>
      <c r="AP101" s="40">
        <v>0.66</v>
      </c>
      <c r="AQ101" s="40">
        <v>0.43</v>
      </c>
      <c r="AR101" s="40">
        <v>0.61</v>
      </c>
      <c r="AS101" s="40">
        <v>0.51</v>
      </c>
      <c r="AT101" s="40">
        <v>0.56000000000000005</v>
      </c>
      <c r="AU101" s="40">
        <v>0.54</v>
      </c>
      <c r="AV101" s="40">
        <v>0.71</v>
      </c>
      <c r="AW101" s="40">
        <v>0.49</v>
      </c>
      <c r="AX101" s="40">
        <v>0.57999999999999996</v>
      </c>
      <c r="AY101" s="40">
        <v>0.3</v>
      </c>
      <c r="AZ101" s="40">
        <v>0.3</v>
      </c>
      <c r="BA101" s="40">
        <v>0.5</v>
      </c>
      <c r="BB101" s="40">
        <v>0.71</v>
      </c>
      <c r="BC101" s="40">
        <v>0.69</v>
      </c>
      <c r="BD101" s="40">
        <v>0.47</v>
      </c>
      <c r="BE101" s="40">
        <v>0.64</v>
      </c>
      <c r="BF101" s="40">
        <v>0.67</v>
      </c>
      <c r="BG101" s="40">
        <v>0.54</v>
      </c>
      <c r="BH101" s="40">
        <v>0.5</v>
      </c>
      <c r="BI101" s="40">
        <v>0.45</v>
      </c>
      <c r="BJ101" s="40">
        <v>0.42</v>
      </c>
      <c r="BK101" s="40">
        <v>0.5</v>
      </c>
      <c r="BL101" s="40">
        <v>0.51</v>
      </c>
      <c r="BM101" s="12">
        <v>49</v>
      </c>
      <c r="BN101" s="12">
        <v>7</v>
      </c>
      <c r="BO101" s="66">
        <v>0.13</v>
      </c>
      <c r="BP101" s="66">
        <v>0.71</v>
      </c>
      <c r="BQ101" s="66">
        <v>0.16</v>
      </c>
      <c r="BR101" s="66">
        <v>0</v>
      </c>
      <c r="BS101" s="66">
        <v>0.37</v>
      </c>
      <c r="BT101" s="66">
        <v>0.7</v>
      </c>
      <c r="BU101" s="66">
        <v>0.59</v>
      </c>
      <c r="BV101" s="66">
        <v>0.39</v>
      </c>
      <c r="BW101" s="66">
        <v>0.69</v>
      </c>
      <c r="BX101" s="66">
        <v>0.41</v>
      </c>
      <c r="BY101" s="66">
        <v>0.45</v>
      </c>
      <c r="BZ101" s="66">
        <v>0.59</v>
      </c>
      <c r="CA101" s="66">
        <v>0.56999999999999995</v>
      </c>
      <c r="CB101" s="66">
        <v>0.46</v>
      </c>
      <c r="CC101" s="66">
        <v>0.25</v>
      </c>
      <c r="CD101" s="66">
        <v>0.49</v>
      </c>
      <c r="CE101" s="66">
        <v>0.39</v>
      </c>
      <c r="CF101" s="66">
        <v>0.6</v>
      </c>
      <c r="CG101" s="66">
        <v>0.56000000000000005</v>
      </c>
      <c r="CH101" s="66">
        <v>0.47</v>
      </c>
      <c r="CI101" s="66">
        <v>0.56999999999999995</v>
      </c>
      <c r="CJ101" s="66">
        <v>0.39</v>
      </c>
      <c r="CK101" s="66">
        <v>0.71</v>
      </c>
      <c r="CL101" s="66">
        <v>0.33</v>
      </c>
      <c r="CM101" s="66">
        <v>0.5</v>
      </c>
      <c r="CN101" s="66">
        <v>0.54</v>
      </c>
      <c r="CO101" s="66">
        <v>0.43</v>
      </c>
      <c r="CP101" s="66">
        <v>0.45</v>
      </c>
      <c r="CQ101" s="66">
        <v>0.56000000000000005</v>
      </c>
      <c r="CR101" s="66">
        <v>0.62</v>
      </c>
      <c r="CS101" s="12">
        <v>48</v>
      </c>
      <c r="CT101" s="12">
        <v>8</v>
      </c>
      <c r="CU101" s="63">
        <v>0.14000000000000001</v>
      </c>
      <c r="CV101" s="63">
        <v>0.65</v>
      </c>
      <c r="CW101" s="63">
        <v>0.2</v>
      </c>
      <c r="CX101" s="63">
        <v>0.01</v>
      </c>
      <c r="CY101" s="63">
        <v>0.44</v>
      </c>
      <c r="CZ101" s="63">
        <v>0.32</v>
      </c>
      <c r="DA101" s="63">
        <v>0.57999999999999996</v>
      </c>
      <c r="DB101" s="63">
        <v>0.41</v>
      </c>
      <c r="DC101" s="63">
        <v>0.46</v>
      </c>
      <c r="DD101" s="63">
        <v>0.66</v>
      </c>
      <c r="DE101" s="63">
        <v>0.5</v>
      </c>
      <c r="DF101" s="63">
        <v>0.55000000000000004</v>
      </c>
      <c r="DG101" s="63">
        <v>0.48</v>
      </c>
      <c r="DH101" s="63">
        <v>0.35</v>
      </c>
      <c r="DI101" s="63">
        <v>0.57999999999999996</v>
      </c>
      <c r="DJ101" s="63">
        <v>0.55000000000000004</v>
      </c>
      <c r="DK101" s="63">
        <v>0.36</v>
      </c>
      <c r="DL101" s="63">
        <v>0.49</v>
      </c>
      <c r="DM101" s="63">
        <v>0.5</v>
      </c>
      <c r="DN101" s="63">
        <v>0.52</v>
      </c>
      <c r="DO101" s="63">
        <v>0.49</v>
      </c>
      <c r="DP101" s="63">
        <v>0.42</v>
      </c>
      <c r="DQ101" s="63">
        <v>0.6</v>
      </c>
      <c r="DR101" s="63">
        <v>0.21</v>
      </c>
      <c r="DS101" s="63">
        <v>0.4</v>
      </c>
      <c r="DT101" s="63">
        <v>0.6</v>
      </c>
      <c r="DU101" s="63">
        <v>0.7</v>
      </c>
      <c r="DV101" s="63">
        <v>0.62</v>
      </c>
      <c r="DW101" s="63">
        <v>0.4</v>
      </c>
      <c r="DX101" s="35">
        <v>48</v>
      </c>
      <c r="DY101" s="35">
        <v>9</v>
      </c>
      <c r="DZ101" s="40">
        <v>0.22</v>
      </c>
      <c r="EA101" s="40">
        <v>0.59</v>
      </c>
      <c r="EB101" s="40">
        <v>0.18</v>
      </c>
      <c r="EC101" s="40">
        <v>0.01</v>
      </c>
      <c r="ED101" s="40">
        <v>0.5</v>
      </c>
      <c r="EE101" s="40">
        <v>0.52</v>
      </c>
      <c r="EF101" s="40">
        <v>0.5</v>
      </c>
      <c r="EG101" s="40">
        <v>0.36</v>
      </c>
      <c r="EH101" s="40">
        <v>0.48</v>
      </c>
      <c r="EI101" s="40">
        <v>0.56000000000000005</v>
      </c>
      <c r="EJ101" s="40">
        <v>0.68</v>
      </c>
      <c r="EK101" s="40">
        <v>0.32</v>
      </c>
      <c r="EL101" s="40">
        <v>0.52</v>
      </c>
      <c r="EM101" s="40">
        <v>0.6</v>
      </c>
      <c r="EN101" s="40">
        <v>0.49</v>
      </c>
      <c r="EO101" s="40">
        <v>0.56000000000000005</v>
      </c>
      <c r="EP101" s="40">
        <v>0.39</v>
      </c>
      <c r="EQ101" s="40">
        <v>0.36</v>
      </c>
      <c r="ER101" s="40">
        <v>0.56000000000000005</v>
      </c>
      <c r="ES101" s="40">
        <v>0.55000000000000004</v>
      </c>
      <c r="ET101" s="40">
        <v>0.38</v>
      </c>
      <c r="EU101" s="40">
        <v>0.61</v>
      </c>
      <c r="EV101" s="40">
        <v>0.38</v>
      </c>
      <c r="EW101" s="40">
        <v>0.39</v>
      </c>
      <c r="EX101" s="40">
        <v>0.66</v>
      </c>
      <c r="EY101" s="40">
        <v>0.64</v>
      </c>
      <c r="EZ101" s="40">
        <v>0.31</v>
      </c>
      <c r="FA101" s="40">
        <v>0.59</v>
      </c>
      <c r="FB101" s="247">
        <v>47</v>
      </c>
      <c r="FC101" s="247" t="s">
        <v>874</v>
      </c>
      <c r="FD101" s="247">
        <v>8</v>
      </c>
      <c r="FE101" s="247" t="s">
        <v>874</v>
      </c>
      <c r="FF101" s="264">
        <v>0.19</v>
      </c>
      <c r="FG101" s="264">
        <v>0.65</v>
      </c>
      <c r="FH101" s="264">
        <v>0.16</v>
      </c>
      <c r="FI101" s="264">
        <v>0.01</v>
      </c>
      <c r="FJ101" s="264">
        <v>0.56000000000000005</v>
      </c>
      <c r="FK101" s="264">
        <v>0.66</v>
      </c>
      <c r="FL101" s="264">
        <v>0.55000000000000004</v>
      </c>
      <c r="FM101" s="264">
        <v>0.54</v>
      </c>
      <c r="FN101" s="264">
        <v>0.4</v>
      </c>
      <c r="FO101" s="264">
        <v>0.37</v>
      </c>
      <c r="FP101" s="264">
        <v>0.4</v>
      </c>
      <c r="FQ101" s="264">
        <v>0.45</v>
      </c>
      <c r="FR101" s="264">
        <v>0.59</v>
      </c>
      <c r="FS101" s="264">
        <v>0.53</v>
      </c>
      <c r="FT101" s="264">
        <v>0.57999999999999996</v>
      </c>
      <c r="FU101" s="264">
        <v>0.42</v>
      </c>
      <c r="FV101" s="264">
        <v>0.6</v>
      </c>
      <c r="FW101" s="264">
        <v>0.64</v>
      </c>
      <c r="FX101" s="264">
        <v>0.51</v>
      </c>
      <c r="FY101" s="264">
        <v>0.47</v>
      </c>
      <c r="FZ101" s="264">
        <v>0.46</v>
      </c>
      <c r="GA101" s="264">
        <v>0.57999999999999996</v>
      </c>
      <c r="GB101" s="264">
        <v>0.59</v>
      </c>
      <c r="GC101" s="264">
        <v>0.48</v>
      </c>
      <c r="GD101" s="264">
        <v>0.62</v>
      </c>
      <c r="GE101" s="264">
        <v>0.63</v>
      </c>
      <c r="GF101" s="264">
        <v>0.47</v>
      </c>
      <c r="GG101" s="264">
        <v>0.46</v>
      </c>
      <c r="GH101" s="264">
        <v>0.64</v>
      </c>
      <c r="GI101" s="264">
        <v>0.34</v>
      </c>
      <c r="GJ101" s="311">
        <v>49</v>
      </c>
      <c r="GK101" s="311" t="s">
        <v>874</v>
      </c>
      <c r="GL101" s="311">
        <v>8</v>
      </c>
      <c r="GM101" s="311" t="s">
        <v>874</v>
      </c>
      <c r="GN101" s="329">
        <v>0.17</v>
      </c>
      <c r="GO101" s="329">
        <v>0.57999999999999996</v>
      </c>
      <c r="GP101" s="329">
        <v>0.24</v>
      </c>
      <c r="GQ101" s="329">
        <v>0</v>
      </c>
      <c r="GR101" s="329">
        <v>0.46</v>
      </c>
      <c r="GS101" s="329">
        <v>0.57999999999999996</v>
      </c>
      <c r="GT101" s="329">
        <v>0.7</v>
      </c>
      <c r="GU101" s="329">
        <v>0.28999999999999998</v>
      </c>
      <c r="GV101" s="329">
        <v>0.61</v>
      </c>
      <c r="GW101" s="329">
        <v>0.51</v>
      </c>
      <c r="GX101" s="329">
        <v>0.54</v>
      </c>
      <c r="GY101" s="311" t="s">
        <v>283</v>
      </c>
      <c r="GZ101" s="329">
        <v>0.35</v>
      </c>
      <c r="HA101" s="329">
        <v>0.64</v>
      </c>
      <c r="HB101" s="329">
        <v>0.49</v>
      </c>
      <c r="HC101" s="329">
        <v>0.59</v>
      </c>
      <c r="HD101" s="329">
        <v>0.56000000000000005</v>
      </c>
      <c r="HE101" s="329">
        <v>0.51</v>
      </c>
      <c r="HF101" s="329">
        <v>0.53</v>
      </c>
      <c r="HG101" s="329">
        <v>0.69</v>
      </c>
      <c r="HH101" s="329">
        <v>0.43</v>
      </c>
      <c r="HI101" s="329">
        <v>0.5</v>
      </c>
      <c r="HJ101" s="329">
        <v>0.56999999999999995</v>
      </c>
      <c r="HK101" s="329">
        <v>0.54</v>
      </c>
      <c r="HL101" s="329">
        <v>0.44</v>
      </c>
      <c r="HM101" s="329">
        <v>0.49</v>
      </c>
      <c r="HN101" s="329">
        <v>0.49</v>
      </c>
      <c r="HO101" s="329">
        <v>0.42</v>
      </c>
      <c r="HP101" s="311" t="s">
        <v>283</v>
      </c>
      <c r="HQ101" s="329">
        <v>0.46</v>
      </c>
      <c r="HR101" s="426">
        <v>48</v>
      </c>
      <c r="HS101" s="426" t="s">
        <v>874</v>
      </c>
      <c r="HT101" s="426">
        <v>8</v>
      </c>
      <c r="HU101" s="426" t="s">
        <v>874</v>
      </c>
      <c r="HV101" s="430">
        <v>0.19</v>
      </c>
      <c r="HW101" s="430">
        <v>0.61</v>
      </c>
      <c r="HX101" s="430">
        <v>0.19</v>
      </c>
      <c r="HY101" s="430">
        <v>0</v>
      </c>
      <c r="HZ101" s="430">
        <v>0.46</v>
      </c>
      <c r="IA101" s="430">
        <v>0.54</v>
      </c>
      <c r="IB101" s="430">
        <v>0.4</v>
      </c>
      <c r="IC101" s="430">
        <v>0.51</v>
      </c>
      <c r="ID101" s="430">
        <v>0.69</v>
      </c>
      <c r="IE101" s="430">
        <v>0.41</v>
      </c>
      <c r="IF101" s="430">
        <v>0.45</v>
      </c>
      <c r="IG101" s="430">
        <v>0.61</v>
      </c>
      <c r="IH101" s="430">
        <v>0.56999999999999995</v>
      </c>
      <c r="II101" s="430">
        <v>0.46</v>
      </c>
      <c r="IJ101" s="430">
        <v>0.37</v>
      </c>
      <c r="IK101" s="430">
        <v>0.64</v>
      </c>
      <c r="IL101" s="430">
        <v>0.44</v>
      </c>
      <c r="IM101" s="430">
        <v>0.56999999999999995</v>
      </c>
      <c r="IN101" s="430">
        <v>0.47</v>
      </c>
      <c r="IO101" s="430">
        <v>0.6</v>
      </c>
      <c r="IP101" s="430">
        <v>0.43</v>
      </c>
      <c r="IQ101" s="430">
        <v>0.67</v>
      </c>
      <c r="IR101" s="430">
        <v>0.65</v>
      </c>
      <c r="IS101" s="430">
        <v>0.63</v>
      </c>
      <c r="IT101" s="430">
        <v>0.49</v>
      </c>
      <c r="IU101" s="426" t="s">
        <v>283</v>
      </c>
      <c r="IV101" s="430">
        <v>0.68</v>
      </c>
      <c r="IW101" s="430">
        <v>0.46</v>
      </c>
      <c r="IX101" s="430">
        <v>0.56000000000000005</v>
      </c>
      <c r="IY101" s="430">
        <v>0.56999999999999995</v>
      </c>
      <c r="IZ101" s="466">
        <v>49</v>
      </c>
      <c r="JA101" s="466" t="s">
        <v>874</v>
      </c>
      <c r="JB101" s="466">
        <v>9</v>
      </c>
      <c r="JC101" s="466" t="s">
        <v>874</v>
      </c>
      <c r="JD101" s="480">
        <v>0.18</v>
      </c>
      <c r="JE101" s="480">
        <v>0.6</v>
      </c>
      <c r="JF101" s="480">
        <v>0.22</v>
      </c>
      <c r="JG101" s="480">
        <v>0</v>
      </c>
      <c r="JH101" s="480">
        <v>0.47</v>
      </c>
      <c r="JI101" s="480">
        <v>0.49</v>
      </c>
      <c r="JJ101" s="480">
        <v>0.52</v>
      </c>
      <c r="JK101" s="480">
        <v>0.56000000000000005</v>
      </c>
      <c r="JL101" s="480">
        <v>0.56999999999999995</v>
      </c>
      <c r="JM101" s="480">
        <v>0.54</v>
      </c>
      <c r="JN101" s="480">
        <v>0.44</v>
      </c>
      <c r="JO101" s="480">
        <v>0.51</v>
      </c>
      <c r="JP101" s="480">
        <v>0.6</v>
      </c>
      <c r="JQ101" s="480">
        <v>0.32</v>
      </c>
      <c r="JR101" s="480">
        <v>0.63</v>
      </c>
      <c r="JS101" s="480">
        <v>0.59</v>
      </c>
      <c r="JT101" s="480">
        <v>0.45</v>
      </c>
      <c r="JU101" s="480">
        <v>0.59</v>
      </c>
      <c r="JV101" s="480">
        <v>0.55000000000000004</v>
      </c>
      <c r="JW101" s="480">
        <v>0.5</v>
      </c>
      <c r="JX101" s="480">
        <v>0.51</v>
      </c>
      <c r="JY101" s="480">
        <v>0.53</v>
      </c>
      <c r="JZ101" s="480">
        <v>0.56000000000000005</v>
      </c>
      <c r="KA101" s="480">
        <v>0.7</v>
      </c>
      <c r="KB101" s="480">
        <v>0.51</v>
      </c>
      <c r="KC101" s="480">
        <v>0.72</v>
      </c>
      <c r="KD101" s="480">
        <v>0.42</v>
      </c>
      <c r="KE101" s="480">
        <v>0.55000000000000004</v>
      </c>
      <c r="KF101" s="480">
        <v>0.52</v>
      </c>
      <c r="KG101" s="480">
        <v>0.57999999999999996</v>
      </c>
    </row>
    <row r="102" spans="1:293" ht="24.95" customHeight="1" x14ac:dyDescent="0.2">
      <c r="A102" s="126" t="s">
        <v>147</v>
      </c>
      <c r="B102" s="1" t="s">
        <v>219</v>
      </c>
      <c r="C102" s="2">
        <v>5</v>
      </c>
      <c r="D102" s="12">
        <v>55</v>
      </c>
      <c r="E102" s="12">
        <v>7</v>
      </c>
      <c r="F102" s="66">
        <v>0.04</v>
      </c>
      <c r="G102" s="66">
        <v>0.53</v>
      </c>
      <c r="H102" s="66">
        <v>0.42</v>
      </c>
      <c r="I102" s="66">
        <v>0.01</v>
      </c>
      <c r="J102" s="66">
        <v>0.24</v>
      </c>
      <c r="K102" s="66">
        <v>0.38</v>
      </c>
      <c r="L102" s="66">
        <v>0.71</v>
      </c>
      <c r="M102" s="66">
        <v>0.17</v>
      </c>
      <c r="N102" s="66">
        <v>0.3</v>
      </c>
      <c r="O102" s="66">
        <v>0.6</v>
      </c>
      <c r="P102" s="66">
        <v>0.27</v>
      </c>
      <c r="Q102" s="66">
        <v>0.42</v>
      </c>
      <c r="R102" s="66">
        <v>0.56000000000000005</v>
      </c>
      <c r="S102" s="66">
        <v>0.59</v>
      </c>
      <c r="T102" s="66">
        <v>0.41</v>
      </c>
      <c r="U102" s="66">
        <v>0.6</v>
      </c>
      <c r="V102" s="66">
        <v>0.04</v>
      </c>
      <c r="W102" s="66">
        <v>0.12</v>
      </c>
      <c r="X102" s="66">
        <v>0.51</v>
      </c>
      <c r="Y102" s="66">
        <v>0.52</v>
      </c>
      <c r="Z102" s="66">
        <v>0.25</v>
      </c>
      <c r="AA102" s="66">
        <v>0.1</v>
      </c>
      <c r="AB102" s="66">
        <v>0.38</v>
      </c>
      <c r="AC102" s="66">
        <v>0.18</v>
      </c>
      <c r="AD102" s="66">
        <v>0.41</v>
      </c>
      <c r="AE102" s="66">
        <v>0.4</v>
      </c>
      <c r="AF102" s="66">
        <v>0.52</v>
      </c>
      <c r="AG102" s="66">
        <v>0.52</v>
      </c>
      <c r="AH102" s="12">
        <v>53</v>
      </c>
      <c r="AI102" s="12">
        <v>8</v>
      </c>
      <c r="AJ102" s="40">
        <v>7.0000000000000007E-2</v>
      </c>
      <c r="AK102" s="40">
        <v>0.53</v>
      </c>
      <c r="AL102" s="40">
        <v>0.39</v>
      </c>
      <c r="AM102" s="40">
        <v>0.01</v>
      </c>
      <c r="AN102" s="40">
        <v>0.28999999999999998</v>
      </c>
      <c r="AO102" s="40">
        <v>0.45</v>
      </c>
      <c r="AP102" s="40">
        <v>0.57999999999999996</v>
      </c>
      <c r="AQ102" s="40">
        <v>0.37</v>
      </c>
      <c r="AR102" s="40">
        <v>0.51</v>
      </c>
      <c r="AS102" s="40">
        <v>0.51</v>
      </c>
      <c r="AT102" s="40">
        <v>0.52</v>
      </c>
      <c r="AU102" s="40">
        <v>0.51</v>
      </c>
      <c r="AV102" s="40">
        <v>0.59</v>
      </c>
      <c r="AW102" s="40">
        <v>0.49</v>
      </c>
      <c r="AX102" s="40">
        <v>0.54</v>
      </c>
      <c r="AY102" s="40">
        <v>0.28999999999999998</v>
      </c>
      <c r="AZ102" s="40">
        <v>0.26</v>
      </c>
      <c r="BA102" s="40">
        <v>0.47</v>
      </c>
      <c r="BB102" s="40">
        <v>0.65</v>
      </c>
      <c r="BC102" s="40">
        <v>0.65</v>
      </c>
      <c r="BD102" s="40">
        <v>0.41</v>
      </c>
      <c r="BE102" s="40">
        <v>0.47</v>
      </c>
      <c r="BF102" s="40">
        <v>0.56999999999999995</v>
      </c>
      <c r="BG102" s="40">
        <v>0.48</v>
      </c>
      <c r="BH102" s="40">
        <v>0.39</v>
      </c>
      <c r="BI102" s="40">
        <v>0.4</v>
      </c>
      <c r="BJ102" s="40">
        <v>0.34</v>
      </c>
      <c r="BK102" s="40">
        <v>0.43</v>
      </c>
      <c r="BL102" s="40">
        <v>0.45</v>
      </c>
      <c r="BM102" s="12">
        <v>50</v>
      </c>
      <c r="BN102" s="12">
        <v>9</v>
      </c>
      <c r="BO102" s="66">
        <v>0.13</v>
      </c>
      <c r="BP102" s="66">
        <v>0.61</v>
      </c>
      <c r="BQ102" s="66">
        <v>0.26</v>
      </c>
      <c r="BR102" s="66">
        <v>0.01</v>
      </c>
      <c r="BS102" s="66">
        <v>0.37</v>
      </c>
      <c r="BT102" s="66">
        <v>0.64</v>
      </c>
      <c r="BU102" s="66">
        <v>0.7</v>
      </c>
      <c r="BV102" s="66">
        <v>0.34</v>
      </c>
      <c r="BW102" s="66">
        <v>0.65</v>
      </c>
      <c r="BX102" s="66">
        <v>0.35</v>
      </c>
      <c r="BY102" s="66">
        <v>0.46</v>
      </c>
      <c r="BZ102" s="66">
        <v>0.5</v>
      </c>
      <c r="CA102" s="66">
        <v>0.44</v>
      </c>
      <c r="CB102" s="66">
        <v>0.41</v>
      </c>
      <c r="CC102" s="66">
        <v>0.19</v>
      </c>
      <c r="CD102" s="66">
        <v>0.39</v>
      </c>
      <c r="CE102" s="66">
        <v>0.36</v>
      </c>
      <c r="CF102" s="66">
        <v>0.61</v>
      </c>
      <c r="CG102" s="66">
        <v>0.66</v>
      </c>
      <c r="CH102" s="66">
        <v>0.45</v>
      </c>
      <c r="CI102" s="66">
        <v>0.53</v>
      </c>
      <c r="CJ102" s="66">
        <v>0.28999999999999998</v>
      </c>
      <c r="CK102" s="66">
        <v>0.7</v>
      </c>
      <c r="CL102" s="66">
        <v>0.31</v>
      </c>
      <c r="CM102" s="66">
        <v>0.45</v>
      </c>
      <c r="CN102" s="66">
        <v>0.47</v>
      </c>
      <c r="CO102" s="66">
        <v>0.45</v>
      </c>
      <c r="CP102" s="66">
        <v>0.36</v>
      </c>
      <c r="CQ102" s="66">
        <v>0.53</v>
      </c>
      <c r="CR102" s="66">
        <v>0.59</v>
      </c>
      <c r="CS102" s="12">
        <v>50</v>
      </c>
      <c r="CT102" s="12">
        <v>9</v>
      </c>
      <c r="CU102" s="63">
        <v>0.14000000000000001</v>
      </c>
      <c r="CV102" s="63">
        <v>0.62</v>
      </c>
      <c r="CW102" s="63">
        <v>0.23</v>
      </c>
      <c r="CX102" s="63">
        <v>0</v>
      </c>
      <c r="CY102" s="63">
        <v>0.48</v>
      </c>
      <c r="CZ102" s="63">
        <v>0.3</v>
      </c>
      <c r="DA102" s="63">
        <v>0.56999999999999995</v>
      </c>
      <c r="DB102" s="63">
        <v>0.34</v>
      </c>
      <c r="DC102" s="63">
        <v>0.45</v>
      </c>
      <c r="DD102" s="63">
        <v>0.66</v>
      </c>
      <c r="DE102" s="63">
        <v>0.46</v>
      </c>
      <c r="DF102" s="63">
        <v>0.54</v>
      </c>
      <c r="DG102" s="63">
        <v>0.44</v>
      </c>
      <c r="DH102" s="63">
        <v>0.35</v>
      </c>
      <c r="DI102" s="63">
        <v>0.56000000000000005</v>
      </c>
      <c r="DJ102" s="63">
        <v>0.46</v>
      </c>
      <c r="DK102" s="63">
        <v>0.4</v>
      </c>
      <c r="DL102" s="63">
        <v>0.36</v>
      </c>
      <c r="DM102" s="63">
        <v>0.54</v>
      </c>
      <c r="DN102" s="63">
        <v>0.53</v>
      </c>
      <c r="DO102" s="63">
        <v>0.44</v>
      </c>
      <c r="DP102" s="63">
        <v>0.42</v>
      </c>
      <c r="DQ102" s="63">
        <v>0.55000000000000004</v>
      </c>
      <c r="DR102" s="63">
        <v>0.2</v>
      </c>
      <c r="DS102" s="63">
        <v>0.39</v>
      </c>
      <c r="DT102" s="63">
        <v>0.61</v>
      </c>
      <c r="DU102" s="63">
        <v>0.56000000000000005</v>
      </c>
      <c r="DV102" s="63">
        <v>0.57999999999999996</v>
      </c>
      <c r="DW102" s="63">
        <v>0.34</v>
      </c>
      <c r="DX102" s="35">
        <v>49</v>
      </c>
      <c r="DY102" s="35">
        <v>8</v>
      </c>
      <c r="DZ102" s="40">
        <v>0.14000000000000001</v>
      </c>
      <c r="EA102" s="40">
        <v>0.61</v>
      </c>
      <c r="EB102" s="40">
        <v>0.25</v>
      </c>
      <c r="EC102" s="40">
        <v>0</v>
      </c>
      <c r="ED102" s="40">
        <v>0.46</v>
      </c>
      <c r="EE102" s="40">
        <v>0.47</v>
      </c>
      <c r="EF102" s="40">
        <v>0.52</v>
      </c>
      <c r="EG102" s="40">
        <v>0.33</v>
      </c>
      <c r="EH102" s="40">
        <v>0.39</v>
      </c>
      <c r="EI102" s="40">
        <v>0.53</v>
      </c>
      <c r="EJ102" s="40">
        <v>0.56999999999999995</v>
      </c>
      <c r="EK102" s="40">
        <v>0.32</v>
      </c>
      <c r="EL102" s="40">
        <v>0.48</v>
      </c>
      <c r="EM102" s="40">
        <v>0.68</v>
      </c>
      <c r="EN102" s="40">
        <v>0.46</v>
      </c>
      <c r="EO102" s="40">
        <v>0.59</v>
      </c>
      <c r="EP102" s="40">
        <v>0.36</v>
      </c>
      <c r="EQ102" s="40">
        <v>0.27</v>
      </c>
      <c r="ER102" s="40">
        <v>0.64</v>
      </c>
      <c r="ES102" s="40">
        <v>0.41</v>
      </c>
      <c r="ET102" s="40">
        <v>0.33</v>
      </c>
      <c r="EU102" s="40">
        <v>0.63</v>
      </c>
      <c r="EV102" s="40">
        <v>0.45</v>
      </c>
      <c r="EW102" s="40">
        <v>0.32</v>
      </c>
      <c r="EX102" s="40">
        <v>0.62</v>
      </c>
      <c r="EY102" s="40">
        <v>0.63</v>
      </c>
      <c r="EZ102" s="40">
        <v>0.22</v>
      </c>
      <c r="FA102" s="40">
        <v>0.61</v>
      </c>
      <c r="FB102" s="247">
        <v>49</v>
      </c>
      <c r="FC102" s="247" t="s">
        <v>874</v>
      </c>
      <c r="FD102" s="247">
        <v>8</v>
      </c>
      <c r="FE102" s="247" t="s">
        <v>874</v>
      </c>
      <c r="FF102" s="264">
        <v>0.17</v>
      </c>
      <c r="FG102" s="264">
        <v>0.61</v>
      </c>
      <c r="FH102" s="264">
        <v>0.22</v>
      </c>
      <c r="FI102" s="264">
        <v>0</v>
      </c>
      <c r="FJ102" s="264">
        <v>0.5</v>
      </c>
      <c r="FK102" s="264">
        <v>0.66</v>
      </c>
      <c r="FL102" s="264">
        <v>0.49</v>
      </c>
      <c r="FM102" s="264">
        <v>0.39</v>
      </c>
      <c r="FN102" s="264">
        <v>0.28000000000000003</v>
      </c>
      <c r="FO102" s="264">
        <v>0.36</v>
      </c>
      <c r="FP102" s="264">
        <v>0.39</v>
      </c>
      <c r="FQ102" s="264">
        <v>0.43</v>
      </c>
      <c r="FR102" s="264">
        <v>0.57999999999999996</v>
      </c>
      <c r="FS102" s="264">
        <v>0.54</v>
      </c>
      <c r="FT102" s="264">
        <v>0.5</v>
      </c>
      <c r="FU102" s="264">
        <v>0.39</v>
      </c>
      <c r="FV102" s="264">
        <v>0.62</v>
      </c>
      <c r="FW102" s="264">
        <v>0.57999999999999996</v>
      </c>
      <c r="FX102" s="264">
        <v>0.51</v>
      </c>
      <c r="FY102" s="264">
        <v>0.37</v>
      </c>
      <c r="FZ102" s="264">
        <v>0.42</v>
      </c>
      <c r="GA102" s="264">
        <v>0.52</v>
      </c>
      <c r="GB102" s="264">
        <v>0.55000000000000004</v>
      </c>
      <c r="GC102" s="264">
        <v>0.48</v>
      </c>
      <c r="GD102" s="264">
        <v>0.6</v>
      </c>
      <c r="GE102" s="264">
        <v>0.53</v>
      </c>
      <c r="GF102" s="264">
        <v>0.46</v>
      </c>
      <c r="GG102" s="264">
        <v>0.46</v>
      </c>
      <c r="GH102" s="264">
        <v>0.53</v>
      </c>
      <c r="GI102" s="264">
        <v>0.31</v>
      </c>
      <c r="GJ102" s="311">
        <v>51</v>
      </c>
      <c r="GK102" s="311" t="s">
        <v>874</v>
      </c>
      <c r="GL102" s="311">
        <v>8</v>
      </c>
      <c r="GM102" s="311" t="s">
        <v>874</v>
      </c>
      <c r="GN102" s="329">
        <v>0.1</v>
      </c>
      <c r="GO102" s="329">
        <v>0.61</v>
      </c>
      <c r="GP102" s="329">
        <v>0.27</v>
      </c>
      <c r="GQ102" s="329">
        <v>0.02</v>
      </c>
      <c r="GR102" s="329">
        <v>0.42</v>
      </c>
      <c r="GS102" s="329">
        <v>0.51</v>
      </c>
      <c r="GT102" s="329">
        <v>0.63</v>
      </c>
      <c r="GU102" s="329">
        <v>0.21</v>
      </c>
      <c r="GV102" s="329">
        <v>0.54</v>
      </c>
      <c r="GW102" s="329">
        <v>0.42</v>
      </c>
      <c r="GX102" s="329">
        <v>0.47</v>
      </c>
      <c r="GY102" s="311" t="s">
        <v>283</v>
      </c>
      <c r="GZ102" s="329">
        <v>0.31</v>
      </c>
      <c r="HA102" s="329">
        <v>0.74</v>
      </c>
      <c r="HB102" s="329">
        <v>0.5</v>
      </c>
      <c r="HC102" s="329">
        <v>0.52</v>
      </c>
      <c r="HD102" s="329">
        <v>0.56999999999999995</v>
      </c>
      <c r="HE102" s="329">
        <v>0.44</v>
      </c>
      <c r="HF102" s="329">
        <v>0.47</v>
      </c>
      <c r="HG102" s="329">
        <v>0.69</v>
      </c>
      <c r="HH102" s="329">
        <v>0.39</v>
      </c>
      <c r="HI102" s="329">
        <v>0.54</v>
      </c>
      <c r="HJ102" s="329">
        <v>0.57999999999999996</v>
      </c>
      <c r="HK102" s="329">
        <v>0.54</v>
      </c>
      <c r="HL102" s="329">
        <v>0.46</v>
      </c>
      <c r="HM102" s="329">
        <v>0.47</v>
      </c>
      <c r="HN102" s="329">
        <v>0.53</v>
      </c>
      <c r="HO102" s="329">
        <v>0.43</v>
      </c>
      <c r="HP102" s="311" t="s">
        <v>283</v>
      </c>
      <c r="HQ102" s="329">
        <v>0.38</v>
      </c>
      <c r="HR102" s="426">
        <v>52</v>
      </c>
      <c r="HS102" s="426" t="s">
        <v>874</v>
      </c>
      <c r="HT102" s="426">
        <v>9</v>
      </c>
      <c r="HU102" s="426" t="s">
        <v>874</v>
      </c>
      <c r="HV102" s="430">
        <v>0.1</v>
      </c>
      <c r="HW102" s="430">
        <v>0.53</v>
      </c>
      <c r="HX102" s="430">
        <v>0.34</v>
      </c>
      <c r="HY102" s="430">
        <v>0.02</v>
      </c>
      <c r="HZ102" s="430">
        <v>0.4</v>
      </c>
      <c r="IA102" s="430">
        <v>0.56000000000000005</v>
      </c>
      <c r="IB102" s="430">
        <v>0.33</v>
      </c>
      <c r="IC102" s="430">
        <v>0.47</v>
      </c>
      <c r="ID102" s="430">
        <v>0.6</v>
      </c>
      <c r="IE102" s="430">
        <v>0.3</v>
      </c>
      <c r="IF102" s="430">
        <v>0.42</v>
      </c>
      <c r="IG102" s="430">
        <v>0.51</v>
      </c>
      <c r="IH102" s="430">
        <v>0.51</v>
      </c>
      <c r="II102" s="430">
        <v>0.25</v>
      </c>
      <c r="IJ102" s="430">
        <v>0.27</v>
      </c>
      <c r="IK102" s="430">
        <v>0.57999999999999996</v>
      </c>
      <c r="IL102" s="430">
        <v>0.31</v>
      </c>
      <c r="IM102" s="430">
        <v>0.55000000000000004</v>
      </c>
      <c r="IN102" s="430">
        <v>0.45</v>
      </c>
      <c r="IO102" s="430">
        <v>0.48</v>
      </c>
      <c r="IP102" s="430">
        <v>0.4</v>
      </c>
      <c r="IQ102" s="430">
        <v>0.62</v>
      </c>
      <c r="IR102" s="430">
        <v>0.48</v>
      </c>
      <c r="IS102" s="430">
        <v>0.44</v>
      </c>
      <c r="IT102" s="430">
        <v>0.41</v>
      </c>
      <c r="IU102" s="426" t="s">
        <v>283</v>
      </c>
      <c r="IV102" s="430">
        <v>0.6</v>
      </c>
      <c r="IW102" s="430">
        <v>0.39</v>
      </c>
      <c r="IX102" s="430">
        <v>0.47</v>
      </c>
      <c r="IY102" s="430">
        <v>0.46</v>
      </c>
      <c r="IZ102" s="466">
        <v>51</v>
      </c>
      <c r="JA102" s="466" t="s">
        <v>874</v>
      </c>
      <c r="JB102" s="466">
        <v>9</v>
      </c>
      <c r="JC102" s="466" t="s">
        <v>874</v>
      </c>
      <c r="JD102" s="480">
        <v>0.14000000000000001</v>
      </c>
      <c r="JE102" s="480">
        <v>0.54</v>
      </c>
      <c r="JF102" s="480">
        <v>0.3</v>
      </c>
      <c r="JG102" s="480">
        <v>0.01</v>
      </c>
      <c r="JH102" s="480">
        <v>0.48</v>
      </c>
      <c r="JI102" s="480">
        <v>0.47</v>
      </c>
      <c r="JJ102" s="480">
        <v>0.42</v>
      </c>
      <c r="JK102" s="480">
        <v>0.53</v>
      </c>
      <c r="JL102" s="480">
        <v>0.54</v>
      </c>
      <c r="JM102" s="480">
        <v>0.45</v>
      </c>
      <c r="JN102" s="480">
        <v>0.41</v>
      </c>
      <c r="JO102" s="480">
        <v>0.45</v>
      </c>
      <c r="JP102" s="480">
        <v>0.53</v>
      </c>
      <c r="JQ102" s="480">
        <v>0.32</v>
      </c>
      <c r="JR102" s="480">
        <v>0.6</v>
      </c>
      <c r="JS102" s="480">
        <v>0.56000000000000005</v>
      </c>
      <c r="JT102" s="480">
        <v>0.42</v>
      </c>
      <c r="JU102" s="480">
        <v>0.56000000000000005</v>
      </c>
      <c r="JV102" s="480">
        <v>0.5</v>
      </c>
      <c r="JW102" s="480">
        <v>0.49</v>
      </c>
      <c r="JX102" s="480">
        <v>0.42</v>
      </c>
      <c r="JY102" s="480">
        <v>0.53</v>
      </c>
      <c r="JZ102" s="480">
        <v>0.43</v>
      </c>
      <c r="KA102" s="480">
        <v>0.51</v>
      </c>
      <c r="KB102" s="480">
        <v>0.47</v>
      </c>
      <c r="KC102" s="480">
        <v>0.62</v>
      </c>
      <c r="KD102" s="480">
        <v>0.32</v>
      </c>
      <c r="KE102" s="480">
        <v>0.5</v>
      </c>
      <c r="KF102" s="480">
        <v>0.45</v>
      </c>
      <c r="KG102" s="480">
        <v>0.54</v>
      </c>
    </row>
    <row r="103" spans="1:293" ht="24.95" customHeight="1" x14ac:dyDescent="0.2">
      <c r="A103" s="126" t="s">
        <v>112</v>
      </c>
      <c r="B103" s="1" t="s">
        <v>219</v>
      </c>
      <c r="C103" s="2">
        <v>4</v>
      </c>
      <c r="D103" s="12">
        <v>49</v>
      </c>
      <c r="E103" s="12">
        <v>7</v>
      </c>
      <c r="F103" s="66">
        <v>0.1</v>
      </c>
      <c r="G103" s="66">
        <v>0.69</v>
      </c>
      <c r="H103" s="66">
        <v>0.21</v>
      </c>
      <c r="I103" s="66">
        <v>0</v>
      </c>
      <c r="J103" s="66">
        <v>0.43</v>
      </c>
      <c r="K103" s="66">
        <v>0.52</v>
      </c>
      <c r="L103" s="66">
        <v>0.88</v>
      </c>
      <c r="M103" s="66">
        <v>0.3</v>
      </c>
      <c r="N103" s="66">
        <v>0.38</v>
      </c>
      <c r="O103" s="66">
        <v>0.81</v>
      </c>
      <c r="P103" s="66">
        <v>0.34</v>
      </c>
      <c r="Q103" s="66">
        <v>0.46</v>
      </c>
      <c r="R103" s="66">
        <v>0.68</v>
      </c>
      <c r="S103" s="66">
        <v>0.63</v>
      </c>
      <c r="T103" s="66">
        <v>0.53</v>
      </c>
      <c r="U103" s="66">
        <v>0.73</v>
      </c>
      <c r="V103" s="66">
        <v>0.15</v>
      </c>
      <c r="W103" s="66">
        <v>0.23</v>
      </c>
      <c r="X103" s="66">
        <v>0.56999999999999995</v>
      </c>
      <c r="Y103" s="66">
        <v>0.41</v>
      </c>
      <c r="Z103" s="66">
        <v>1</v>
      </c>
      <c r="AA103" s="66">
        <v>0.17</v>
      </c>
      <c r="AB103" s="66">
        <v>0.45</v>
      </c>
      <c r="AC103" s="66">
        <v>0.54</v>
      </c>
      <c r="AD103" s="66">
        <v>0.54</v>
      </c>
      <c r="AE103" s="66">
        <v>0.61</v>
      </c>
      <c r="AF103" s="66">
        <v>0.61</v>
      </c>
      <c r="AG103" s="66">
        <v>0.45</v>
      </c>
      <c r="AH103" s="12">
        <v>50</v>
      </c>
      <c r="AI103" s="12">
        <v>8</v>
      </c>
      <c r="AJ103" s="40">
        <v>0.13</v>
      </c>
      <c r="AK103" s="40">
        <v>0.61</v>
      </c>
      <c r="AL103" s="40">
        <v>0.24</v>
      </c>
      <c r="AM103" s="40">
        <v>0.02</v>
      </c>
      <c r="AN103" s="40">
        <v>0.38</v>
      </c>
      <c r="AO103" s="40">
        <v>0.49</v>
      </c>
      <c r="AP103" s="40">
        <v>0.56000000000000005</v>
      </c>
      <c r="AQ103" s="40">
        <v>0.49</v>
      </c>
      <c r="AR103" s="40">
        <v>0.53</v>
      </c>
      <c r="AS103" s="40">
        <v>0.55000000000000004</v>
      </c>
      <c r="AT103" s="40">
        <v>0.56999999999999995</v>
      </c>
      <c r="AU103" s="40">
        <v>0.47</v>
      </c>
      <c r="AV103" s="40">
        <v>0.62</v>
      </c>
      <c r="AW103" s="40">
        <v>0.44</v>
      </c>
      <c r="AX103" s="40">
        <v>0.53</v>
      </c>
      <c r="AY103" s="40">
        <v>0.33</v>
      </c>
      <c r="AZ103" s="40">
        <v>0.28000000000000003</v>
      </c>
      <c r="BA103" s="40">
        <v>0.56000000000000005</v>
      </c>
      <c r="BB103" s="40">
        <v>0.64</v>
      </c>
      <c r="BC103" s="40">
        <v>0.72</v>
      </c>
      <c r="BD103" s="40">
        <v>0.45</v>
      </c>
      <c r="BE103" s="40">
        <v>0.57999999999999996</v>
      </c>
      <c r="BF103" s="40">
        <v>0.61</v>
      </c>
      <c r="BG103" s="40">
        <v>0.54</v>
      </c>
      <c r="BH103" s="40">
        <v>0.47</v>
      </c>
      <c r="BI103" s="40">
        <v>0.47</v>
      </c>
      <c r="BJ103" s="40">
        <v>0.38</v>
      </c>
      <c r="BK103" s="40">
        <v>0.48</v>
      </c>
      <c r="BL103" s="40">
        <v>0.53</v>
      </c>
      <c r="BM103" s="12">
        <v>47</v>
      </c>
      <c r="BN103" s="12">
        <v>9</v>
      </c>
      <c r="BO103" s="66">
        <v>0.28999999999999998</v>
      </c>
      <c r="BP103" s="66">
        <v>0.54</v>
      </c>
      <c r="BQ103" s="66">
        <v>0.17</v>
      </c>
      <c r="BR103" s="66">
        <v>0.01</v>
      </c>
      <c r="BS103" s="66">
        <v>0.44</v>
      </c>
      <c r="BT103" s="66">
        <v>0.56000000000000005</v>
      </c>
      <c r="BU103" s="66">
        <v>0.68</v>
      </c>
      <c r="BV103" s="66">
        <v>0.38</v>
      </c>
      <c r="BW103" s="66">
        <v>0.72</v>
      </c>
      <c r="BX103" s="66">
        <v>0.5</v>
      </c>
      <c r="BY103" s="66">
        <v>0.53</v>
      </c>
      <c r="BZ103" s="66">
        <v>0.56999999999999995</v>
      </c>
      <c r="CA103" s="66">
        <v>0.52</v>
      </c>
      <c r="CB103" s="66">
        <v>0.42</v>
      </c>
      <c r="CC103" s="66">
        <v>0.28000000000000003</v>
      </c>
      <c r="CD103" s="66">
        <v>0.53</v>
      </c>
      <c r="CE103" s="66">
        <v>0.44</v>
      </c>
      <c r="CF103" s="66">
        <v>0.56000000000000005</v>
      </c>
      <c r="CG103" s="66">
        <v>0.64</v>
      </c>
      <c r="CH103" s="66">
        <v>0.5</v>
      </c>
      <c r="CI103" s="66">
        <v>0.63</v>
      </c>
      <c r="CJ103" s="66">
        <v>0.43</v>
      </c>
      <c r="CK103" s="66">
        <v>0.73</v>
      </c>
      <c r="CL103" s="66">
        <v>0.43</v>
      </c>
      <c r="CM103" s="66">
        <v>0.56000000000000005</v>
      </c>
      <c r="CN103" s="66">
        <v>0.51</v>
      </c>
      <c r="CO103" s="66">
        <v>0.56000000000000005</v>
      </c>
      <c r="CP103" s="66">
        <v>0.47</v>
      </c>
      <c r="CQ103" s="66">
        <v>0.6</v>
      </c>
      <c r="CR103" s="66">
        <v>0.59</v>
      </c>
      <c r="CS103" s="12">
        <v>45</v>
      </c>
      <c r="CT103" s="12">
        <v>9</v>
      </c>
      <c r="CU103" s="63">
        <v>0.3</v>
      </c>
      <c r="CV103" s="63">
        <v>0.6</v>
      </c>
      <c r="CW103" s="63">
        <v>0.1</v>
      </c>
      <c r="CX103" s="63">
        <v>0</v>
      </c>
      <c r="CY103" s="63">
        <v>0.59</v>
      </c>
      <c r="CZ103" s="63">
        <v>0.37</v>
      </c>
      <c r="DA103" s="63">
        <v>0.64</v>
      </c>
      <c r="DB103" s="63">
        <v>0.49</v>
      </c>
      <c r="DC103" s="63">
        <v>0.49</v>
      </c>
      <c r="DD103" s="63">
        <v>0.7</v>
      </c>
      <c r="DE103" s="63">
        <v>0.56999999999999995</v>
      </c>
      <c r="DF103" s="63">
        <v>0.65</v>
      </c>
      <c r="DG103" s="63">
        <v>0.52</v>
      </c>
      <c r="DH103" s="63">
        <v>0.39</v>
      </c>
      <c r="DI103" s="63">
        <v>0.68</v>
      </c>
      <c r="DJ103" s="63">
        <v>0.6</v>
      </c>
      <c r="DK103" s="63">
        <v>0.45</v>
      </c>
      <c r="DL103" s="63">
        <v>0.44</v>
      </c>
      <c r="DM103" s="63">
        <v>0.64</v>
      </c>
      <c r="DN103" s="63">
        <v>0.56000000000000005</v>
      </c>
      <c r="DO103" s="63">
        <v>0.56000000000000005</v>
      </c>
      <c r="DP103" s="63">
        <v>0.54</v>
      </c>
      <c r="DQ103" s="63">
        <v>0.56999999999999995</v>
      </c>
      <c r="DR103" s="63">
        <v>0.28999999999999998</v>
      </c>
      <c r="DS103" s="63">
        <v>0.46</v>
      </c>
      <c r="DT103" s="63">
        <v>0.61</v>
      </c>
      <c r="DU103" s="63">
        <v>0.56999999999999995</v>
      </c>
      <c r="DV103" s="63">
        <v>0.71</v>
      </c>
      <c r="DW103" s="63">
        <v>0.42</v>
      </c>
      <c r="DX103" s="35">
        <v>45</v>
      </c>
      <c r="DY103" s="35">
        <v>9</v>
      </c>
      <c r="DZ103" s="40">
        <v>0.31</v>
      </c>
      <c r="EA103" s="40">
        <v>0.53</v>
      </c>
      <c r="EB103" s="40">
        <v>0.15</v>
      </c>
      <c r="EC103" s="40">
        <v>0</v>
      </c>
      <c r="ED103" s="40">
        <v>0.54</v>
      </c>
      <c r="EE103" s="40">
        <v>0.52</v>
      </c>
      <c r="EF103" s="40">
        <v>0.53</v>
      </c>
      <c r="EG103" s="40">
        <v>0.48</v>
      </c>
      <c r="EH103" s="40">
        <v>0.49</v>
      </c>
      <c r="EI103" s="40">
        <v>0.59</v>
      </c>
      <c r="EJ103" s="40">
        <v>0.64</v>
      </c>
      <c r="EK103" s="40">
        <v>0.28000000000000003</v>
      </c>
      <c r="EL103" s="40">
        <v>0.53</v>
      </c>
      <c r="EM103" s="40">
        <v>0.68</v>
      </c>
      <c r="EN103" s="40">
        <v>0.6</v>
      </c>
      <c r="EO103" s="40">
        <v>0.59</v>
      </c>
      <c r="EP103" s="40">
        <v>0.49</v>
      </c>
      <c r="EQ103" s="40">
        <v>0.4</v>
      </c>
      <c r="ER103" s="40">
        <v>0.65</v>
      </c>
      <c r="ES103" s="40">
        <v>0.53</v>
      </c>
      <c r="ET103" s="40">
        <v>0.46</v>
      </c>
      <c r="EU103" s="40">
        <v>0.67</v>
      </c>
      <c r="EV103" s="40">
        <v>0.46</v>
      </c>
      <c r="EW103" s="40">
        <v>0.43</v>
      </c>
      <c r="EX103" s="40">
        <v>0.74</v>
      </c>
      <c r="EY103" s="40">
        <v>0.66</v>
      </c>
      <c r="EZ103" s="40">
        <v>0.27</v>
      </c>
      <c r="FA103" s="40">
        <v>0.66</v>
      </c>
      <c r="FB103" s="247">
        <v>45</v>
      </c>
      <c r="FC103" s="247" t="s">
        <v>874</v>
      </c>
      <c r="FD103" s="247">
        <v>8</v>
      </c>
      <c r="FE103" s="247" t="s">
        <v>874</v>
      </c>
      <c r="FF103" s="264">
        <v>0.27</v>
      </c>
      <c r="FG103" s="264">
        <v>0.63</v>
      </c>
      <c r="FH103" s="264">
        <v>0.1</v>
      </c>
      <c r="FI103" s="264">
        <v>0</v>
      </c>
      <c r="FJ103" s="264">
        <v>0.54</v>
      </c>
      <c r="FK103" s="264">
        <v>0.72</v>
      </c>
      <c r="FL103" s="264">
        <v>0.62</v>
      </c>
      <c r="FM103" s="264">
        <v>0.52</v>
      </c>
      <c r="FN103" s="264">
        <v>0.36</v>
      </c>
      <c r="FO103" s="264">
        <v>0.41</v>
      </c>
      <c r="FP103" s="264">
        <v>0.46</v>
      </c>
      <c r="FQ103" s="264">
        <v>0.47</v>
      </c>
      <c r="FR103" s="264">
        <v>0.65</v>
      </c>
      <c r="FS103" s="264">
        <v>0.53</v>
      </c>
      <c r="FT103" s="264">
        <v>0.55000000000000004</v>
      </c>
      <c r="FU103" s="264">
        <v>0.52</v>
      </c>
      <c r="FV103" s="264">
        <v>0.79</v>
      </c>
      <c r="FW103" s="264">
        <v>0.62</v>
      </c>
      <c r="FX103" s="264">
        <v>0.57999999999999996</v>
      </c>
      <c r="FY103" s="264">
        <v>0.46</v>
      </c>
      <c r="FZ103" s="264">
        <v>0.54</v>
      </c>
      <c r="GA103" s="264">
        <v>0.57999999999999996</v>
      </c>
      <c r="GB103" s="264">
        <v>0.65</v>
      </c>
      <c r="GC103" s="264">
        <v>0.57999999999999996</v>
      </c>
      <c r="GD103" s="264">
        <v>0.65</v>
      </c>
      <c r="GE103" s="264">
        <v>0.66</v>
      </c>
      <c r="GF103" s="264">
        <v>0.53</v>
      </c>
      <c r="GG103" s="264">
        <v>0.65</v>
      </c>
      <c r="GH103" s="264">
        <v>0.62</v>
      </c>
      <c r="GI103" s="264">
        <v>0.4</v>
      </c>
      <c r="GJ103" s="311">
        <v>45</v>
      </c>
      <c r="GK103" s="311" t="s">
        <v>874</v>
      </c>
      <c r="GL103" s="311">
        <v>9</v>
      </c>
      <c r="GM103" s="311" t="s">
        <v>874</v>
      </c>
      <c r="GN103" s="329">
        <v>0.32</v>
      </c>
      <c r="GO103" s="329">
        <v>0.55000000000000004</v>
      </c>
      <c r="GP103" s="329">
        <v>0.14000000000000001</v>
      </c>
      <c r="GQ103" s="329">
        <v>0</v>
      </c>
      <c r="GR103" s="329">
        <v>0.54</v>
      </c>
      <c r="GS103" s="329">
        <v>0.72</v>
      </c>
      <c r="GT103" s="329">
        <v>0.69</v>
      </c>
      <c r="GU103" s="329">
        <v>0.35</v>
      </c>
      <c r="GV103" s="329">
        <v>0.64</v>
      </c>
      <c r="GW103" s="329">
        <v>0.61</v>
      </c>
      <c r="GX103" s="329">
        <v>0.56000000000000005</v>
      </c>
      <c r="GY103" s="311" t="s">
        <v>283</v>
      </c>
      <c r="GZ103" s="329">
        <v>0.4</v>
      </c>
      <c r="HA103" s="329">
        <v>0.73</v>
      </c>
      <c r="HB103" s="329">
        <v>0.53</v>
      </c>
      <c r="HC103" s="329">
        <v>0.56000000000000005</v>
      </c>
      <c r="HD103" s="329">
        <v>0.67</v>
      </c>
      <c r="HE103" s="329">
        <v>0.56000000000000005</v>
      </c>
      <c r="HF103" s="329">
        <v>0.62</v>
      </c>
      <c r="HG103" s="329">
        <v>0.67</v>
      </c>
      <c r="HH103" s="329">
        <v>0.52</v>
      </c>
      <c r="HI103" s="329">
        <v>0.69</v>
      </c>
      <c r="HJ103" s="329">
        <v>0.68</v>
      </c>
      <c r="HK103" s="329">
        <v>0.56000000000000005</v>
      </c>
      <c r="HL103" s="329">
        <v>0.53</v>
      </c>
      <c r="HM103" s="329">
        <v>0.56999999999999995</v>
      </c>
      <c r="HN103" s="329">
        <v>0.57999999999999996</v>
      </c>
      <c r="HO103" s="329">
        <v>0.55000000000000004</v>
      </c>
      <c r="HP103" s="311" t="s">
        <v>283</v>
      </c>
      <c r="HQ103" s="329">
        <v>0.56999999999999995</v>
      </c>
      <c r="HR103" s="426">
        <v>44</v>
      </c>
      <c r="HS103" s="426" t="s">
        <v>874</v>
      </c>
      <c r="HT103" s="426">
        <v>8</v>
      </c>
      <c r="HU103" s="426" t="s">
        <v>874</v>
      </c>
      <c r="HV103" s="430">
        <v>0.34</v>
      </c>
      <c r="HW103" s="430">
        <v>0.57999999999999996</v>
      </c>
      <c r="HX103" s="430">
        <v>7.0000000000000007E-2</v>
      </c>
      <c r="HY103" s="430">
        <v>0</v>
      </c>
      <c r="HZ103" s="430">
        <v>0.56000000000000005</v>
      </c>
      <c r="IA103" s="430">
        <v>0.62</v>
      </c>
      <c r="IB103" s="430">
        <v>0.49</v>
      </c>
      <c r="IC103" s="430">
        <v>0.62</v>
      </c>
      <c r="ID103" s="430">
        <v>0.67</v>
      </c>
      <c r="IE103" s="430">
        <v>0.54</v>
      </c>
      <c r="IF103" s="430">
        <v>0.52</v>
      </c>
      <c r="IG103" s="430">
        <v>0.68</v>
      </c>
      <c r="IH103" s="430">
        <v>0.64</v>
      </c>
      <c r="II103" s="430">
        <v>0.53</v>
      </c>
      <c r="IJ103" s="430">
        <v>0.47</v>
      </c>
      <c r="IK103" s="430">
        <v>0.74</v>
      </c>
      <c r="IL103" s="430">
        <v>0.41</v>
      </c>
      <c r="IM103" s="430">
        <v>0.73</v>
      </c>
      <c r="IN103" s="430">
        <v>0.56999999999999995</v>
      </c>
      <c r="IO103" s="430">
        <v>0.62</v>
      </c>
      <c r="IP103" s="430">
        <v>0.53</v>
      </c>
      <c r="IQ103" s="430">
        <v>0.7</v>
      </c>
      <c r="IR103" s="430">
        <v>0.64</v>
      </c>
      <c r="IS103" s="430">
        <v>0.7</v>
      </c>
      <c r="IT103" s="430">
        <v>0.55000000000000004</v>
      </c>
      <c r="IU103" s="426" t="s">
        <v>283</v>
      </c>
      <c r="IV103" s="430">
        <v>0.66</v>
      </c>
      <c r="IW103" s="430">
        <v>0.56000000000000005</v>
      </c>
      <c r="IX103" s="430">
        <v>0.6</v>
      </c>
      <c r="IY103" s="430">
        <v>0.67</v>
      </c>
      <c r="IZ103" s="466">
        <v>46</v>
      </c>
      <c r="JA103" s="466" t="s">
        <v>874</v>
      </c>
      <c r="JB103" s="466">
        <v>8</v>
      </c>
      <c r="JC103" s="466" t="s">
        <v>874</v>
      </c>
      <c r="JD103" s="480">
        <v>0.26</v>
      </c>
      <c r="JE103" s="480">
        <v>0.6</v>
      </c>
      <c r="JF103" s="480">
        <v>0.14000000000000001</v>
      </c>
      <c r="JG103" s="480">
        <v>0</v>
      </c>
      <c r="JH103" s="480">
        <v>0.65</v>
      </c>
      <c r="JI103" s="480">
        <v>0.55000000000000004</v>
      </c>
      <c r="JJ103" s="480">
        <v>0.54</v>
      </c>
      <c r="JK103" s="480">
        <v>0.59</v>
      </c>
      <c r="JL103" s="480">
        <v>0.61</v>
      </c>
      <c r="JM103" s="480">
        <v>0.59</v>
      </c>
      <c r="JN103" s="480">
        <v>0.54</v>
      </c>
      <c r="JO103" s="480">
        <v>0.51</v>
      </c>
      <c r="JP103" s="480">
        <v>0.64</v>
      </c>
      <c r="JQ103" s="480">
        <v>0.31</v>
      </c>
      <c r="JR103" s="480">
        <v>0.64</v>
      </c>
      <c r="JS103" s="480">
        <v>0.64</v>
      </c>
      <c r="JT103" s="480">
        <v>0.56000000000000005</v>
      </c>
      <c r="JU103" s="480">
        <v>0.67</v>
      </c>
      <c r="JV103" s="480">
        <v>0.63</v>
      </c>
      <c r="JW103" s="480">
        <v>0.59</v>
      </c>
      <c r="JX103" s="480">
        <v>0.49</v>
      </c>
      <c r="JY103" s="480">
        <v>0.56000000000000005</v>
      </c>
      <c r="JZ103" s="480">
        <v>0.55000000000000004</v>
      </c>
      <c r="KA103" s="480">
        <v>0.73</v>
      </c>
      <c r="KB103" s="480">
        <v>0.57999999999999996</v>
      </c>
      <c r="KC103" s="480">
        <v>0.71</v>
      </c>
      <c r="KD103" s="480">
        <v>0.5</v>
      </c>
      <c r="KE103" s="480">
        <v>0.51</v>
      </c>
      <c r="KF103" s="480">
        <v>0.55000000000000004</v>
      </c>
      <c r="KG103" s="480">
        <v>0.62</v>
      </c>
    </row>
    <row r="104" spans="1:293" ht="24.95" customHeight="1" x14ac:dyDescent="0.2">
      <c r="A104" s="126" t="s">
        <v>48</v>
      </c>
      <c r="B104" s="1" t="s">
        <v>219</v>
      </c>
      <c r="C104" s="2">
        <v>4</v>
      </c>
      <c r="D104" s="12">
        <v>52</v>
      </c>
      <c r="E104" s="12">
        <v>7</v>
      </c>
      <c r="F104" s="66">
        <v>0.08</v>
      </c>
      <c r="G104" s="66">
        <v>0.62</v>
      </c>
      <c r="H104" s="66">
        <v>0.31</v>
      </c>
      <c r="I104" s="66">
        <v>0</v>
      </c>
      <c r="J104" s="66">
        <v>0.46</v>
      </c>
      <c r="K104" s="66">
        <v>0.56999999999999995</v>
      </c>
      <c r="L104" s="66">
        <v>0.84</v>
      </c>
      <c r="M104" s="66">
        <v>0.37</v>
      </c>
      <c r="N104" s="66">
        <v>0.3</v>
      </c>
      <c r="O104" s="66">
        <v>0.57999999999999996</v>
      </c>
      <c r="P104" s="66">
        <v>0.35</v>
      </c>
      <c r="Q104" s="66">
        <v>0.56999999999999995</v>
      </c>
      <c r="R104" s="66">
        <v>0.59</v>
      </c>
      <c r="S104" s="66">
        <v>0.48</v>
      </c>
      <c r="T104" s="66">
        <v>0.59</v>
      </c>
      <c r="U104" s="66">
        <v>0.49</v>
      </c>
      <c r="V104" s="66">
        <v>0.03</v>
      </c>
      <c r="W104" s="66">
        <v>0.11</v>
      </c>
      <c r="X104" s="66">
        <v>0.53</v>
      </c>
      <c r="Y104" s="66">
        <v>0.43</v>
      </c>
      <c r="Z104" s="66">
        <v>1</v>
      </c>
      <c r="AA104" s="66">
        <v>0.2</v>
      </c>
      <c r="AB104" s="66">
        <v>0.52</v>
      </c>
      <c r="AC104" s="66">
        <v>0.28000000000000003</v>
      </c>
      <c r="AD104" s="66">
        <v>0.5</v>
      </c>
      <c r="AE104" s="66">
        <v>0.44</v>
      </c>
      <c r="AF104" s="66">
        <v>0.67</v>
      </c>
      <c r="AG104" s="66">
        <v>0.57999999999999996</v>
      </c>
      <c r="AH104" s="12">
        <v>50</v>
      </c>
      <c r="AI104" s="12">
        <v>8</v>
      </c>
      <c r="AJ104" s="40">
        <v>0.1</v>
      </c>
      <c r="AK104" s="40">
        <v>0.62</v>
      </c>
      <c r="AL104" s="40">
        <v>0.28000000000000003</v>
      </c>
      <c r="AM104" s="40">
        <v>0</v>
      </c>
      <c r="AN104" s="40">
        <v>0.43</v>
      </c>
      <c r="AO104" s="40">
        <v>0.49</v>
      </c>
      <c r="AP104" s="40">
        <v>0.66</v>
      </c>
      <c r="AQ104" s="40">
        <v>0.47</v>
      </c>
      <c r="AR104" s="40">
        <v>0.68</v>
      </c>
      <c r="AS104" s="40">
        <v>0.54</v>
      </c>
      <c r="AT104" s="40">
        <v>0.5</v>
      </c>
      <c r="AU104" s="40">
        <v>0.54</v>
      </c>
      <c r="AV104" s="40">
        <v>0.71</v>
      </c>
      <c r="AW104" s="40">
        <v>0.6</v>
      </c>
      <c r="AX104" s="40">
        <v>0.7</v>
      </c>
      <c r="AY104" s="40">
        <v>0.36</v>
      </c>
      <c r="AZ104" s="40">
        <v>0.37</v>
      </c>
      <c r="BA104" s="40">
        <v>0.41</v>
      </c>
      <c r="BB104" s="40">
        <v>0.7</v>
      </c>
      <c r="BC104" s="40">
        <v>0.64</v>
      </c>
      <c r="BD104" s="40">
        <v>0.56999999999999995</v>
      </c>
      <c r="BE104" s="40">
        <v>0.6</v>
      </c>
      <c r="BF104" s="40">
        <v>0.53</v>
      </c>
      <c r="BG104" s="40">
        <v>0.52</v>
      </c>
      <c r="BH104" s="40">
        <v>0.46</v>
      </c>
      <c r="BI104" s="40">
        <v>0.45</v>
      </c>
      <c r="BJ104" s="40">
        <v>0.32</v>
      </c>
      <c r="BK104" s="40">
        <v>0.46</v>
      </c>
      <c r="BL104" s="40">
        <v>0.73</v>
      </c>
      <c r="BM104" s="12">
        <v>49</v>
      </c>
      <c r="BN104" s="12">
        <v>8</v>
      </c>
      <c r="BO104" s="66">
        <v>0.17</v>
      </c>
      <c r="BP104" s="66">
        <v>0.66</v>
      </c>
      <c r="BQ104" s="66">
        <v>0.17</v>
      </c>
      <c r="BR104" s="66">
        <v>0</v>
      </c>
      <c r="BS104" s="66">
        <v>0.51</v>
      </c>
      <c r="BT104" s="66">
        <v>0.44</v>
      </c>
      <c r="BU104" s="66">
        <v>0.67</v>
      </c>
      <c r="BV104" s="66">
        <v>0.57999999999999996</v>
      </c>
      <c r="BW104" s="66">
        <v>0.56000000000000005</v>
      </c>
      <c r="BX104" s="66">
        <v>0.43</v>
      </c>
      <c r="BY104" s="66">
        <v>0.53</v>
      </c>
      <c r="BZ104" s="66">
        <v>0.54</v>
      </c>
      <c r="CA104" s="66">
        <v>0.52</v>
      </c>
      <c r="CB104" s="66">
        <v>0.44</v>
      </c>
      <c r="CC104" s="66">
        <v>0.28999999999999998</v>
      </c>
      <c r="CD104" s="66">
        <v>0.49</v>
      </c>
      <c r="CE104" s="66">
        <v>0.39</v>
      </c>
      <c r="CF104" s="66">
        <v>0.55000000000000004</v>
      </c>
      <c r="CG104" s="66">
        <v>0.63</v>
      </c>
      <c r="CH104" s="66">
        <v>0.52</v>
      </c>
      <c r="CI104" s="66">
        <v>0.68</v>
      </c>
      <c r="CJ104" s="66">
        <v>0.28000000000000003</v>
      </c>
      <c r="CK104" s="66">
        <v>0.76</v>
      </c>
      <c r="CL104" s="66">
        <v>0.38</v>
      </c>
      <c r="CM104" s="66">
        <v>0.51</v>
      </c>
      <c r="CN104" s="66">
        <v>0.44</v>
      </c>
      <c r="CO104" s="66">
        <v>0.49</v>
      </c>
      <c r="CP104" s="66">
        <v>0.36</v>
      </c>
      <c r="CQ104" s="66">
        <v>0.52</v>
      </c>
      <c r="CR104" s="66">
        <v>0.53</v>
      </c>
      <c r="CS104" s="12">
        <v>48</v>
      </c>
      <c r="CT104" s="12">
        <v>8</v>
      </c>
      <c r="CU104" s="63">
        <v>0.1</v>
      </c>
      <c r="CV104" s="63">
        <v>0.77</v>
      </c>
      <c r="CW104" s="63">
        <v>0.13</v>
      </c>
      <c r="CX104" s="63">
        <v>0</v>
      </c>
      <c r="CY104" s="63">
        <v>0.62</v>
      </c>
      <c r="CZ104" s="63">
        <v>0.32</v>
      </c>
      <c r="DA104" s="63">
        <v>0.64</v>
      </c>
      <c r="DB104" s="63">
        <v>0.36</v>
      </c>
      <c r="DC104" s="63">
        <v>0.44</v>
      </c>
      <c r="DD104" s="63">
        <v>0.63</v>
      </c>
      <c r="DE104" s="63">
        <v>0.49</v>
      </c>
      <c r="DF104" s="63">
        <v>0.6</v>
      </c>
      <c r="DG104" s="63">
        <v>0.43</v>
      </c>
      <c r="DH104" s="63">
        <v>0.55000000000000004</v>
      </c>
      <c r="DI104" s="63">
        <v>0.56000000000000005</v>
      </c>
      <c r="DJ104" s="63">
        <v>0.48</v>
      </c>
      <c r="DK104" s="63">
        <v>0.33</v>
      </c>
      <c r="DL104" s="63">
        <v>0.63</v>
      </c>
      <c r="DM104" s="63">
        <v>0.49</v>
      </c>
      <c r="DN104" s="63">
        <v>0.51</v>
      </c>
      <c r="DO104" s="63">
        <v>0.46</v>
      </c>
      <c r="DP104" s="63">
        <v>0.53</v>
      </c>
      <c r="DQ104" s="63">
        <v>0.56000000000000005</v>
      </c>
      <c r="DR104" s="63">
        <v>0.13</v>
      </c>
      <c r="DS104" s="63">
        <v>0.37</v>
      </c>
      <c r="DT104" s="63">
        <v>0.68</v>
      </c>
      <c r="DU104" s="63">
        <v>0.63</v>
      </c>
      <c r="DV104" s="63">
        <v>0.54</v>
      </c>
      <c r="DW104" s="63">
        <v>0.37</v>
      </c>
      <c r="DX104" s="35">
        <v>43</v>
      </c>
      <c r="DY104" s="35">
        <v>9</v>
      </c>
      <c r="DZ104" s="40">
        <v>0.36</v>
      </c>
      <c r="EA104" s="40">
        <v>0.57999999999999996</v>
      </c>
      <c r="EB104" s="40">
        <v>0.06</v>
      </c>
      <c r="EC104" s="40">
        <v>0</v>
      </c>
      <c r="ED104" s="40">
        <v>0.57999999999999996</v>
      </c>
      <c r="EE104" s="40">
        <v>0.44</v>
      </c>
      <c r="EF104" s="40">
        <v>0.5</v>
      </c>
      <c r="EG104" s="40">
        <v>0.59</v>
      </c>
      <c r="EH104" s="40">
        <v>0.64</v>
      </c>
      <c r="EI104" s="40">
        <v>0.75</v>
      </c>
      <c r="EJ104" s="40">
        <v>0.67</v>
      </c>
      <c r="EK104" s="40">
        <v>0.39</v>
      </c>
      <c r="EL104" s="40">
        <v>0.55000000000000004</v>
      </c>
      <c r="EM104" s="40">
        <v>0.73</v>
      </c>
      <c r="EN104" s="40">
        <v>0.65</v>
      </c>
      <c r="EO104" s="40">
        <v>0.66</v>
      </c>
      <c r="EP104" s="40">
        <v>0.53</v>
      </c>
      <c r="EQ104" s="40">
        <v>0.4</v>
      </c>
      <c r="ER104" s="40">
        <v>0.7</v>
      </c>
      <c r="ES104" s="40">
        <v>0.57999999999999996</v>
      </c>
      <c r="ET104" s="40">
        <v>0.4</v>
      </c>
      <c r="EU104" s="40">
        <v>0.89</v>
      </c>
      <c r="EV104" s="40">
        <v>0.5</v>
      </c>
      <c r="EW104" s="40">
        <v>0.43</v>
      </c>
      <c r="EX104" s="40">
        <v>0.73</v>
      </c>
      <c r="EY104" s="40">
        <v>0.69</v>
      </c>
      <c r="EZ104" s="40">
        <v>0.47</v>
      </c>
      <c r="FA104" s="40">
        <v>0.64</v>
      </c>
      <c r="FB104" s="247">
        <v>46</v>
      </c>
      <c r="FC104" s="247" t="s">
        <v>874</v>
      </c>
      <c r="FD104" s="247">
        <v>7</v>
      </c>
      <c r="FE104" s="247" t="s">
        <v>874</v>
      </c>
      <c r="FF104" s="264">
        <v>0.28999999999999998</v>
      </c>
      <c r="FG104" s="264">
        <v>0.59</v>
      </c>
      <c r="FH104" s="264">
        <v>0.12</v>
      </c>
      <c r="FI104" s="264">
        <v>0</v>
      </c>
      <c r="FJ104" s="264">
        <v>0.52</v>
      </c>
      <c r="FK104" s="264">
        <v>0.66</v>
      </c>
      <c r="FL104" s="264">
        <v>0.53</v>
      </c>
      <c r="FM104" s="264">
        <v>0.56000000000000005</v>
      </c>
      <c r="FN104" s="264">
        <v>0.28999999999999998</v>
      </c>
      <c r="FO104" s="264">
        <v>0.43</v>
      </c>
      <c r="FP104" s="264">
        <v>0.44</v>
      </c>
      <c r="FQ104" s="264">
        <v>0.4</v>
      </c>
      <c r="FR104" s="264">
        <v>0.59</v>
      </c>
      <c r="FS104" s="264">
        <v>0.71</v>
      </c>
      <c r="FT104" s="264">
        <v>0.63</v>
      </c>
      <c r="FU104" s="264">
        <v>0.69</v>
      </c>
      <c r="FV104" s="264">
        <v>0.74</v>
      </c>
      <c r="FW104" s="264">
        <v>0.68</v>
      </c>
      <c r="FX104" s="264">
        <v>0.6</v>
      </c>
      <c r="FY104" s="264">
        <v>0.42</v>
      </c>
      <c r="FZ104" s="264">
        <v>0.52</v>
      </c>
      <c r="GA104" s="264">
        <v>0.53</v>
      </c>
      <c r="GB104" s="264">
        <v>0.55000000000000004</v>
      </c>
      <c r="GC104" s="264">
        <v>0.52</v>
      </c>
      <c r="GD104" s="264">
        <v>0.68</v>
      </c>
      <c r="GE104" s="264">
        <v>0.68</v>
      </c>
      <c r="GF104" s="264">
        <v>0.73</v>
      </c>
      <c r="GG104" s="264">
        <v>0.56999999999999995</v>
      </c>
      <c r="GH104" s="264">
        <v>0.64</v>
      </c>
      <c r="GI104" s="264">
        <v>0.32</v>
      </c>
      <c r="GJ104" s="311">
        <v>47</v>
      </c>
      <c r="GK104" s="311" t="s">
        <v>874</v>
      </c>
      <c r="GL104" s="311">
        <v>8</v>
      </c>
      <c r="GM104" s="311" t="s">
        <v>874</v>
      </c>
      <c r="GN104" s="329">
        <v>0.24</v>
      </c>
      <c r="GO104" s="329">
        <v>0.61</v>
      </c>
      <c r="GP104" s="329">
        <v>0.15</v>
      </c>
      <c r="GQ104" s="329">
        <v>0</v>
      </c>
      <c r="GR104" s="329">
        <v>0.45</v>
      </c>
      <c r="GS104" s="329">
        <v>0.56999999999999995</v>
      </c>
      <c r="GT104" s="329">
        <v>0.72</v>
      </c>
      <c r="GU104" s="329">
        <v>0.36</v>
      </c>
      <c r="GV104" s="329">
        <v>0.56000000000000005</v>
      </c>
      <c r="GW104" s="329">
        <v>0.63</v>
      </c>
      <c r="GX104" s="329">
        <v>0.55000000000000004</v>
      </c>
      <c r="GY104" s="311" t="s">
        <v>283</v>
      </c>
      <c r="GZ104" s="329">
        <v>0.52</v>
      </c>
      <c r="HA104" s="329">
        <v>0.52</v>
      </c>
      <c r="HB104" s="329">
        <v>0.55000000000000004</v>
      </c>
      <c r="HC104" s="329">
        <v>0.53</v>
      </c>
      <c r="HD104" s="329">
        <v>0.65</v>
      </c>
      <c r="HE104" s="329">
        <v>0.55000000000000004</v>
      </c>
      <c r="HF104" s="329">
        <v>0.53</v>
      </c>
      <c r="HG104" s="329">
        <v>0.66</v>
      </c>
      <c r="HH104" s="329">
        <v>0.49</v>
      </c>
      <c r="HI104" s="329">
        <v>0.67</v>
      </c>
      <c r="HJ104" s="329">
        <v>0.68</v>
      </c>
      <c r="HK104" s="329">
        <v>0.62</v>
      </c>
      <c r="HL104" s="329">
        <v>0.51</v>
      </c>
      <c r="HM104" s="329">
        <v>0.57999999999999996</v>
      </c>
      <c r="HN104" s="329">
        <v>0.55000000000000004</v>
      </c>
      <c r="HO104" s="329">
        <v>0.52</v>
      </c>
      <c r="HP104" s="311" t="s">
        <v>283</v>
      </c>
      <c r="HQ104" s="329">
        <v>0.45</v>
      </c>
      <c r="HR104" s="426">
        <v>48</v>
      </c>
      <c r="HS104" s="426" t="s">
        <v>874</v>
      </c>
      <c r="HT104" s="426">
        <v>9</v>
      </c>
      <c r="HU104" s="426" t="s">
        <v>874</v>
      </c>
      <c r="HV104" s="430">
        <v>0.21</v>
      </c>
      <c r="HW104" s="430">
        <v>0.61</v>
      </c>
      <c r="HX104" s="430">
        <v>0.18</v>
      </c>
      <c r="HY104" s="430">
        <v>0</v>
      </c>
      <c r="HZ104" s="430">
        <v>0.47</v>
      </c>
      <c r="IA104" s="430">
        <v>0.63</v>
      </c>
      <c r="IB104" s="430">
        <v>0.41</v>
      </c>
      <c r="IC104" s="430">
        <v>0.49</v>
      </c>
      <c r="ID104" s="430">
        <v>0.64</v>
      </c>
      <c r="IE104" s="430">
        <v>0.44</v>
      </c>
      <c r="IF104" s="430">
        <v>0.47</v>
      </c>
      <c r="IG104" s="430">
        <v>0.61</v>
      </c>
      <c r="IH104" s="430">
        <v>0.61</v>
      </c>
      <c r="II104" s="430">
        <v>0.64</v>
      </c>
      <c r="IJ104" s="430">
        <v>0.41</v>
      </c>
      <c r="IK104" s="430">
        <v>0.51</v>
      </c>
      <c r="IL104" s="430">
        <v>0.25</v>
      </c>
      <c r="IM104" s="430">
        <v>0.62</v>
      </c>
      <c r="IN104" s="430">
        <v>0.56999999999999995</v>
      </c>
      <c r="IO104" s="430">
        <v>0.68</v>
      </c>
      <c r="IP104" s="430">
        <v>0.56999999999999995</v>
      </c>
      <c r="IQ104" s="430">
        <v>0.62</v>
      </c>
      <c r="IR104" s="430">
        <v>0.63</v>
      </c>
      <c r="IS104" s="430">
        <v>0.66</v>
      </c>
      <c r="IT104" s="430">
        <v>0.49</v>
      </c>
      <c r="IU104" s="426" t="s">
        <v>283</v>
      </c>
      <c r="IV104" s="430">
        <v>0.6</v>
      </c>
      <c r="IW104" s="430">
        <v>0.48</v>
      </c>
      <c r="IX104" s="430">
        <v>0.4</v>
      </c>
      <c r="IY104" s="430">
        <v>0.55000000000000004</v>
      </c>
      <c r="IZ104" s="466">
        <v>49</v>
      </c>
      <c r="JA104" s="466" t="s">
        <v>874</v>
      </c>
      <c r="JB104" s="466">
        <v>8</v>
      </c>
      <c r="JC104" s="466" t="s">
        <v>874</v>
      </c>
      <c r="JD104" s="480">
        <v>0.21</v>
      </c>
      <c r="JE104" s="480">
        <v>0.56000000000000005</v>
      </c>
      <c r="JF104" s="480">
        <v>0.24</v>
      </c>
      <c r="JG104" s="480">
        <v>0</v>
      </c>
      <c r="JH104" s="480">
        <v>0.59</v>
      </c>
      <c r="JI104" s="480">
        <v>0.45</v>
      </c>
      <c r="JJ104" s="480">
        <v>0.41</v>
      </c>
      <c r="JK104" s="480">
        <v>0.56999999999999995</v>
      </c>
      <c r="JL104" s="480">
        <v>0.61</v>
      </c>
      <c r="JM104" s="480">
        <v>0.61</v>
      </c>
      <c r="JN104" s="480">
        <v>0.51</v>
      </c>
      <c r="JO104" s="480">
        <v>0.56999999999999995</v>
      </c>
      <c r="JP104" s="480">
        <v>0.61</v>
      </c>
      <c r="JQ104" s="480">
        <v>0.22</v>
      </c>
      <c r="JR104" s="480">
        <v>0.63</v>
      </c>
      <c r="JS104" s="480">
        <v>0.7</v>
      </c>
      <c r="JT104" s="480">
        <v>0.41</v>
      </c>
      <c r="JU104" s="480">
        <v>0.61</v>
      </c>
      <c r="JV104" s="480">
        <v>0.55000000000000004</v>
      </c>
      <c r="JW104" s="480">
        <v>0.46</v>
      </c>
      <c r="JX104" s="480">
        <v>0.59</v>
      </c>
      <c r="JY104" s="480">
        <v>0.63</v>
      </c>
      <c r="JZ104" s="480">
        <v>0.46</v>
      </c>
      <c r="KA104" s="480">
        <v>0.53</v>
      </c>
      <c r="KB104" s="480">
        <v>0.4</v>
      </c>
      <c r="KC104" s="480">
        <v>0.74</v>
      </c>
      <c r="KD104" s="480">
        <v>0.36</v>
      </c>
      <c r="KE104" s="480">
        <v>0.53</v>
      </c>
      <c r="KF104" s="480">
        <v>0.48</v>
      </c>
      <c r="KG104" s="480">
        <v>0.53</v>
      </c>
    </row>
    <row r="105" spans="1:293" ht="24.95" customHeight="1" x14ac:dyDescent="0.2">
      <c r="A105" s="126" t="s">
        <v>890</v>
      </c>
      <c r="B105" s="1" t="s">
        <v>219</v>
      </c>
      <c r="C105" s="2">
        <v>3</v>
      </c>
      <c r="D105" s="12">
        <v>53</v>
      </c>
      <c r="E105" s="12"/>
      <c r="F105" s="66">
        <v>7.0000000000000007E-2</v>
      </c>
      <c r="G105" s="66">
        <v>0.55000000000000004</v>
      </c>
      <c r="H105" s="66">
        <v>0.38</v>
      </c>
      <c r="I105" s="66">
        <v>0</v>
      </c>
      <c r="J105" s="66">
        <v>0.54</v>
      </c>
      <c r="K105" s="66">
        <v>0.37</v>
      </c>
      <c r="L105" s="66">
        <v>0.84</v>
      </c>
      <c r="M105" s="66">
        <v>0.22</v>
      </c>
      <c r="N105" s="66">
        <v>0.28999999999999998</v>
      </c>
      <c r="O105" s="66">
        <v>0.76</v>
      </c>
      <c r="P105" s="66">
        <v>0.41</v>
      </c>
      <c r="Q105" s="66">
        <v>0.4</v>
      </c>
      <c r="R105" s="66">
        <v>0.52</v>
      </c>
      <c r="S105" s="66">
        <v>0.61</v>
      </c>
      <c r="T105" s="66">
        <v>0.44</v>
      </c>
      <c r="U105" s="66">
        <v>0.62</v>
      </c>
      <c r="V105" s="66">
        <v>7.0000000000000007E-2</v>
      </c>
      <c r="W105" s="66">
        <v>0.31</v>
      </c>
      <c r="X105" s="66">
        <v>0.56000000000000005</v>
      </c>
      <c r="Y105" s="66">
        <v>0.46</v>
      </c>
      <c r="Z105" s="66">
        <v>1</v>
      </c>
      <c r="AA105" s="66">
        <v>0.27</v>
      </c>
      <c r="AB105" s="66">
        <v>0.49</v>
      </c>
      <c r="AC105" s="66">
        <v>0.2</v>
      </c>
      <c r="AD105" s="66">
        <v>0.41</v>
      </c>
      <c r="AE105" s="66">
        <v>0.56000000000000005</v>
      </c>
      <c r="AF105" s="66">
        <v>0.52</v>
      </c>
      <c r="AG105" s="66">
        <v>0.43</v>
      </c>
      <c r="AH105" s="12">
        <v>52</v>
      </c>
      <c r="AI105" s="12"/>
      <c r="AJ105" s="40">
        <v>0.08</v>
      </c>
      <c r="AK105" s="40">
        <v>0.47</v>
      </c>
      <c r="AL105" s="40">
        <v>0.45</v>
      </c>
      <c r="AM105" s="40">
        <v>0</v>
      </c>
      <c r="AN105" s="40">
        <v>0.28000000000000003</v>
      </c>
      <c r="AO105" s="40">
        <v>0.47</v>
      </c>
      <c r="AP105" s="40">
        <v>0.59</v>
      </c>
      <c r="AQ105" s="40">
        <v>0.41</v>
      </c>
      <c r="AR105" s="40">
        <v>0.56000000000000005</v>
      </c>
      <c r="AS105" s="40">
        <v>0.52</v>
      </c>
      <c r="AT105" s="40">
        <v>0.53</v>
      </c>
      <c r="AU105" s="40">
        <v>0.52</v>
      </c>
      <c r="AV105" s="40">
        <v>0.62</v>
      </c>
      <c r="AW105" s="40">
        <v>0.47</v>
      </c>
      <c r="AX105" s="40">
        <v>0.56999999999999995</v>
      </c>
      <c r="AY105" s="40">
        <v>0.35</v>
      </c>
      <c r="AZ105" s="40">
        <v>0.32</v>
      </c>
      <c r="BA105" s="40">
        <v>0.53</v>
      </c>
      <c r="BB105" s="40">
        <v>0.68</v>
      </c>
      <c r="BC105" s="40">
        <v>0.62</v>
      </c>
      <c r="BD105" s="40">
        <v>0.42</v>
      </c>
      <c r="BE105" s="40">
        <v>0.53</v>
      </c>
      <c r="BF105" s="40">
        <v>0.56000000000000005</v>
      </c>
      <c r="BG105" s="40">
        <v>0.51</v>
      </c>
      <c r="BH105" s="40">
        <v>0.46</v>
      </c>
      <c r="BI105" s="40">
        <v>0.43</v>
      </c>
      <c r="BJ105" s="40">
        <v>0.36</v>
      </c>
      <c r="BK105" s="40">
        <v>0.45</v>
      </c>
      <c r="BL105" s="40">
        <v>0.44</v>
      </c>
      <c r="BM105" s="12">
        <v>51</v>
      </c>
      <c r="BN105" s="12"/>
      <c r="BO105" s="66">
        <v>0.12</v>
      </c>
      <c r="BP105" s="66">
        <v>0.55000000000000004</v>
      </c>
      <c r="BQ105" s="66">
        <v>0.33</v>
      </c>
      <c r="BR105" s="66">
        <v>0</v>
      </c>
      <c r="BS105" s="66">
        <v>0.37</v>
      </c>
      <c r="BT105" s="66">
        <v>0.56999999999999995</v>
      </c>
      <c r="BU105" s="66">
        <v>0.63</v>
      </c>
      <c r="BV105" s="66">
        <v>0.37</v>
      </c>
      <c r="BW105" s="66">
        <v>0.63</v>
      </c>
      <c r="BX105" s="66">
        <v>0.43</v>
      </c>
      <c r="BY105" s="66">
        <v>0.39</v>
      </c>
      <c r="BZ105" s="66">
        <v>0.53</v>
      </c>
      <c r="CA105" s="66">
        <v>0.47</v>
      </c>
      <c r="CB105" s="66">
        <v>0.39</v>
      </c>
      <c r="CC105" s="66">
        <v>0.21</v>
      </c>
      <c r="CD105" s="66">
        <v>0.42</v>
      </c>
      <c r="CE105" s="66">
        <v>0.35</v>
      </c>
      <c r="CF105" s="66">
        <v>0.64</v>
      </c>
      <c r="CG105" s="66">
        <v>0.62</v>
      </c>
      <c r="CH105" s="66">
        <v>0.46</v>
      </c>
      <c r="CI105" s="66">
        <v>0.6</v>
      </c>
      <c r="CJ105" s="66">
        <v>0.4</v>
      </c>
      <c r="CK105" s="66">
        <v>0.72</v>
      </c>
      <c r="CL105" s="66">
        <v>0.31</v>
      </c>
      <c r="CM105" s="66">
        <v>0.47</v>
      </c>
      <c r="CN105" s="66">
        <v>0.49</v>
      </c>
      <c r="CO105" s="66">
        <v>0.46</v>
      </c>
      <c r="CP105" s="66">
        <v>0.36</v>
      </c>
      <c r="CQ105" s="66">
        <v>0.54</v>
      </c>
      <c r="CR105" s="66">
        <v>0.57999999999999996</v>
      </c>
      <c r="CS105" s="12">
        <v>49</v>
      </c>
      <c r="CT105" s="12"/>
      <c r="CU105" s="63">
        <v>0.18</v>
      </c>
      <c r="CV105" s="63">
        <v>0.56000000000000005</v>
      </c>
      <c r="CW105" s="63">
        <v>0.26</v>
      </c>
      <c r="CX105" s="63">
        <v>0</v>
      </c>
      <c r="CY105" s="63">
        <v>0.51</v>
      </c>
      <c r="CZ105" s="63">
        <v>0.31</v>
      </c>
      <c r="DA105" s="63">
        <v>0.61</v>
      </c>
      <c r="DB105" s="63">
        <v>0.35</v>
      </c>
      <c r="DC105" s="63">
        <v>0.48</v>
      </c>
      <c r="DD105" s="63">
        <v>0.67</v>
      </c>
      <c r="DE105" s="63">
        <v>0.48</v>
      </c>
      <c r="DF105" s="63">
        <v>0.57999999999999996</v>
      </c>
      <c r="DG105" s="63">
        <v>0.49</v>
      </c>
      <c r="DH105" s="63">
        <v>0.37</v>
      </c>
      <c r="DI105" s="63">
        <v>0.56000000000000005</v>
      </c>
      <c r="DJ105" s="63">
        <v>0.53</v>
      </c>
      <c r="DK105" s="63">
        <v>0.4</v>
      </c>
      <c r="DL105" s="63">
        <v>0.36</v>
      </c>
      <c r="DM105" s="63">
        <v>0.49</v>
      </c>
      <c r="DN105" s="63">
        <v>0.53</v>
      </c>
      <c r="DO105" s="63">
        <v>0.46</v>
      </c>
      <c r="DP105" s="63">
        <v>0.45</v>
      </c>
      <c r="DQ105" s="63">
        <v>0.62</v>
      </c>
      <c r="DR105" s="63">
        <v>0.19</v>
      </c>
      <c r="DS105" s="63">
        <v>0.42</v>
      </c>
      <c r="DT105" s="63">
        <v>0.62</v>
      </c>
      <c r="DU105" s="63">
        <v>0.57999999999999996</v>
      </c>
      <c r="DV105" s="63">
        <v>0.6</v>
      </c>
      <c r="DW105" s="63">
        <v>0.38</v>
      </c>
      <c r="DX105" s="35">
        <v>51</v>
      </c>
      <c r="DY105" s="35">
        <v>9</v>
      </c>
      <c r="DZ105" s="40">
        <v>0.12</v>
      </c>
      <c r="EA105" s="40">
        <v>0.55000000000000004</v>
      </c>
      <c r="EB105" s="40">
        <v>0.33</v>
      </c>
      <c r="EC105" s="40">
        <v>0</v>
      </c>
      <c r="ED105" s="40">
        <v>0.47</v>
      </c>
      <c r="EE105" s="40">
        <v>0.44</v>
      </c>
      <c r="EF105" s="40">
        <v>0.5</v>
      </c>
      <c r="EG105" s="40">
        <v>0.3</v>
      </c>
      <c r="EH105" s="40">
        <v>0.4</v>
      </c>
      <c r="EI105" s="40">
        <v>0.47</v>
      </c>
      <c r="EJ105" s="40">
        <v>0.54</v>
      </c>
      <c r="EK105" s="40">
        <v>0.26</v>
      </c>
      <c r="EL105" s="40">
        <v>0.44</v>
      </c>
      <c r="EM105" s="40">
        <v>0.61</v>
      </c>
      <c r="EN105" s="40">
        <v>0.48</v>
      </c>
      <c r="EO105" s="40">
        <v>0.6</v>
      </c>
      <c r="EP105" s="40">
        <v>0.37</v>
      </c>
      <c r="EQ105" s="40">
        <v>0.3</v>
      </c>
      <c r="ER105" s="40">
        <v>0.62</v>
      </c>
      <c r="ES105" s="40">
        <v>0.42</v>
      </c>
      <c r="ET105" s="40">
        <v>0.33</v>
      </c>
      <c r="EU105" s="40">
        <v>0.64</v>
      </c>
      <c r="EV105" s="40">
        <v>0.45</v>
      </c>
      <c r="EW105" s="40">
        <v>0.33</v>
      </c>
      <c r="EX105" s="40">
        <v>0.66</v>
      </c>
      <c r="EY105" s="40">
        <v>0.57999999999999996</v>
      </c>
      <c r="EZ105" s="40">
        <v>0.28999999999999998</v>
      </c>
      <c r="FA105" s="40">
        <v>0.62</v>
      </c>
      <c r="FB105" s="247">
        <v>49</v>
      </c>
      <c r="FC105" s="247" t="s">
        <v>874</v>
      </c>
      <c r="FD105" s="247">
        <v>8</v>
      </c>
      <c r="FE105" s="247" t="s">
        <v>874</v>
      </c>
      <c r="FF105" s="264">
        <v>0.15</v>
      </c>
      <c r="FG105" s="264">
        <v>0.64</v>
      </c>
      <c r="FH105" s="264">
        <v>0.2</v>
      </c>
      <c r="FI105" s="264">
        <v>0.01</v>
      </c>
      <c r="FJ105" s="264">
        <v>0.48</v>
      </c>
      <c r="FK105" s="264">
        <v>0.65</v>
      </c>
      <c r="FL105" s="264">
        <v>0.53</v>
      </c>
      <c r="FM105" s="264">
        <v>0.42</v>
      </c>
      <c r="FN105" s="264">
        <v>0.28999999999999998</v>
      </c>
      <c r="FO105" s="264">
        <v>0.34</v>
      </c>
      <c r="FP105" s="264">
        <v>0.43</v>
      </c>
      <c r="FQ105" s="264">
        <v>0.42</v>
      </c>
      <c r="FR105" s="264">
        <v>0.61</v>
      </c>
      <c r="FS105" s="264">
        <v>0.47</v>
      </c>
      <c r="FT105" s="264">
        <v>0.55000000000000004</v>
      </c>
      <c r="FU105" s="264">
        <v>0.38</v>
      </c>
      <c r="FV105" s="264">
        <v>0.65</v>
      </c>
      <c r="FW105" s="264">
        <v>0.55000000000000004</v>
      </c>
      <c r="FX105" s="264">
        <v>0.46</v>
      </c>
      <c r="FY105" s="264">
        <v>0.38</v>
      </c>
      <c r="FZ105" s="264">
        <v>0.46</v>
      </c>
      <c r="GA105" s="264">
        <v>0.5</v>
      </c>
      <c r="GB105" s="264">
        <v>0.56000000000000005</v>
      </c>
      <c r="GC105" s="264">
        <v>0.49</v>
      </c>
      <c r="GD105" s="264">
        <v>0.63</v>
      </c>
      <c r="GE105" s="264">
        <v>0.56000000000000005</v>
      </c>
      <c r="GF105" s="264">
        <v>0.5</v>
      </c>
      <c r="GG105" s="264">
        <v>0.5</v>
      </c>
      <c r="GH105" s="264">
        <v>0.56000000000000005</v>
      </c>
      <c r="GI105" s="264">
        <v>0.26</v>
      </c>
      <c r="GJ105" s="311">
        <v>51</v>
      </c>
      <c r="GK105" s="311" t="s">
        <v>874</v>
      </c>
      <c r="GL105" s="311">
        <v>9</v>
      </c>
      <c r="GM105" s="311" t="s">
        <v>874</v>
      </c>
      <c r="GN105" s="329">
        <v>0.13</v>
      </c>
      <c r="GO105" s="329">
        <v>0.54</v>
      </c>
      <c r="GP105" s="329">
        <v>0.31</v>
      </c>
      <c r="GQ105" s="329">
        <v>0.01</v>
      </c>
      <c r="GR105" s="329">
        <v>0.45</v>
      </c>
      <c r="GS105" s="329">
        <v>0.55000000000000004</v>
      </c>
      <c r="GT105" s="329">
        <v>0.57999999999999996</v>
      </c>
      <c r="GU105" s="329">
        <v>0.21</v>
      </c>
      <c r="GV105" s="329">
        <v>0.55000000000000004</v>
      </c>
      <c r="GW105" s="329">
        <v>0.5</v>
      </c>
      <c r="GX105" s="329">
        <v>0.47</v>
      </c>
      <c r="GY105" s="311" t="s">
        <v>283</v>
      </c>
      <c r="GZ105" s="329">
        <v>0.34</v>
      </c>
      <c r="HA105" s="329">
        <v>0.69</v>
      </c>
      <c r="HB105" s="329">
        <v>0.43</v>
      </c>
      <c r="HC105" s="329">
        <v>0.52</v>
      </c>
      <c r="HD105" s="329">
        <v>0.61</v>
      </c>
      <c r="HE105" s="329">
        <v>0.42</v>
      </c>
      <c r="HF105" s="329">
        <v>0.48</v>
      </c>
      <c r="HG105" s="329">
        <v>0.66</v>
      </c>
      <c r="HH105" s="329">
        <v>0.38</v>
      </c>
      <c r="HI105" s="329">
        <v>0.49</v>
      </c>
      <c r="HJ105" s="329">
        <v>0.6</v>
      </c>
      <c r="HK105" s="329">
        <v>0.53</v>
      </c>
      <c r="HL105" s="329">
        <v>0.41</v>
      </c>
      <c r="HM105" s="329">
        <v>0.49</v>
      </c>
      <c r="HN105" s="329">
        <v>0.48</v>
      </c>
      <c r="HO105" s="329">
        <v>0.44</v>
      </c>
      <c r="HP105" s="311" t="s">
        <v>283</v>
      </c>
      <c r="HQ105" s="329">
        <v>0.36</v>
      </c>
      <c r="HR105" s="426">
        <v>53</v>
      </c>
      <c r="HS105" s="426" t="s">
        <v>874</v>
      </c>
      <c r="HT105" s="426">
        <v>9</v>
      </c>
      <c r="HU105" s="426" t="s">
        <v>874</v>
      </c>
      <c r="HV105" s="430">
        <v>7.0000000000000007E-2</v>
      </c>
      <c r="HW105" s="430">
        <v>0.52</v>
      </c>
      <c r="HX105" s="430">
        <v>0.38</v>
      </c>
      <c r="HY105" s="430">
        <v>0.02</v>
      </c>
      <c r="HZ105" s="430">
        <v>0.34</v>
      </c>
      <c r="IA105" s="430">
        <v>0.49</v>
      </c>
      <c r="IB105" s="430">
        <v>0.32</v>
      </c>
      <c r="IC105" s="430">
        <v>0.45</v>
      </c>
      <c r="ID105" s="430">
        <v>0.62</v>
      </c>
      <c r="IE105" s="430">
        <v>0.3</v>
      </c>
      <c r="IF105" s="430">
        <v>0.37</v>
      </c>
      <c r="IG105" s="430">
        <v>0.49</v>
      </c>
      <c r="IH105" s="430">
        <v>0.46</v>
      </c>
      <c r="II105" s="430">
        <v>0.35</v>
      </c>
      <c r="IJ105" s="430">
        <v>0.24</v>
      </c>
      <c r="IK105" s="430">
        <v>0.55000000000000004</v>
      </c>
      <c r="IL105" s="430">
        <v>0.3</v>
      </c>
      <c r="IM105" s="430">
        <v>0.55000000000000004</v>
      </c>
      <c r="IN105" s="430">
        <v>0.43</v>
      </c>
      <c r="IO105" s="430">
        <v>0.47</v>
      </c>
      <c r="IP105" s="430">
        <v>0.37</v>
      </c>
      <c r="IQ105" s="430">
        <v>0.66</v>
      </c>
      <c r="IR105" s="430">
        <v>0.44</v>
      </c>
      <c r="IS105" s="430">
        <v>0.47</v>
      </c>
      <c r="IT105" s="430">
        <v>0.41</v>
      </c>
      <c r="IU105" s="426" t="s">
        <v>283</v>
      </c>
      <c r="IV105" s="430">
        <v>0.6</v>
      </c>
      <c r="IW105" s="430">
        <v>0.36</v>
      </c>
      <c r="IX105" s="430">
        <v>0.49</v>
      </c>
      <c r="IY105" s="430">
        <v>0.47</v>
      </c>
      <c r="IZ105" s="466">
        <v>53</v>
      </c>
      <c r="JA105" s="466" t="s">
        <v>874</v>
      </c>
      <c r="JB105" s="466">
        <v>8</v>
      </c>
      <c r="JC105" s="466" t="s">
        <v>874</v>
      </c>
      <c r="JD105" s="480">
        <v>0.08</v>
      </c>
      <c r="JE105" s="480">
        <v>0.52</v>
      </c>
      <c r="JF105" s="480">
        <v>0.37</v>
      </c>
      <c r="JG105" s="480">
        <v>0.03</v>
      </c>
      <c r="JH105" s="480">
        <v>0.43</v>
      </c>
      <c r="JI105" s="480">
        <v>0.43</v>
      </c>
      <c r="JJ105" s="480">
        <v>0.39</v>
      </c>
      <c r="JK105" s="480">
        <v>0.44</v>
      </c>
      <c r="JL105" s="480">
        <v>0.49</v>
      </c>
      <c r="JM105" s="480">
        <v>0.45</v>
      </c>
      <c r="JN105" s="480">
        <v>0.38</v>
      </c>
      <c r="JO105" s="480">
        <v>0.44</v>
      </c>
      <c r="JP105" s="480">
        <v>0.54</v>
      </c>
      <c r="JQ105" s="480">
        <v>0.23</v>
      </c>
      <c r="JR105" s="480">
        <v>0.55000000000000004</v>
      </c>
      <c r="JS105" s="480">
        <v>0.46</v>
      </c>
      <c r="JT105" s="480">
        <v>0.39</v>
      </c>
      <c r="JU105" s="480">
        <v>0.48</v>
      </c>
      <c r="JV105" s="480">
        <v>0.46</v>
      </c>
      <c r="JW105" s="480">
        <v>0.45</v>
      </c>
      <c r="JX105" s="480">
        <v>0.38</v>
      </c>
      <c r="JY105" s="480">
        <v>0.51</v>
      </c>
      <c r="JZ105" s="480">
        <v>0.42</v>
      </c>
      <c r="KA105" s="480">
        <v>0.64</v>
      </c>
      <c r="KB105" s="480">
        <v>0.44</v>
      </c>
      <c r="KC105" s="480">
        <v>0.67</v>
      </c>
      <c r="KD105" s="480">
        <v>0.34</v>
      </c>
      <c r="KE105" s="480">
        <v>0.5</v>
      </c>
      <c r="KF105" s="480">
        <v>0.43</v>
      </c>
      <c r="KG105" s="480">
        <v>0.46</v>
      </c>
    </row>
    <row r="106" spans="1:293" ht="24.95" customHeight="1" x14ac:dyDescent="0.2">
      <c r="A106" s="126" t="s">
        <v>138</v>
      </c>
      <c r="B106" s="1" t="s">
        <v>219</v>
      </c>
      <c r="C106" s="2">
        <v>1</v>
      </c>
      <c r="D106" s="12">
        <v>53</v>
      </c>
      <c r="E106" s="12">
        <v>7</v>
      </c>
      <c r="F106" s="66">
        <v>7.0000000000000007E-2</v>
      </c>
      <c r="G106" s="66">
        <v>0.56000000000000005</v>
      </c>
      <c r="H106" s="66">
        <v>0.37</v>
      </c>
      <c r="I106" s="66">
        <v>0</v>
      </c>
      <c r="J106" s="66">
        <v>0.53</v>
      </c>
      <c r="K106" s="66">
        <v>0.41</v>
      </c>
      <c r="L106" s="66">
        <v>0.82</v>
      </c>
      <c r="M106" s="66">
        <v>0.32</v>
      </c>
      <c r="N106" s="66">
        <v>0.3</v>
      </c>
      <c r="O106" s="66">
        <v>0.67</v>
      </c>
      <c r="P106" s="66">
        <v>0.4</v>
      </c>
      <c r="Q106" s="66">
        <v>0.48</v>
      </c>
      <c r="R106" s="66">
        <v>0.56999999999999995</v>
      </c>
      <c r="S106" s="66">
        <v>0.72</v>
      </c>
      <c r="T106" s="66">
        <v>0.48</v>
      </c>
      <c r="U106" s="66">
        <v>0.59</v>
      </c>
      <c r="V106" s="66">
        <v>0.11</v>
      </c>
      <c r="W106" s="66">
        <v>0.23</v>
      </c>
      <c r="X106" s="66">
        <v>0.5</v>
      </c>
      <c r="Y106" s="66">
        <v>0.52</v>
      </c>
      <c r="Z106" s="66">
        <v>0.5</v>
      </c>
      <c r="AA106" s="66">
        <v>0.18</v>
      </c>
      <c r="AB106" s="66">
        <v>0.52</v>
      </c>
      <c r="AC106" s="66">
        <v>0.26</v>
      </c>
      <c r="AD106" s="66">
        <v>0.53</v>
      </c>
      <c r="AE106" s="66">
        <v>0.43</v>
      </c>
      <c r="AF106" s="66">
        <v>0.59</v>
      </c>
      <c r="AG106" s="66">
        <v>0.54</v>
      </c>
      <c r="AH106" s="561">
        <v>52</v>
      </c>
      <c r="AI106" s="561">
        <v>7</v>
      </c>
      <c r="AJ106" s="40">
        <v>0.06</v>
      </c>
      <c r="AK106" s="40">
        <v>0.59</v>
      </c>
      <c r="AL106" s="40">
        <v>0.36</v>
      </c>
      <c r="AM106" s="40">
        <v>0</v>
      </c>
      <c r="AN106" s="40">
        <v>0.22</v>
      </c>
      <c r="AO106" s="40">
        <v>0.44</v>
      </c>
      <c r="AP106" s="40">
        <v>0.6</v>
      </c>
      <c r="AQ106" s="40">
        <v>0.39</v>
      </c>
      <c r="AR106" s="40">
        <v>0.56999999999999995</v>
      </c>
      <c r="AS106" s="40">
        <v>0.56999999999999995</v>
      </c>
      <c r="AT106" s="40">
        <v>0.46</v>
      </c>
      <c r="AU106" s="40">
        <v>0.5</v>
      </c>
      <c r="AV106" s="40">
        <v>0.66</v>
      </c>
      <c r="AW106" s="40">
        <v>0.52</v>
      </c>
      <c r="AX106" s="40">
        <v>0.55000000000000004</v>
      </c>
      <c r="AY106" s="40">
        <v>0.28999999999999998</v>
      </c>
      <c r="AZ106" s="40">
        <v>0.24</v>
      </c>
      <c r="BA106" s="40">
        <v>0.53</v>
      </c>
      <c r="BB106" s="40">
        <v>0.68</v>
      </c>
      <c r="BC106" s="40">
        <v>0.69</v>
      </c>
      <c r="BD106" s="40">
        <v>0.36</v>
      </c>
      <c r="BE106" s="40">
        <v>0.4</v>
      </c>
      <c r="BF106" s="40">
        <v>0.57999999999999996</v>
      </c>
      <c r="BG106" s="40">
        <v>0.52</v>
      </c>
      <c r="BH106" s="40">
        <v>0.45</v>
      </c>
      <c r="BI106" s="40">
        <v>0.37</v>
      </c>
      <c r="BJ106" s="40">
        <v>0.37</v>
      </c>
      <c r="BK106" s="40">
        <v>0.47</v>
      </c>
      <c r="BL106" s="40">
        <v>0.55000000000000004</v>
      </c>
      <c r="BM106" s="12">
        <v>49</v>
      </c>
      <c r="BN106" s="12">
        <v>7</v>
      </c>
      <c r="BO106" s="66">
        <v>0.13</v>
      </c>
      <c r="BP106" s="66">
        <v>0.63</v>
      </c>
      <c r="BQ106" s="66">
        <v>0.24</v>
      </c>
      <c r="BR106" s="66">
        <v>0</v>
      </c>
      <c r="BS106" s="66">
        <v>0.36</v>
      </c>
      <c r="BT106" s="66">
        <v>0.6</v>
      </c>
      <c r="BU106" s="66">
        <v>0.73</v>
      </c>
      <c r="BV106" s="66">
        <v>0.35</v>
      </c>
      <c r="BW106" s="66">
        <v>0.66</v>
      </c>
      <c r="BX106" s="66">
        <v>0.42</v>
      </c>
      <c r="BY106" s="66">
        <v>0.46</v>
      </c>
      <c r="BZ106" s="66">
        <v>0.5</v>
      </c>
      <c r="CA106" s="66">
        <v>0.47</v>
      </c>
      <c r="CB106" s="66">
        <v>0.33</v>
      </c>
      <c r="CC106" s="66">
        <v>0.26</v>
      </c>
      <c r="CD106" s="66">
        <v>0.47</v>
      </c>
      <c r="CE106" s="66">
        <v>0.42</v>
      </c>
      <c r="CF106" s="66">
        <v>0.59</v>
      </c>
      <c r="CG106" s="66">
        <v>0.6</v>
      </c>
      <c r="CH106" s="66">
        <v>0.51</v>
      </c>
      <c r="CI106" s="66">
        <v>0.56999999999999995</v>
      </c>
      <c r="CJ106" s="66">
        <v>0.38</v>
      </c>
      <c r="CK106" s="66">
        <v>0.69</v>
      </c>
      <c r="CL106" s="66">
        <v>0.34</v>
      </c>
      <c r="CM106" s="66">
        <v>0.49</v>
      </c>
      <c r="CN106" s="66">
        <v>0.51</v>
      </c>
      <c r="CO106" s="66">
        <v>0.55000000000000004</v>
      </c>
      <c r="CP106" s="66">
        <v>0.37</v>
      </c>
      <c r="CQ106" s="66">
        <v>0.55000000000000004</v>
      </c>
      <c r="CR106" s="66">
        <v>0.56999999999999995</v>
      </c>
      <c r="CS106" s="12">
        <v>48</v>
      </c>
      <c r="CT106" s="12">
        <v>8</v>
      </c>
      <c r="CU106" s="63">
        <v>0.21</v>
      </c>
      <c r="CV106" s="63">
        <v>0.57999999999999996</v>
      </c>
      <c r="CW106" s="63">
        <v>0.21</v>
      </c>
      <c r="CX106" s="63">
        <v>0</v>
      </c>
      <c r="CY106" s="63">
        <v>0.53</v>
      </c>
      <c r="CZ106" s="63">
        <v>0.35</v>
      </c>
      <c r="DA106" s="63">
        <v>0.56000000000000005</v>
      </c>
      <c r="DB106" s="63">
        <v>0.4</v>
      </c>
      <c r="DC106" s="63">
        <v>0.46</v>
      </c>
      <c r="DD106" s="63">
        <v>0.68</v>
      </c>
      <c r="DE106" s="63">
        <v>0.5</v>
      </c>
      <c r="DF106" s="63">
        <v>0.59</v>
      </c>
      <c r="DG106" s="63">
        <v>0.52</v>
      </c>
      <c r="DH106" s="63">
        <v>0.42</v>
      </c>
      <c r="DI106" s="63">
        <v>0.53</v>
      </c>
      <c r="DJ106" s="63">
        <v>0.56999999999999995</v>
      </c>
      <c r="DK106" s="63">
        <v>0.35</v>
      </c>
      <c r="DL106" s="63">
        <v>0.41</v>
      </c>
      <c r="DM106" s="63">
        <v>0.56999999999999995</v>
      </c>
      <c r="DN106" s="63">
        <v>0.49</v>
      </c>
      <c r="DO106" s="63">
        <v>0.46</v>
      </c>
      <c r="DP106" s="63">
        <v>0.39</v>
      </c>
      <c r="DQ106" s="63">
        <v>0.62</v>
      </c>
      <c r="DR106" s="63">
        <v>0.26</v>
      </c>
      <c r="DS106" s="63">
        <v>0.41</v>
      </c>
      <c r="DT106" s="63">
        <v>0.56000000000000005</v>
      </c>
      <c r="DU106" s="63">
        <v>0.49</v>
      </c>
      <c r="DV106" s="63">
        <v>0.59</v>
      </c>
      <c r="DW106" s="63">
        <v>0.4</v>
      </c>
      <c r="DX106" s="35">
        <v>49</v>
      </c>
      <c r="DY106" s="35">
        <v>8</v>
      </c>
      <c r="DZ106" s="40">
        <v>0.15</v>
      </c>
      <c r="EA106" s="40">
        <v>0.61</v>
      </c>
      <c r="EB106" s="40">
        <v>0.24</v>
      </c>
      <c r="EC106" s="40">
        <v>0</v>
      </c>
      <c r="ED106" s="40">
        <v>0.56000000000000005</v>
      </c>
      <c r="EE106" s="40">
        <v>0.47</v>
      </c>
      <c r="EF106" s="40">
        <v>0.43</v>
      </c>
      <c r="EG106" s="40">
        <v>0.32</v>
      </c>
      <c r="EH106" s="40">
        <v>0.38</v>
      </c>
      <c r="EI106" s="40">
        <v>0.52</v>
      </c>
      <c r="EJ106" s="40">
        <v>0.52</v>
      </c>
      <c r="EK106" s="40">
        <v>0.28999999999999998</v>
      </c>
      <c r="EL106" s="40">
        <v>0.45</v>
      </c>
      <c r="EM106" s="40">
        <v>0.7</v>
      </c>
      <c r="EN106" s="40">
        <v>0.52</v>
      </c>
      <c r="EO106" s="40">
        <v>0.51</v>
      </c>
      <c r="EP106" s="40">
        <v>0.36</v>
      </c>
      <c r="EQ106" s="40">
        <v>0.38</v>
      </c>
      <c r="ER106" s="40">
        <v>0.55000000000000004</v>
      </c>
      <c r="ES106" s="40">
        <v>0.45</v>
      </c>
      <c r="ET106" s="40">
        <v>0.33</v>
      </c>
      <c r="EU106" s="40">
        <v>0.61</v>
      </c>
      <c r="EV106" s="40">
        <v>0.53</v>
      </c>
      <c r="EW106" s="40">
        <v>0.35</v>
      </c>
      <c r="EX106" s="40">
        <v>0.68</v>
      </c>
      <c r="EY106" s="40">
        <v>0.64</v>
      </c>
      <c r="EZ106" s="40">
        <v>0.22</v>
      </c>
      <c r="FA106" s="40">
        <v>0.63</v>
      </c>
      <c r="FB106" s="247">
        <v>49</v>
      </c>
      <c r="FC106" s="247" t="s">
        <v>874</v>
      </c>
      <c r="FD106" s="247">
        <v>7</v>
      </c>
      <c r="FE106" s="247" t="s">
        <v>874</v>
      </c>
      <c r="FF106" s="264">
        <v>0.17</v>
      </c>
      <c r="FG106" s="264">
        <v>0.65</v>
      </c>
      <c r="FH106" s="264">
        <v>0.18</v>
      </c>
      <c r="FI106" s="264">
        <v>0</v>
      </c>
      <c r="FJ106" s="264">
        <v>0.44</v>
      </c>
      <c r="FK106" s="264">
        <v>0.66</v>
      </c>
      <c r="FL106" s="264">
        <v>0.49</v>
      </c>
      <c r="FM106" s="264">
        <v>0.51</v>
      </c>
      <c r="FN106" s="264">
        <v>0.32</v>
      </c>
      <c r="FO106" s="264">
        <v>0.35</v>
      </c>
      <c r="FP106" s="264">
        <v>0.47</v>
      </c>
      <c r="FQ106" s="264">
        <v>0.42</v>
      </c>
      <c r="FR106" s="264">
        <v>0.65</v>
      </c>
      <c r="FS106" s="264">
        <v>0.52</v>
      </c>
      <c r="FT106" s="264">
        <v>0.51</v>
      </c>
      <c r="FU106" s="264">
        <v>0.42</v>
      </c>
      <c r="FV106" s="264">
        <v>0.65</v>
      </c>
      <c r="FW106" s="264">
        <v>0.6</v>
      </c>
      <c r="FX106" s="264">
        <v>0.53</v>
      </c>
      <c r="FY106" s="264">
        <v>0.33</v>
      </c>
      <c r="FZ106" s="264">
        <v>0.43</v>
      </c>
      <c r="GA106" s="264">
        <v>0.51</v>
      </c>
      <c r="GB106" s="264">
        <v>0.5</v>
      </c>
      <c r="GC106" s="264">
        <v>0.43</v>
      </c>
      <c r="GD106" s="264">
        <v>0.62</v>
      </c>
      <c r="GE106" s="264">
        <v>0.56999999999999995</v>
      </c>
      <c r="GF106" s="264">
        <v>0.52</v>
      </c>
      <c r="GG106" s="264">
        <v>0.52</v>
      </c>
      <c r="GH106" s="264">
        <v>0.66</v>
      </c>
      <c r="GI106" s="264">
        <v>0.31</v>
      </c>
      <c r="GJ106" s="311">
        <v>49</v>
      </c>
      <c r="GK106" s="311" t="s">
        <v>874</v>
      </c>
      <c r="GL106" s="311">
        <v>8</v>
      </c>
      <c r="GM106" s="311" t="s">
        <v>874</v>
      </c>
      <c r="GN106" s="329">
        <v>0.15</v>
      </c>
      <c r="GO106" s="329">
        <v>0.6</v>
      </c>
      <c r="GP106" s="329">
        <v>0.25</v>
      </c>
      <c r="GQ106" s="329">
        <v>0</v>
      </c>
      <c r="GR106" s="329">
        <v>0.56000000000000005</v>
      </c>
      <c r="GS106" s="329">
        <v>0.57999999999999996</v>
      </c>
      <c r="GT106" s="329">
        <v>0.61</v>
      </c>
      <c r="GU106" s="329">
        <v>0.31</v>
      </c>
      <c r="GV106" s="329">
        <v>0.55000000000000004</v>
      </c>
      <c r="GW106" s="329">
        <v>0.47</v>
      </c>
      <c r="GX106" s="329">
        <v>0.49</v>
      </c>
      <c r="GY106" s="311" t="s">
        <v>283</v>
      </c>
      <c r="GZ106" s="329">
        <v>0.36</v>
      </c>
      <c r="HA106" s="329">
        <v>0.66</v>
      </c>
      <c r="HB106" s="329">
        <v>0.48</v>
      </c>
      <c r="HC106" s="329">
        <v>0.6</v>
      </c>
      <c r="HD106" s="329">
        <v>0.64</v>
      </c>
      <c r="HE106" s="329">
        <v>0.57999999999999996</v>
      </c>
      <c r="HF106" s="329">
        <v>0.51</v>
      </c>
      <c r="HG106" s="329">
        <v>0.67</v>
      </c>
      <c r="HH106" s="329">
        <v>0.43</v>
      </c>
      <c r="HI106" s="329">
        <v>0.5</v>
      </c>
      <c r="HJ106" s="329">
        <v>0.62</v>
      </c>
      <c r="HK106" s="329">
        <v>0.56000000000000005</v>
      </c>
      <c r="HL106" s="329">
        <v>0.48</v>
      </c>
      <c r="HM106" s="329">
        <v>0.56000000000000005</v>
      </c>
      <c r="HN106" s="329">
        <v>0.5</v>
      </c>
      <c r="HO106" s="329">
        <v>0.48</v>
      </c>
      <c r="HP106" s="311" t="s">
        <v>283</v>
      </c>
      <c r="HQ106" s="329">
        <v>0.43</v>
      </c>
      <c r="HR106" s="426">
        <v>48</v>
      </c>
      <c r="HS106" s="426" t="s">
        <v>874</v>
      </c>
      <c r="HT106" s="426">
        <v>8</v>
      </c>
      <c r="HU106" s="426" t="s">
        <v>874</v>
      </c>
      <c r="HV106" s="430">
        <v>0.18</v>
      </c>
      <c r="HW106" s="430">
        <v>0.64</v>
      </c>
      <c r="HX106" s="430">
        <v>0.18</v>
      </c>
      <c r="HY106" s="430">
        <v>0</v>
      </c>
      <c r="HZ106" s="430">
        <v>0.44</v>
      </c>
      <c r="IA106" s="430">
        <v>0.54</v>
      </c>
      <c r="IB106" s="430">
        <v>0.35</v>
      </c>
      <c r="IC106" s="430">
        <v>0.55000000000000004</v>
      </c>
      <c r="ID106" s="430">
        <v>0.67</v>
      </c>
      <c r="IE106" s="430">
        <v>0.43</v>
      </c>
      <c r="IF106" s="430">
        <v>0.45</v>
      </c>
      <c r="IG106" s="430">
        <v>0.57999999999999996</v>
      </c>
      <c r="IH106" s="430">
        <v>0.54</v>
      </c>
      <c r="II106" s="430">
        <v>0.35</v>
      </c>
      <c r="IJ106" s="430">
        <v>0.32</v>
      </c>
      <c r="IK106" s="430">
        <v>0.66</v>
      </c>
      <c r="IL106" s="430">
        <v>0.38</v>
      </c>
      <c r="IM106" s="430">
        <v>0.67</v>
      </c>
      <c r="IN106" s="430">
        <v>0.5</v>
      </c>
      <c r="IO106" s="430">
        <v>0.62</v>
      </c>
      <c r="IP106" s="430">
        <v>0.51</v>
      </c>
      <c r="IQ106" s="430">
        <v>0.67</v>
      </c>
      <c r="IR106" s="430">
        <v>0.59</v>
      </c>
      <c r="IS106" s="430">
        <v>0.51</v>
      </c>
      <c r="IT106" s="430">
        <v>0.43</v>
      </c>
      <c r="IU106" s="426" t="s">
        <v>283</v>
      </c>
      <c r="IV106" s="430">
        <v>0.63</v>
      </c>
      <c r="IW106" s="430">
        <v>0.41</v>
      </c>
      <c r="IX106" s="430">
        <v>0.69</v>
      </c>
      <c r="IY106" s="430">
        <v>0.55000000000000004</v>
      </c>
      <c r="IZ106" s="466">
        <v>48</v>
      </c>
      <c r="JA106" s="466" t="s">
        <v>874</v>
      </c>
      <c r="JB106" s="466">
        <v>8</v>
      </c>
      <c r="JC106" s="466" t="s">
        <v>874</v>
      </c>
      <c r="JD106" s="480">
        <v>0.17</v>
      </c>
      <c r="JE106" s="480">
        <v>0.63</v>
      </c>
      <c r="JF106" s="480">
        <v>0.19</v>
      </c>
      <c r="JG106" s="480">
        <v>0</v>
      </c>
      <c r="JH106" s="480">
        <v>0.51</v>
      </c>
      <c r="JI106" s="480">
        <v>0.49</v>
      </c>
      <c r="JJ106" s="480">
        <v>0.53</v>
      </c>
      <c r="JK106" s="480">
        <v>0.51</v>
      </c>
      <c r="JL106" s="480">
        <v>0.54</v>
      </c>
      <c r="JM106" s="480">
        <v>0.53</v>
      </c>
      <c r="JN106" s="480">
        <v>0.47</v>
      </c>
      <c r="JO106" s="480">
        <v>0.53</v>
      </c>
      <c r="JP106" s="480">
        <v>0.6</v>
      </c>
      <c r="JQ106" s="480">
        <v>0.33</v>
      </c>
      <c r="JR106" s="480">
        <v>0.68</v>
      </c>
      <c r="JS106" s="480">
        <v>0.62</v>
      </c>
      <c r="JT106" s="480">
        <v>0.47</v>
      </c>
      <c r="JU106" s="480">
        <v>0.56000000000000005</v>
      </c>
      <c r="JV106" s="480">
        <v>0.52</v>
      </c>
      <c r="JW106" s="480">
        <v>0.51</v>
      </c>
      <c r="JX106" s="480">
        <v>0.52</v>
      </c>
      <c r="JY106" s="480">
        <v>0.59</v>
      </c>
      <c r="JZ106" s="480">
        <v>0.55000000000000004</v>
      </c>
      <c r="KA106" s="480">
        <v>0.61</v>
      </c>
      <c r="KB106" s="480">
        <v>0.63</v>
      </c>
      <c r="KC106" s="480">
        <v>0.64</v>
      </c>
      <c r="KD106" s="480">
        <v>0.44</v>
      </c>
      <c r="KE106" s="480">
        <v>0.54</v>
      </c>
      <c r="KF106" s="480">
        <v>0.5</v>
      </c>
      <c r="KG106" s="480">
        <v>0.55000000000000004</v>
      </c>
    </row>
    <row r="107" spans="1:293" ht="24.95" customHeight="1" x14ac:dyDescent="0.2">
      <c r="A107" s="36" t="s">
        <v>287</v>
      </c>
      <c r="B107" s="14" t="s">
        <v>219</v>
      </c>
      <c r="C107" s="2">
        <v>3</v>
      </c>
      <c r="D107" s="12">
        <v>53</v>
      </c>
      <c r="E107" s="12">
        <v>7</v>
      </c>
      <c r="F107" s="66">
        <v>0.04</v>
      </c>
      <c r="G107" s="66">
        <v>0.67</v>
      </c>
      <c r="H107" s="66">
        <v>0.28000000000000003</v>
      </c>
      <c r="I107" s="66">
        <v>0.01</v>
      </c>
      <c r="J107" s="66">
        <v>0.47</v>
      </c>
      <c r="K107" s="66">
        <v>0.47</v>
      </c>
      <c r="L107" s="66">
        <v>0.65</v>
      </c>
      <c r="M107" s="66">
        <v>0.32</v>
      </c>
      <c r="N107" s="66">
        <v>0.34</v>
      </c>
      <c r="O107" s="66">
        <v>0.71</v>
      </c>
      <c r="P107" s="66">
        <v>0.3</v>
      </c>
      <c r="Q107" s="66">
        <v>0.42</v>
      </c>
      <c r="R107" s="66">
        <v>0.52</v>
      </c>
      <c r="S107" s="66">
        <v>0.62</v>
      </c>
      <c r="T107" s="66">
        <v>0.46</v>
      </c>
      <c r="U107" s="66">
        <v>0.56999999999999995</v>
      </c>
      <c r="V107" s="66">
        <v>0.08</v>
      </c>
      <c r="W107" s="66">
        <v>0.13</v>
      </c>
      <c r="X107" s="66">
        <v>0.52</v>
      </c>
      <c r="Y107" s="66">
        <v>0.5</v>
      </c>
      <c r="Z107" s="66">
        <v>0.72</v>
      </c>
      <c r="AA107" s="66">
        <v>0.12</v>
      </c>
      <c r="AB107" s="66">
        <v>0.52</v>
      </c>
      <c r="AC107" s="66">
        <v>0.35</v>
      </c>
      <c r="AD107" s="66">
        <v>0.46</v>
      </c>
      <c r="AE107" s="66">
        <v>0.39</v>
      </c>
      <c r="AF107" s="66">
        <v>0.61</v>
      </c>
      <c r="AG107" s="66">
        <v>0.48</v>
      </c>
      <c r="AH107" s="12">
        <v>53</v>
      </c>
      <c r="AI107" s="12">
        <v>8</v>
      </c>
      <c r="AJ107" s="40">
        <v>0.08</v>
      </c>
      <c r="AK107" s="40">
        <v>0.54</v>
      </c>
      <c r="AL107" s="40">
        <v>0.38</v>
      </c>
      <c r="AM107" s="40">
        <v>0.01</v>
      </c>
      <c r="AN107" s="40">
        <v>0.34</v>
      </c>
      <c r="AO107" s="40">
        <v>0.47</v>
      </c>
      <c r="AP107" s="40">
        <v>0.61</v>
      </c>
      <c r="AQ107" s="40">
        <v>0.43</v>
      </c>
      <c r="AR107" s="40">
        <v>0.54</v>
      </c>
      <c r="AS107" s="40">
        <v>0.55000000000000004</v>
      </c>
      <c r="AT107" s="40">
        <v>0.51</v>
      </c>
      <c r="AU107" s="40">
        <v>0.55000000000000004</v>
      </c>
      <c r="AV107" s="40">
        <v>0.63</v>
      </c>
      <c r="AW107" s="40">
        <v>0.53</v>
      </c>
      <c r="AX107" s="40">
        <v>0.62</v>
      </c>
      <c r="AY107" s="40">
        <v>0.32</v>
      </c>
      <c r="AZ107" s="40">
        <v>0.27</v>
      </c>
      <c r="BA107" s="40">
        <v>0.49</v>
      </c>
      <c r="BB107" s="40">
        <v>0.66</v>
      </c>
      <c r="BC107" s="40">
        <v>0.66</v>
      </c>
      <c r="BD107" s="40">
        <v>0.43</v>
      </c>
      <c r="BE107" s="40">
        <v>0.6</v>
      </c>
      <c r="BF107" s="40">
        <v>0.56999999999999995</v>
      </c>
      <c r="BG107" s="40">
        <v>0.5</v>
      </c>
      <c r="BH107" s="40">
        <v>0.45</v>
      </c>
      <c r="BI107" s="40">
        <v>0.39</v>
      </c>
      <c r="BJ107" s="40">
        <v>0.34</v>
      </c>
      <c r="BK107" s="40">
        <v>0.47</v>
      </c>
      <c r="BL107" s="40">
        <v>0.5</v>
      </c>
      <c r="BM107" s="12">
        <v>51</v>
      </c>
      <c r="BN107" s="12">
        <v>8</v>
      </c>
      <c r="BO107" s="66">
        <v>0.11</v>
      </c>
      <c r="BP107" s="66">
        <v>0.57999999999999996</v>
      </c>
      <c r="BQ107" s="66">
        <v>0.3</v>
      </c>
      <c r="BR107" s="66">
        <v>0.01</v>
      </c>
      <c r="BS107" s="66">
        <v>0.33</v>
      </c>
      <c r="BT107" s="66">
        <v>0.51</v>
      </c>
      <c r="BU107" s="66">
        <v>0.67</v>
      </c>
      <c r="BV107" s="66">
        <v>0.34</v>
      </c>
      <c r="BW107" s="66">
        <v>0.63</v>
      </c>
      <c r="BX107" s="66">
        <v>0.36</v>
      </c>
      <c r="BY107" s="66">
        <v>0.43</v>
      </c>
      <c r="BZ107" s="66">
        <v>0.52</v>
      </c>
      <c r="CA107" s="66">
        <v>0.45</v>
      </c>
      <c r="CB107" s="66">
        <v>0.36</v>
      </c>
      <c r="CC107" s="66">
        <v>0.21</v>
      </c>
      <c r="CD107" s="66">
        <v>0.45</v>
      </c>
      <c r="CE107" s="66">
        <v>0.35</v>
      </c>
      <c r="CF107" s="66">
        <v>0.55000000000000004</v>
      </c>
      <c r="CG107" s="66">
        <v>0.61</v>
      </c>
      <c r="CH107" s="66">
        <v>0.45</v>
      </c>
      <c r="CI107" s="66">
        <v>0.52</v>
      </c>
      <c r="CJ107" s="66">
        <v>0.36</v>
      </c>
      <c r="CK107" s="66">
        <v>0.68</v>
      </c>
      <c r="CL107" s="66">
        <v>0.34</v>
      </c>
      <c r="CM107" s="66">
        <v>0.47</v>
      </c>
      <c r="CN107" s="66">
        <v>0.49</v>
      </c>
      <c r="CO107" s="66">
        <v>0.47</v>
      </c>
      <c r="CP107" s="66">
        <v>0.36</v>
      </c>
      <c r="CQ107" s="66">
        <v>0.5</v>
      </c>
      <c r="CR107" s="66">
        <v>0.57999999999999996</v>
      </c>
      <c r="CS107" s="12">
        <v>50</v>
      </c>
      <c r="CT107" s="12">
        <v>8</v>
      </c>
      <c r="CU107" s="63">
        <v>0.15</v>
      </c>
      <c r="CV107" s="63">
        <v>0.59</v>
      </c>
      <c r="CW107" s="63">
        <v>0.26</v>
      </c>
      <c r="CX107" s="63">
        <v>0</v>
      </c>
      <c r="CY107" s="63">
        <v>0.51</v>
      </c>
      <c r="CZ107" s="63">
        <v>0.31</v>
      </c>
      <c r="DA107" s="63">
        <v>0.61</v>
      </c>
      <c r="DB107" s="63">
        <v>0.4</v>
      </c>
      <c r="DC107" s="63">
        <v>0.46</v>
      </c>
      <c r="DD107" s="63">
        <v>0.62</v>
      </c>
      <c r="DE107" s="63">
        <v>0.46</v>
      </c>
      <c r="DF107" s="63">
        <v>0.54</v>
      </c>
      <c r="DG107" s="63">
        <v>0.48</v>
      </c>
      <c r="DH107" s="63">
        <v>0.39</v>
      </c>
      <c r="DI107" s="63">
        <v>0.54</v>
      </c>
      <c r="DJ107" s="63">
        <v>0.53</v>
      </c>
      <c r="DK107" s="63">
        <v>0.4</v>
      </c>
      <c r="DL107" s="63">
        <v>0.41</v>
      </c>
      <c r="DM107" s="63">
        <v>0.51</v>
      </c>
      <c r="DN107" s="63">
        <v>0.49</v>
      </c>
      <c r="DO107" s="63">
        <v>0.43</v>
      </c>
      <c r="DP107" s="63">
        <v>0.47</v>
      </c>
      <c r="DQ107" s="63">
        <v>0.56999999999999995</v>
      </c>
      <c r="DR107" s="63">
        <v>0.22</v>
      </c>
      <c r="DS107" s="63">
        <v>0.43</v>
      </c>
      <c r="DT107" s="63">
        <v>0.57999999999999996</v>
      </c>
      <c r="DU107" s="63">
        <v>0.49</v>
      </c>
      <c r="DV107" s="63">
        <v>0.63</v>
      </c>
      <c r="DW107" s="63">
        <v>0.4</v>
      </c>
      <c r="DX107" s="35">
        <v>52</v>
      </c>
      <c r="DY107" s="35">
        <v>9</v>
      </c>
      <c r="DZ107" s="40">
        <v>0.11</v>
      </c>
      <c r="EA107" s="40">
        <v>0.56000000000000005</v>
      </c>
      <c r="EB107" s="40">
        <v>0.32</v>
      </c>
      <c r="EC107" s="40">
        <v>0.01</v>
      </c>
      <c r="ED107" s="40">
        <v>0.46</v>
      </c>
      <c r="EE107" s="40">
        <v>0.43</v>
      </c>
      <c r="EF107" s="40">
        <v>0.46</v>
      </c>
      <c r="EG107" s="40">
        <v>0.2</v>
      </c>
      <c r="EH107" s="40">
        <v>0.38</v>
      </c>
      <c r="EI107" s="40">
        <v>0.51</v>
      </c>
      <c r="EJ107" s="40">
        <v>0.56000000000000005</v>
      </c>
      <c r="EK107" s="40">
        <v>0.21</v>
      </c>
      <c r="EL107" s="40">
        <v>0.44</v>
      </c>
      <c r="EM107" s="40">
        <v>0.61</v>
      </c>
      <c r="EN107" s="40">
        <v>0.34</v>
      </c>
      <c r="EO107" s="40">
        <v>0.55000000000000004</v>
      </c>
      <c r="EP107" s="40">
        <v>0.3</v>
      </c>
      <c r="EQ107" s="40">
        <v>0.21</v>
      </c>
      <c r="ER107" s="40">
        <v>0.62</v>
      </c>
      <c r="ES107" s="40">
        <v>0.41</v>
      </c>
      <c r="ET107" s="40">
        <v>0.34</v>
      </c>
      <c r="EU107" s="40">
        <v>0.46</v>
      </c>
      <c r="EV107" s="40">
        <v>0.39</v>
      </c>
      <c r="EW107" s="40">
        <v>0.31</v>
      </c>
      <c r="EX107" s="40">
        <v>0.57999999999999996</v>
      </c>
      <c r="EY107" s="40">
        <v>0.51</v>
      </c>
      <c r="EZ107" s="40">
        <v>0.22</v>
      </c>
      <c r="FA107" s="40">
        <v>0.57999999999999996</v>
      </c>
      <c r="FB107" s="247">
        <v>51</v>
      </c>
      <c r="FC107" s="247" t="s">
        <v>874</v>
      </c>
      <c r="FD107" s="247">
        <v>8</v>
      </c>
      <c r="FE107" s="247" t="s">
        <v>874</v>
      </c>
      <c r="FF107" s="264">
        <v>0.1</v>
      </c>
      <c r="FG107" s="264">
        <v>0.6</v>
      </c>
      <c r="FH107" s="264">
        <v>0.28999999999999998</v>
      </c>
      <c r="FI107" s="264">
        <v>0.01</v>
      </c>
      <c r="FJ107" s="264">
        <v>0.42</v>
      </c>
      <c r="FK107" s="264">
        <v>0.67</v>
      </c>
      <c r="FL107" s="264">
        <v>0.49</v>
      </c>
      <c r="FM107" s="264">
        <v>0.39</v>
      </c>
      <c r="FN107" s="264">
        <v>0.24</v>
      </c>
      <c r="FO107" s="264">
        <v>0.31</v>
      </c>
      <c r="FP107" s="264">
        <v>0.38</v>
      </c>
      <c r="FQ107" s="264">
        <v>0.38</v>
      </c>
      <c r="FR107" s="264">
        <v>0.55000000000000004</v>
      </c>
      <c r="FS107" s="264">
        <v>0.55000000000000004</v>
      </c>
      <c r="FT107" s="264">
        <v>0.49</v>
      </c>
      <c r="FU107" s="264">
        <v>0.39</v>
      </c>
      <c r="FV107" s="264">
        <v>0.52</v>
      </c>
      <c r="FW107" s="264">
        <v>0.53</v>
      </c>
      <c r="FX107" s="264">
        <v>0.41</v>
      </c>
      <c r="FY107" s="264">
        <v>0.36</v>
      </c>
      <c r="FZ107" s="264">
        <v>0.41</v>
      </c>
      <c r="GA107" s="264">
        <v>0.45</v>
      </c>
      <c r="GB107" s="264">
        <v>0.53</v>
      </c>
      <c r="GC107" s="264">
        <v>0.42</v>
      </c>
      <c r="GD107" s="264">
        <v>0.56999999999999995</v>
      </c>
      <c r="GE107" s="264">
        <v>0.51</v>
      </c>
      <c r="GF107" s="264">
        <v>0.48</v>
      </c>
      <c r="GG107" s="264">
        <v>0.44</v>
      </c>
      <c r="GH107" s="264">
        <v>0.54</v>
      </c>
      <c r="GI107" s="264">
        <v>0.26</v>
      </c>
      <c r="GJ107" s="311">
        <v>51</v>
      </c>
      <c r="GK107" s="311" t="s">
        <v>874</v>
      </c>
      <c r="GL107" s="311">
        <v>9</v>
      </c>
      <c r="GM107" s="311" t="s">
        <v>874</v>
      </c>
      <c r="GN107" s="329">
        <v>0.12</v>
      </c>
      <c r="GO107" s="329">
        <v>0.56000000000000005</v>
      </c>
      <c r="GP107" s="329">
        <v>0.31</v>
      </c>
      <c r="GQ107" s="329">
        <v>0.01</v>
      </c>
      <c r="GR107" s="329">
        <v>0.45</v>
      </c>
      <c r="GS107" s="329">
        <v>0.51</v>
      </c>
      <c r="GT107" s="329">
        <v>0.62</v>
      </c>
      <c r="GU107" s="329">
        <v>0.19</v>
      </c>
      <c r="GV107" s="329">
        <v>0.54</v>
      </c>
      <c r="GW107" s="329">
        <v>0.5</v>
      </c>
      <c r="GX107" s="329">
        <v>0.42</v>
      </c>
      <c r="GY107" s="311" t="s">
        <v>283</v>
      </c>
      <c r="GZ107" s="329">
        <v>0.34</v>
      </c>
      <c r="HA107" s="329">
        <v>0.66</v>
      </c>
      <c r="HB107" s="329">
        <v>0.45</v>
      </c>
      <c r="HC107" s="329">
        <v>0.49</v>
      </c>
      <c r="HD107" s="329">
        <v>0.56999999999999995</v>
      </c>
      <c r="HE107" s="329">
        <v>0.46</v>
      </c>
      <c r="HF107" s="329">
        <v>0.48</v>
      </c>
      <c r="HG107" s="329">
        <v>0.64</v>
      </c>
      <c r="HH107" s="329">
        <v>0.36</v>
      </c>
      <c r="HI107" s="329">
        <v>0.49</v>
      </c>
      <c r="HJ107" s="329">
        <v>0.56000000000000005</v>
      </c>
      <c r="HK107" s="329">
        <v>0.44</v>
      </c>
      <c r="HL107" s="329">
        <v>0.44</v>
      </c>
      <c r="HM107" s="329">
        <v>0.44</v>
      </c>
      <c r="HN107" s="329">
        <v>0.45</v>
      </c>
      <c r="HO107" s="329">
        <v>0.41</v>
      </c>
      <c r="HP107" s="311" t="s">
        <v>283</v>
      </c>
      <c r="HQ107" s="329">
        <v>0.43</v>
      </c>
      <c r="HR107" s="426">
        <v>52</v>
      </c>
      <c r="HS107" s="426" t="s">
        <v>874</v>
      </c>
      <c r="HT107" s="426">
        <v>9</v>
      </c>
      <c r="HU107" s="426" t="s">
        <v>874</v>
      </c>
      <c r="HV107" s="430">
        <v>0.12</v>
      </c>
      <c r="HW107" s="430">
        <v>0.51</v>
      </c>
      <c r="HX107" s="430">
        <v>0.36</v>
      </c>
      <c r="HY107" s="430">
        <v>0.02</v>
      </c>
      <c r="HZ107" s="430">
        <v>0.36</v>
      </c>
      <c r="IA107" s="430">
        <v>0.49</v>
      </c>
      <c r="IB107" s="430">
        <v>0.3</v>
      </c>
      <c r="IC107" s="430">
        <v>0.47</v>
      </c>
      <c r="ID107" s="430">
        <v>0.61</v>
      </c>
      <c r="IE107" s="430">
        <v>0.34</v>
      </c>
      <c r="IF107" s="430">
        <v>0.4</v>
      </c>
      <c r="IG107" s="430">
        <v>0.52</v>
      </c>
      <c r="IH107" s="430">
        <v>0.45</v>
      </c>
      <c r="II107" s="430">
        <v>0.26</v>
      </c>
      <c r="IJ107" s="430">
        <v>0.25</v>
      </c>
      <c r="IK107" s="430">
        <v>0.57999999999999996</v>
      </c>
      <c r="IL107" s="430">
        <v>0.33</v>
      </c>
      <c r="IM107" s="430">
        <v>0.55000000000000004</v>
      </c>
      <c r="IN107" s="430">
        <v>0.45</v>
      </c>
      <c r="IO107" s="430">
        <v>0.56999999999999995</v>
      </c>
      <c r="IP107" s="430">
        <v>0.38</v>
      </c>
      <c r="IQ107" s="430">
        <v>0.64</v>
      </c>
      <c r="IR107" s="430">
        <v>0.56000000000000005</v>
      </c>
      <c r="IS107" s="430">
        <v>0.5</v>
      </c>
      <c r="IT107" s="430">
        <v>0.41</v>
      </c>
      <c r="IU107" s="426" t="s">
        <v>283</v>
      </c>
      <c r="IV107" s="430">
        <v>0.64</v>
      </c>
      <c r="IW107" s="430">
        <v>0.41</v>
      </c>
      <c r="IX107" s="430">
        <v>0.5</v>
      </c>
      <c r="IY107" s="430">
        <v>0.51</v>
      </c>
      <c r="IZ107" s="466">
        <v>53</v>
      </c>
      <c r="JA107" s="466" t="s">
        <v>874</v>
      </c>
      <c r="JB107" s="466">
        <v>9</v>
      </c>
      <c r="JC107" s="466" t="s">
        <v>874</v>
      </c>
      <c r="JD107" s="480">
        <v>0.11</v>
      </c>
      <c r="JE107" s="480">
        <v>0.48</v>
      </c>
      <c r="JF107" s="480">
        <v>0.39</v>
      </c>
      <c r="JG107" s="480">
        <v>0.02</v>
      </c>
      <c r="JH107" s="480">
        <v>0.43</v>
      </c>
      <c r="JI107" s="480">
        <v>0.44</v>
      </c>
      <c r="JJ107" s="480">
        <v>0.37</v>
      </c>
      <c r="JK107" s="480">
        <v>0.47</v>
      </c>
      <c r="JL107" s="480">
        <v>0.46</v>
      </c>
      <c r="JM107" s="480">
        <v>0.48</v>
      </c>
      <c r="JN107" s="480">
        <v>0.38</v>
      </c>
      <c r="JO107" s="480">
        <v>0.42</v>
      </c>
      <c r="JP107" s="480">
        <v>0.51</v>
      </c>
      <c r="JQ107" s="480">
        <v>0.22</v>
      </c>
      <c r="JR107" s="480">
        <v>0.53</v>
      </c>
      <c r="JS107" s="480">
        <v>0.46</v>
      </c>
      <c r="JT107" s="480">
        <v>0.4</v>
      </c>
      <c r="JU107" s="480">
        <v>0.48</v>
      </c>
      <c r="JV107" s="480">
        <v>0.45</v>
      </c>
      <c r="JW107" s="480">
        <v>0.46</v>
      </c>
      <c r="JX107" s="480">
        <v>0.41</v>
      </c>
      <c r="JY107" s="480">
        <v>0.51</v>
      </c>
      <c r="JZ107" s="480">
        <v>0.44</v>
      </c>
      <c r="KA107" s="480">
        <v>0.59</v>
      </c>
      <c r="KB107" s="480">
        <v>0.44</v>
      </c>
      <c r="KC107" s="480">
        <v>0.64</v>
      </c>
      <c r="KD107" s="480">
        <v>0.33</v>
      </c>
      <c r="KE107" s="480">
        <v>0.48</v>
      </c>
      <c r="KF107" s="480">
        <v>0.45</v>
      </c>
      <c r="KG107" s="480">
        <v>0.49</v>
      </c>
    </row>
    <row r="108" spans="1:293" ht="24.95" customHeight="1" x14ac:dyDescent="0.2">
      <c r="A108" s="126" t="s">
        <v>103</v>
      </c>
      <c r="B108" s="1" t="s">
        <v>219</v>
      </c>
      <c r="C108" s="2">
        <v>4</v>
      </c>
      <c r="D108" s="12">
        <v>50</v>
      </c>
      <c r="E108" s="12">
        <v>7</v>
      </c>
      <c r="F108" s="66">
        <v>0.1</v>
      </c>
      <c r="G108" s="66">
        <v>0.7</v>
      </c>
      <c r="H108" s="66">
        <v>0.19</v>
      </c>
      <c r="I108" s="66">
        <v>0</v>
      </c>
      <c r="J108" s="66">
        <v>0.49</v>
      </c>
      <c r="K108" s="66">
        <v>0.43</v>
      </c>
      <c r="L108" s="66">
        <v>0.8</v>
      </c>
      <c r="M108" s="66">
        <v>0.35</v>
      </c>
      <c r="N108" s="66">
        <v>0.36</v>
      </c>
      <c r="O108" s="66">
        <v>0.7</v>
      </c>
      <c r="P108" s="66">
        <v>0.4</v>
      </c>
      <c r="Q108" s="66">
        <v>0.43</v>
      </c>
      <c r="R108" s="66">
        <v>0.61</v>
      </c>
      <c r="S108" s="66">
        <v>0.65</v>
      </c>
      <c r="T108" s="66">
        <v>0.56999999999999995</v>
      </c>
      <c r="U108" s="66">
        <v>0.69</v>
      </c>
      <c r="V108" s="66">
        <v>0.16</v>
      </c>
      <c r="W108" s="66">
        <v>0.27</v>
      </c>
      <c r="X108" s="66">
        <v>0.56000000000000005</v>
      </c>
      <c r="Y108" s="66">
        <v>0.61</v>
      </c>
      <c r="Z108" s="12" t="s">
        <v>283</v>
      </c>
      <c r="AA108" s="66">
        <v>0.12</v>
      </c>
      <c r="AB108" s="66">
        <v>0.5</v>
      </c>
      <c r="AC108" s="66">
        <v>0.42</v>
      </c>
      <c r="AD108" s="66">
        <v>0.48</v>
      </c>
      <c r="AE108" s="66">
        <v>0.43</v>
      </c>
      <c r="AF108" s="66">
        <v>0.51</v>
      </c>
      <c r="AG108" s="66">
        <v>0.63</v>
      </c>
      <c r="AH108" s="12">
        <v>49</v>
      </c>
      <c r="AI108" s="12">
        <v>8</v>
      </c>
      <c r="AJ108" s="40">
        <v>0.15</v>
      </c>
      <c r="AK108" s="40">
        <v>0.68</v>
      </c>
      <c r="AL108" s="40">
        <v>0.16</v>
      </c>
      <c r="AM108" s="40">
        <v>0.02</v>
      </c>
      <c r="AN108" s="40">
        <v>0.32</v>
      </c>
      <c r="AO108" s="40">
        <v>0.53</v>
      </c>
      <c r="AP108" s="40">
        <v>0.54</v>
      </c>
      <c r="AQ108" s="40">
        <v>0.5</v>
      </c>
      <c r="AR108" s="40">
        <v>0.59</v>
      </c>
      <c r="AS108" s="40">
        <v>0.54</v>
      </c>
      <c r="AT108" s="40">
        <v>0.53</v>
      </c>
      <c r="AU108" s="40">
        <v>0.6</v>
      </c>
      <c r="AV108" s="40">
        <v>0.66</v>
      </c>
      <c r="AW108" s="40">
        <v>0.56999999999999995</v>
      </c>
      <c r="AX108" s="40">
        <v>0.63</v>
      </c>
      <c r="AY108" s="40">
        <v>0.39</v>
      </c>
      <c r="AZ108" s="40">
        <v>0.32</v>
      </c>
      <c r="BA108" s="40">
        <v>0.5</v>
      </c>
      <c r="BB108" s="40">
        <v>0.66</v>
      </c>
      <c r="BC108" s="40">
        <v>0.7</v>
      </c>
      <c r="BD108" s="40">
        <v>0.46</v>
      </c>
      <c r="BE108" s="40">
        <v>0.55000000000000004</v>
      </c>
      <c r="BF108" s="40">
        <v>0.6</v>
      </c>
      <c r="BG108" s="40">
        <v>0.5</v>
      </c>
      <c r="BH108" s="40">
        <v>0.52</v>
      </c>
      <c r="BI108" s="40">
        <v>0.44</v>
      </c>
      <c r="BJ108" s="40">
        <v>0.45</v>
      </c>
      <c r="BK108" s="40">
        <v>0.53</v>
      </c>
      <c r="BL108" s="40">
        <v>0.53</v>
      </c>
      <c r="BM108" s="12">
        <v>47</v>
      </c>
      <c r="BN108" s="12">
        <v>8</v>
      </c>
      <c r="BO108" s="66">
        <v>0.22</v>
      </c>
      <c r="BP108" s="66">
        <v>0.59</v>
      </c>
      <c r="BQ108" s="66">
        <v>0.19</v>
      </c>
      <c r="BR108" s="66">
        <v>0</v>
      </c>
      <c r="BS108" s="66">
        <v>0.32</v>
      </c>
      <c r="BT108" s="66">
        <v>0.57999999999999996</v>
      </c>
      <c r="BU108" s="66">
        <v>0.66</v>
      </c>
      <c r="BV108" s="66">
        <v>0.51</v>
      </c>
      <c r="BW108" s="66">
        <v>0.66</v>
      </c>
      <c r="BX108" s="66">
        <v>0.43</v>
      </c>
      <c r="BY108" s="66">
        <v>0.51</v>
      </c>
      <c r="BZ108" s="66">
        <v>0.6</v>
      </c>
      <c r="CA108" s="66">
        <v>0.53</v>
      </c>
      <c r="CB108" s="66">
        <v>0.43</v>
      </c>
      <c r="CC108" s="66">
        <v>0.31</v>
      </c>
      <c r="CD108" s="66">
        <v>0.5</v>
      </c>
      <c r="CE108" s="66">
        <v>0.46</v>
      </c>
      <c r="CF108" s="66">
        <v>0.61</v>
      </c>
      <c r="CG108" s="66">
        <v>0.63</v>
      </c>
      <c r="CH108" s="66">
        <v>0.49</v>
      </c>
      <c r="CI108" s="66">
        <v>0.62</v>
      </c>
      <c r="CJ108" s="66">
        <v>0.43</v>
      </c>
      <c r="CK108" s="66">
        <v>0.71</v>
      </c>
      <c r="CL108" s="66">
        <v>0.4</v>
      </c>
      <c r="CM108" s="66">
        <v>0.56000000000000005</v>
      </c>
      <c r="CN108" s="66">
        <v>0.54</v>
      </c>
      <c r="CO108" s="66">
        <v>0.46</v>
      </c>
      <c r="CP108" s="66">
        <v>0.44</v>
      </c>
      <c r="CQ108" s="66">
        <v>0.55000000000000004</v>
      </c>
      <c r="CR108" s="66">
        <v>0.55000000000000004</v>
      </c>
      <c r="CS108" s="12">
        <v>44</v>
      </c>
      <c r="CT108" s="12">
        <v>8</v>
      </c>
      <c r="CU108" s="63">
        <v>0.36</v>
      </c>
      <c r="CV108" s="63">
        <v>0.56000000000000005</v>
      </c>
      <c r="CW108" s="63">
        <v>0.09</v>
      </c>
      <c r="CX108" s="63">
        <v>0</v>
      </c>
      <c r="CY108" s="63">
        <v>0.62</v>
      </c>
      <c r="CZ108" s="63">
        <v>0.38</v>
      </c>
      <c r="DA108" s="63">
        <v>0.65</v>
      </c>
      <c r="DB108" s="63">
        <v>0.44</v>
      </c>
      <c r="DC108" s="63">
        <v>0.52</v>
      </c>
      <c r="DD108" s="63">
        <v>0.63</v>
      </c>
      <c r="DE108" s="63">
        <v>0.57999999999999996</v>
      </c>
      <c r="DF108" s="63">
        <v>0.63</v>
      </c>
      <c r="DG108" s="63">
        <v>0.52</v>
      </c>
      <c r="DH108" s="63">
        <v>0.45</v>
      </c>
      <c r="DI108" s="63">
        <v>0.69</v>
      </c>
      <c r="DJ108" s="63">
        <v>0.65</v>
      </c>
      <c r="DK108" s="63">
        <v>0.52</v>
      </c>
      <c r="DL108" s="63">
        <v>0.45</v>
      </c>
      <c r="DM108" s="63">
        <v>0.6</v>
      </c>
      <c r="DN108" s="63">
        <v>0.56999999999999995</v>
      </c>
      <c r="DO108" s="63">
        <v>0.54</v>
      </c>
      <c r="DP108" s="63">
        <v>0.5</v>
      </c>
      <c r="DQ108" s="63">
        <v>0.61</v>
      </c>
      <c r="DR108" s="63">
        <v>0.31</v>
      </c>
      <c r="DS108" s="63">
        <v>0.42</v>
      </c>
      <c r="DT108" s="63">
        <v>0.63</v>
      </c>
      <c r="DU108" s="63">
        <v>0.7</v>
      </c>
      <c r="DV108" s="63">
        <v>0.73</v>
      </c>
      <c r="DW108" s="63">
        <v>0.43</v>
      </c>
      <c r="DX108" s="35">
        <v>46</v>
      </c>
      <c r="DY108" s="35">
        <v>9</v>
      </c>
      <c r="DZ108" s="40">
        <v>0.25</v>
      </c>
      <c r="EA108" s="40">
        <v>0.64</v>
      </c>
      <c r="EB108" s="40">
        <v>0.1</v>
      </c>
      <c r="EC108" s="40">
        <v>0.01</v>
      </c>
      <c r="ED108" s="40">
        <v>0.54</v>
      </c>
      <c r="EE108" s="40">
        <v>0.51</v>
      </c>
      <c r="EF108" s="40">
        <v>0.52</v>
      </c>
      <c r="EG108" s="40">
        <v>0.48</v>
      </c>
      <c r="EH108" s="40">
        <v>0.5</v>
      </c>
      <c r="EI108" s="40">
        <v>0.57999999999999996</v>
      </c>
      <c r="EJ108" s="40">
        <v>0.65</v>
      </c>
      <c r="EK108" s="40">
        <v>0.35</v>
      </c>
      <c r="EL108" s="40">
        <v>0.53</v>
      </c>
      <c r="EM108" s="40">
        <v>0.72</v>
      </c>
      <c r="EN108" s="40">
        <v>0.55000000000000004</v>
      </c>
      <c r="EO108" s="40">
        <v>0.64</v>
      </c>
      <c r="EP108" s="40">
        <v>0.46</v>
      </c>
      <c r="EQ108" s="40">
        <v>0.35</v>
      </c>
      <c r="ER108" s="40">
        <v>0.59</v>
      </c>
      <c r="ES108" s="40">
        <v>0.57999999999999996</v>
      </c>
      <c r="ET108" s="40">
        <v>0.45</v>
      </c>
      <c r="EU108" s="40">
        <v>0.63</v>
      </c>
      <c r="EV108" s="40">
        <v>0.43</v>
      </c>
      <c r="EW108" s="40">
        <v>0.37</v>
      </c>
      <c r="EX108" s="40">
        <v>0.68</v>
      </c>
      <c r="EY108" s="40">
        <v>0.63</v>
      </c>
      <c r="EZ108" s="40">
        <v>0.27</v>
      </c>
      <c r="FA108" s="40">
        <v>0.7</v>
      </c>
      <c r="FB108" s="247">
        <v>45</v>
      </c>
      <c r="FC108" s="247" t="s">
        <v>874</v>
      </c>
      <c r="FD108" s="247">
        <v>7</v>
      </c>
      <c r="FE108" s="247" t="s">
        <v>874</v>
      </c>
      <c r="FF108" s="264">
        <v>0.35</v>
      </c>
      <c r="FG108" s="264">
        <v>0.56000000000000005</v>
      </c>
      <c r="FH108" s="264">
        <v>0.08</v>
      </c>
      <c r="FI108" s="264">
        <v>0</v>
      </c>
      <c r="FJ108" s="264">
        <v>0.57999999999999996</v>
      </c>
      <c r="FK108" s="264">
        <v>0.71</v>
      </c>
      <c r="FL108" s="264">
        <v>0.57999999999999996</v>
      </c>
      <c r="FM108" s="264">
        <v>0.51</v>
      </c>
      <c r="FN108" s="264">
        <v>0.44</v>
      </c>
      <c r="FO108" s="264">
        <v>0.47</v>
      </c>
      <c r="FP108" s="264">
        <v>0.48</v>
      </c>
      <c r="FQ108" s="264">
        <v>0.52</v>
      </c>
      <c r="FR108" s="264">
        <v>0.65</v>
      </c>
      <c r="FS108" s="264">
        <v>0.53</v>
      </c>
      <c r="FT108" s="264">
        <v>0.6</v>
      </c>
      <c r="FU108" s="264">
        <v>0.49</v>
      </c>
      <c r="FV108" s="264">
        <v>0.7</v>
      </c>
      <c r="FW108" s="264">
        <v>0.62</v>
      </c>
      <c r="FX108" s="264">
        <v>0.6</v>
      </c>
      <c r="FY108" s="264">
        <v>0.49</v>
      </c>
      <c r="FZ108" s="264">
        <v>0.46</v>
      </c>
      <c r="GA108" s="264">
        <v>0.62</v>
      </c>
      <c r="GB108" s="264">
        <v>0.56000000000000005</v>
      </c>
      <c r="GC108" s="264">
        <v>0.56999999999999995</v>
      </c>
      <c r="GD108" s="264">
        <v>0.67</v>
      </c>
      <c r="GE108" s="264">
        <v>0.6</v>
      </c>
      <c r="GF108" s="264">
        <v>0.57999999999999996</v>
      </c>
      <c r="GG108" s="264">
        <v>0.56999999999999995</v>
      </c>
      <c r="GH108" s="264">
        <v>0.68</v>
      </c>
      <c r="GI108" s="264">
        <v>0.4</v>
      </c>
      <c r="GJ108" s="311">
        <v>46</v>
      </c>
      <c r="GK108" s="311" t="s">
        <v>874</v>
      </c>
      <c r="GL108" s="311">
        <v>9</v>
      </c>
      <c r="GM108" s="311" t="s">
        <v>874</v>
      </c>
      <c r="GN108" s="329">
        <v>0.25</v>
      </c>
      <c r="GO108" s="329">
        <v>0.59</v>
      </c>
      <c r="GP108" s="329">
        <v>0.16</v>
      </c>
      <c r="GQ108" s="329">
        <v>0</v>
      </c>
      <c r="GR108" s="329">
        <v>0.51</v>
      </c>
      <c r="GS108" s="329">
        <v>0.63</v>
      </c>
      <c r="GT108" s="329">
        <v>0.68</v>
      </c>
      <c r="GU108" s="329">
        <v>0.42</v>
      </c>
      <c r="GV108" s="329">
        <v>0.62</v>
      </c>
      <c r="GW108" s="329">
        <v>0.55000000000000004</v>
      </c>
      <c r="GX108" s="329">
        <v>0.56000000000000005</v>
      </c>
      <c r="GY108" s="311" t="s">
        <v>283</v>
      </c>
      <c r="GZ108" s="329">
        <v>0.37</v>
      </c>
      <c r="HA108" s="329">
        <v>0.66</v>
      </c>
      <c r="HB108" s="329">
        <v>0.57999999999999996</v>
      </c>
      <c r="HC108" s="329">
        <v>0.61</v>
      </c>
      <c r="HD108" s="329">
        <v>0.66</v>
      </c>
      <c r="HE108" s="329">
        <v>0.49</v>
      </c>
      <c r="HF108" s="329">
        <v>0.54</v>
      </c>
      <c r="HG108" s="329">
        <v>0.71</v>
      </c>
      <c r="HH108" s="329">
        <v>0.48</v>
      </c>
      <c r="HI108" s="329">
        <v>0.65</v>
      </c>
      <c r="HJ108" s="329">
        <v>0.61</v>
      </c>
      <c r="HK108" s="329">
        <v>0.56000000000000005</v>
      </c>
      <c r="HL108" s="329">
        <v>0.48</v>
      </c>
      <c r="HM108" s="329">
        <v>0.56999999999999995</v>
      </c>
      <c r="HN108" s="329">
        <v>0.57999999999999996</v>
      </c>
      <c r="HO108" s="329">
        <v>0.52</v>
      </c>
      <c r="HP108" s="311" t="s">
        <v>283</v>
      </c>
      <c r="HQ108" s="329">
        <v>0.47</v>
      </c>
      <c r="HR108" s="426">
        <v>45</v>
      </c>
      <c r="HS108" s="426" t="s">
        <v>874</v>
      </c>
      <c r="HT108" s="426">
        <v>9</v>
      </c>
      <c r="HU108" s="426" t="s">
        <v>874</v>
      </c>
      <c r="HV108" s="430">
        <v>0.37</v>
      </c>
      <c r="HW108" s="430">
        <v>0.5</v>
      </c>
      <c r="HX108" s="430">
        <v>0.12</v>
      </c>
      <c r="HY108" s="430">
        <v>0.01</v>
      </c>
      <c r="HZ108" s="430">
        <v>0.55000000000000004</v>
      </c>
      <c r="IA108" s="430">
        <v>0.65</v>
      </c>
      <c r="IB108" s="430">
        <v>0.47</v>
      </c>
      <c r="IC108" s="430">
        <v>0.56999999999999995</v>
      </c>
      <c r="ID108" s="430">
        <v>0.68</v>
      </c>
      <c r="IE108" s="430">
        <v>0.53</v>
      </c>
      <c r="IF108" s="430">
        <v>0.54</v>
      </c>
      <c r="IG108" s="430">
        <v>0.65</v>
      </c>
      <c r="IH108" s="430">
        <v>0.63</v>
      </c>
      <c r="II108" s="430">
        <v>0.44</v>
      </c>
      <c r="IJ108" s="430">
        <v>0.39</v>
      </c>
      <c r="IK108" s="430">
        <v>0.64</v>
      </c>
      <c r="IL108" s="430">
        <v>0.48</v>
      </c>
      <c r="IM108" s="430">
        <v>0.61</v>
      </c>
      <c r="IN108" s="430">
        <v>0.57999999999999996</v>
      </c>
      <c r="IO108" s="430">
        <v>0.61</v>
      </c>
      <c r="IP108" s="430">
        <v>0.55000000000000004</v>
      </c>
      <c r="IQ108" s="430">
        <v>0.7</v>
      </c>
      <c r="IR108" s="430">
        <v>0.66</v>
      </c>
      <c r="IS108" s="430">
        <v>0.57999999999999996</v>
      </c>
      <c r="IT108" s="430">
        <v>0.54</v>
      </c>
      <c r="IU108" s="426" t="s">
        <v>283</v>
      </c>
      <c r="IV108" s="430">
        <v>0.7</v>
      </c>
      <c r="IW108" s="430">
        <v>0.54</v>
      </c>
      <c r="IX108" s="430">
        <v>0.63</v>
      </c>
      <c r="IY108" s="430">
        <v>0.62</v>
      </c>
      <c r="IZ108" s="466">
        <v>46</v>
      </c>
      <c r="JA108" s="466" t="s">
        <v>874</v>
      </c>
      <c r="JB108" s="466">
        <v>9</v>
      </c>
      <c r="JC108" s="466" t="s">
        <v>874</v>
      </c>
      <c r="JD108" s="480">
        <v>0.3</v>
      </c>
      <c r="JE108" s="480">
        <v>0.55000000000000004</v>
      </c>
      <c r="JF108" s="480">
        <v>0.15</v>
      </c>
      <c r="JG108" s="480">
        <v>0</v>
      </c>
      <c r="JH108" s="480">
        <v>0.62</v>
      </c>
      <c r="JI108" s="480">
        <v>0.52</v>
      </c>
      <c r="JJ108" s="480">
        <v>0.53</v>
      </c>
      <c r="JK108" s="480">
        <v>0.62</v>
      </c>
      <c r="JL108" s="480">
        <v>0.6</v>
      </c>
      <c r="JM108" s="480">
        <v>0.56999999999999995</v>
      </c>
      <c r="JN108" s="480">
        <v>0.56000000000000005</v>
      </c>
      <c r="JO108" s="480">
        <v>0.55000000000000004</v>
      </c>
      <c r="JP108" s="480">
        <v>0.65</v>
      </c>
      <c r="JQ108" s="480">
        <v>0.4</v>
      </c>
      <c r="JR108" s="480">
        <v>0.68</v>
      </c>
      <c r="JS108" s="480">
        <v>0.61</v>
      </c>
      <c r="JT108" s="480">
        <v>0.56000000000000005</v>
      </c>
      <c r="JU108" s="480">
        <v>0.63</v>
      </c>
      <c r="JV108" s="480">
        <v>0.54</v>
      </c>
      <c r="JW108" s="480">
        <v>0.56999999999999995</v>
      </c>
      <c r="JX108" s="480">
        <v>0.56000000000000005</v>
      </c>
      <c r="JY108" s="480">
        <v>0.52</v>
      </c>
      <c r="JZ108" s="480">
        <v>0.55000000000000004</v>
      </c>
      <c r="KA108" s="480">
        <v>0.69</v>
      </c>
      <c r="KB108" s="480">
        <v>0.63</v>
      </c>
      <c r="KC108" s="480">
        <v>0.75</v>
      </c>
      <c r="KD108" s="480">
        <v>0.49</v>
      </c>
      <c r="KE108" s="480">
        <v>0.55000000000000004</v>
      </c>
      <c r="KF108" s="480">
        <v>0.56000000000000005</v>
      </c>
      <c r="KG108" s="480">
        <v>0.59</v>
      </c>
    </row>
    <row r="109" spans="1:293" ht="24.95" customHeight="1" x14ac:dyDescent="0.2">
      <c r="A109" s="126" t="s">
        <v>86</v>
      </c>
      <c r="B109" s="1" t="s">
        <v>219</v>
      </c>
      <c r="C109" s="2">
        <v>1</v>
      </c>
      <c r="D109" s="12">
        <v>53</v>
      </c>
      <c r="E109" s="12">
        <v>7</v>
      </c>
      <c r="F109" s="66">
        <v>0.05</v>
      </c>
      <c r="G109" s="66">
        <v>0.62</v>
      </c>
      <c r="H109" s="66">
        <v>0.32</v>
      </c>
      <c r="I109" s="66">
        <v>0.01</v>
      </c>
      <c r="J109" s="66">
        <v>0.49</v>
      </c>
      <c r="K109" s="66">
        <v>0.4</v>
      </c>
      <c r="L109" s="66">
        <v>0.77</v>
      </c>
      <c r="M109" s="66">
        <v>0.22</v>
      </c>
      <c r="N109" s="66">
        <v>0.26</v>
      </c>
      <c r="O109" s="66">
        <v>0.66</v>
      </c>
      <c r="P109" s="66">
        <v>0.32</v>
      </c>
      <c r="Q109" s="66">
        <v>0.45</v>
      </c>
      <c r="R109" s="66">
        <v>0.53</v>
      </c>
      <c r="S109" s="66">
        <v>0.6</v>
      </c>
      <c r="T109" s="66">
        <v>0.49</v>
      </c>
      <c r="U109" s="66">
        <v>0.62</v>
      </c>
      <c r="V109" s="66">
        <v>7.0000000000000007E-2</v>
      </c>
      <c r="W109" s="66">
        <v>0.14000000000000001</v>
      </c>
      <c r="X109" s="66">
        <v>0.47</v>
      </c>
      <c r="Y109" s="66">
        <v>0.57999999999999996</v>
      </c>
      <c r="Z109" s="66">
        <v>1</v>
      </c>
      <c r="AA109" s="66">
        <v>0.15</v>
      </c>
      <c r="AB109" s="66">
        <v>0.51</v>
      </c>
      <c r="AC109" s="66">
        <v>0.26</v>
      </c>
      <c r="AD109" s="66">
        <v>0.47</v>
      </c>
      <c r="AE109" s="66">
        <v>0.44</v>
      </c>
      <c r="AF109" s="66">
        <v>0.53</v>
      </c>
      <c r="AG109" s="66">
        <v>0.5</v>
      </c>
      <c r="AH109" s="12">
        <v>51</v>
      </c>
      <c r="AI109" s="12">
        <v>7</v>
      </c>
      <c r="AJ109" s="40">
        <v>0.1</v>
      </c>
      <c r="AK109" s="40">
        <v>0.62</v>
      </c>
      <c r="AL109" s="40">
        <v>0.27</v>
      </c>
      <c r="AM109" s="40">
        <v>0</v>
      </c>
      <c r="AN109" s="40">
        <v>0.27</v>
      </c>
      <c r="AO109" s="40">
        <v>0.46</v>
      </c>
      <c r="AP109" s="40">
        <v>0.62</v>
      </c>
      <c r="AQ109" s="40">
        <v>0.42</v>
      </c>
      <c r="AR109" s="40">
        <v>0.6</v>
      </c>
      <c r="AS109" s="40">
        <v>0.56000000000000005</v>
      </c>
      <c r="AT109" s="40">
        <v>0.54</v>
      </c>
      <c r="AU109" s="40">
        <v>0.54</v>
      </c>
      <c r="AV109" s="40">
        <v>0.64</v>
      </c>
      <c r="AW109" s="40">
        <v>0.45</v>
      </c>
      <c r="AX109" s="40">
        <v>0.57999999999999996</v>
      </c>
      <c r="AY109" s="40">
        <v>0.3</v>
      </c>
      <c r="AZ109" s="40">
        <v>0.31</v>
      </c>
      <c r="BA109" s="40">
        <v>0.51</v>
      </c>
      <c r="BB109" s="40">
        <v>0.71</v>
      </c>
      <c r="BC109" s="40">
        <v>0.67</v>
      </c>
      <c r="BD109" s="40">
        <v>0.44</v>
      </c>
      <c r="BE109" s="40">
        <v>0.46</v>
      </c>
      <c r="BF109" s="40">
        <v>0.63</v>
      </c>
      <c r="BG109" s="40">
        <v>0.54</v>
      </c>
      <c r="BH109" s="40">
        <v>0.44</v>
      </c>
      <c r="BI109" s="40">
        <v>0.42</v>
      </c>
      <c r="BJ109" s="40">
        <v>0.36</v>
      </c>
      <c r="BK109" s="40">
        <v>0.49</v>
      </c>
      <c r="BL109" s="40">
        <v>0.46</v>
      </c>
      <c r="BM109" s="12">
        <v>50</v>
      </c>
      <c r="BN109" s="12">
        <v>9</v>
      </c>
      <c r="BO109" s="66">
        <v>0.11</v>
      </c>
      <c r="BP109" s="66">
        <v>0.62</v>
      </c>
      <c r="BQ109" s="66">
        <v>0.24</v>
      </c>
      <c r="BR109" s="66">
        <v>0.02</v>
      </c>
      <c r="BS109" s="66">
        <v>0.31</v>
      </c>
      <c r="BT109" s="66">
        <v>0.52</v>
      </c>
      <c r="BU109" s="66">
        <v>0.67</v>
      </c>
      <c r="BV109" s="66">
        <v>0.37</v>
      </c>
      <c r="BW109" s="66">
        <v>0.61</v>
      </c>
      <c r="BX109" s="66">
        <v>0.34</v>
      </c>
      <c r="BY109" s="66">
        <v>0.5</v>
      </c>
      <c r="BZ109" s="66">
        <v>0.53</v>
      </c>
      <c r="CA109" s="66">
        <v>0.4</v>
      </c>
      <c r="CB109" s="66">
        <v>0.4</v>
      </c>
      <c r="CC109" s="66">
        <v>0.21</v>
      </c>
      <c r="CD109" s="66">
        <v>0.43</v>
      </c>
      <c r="CE109" s="66">
        <v>0.35</v>
      </c>
      <c r="CF109" s="66">
        <v>0.56000000000000005</v>
      </c>
      <c r="CG109" s="66">
        <v>0.6</v>
      </c>
      <c r="CH109" s="66">
        <v>0.48</v>
      </c>
      <c r="CI109" s="66">
        <v>0.56999999999999995</v>
      </c>
      <c r="CJ109" s="66">
        <v>0.33</v>
      </c>
      <c r="CK109" s="66">
        <v>0.67</v>
      </c>
      <c r="CL109" s="66">
        <v>0.34</v>
      </c>
      <c r="CM109" s="66">
        <v>0.45</v>
      </c>
      <c r="CN109" s="66">
        <v>0.47</v>
      </c>
      <c r="CO109" s="66">
        <v>0.45</v>
      </c>
      <c r="CP109" s="66">
        <v>0.38</v>
      </c>
      <c r="CQ109" s="66">
        <v>0.55000000000000004</v>
      </c>
      <c r="CR109" s="66">
        <v>0.56999999999999995</v>
      </c>
      <c r="CS109" s="12">
        <v>48</v>
      </c>
      <c r="CT109" s="12">
        <v>9</v>
      </c>
      <c r="CU109" s="63">
        <v>0.22</v>
      </c>
      <c r="CV109" s="63">
        <v>0.56999999999999995</v>
      </c>
      <c r="CW109" s="63">
        <v>0.2</v>
      </c>
      <c r="CX109" s="63">
        <v>0.01</v>
      </c>
      <c r="CY109" s="63">
        <v>0.51</v>
      </c>
      <c r="CZ109" s="63">
        <v>0.34</v>
      </c>
      <c r="DA109" s="63">
        <v>0.6</v>
      </c>
      <c r="DB109" s="63">
        <v>0.34</v>
      </c>
      <c r="DC109" s="63">
        <v>0.51</v>
      </c>
      <c r="DD109" s="63">
        <v>0.61</v>
      </c>
      <c r="DE109" s="63">
        <v>0.52</v>
      </c>
      <c r="DF109" s="63">
        <v>0.56999999999999995</v>
      </c>
      <c r="DG109" s="63">
        <v>0.5</v>
      </c>
      <c r="DH109" s="63">
        <v>0.4</v>
      </c>
      <c r="DI109" s="63">
        <v>0.57999999999999996</v>
      </c>
      <c r="DJ109" s="63">
        <v>0.53</v>
      </c>
      <c r="DK109" s="63">
        <v>0.38</v>
      </c>
      <c r="DL109" s="63">
        <v>0.31</v>
      </c>
      <c r="DM109" s="63">
        <v>0.6</v>
      </c>
      <c r="DN109" s="63">
        <v>0.52</v>
      </c>
      <c r="DO109" s="63">
        <v>0.51</v>
      </c>
      <c r="DP109" s="63">
        <v>0.47</v>
      </c>
      <c r="DQ109" s="63">
        <v>0.56999999999999995</v>
      </c>
      <c r="DR109" s="63">
        <v>0.25</v>
      </c>
      <c r="DS109" s="63">
        <v>0.42</v>
      </c>
      <c r="DT109" s="63">
        <v>0.61</v>
      </c>
      <c r="DU109" s="63">
        <v>0.46</v>
      </c>
      <c r="DV109" s="63">
        <v>0.6</v>
      </c>
      <c r="DW109" s="63">
        <v>0.39</v>
      </c>
      <c r="DX109" s="35">
        <v>47</v>
      </c>
      <c r="DY109" s="35">
        <v>8</v>
      </c>
      <c r="DZ109" s="40">
        <v>0.2</v>
      </c>
      <c r="EA109" s="40">
        <v>0.62</v>
      </c>
      <c r="EB109" s="40">
        <v>0.18</v>
      </c>
      <c r="EC109" s="40">
        <v>0</v>
      </c>
      <c r="ED109" s="40">
        <v>0.49</v>
      </c>
      <c r="EE109" s="40">
        <v>0.5</v>
      </c>
      <c r="EF109" s="40">
        <v>0.54</v>
      </c>
      <c r="EG109" s="40">
        <v>0.42</v>
      </c>
      <c r="EH109" s="40">
        <v>0.46</v>
      </c>
      <c r="EI109" s="40">
        <v>0.55000000000000004</v>
      </c>
      <c r="EJ109" s="40">
        <v>0.64</v>
      </c>
      <c r="EK109" s="40">
        <v>0.28000000000000003</v>
      </c>
      <c r="EL109" s="40">
        <v>0.49</v>
      </c>
      <c r="EM109" s="40">
        <v>0.69</v>
      </c>
      <c r="EN109" s="40">
        <v>0.5</v>
      </c>
      <c r="EO109" s="40">
        <v>0.59</v>
      </c>
      <c r="EP109" s="40">
        <v>0.45</v>
      </c>
      <c r="EQ109" s="40">
        <v>0.31</v>
      </c>
      <c r="ER109" s="40">
        <v>0.61</v>
      </c>
      <c r="ES109" s="40">
        <v>0.51</v>
      </c>
      <c r="ET109" s="40">
        <v>0.42</v>
      </c>
      <c r="EU109" s="40">
        <v>0.61</v>
      </c>
      <c r="EV109" s="40">
        <v>0.45</v>
      </c>
      <c r="EW109" s="40">
        <v>0.36</v>
      </c>
      <c r="EX109" s="40">
        <v>0.78</v>
      </c>
      <c r="EY109" s="40">
        <v>0.64</v>
      </c>
      <c r="EZ109" s="40">
        <v>0.26</v>
      </c>
      <c r="FA109" s="40">
        <v>0.65</v>
      </c>
      <c r="FB109" s="247">
        <v>47</v>
      </c>
      <c r="FC109" s="247" t="s">
        <v>874</v>
      </c>
      <c r="FD109" s="247">
        <v>8</v>
      </c>
      <c r="FE109" s="247" t="s">
        <v>874</v>
      </c>
      <c r="FF109" s="264">
        <v>0.21</v>
      </c>
      <c r="FG109" s="264">
        <v>0.63</v>
      </c>
      <c r="FH109" s="264">
        <v>0.15</v>
      </c>
      <c r="FI109" s="264">
        <v>0.01</v>
      </c>
      <c r="FJ109" s="264">
        <v>0.5</v>
      </c>
      <c r="FK109" s="264">
        <v>0.71</v>
      </c>
      <c r="FL109" s="264">
        <v>0.55000000000000004</v>
      </c>
      <c r="FM109" s="264">
        <v>0.45</v>
      </c>
      <c r="FN109" s="264">
        <v>0.34</v>
      </c>
      <c r="FO109" s="264">
        <v>0.45</v>
      </c>
      <c r="FP109" s="264">
        <v>0.44</v>
      </c>
      <c r="FQ109" s="264">
        <v>0.44</v>
      </c>
      <c r="FR109" s="264">
        <v>0.57999999999999996</v>
      </c>
      <c r="FS109" s="264">
        <v>0.54</v>
      </c>
      <c r="FT109" s="264">
        <v>0.54</v>
      </c>
      <c r="FU109" s="264">
        <v>0.45</v>
      </c>
      <c r="FV109" s="264">
        <v>0.64</v>
      </c>
      <c r="FW109" s="264">
        <v>0.68</v>
      </c>
      <c r="FX109" s="264">
        <v>0.53</v>
      </c>
      <c r="FY109" s="264">
        <v>0.47</v>
      </c>
      <c r="FZ109" s="264">
        <v>0.48</v>
      </c>
      <c r="GA109" s="264">
        <v>0.51</v>
      </c>
      <c r="GB109" s="264">
        <v>0.53</v>
      </c>
      <c r="GC109" s="264">
        <v>0.48</v>
      </c>
      <c r="GD109" s="264">
        <v>0.66</v>
      </c>
      <c r="GE109" s="264">
        <v>0.61</v>
      </c>
      <c r="GF109" s="264">
        <v>0.54</v>
      </c>
      <c r="GG109" s="264">
        <v>0.51</v>
      </c>
      <c r="GH109" s="264">
        <v>0.59</v>
      </c>
      <c r="GI109" s="264">
        <v>0.31</v>
      </c>
      <c r="GJ109" s="311">
        <v>49</v>
      </c>
      <c r="GK109" s="311" t="s">
        <v>874</v>
      </c>
      <c r="GL109" s="311">
        <v>9</v>
      </c>
      <c r="GM109" s="311" t="s">
        <v>874</v>
      </c>
      <c r="GN109" s="329">
        <v>0.15</v>
      </c>
      <c r="GO109" s="329">
        <v>0.63</v>
      </c>
      <c r="GP109" s="329">
        <v>0.22</v>
      </c>
      <c r="GQ109" s="329">
        <v>0</v>
      </c>
      <c r="GR109" s="329">
        <v>0.5</v>
      </c>
      <c r="GS109" s="329">
        <v>0.59</v>
      </c>
      <c r="GT109" s="329">
        <v>0.63</v>
      </c>
      <c r="GU109" s="329">
        <v>0.25</v>
      </c>
      <c r="GV109" s="329">
        <v>0.57999999999999996</v>
      </c>
      <c r="GW109" s="329">
        <v>0.51</v>
      </c>
      <c r="GX109" s="329">
        <v>0.48</v>
      </c>
      <c r="GY109" s="311" t="s">
        <v>283</v>
      </c>
      <c r="GZ109" s="329">
        <v>0.38</v>
      </c>
      <c r="HA109" s="329">
        <v>0.71</v>
      </c>
      <c r="HB109" s="329">
        <v>0.48</v>
      </c>
      <c r="HC109" s="329">
        <v>0.52</v>
      </c>
      <c r="HD109" s="329">
        <v>0.63</v>
      </c>
      <c r="HE109" s="329">
        <v>0.46</v>
      </c>
      <c r="HF109" s="329">
        <v>0.52</v>
      </c>
      <c r="HG109" s="329">
        <v>0.69</v>
      </c>
      <c r="HH109" s="329">
        <v>0.39</v>
      </c>
      <c r="HI109" s="329">
        <v>0.54</v>
      </c>
      <c r="HJ109" s="329">
        <v>0.62</v>
      </c>
      <c r="HK109" s="329">
        <v>0.54</v>
      </c>
      <c r="HL109" s="329">
        <v>0.44</v>
      </c>
      <c r="HM109" s="329">
        <v>0.53</v>
      </c>
      <c r="HN109" s="329">
        <v>0.53</v>
      </c>
      <c r="HO109" s="329">
        <v>0.46</v>
      </c>
      <c r="HP109" s="311" t="s">
        <v>283</v>
      </c>
      <c r="HQ109" s="329">
        <v>0.45</v>
      </c>
      <c r="HR109" s="426">
        <v>50</v>
      </c>
      <c r="HS109" s="426" t="s">
        <v>874</v>
      </c>
      <c r="HT109" s="426">
        <v>8</v>
      </c>
      <c r="HU109" s="426" t="s">
        <v>874</v>
      </c>
      <c r="HV109" s="430">
        <v>0.11</v>
      </c>
      <c r="HW109" s="430">
        <v>0.63</v>
      </c>
      <c r="HX109" s="430">
        <v>0.24</v>
      </c>
      <c r="HY109" s="430">
        <v>0.01</v>
      </c>
      <c r="HZ109" s="430">
        <v>0.44</v>
      </c>
      <c r="IA109" s="430">
        <v>0.56000000000000005</v>
      </c>
      <c r="IB109" s="430">
        <v>0.34</v>
      </c>
      <c r="IC109" s="430">
        <v>0.52</v>
      </c>
      <c r="ID109" s="430">
        <v>0.63</v>
      </c>
      <c r="IE109" s="430">
        <v>0.39</v>
      </c>
      <c r="IF109" s="430">
        <v>0.42</v>
      </c>
      <c r="IG109" s="430">
        <v>0.54</v>
      </c>
      <c r="IH109" s="430">
        <v>0.52</v>
      </c>
      <c r="II109" s="430">
        <v>0.36</v>
      </c>
      <c r="IJ109" s="430">
        <v>0.28999999999999998</v>
      </c>
      <c r="IK109" s="430">
        <v>0.6</v>
      </c>
      <c r="IL109" s="430">
        <v>0.36</v>
      </c>
      <c r="IM109" s="430">
        <v>0.61</v>
      </c>
      <c r="IN109" s="430">
        <v>0.48</v>
      </c>
      <c r="IO109" s="430">
        <v>0.54</v>
      </c>
      <c r="IP109" s="430">
        <v>0.47</v>
      </c>
      <c r="IQ109" s="430">
        <v>0.67</v>
      </c>
      <c r="IR109" s="430">
        <v>0.65</v>
      </c>
      <c r="IS109" s="430">
        <v>0.55000000000000004</v>
      </c>
      <c r="IT109" s="430">
        <v>0.48</v>
      </c>
      <c r="IU109" s="426" t="s">
        <v>283</v>
      </c>
      <c r="IV109" s="430">
        <v>0.63</v>
      </c>
      <c r="IW109" s="430">
        <v>0.45</v>
      </c>
      <c r="IX109" s="430">
        <v>0.49</v>
      </c>
      <c r="IY109" s="430">
        <v>0.54</v>
      </c>
      <c r="IZ109" s="466">
        <v>52</v>
      </c>
      <c r="JA109" s="466" t="s">
        <v>874</v>
      </c>
      <c r="JB109" s="466">
        <v>9</v>
      </c>
      <c r="JC109" s="466" t="s">
        <v>874</v>
      </c>
      <c r="JD109" s="480">
        <v>0.11</v>
      </c>
      <c r="JE109" s="480">
        <v>0.54</v>
      </c>
      <c r="JF109" s="480">
        <v>0.35</v>
      </c>
      <c r="JG109" s="480">
        <v>0.01</v>
      </c>
      <c r="JH109" s="480">
        <v>0.49</v>
      </c>
      <c r="JI109" s="480">
        <v>0.45</v>
      </c>
      <c r="JJ109" s="480">
        <v>0.41</v>
      </c>
      <c r="JK109" s="480">
        <v>0.46</v>
      </c>
      <c r="JL109" s="480">
        <v>0.52</v>
      </c>
      <c r="JM109" s="480">
        <v>0.47</v>
      </c>
      <c r="JN109" s="480">
        <v>0.41</v>
      </c>
      <c r="JO109" s="480">
        <v>0.46</v>
      </c>
      <c r="JP109" s="480">
        <v>0.55000000000000004</v>
      </c>
      <c r="JQ109" s="480">
        <v>0.24</v>
      </c>
      <c r="JR109" s="480">
        <v>0.6</v>
      </c>
      <c r="JS109" s="480">
        <v>0.55000000000000004</v>
      </c>
      <c r="JT109" s="480">
        <v>0.37</v>
      </c>
      <c r="JU109" s="480">
        <v>0.48</v>
      </c>
      <c r="JV109" s="480">
        <v>0.48</v>
      </c>
      <c r="JW109" s="480">
        <v>0.46</v>
      </c>
      <c r="JX109" s="480">
        <v>0.43</v>
      </c>
      <c r="JY109" s="480">
        <v>0.49</v>
      </c>
      <c r="JZ109" s="480">
        <v>0.44</v>
      </c>
      <c r="KA109" s="480">
        <v>0.57999999999999996</v>
      </c>
      <c r="KB109" s="480">
        <v>0.47</v>
      </c>
      <c r="KC109" s="480">
        <v>0.61</v>
      </c>
      <c r="KD109" s="480">
        <v>0.32</v>
      </c>
      <c r="KE109" s="480">
        <v>0.5</v>
      </c>
      <c r="KF109" s="480">
        <v>0.47</v>
      </c>
      <c r="KG109" s="480">
        <v>0.55000000000000004</v>
      </c>
    </row>
    <row r="110" spans="1:293" ht="24.95" customHeight="1" x14ac:dyDescent="0.2">
      <c r="A110" s="126" t="s">
        <v>46</v>
      </c>
      <c r="B110" s="1" t="s">
        <v>221</v>
      </c>
      <c r="C110" s="2">
        <v>5</v>
      </c>
      <c r="D110" s="12">
        <v>56</v>
      </c>
      <c r="E110" s="12">
        <v>8</v>
      </c>
      <c r="F110" s="66">
        <v>0.03</v>
      </c>
      <c r="G110" s="66">
        <v>0.5</v>
      </c>
      <c r="H110" s="66">
        <v>0.44</v>
      </c>
      <c r="I110" s="66">
        <v>0.03</v>
      </c>
      <c r="J110" s="66">
        <v>0.25</v>
      </c>
      <c r="K110" s="66">
        <v>0.44</v>
      </c>
      <c r="L110" s="66">
        <v>0.75</v>
      </c>
      <c r="M110" s="66">
        <v>0.28000000000000003</v>
      </c>
      <c r="N110" s="66">
        <v>0.26</v>
      </c>
      <c r="O110" s="66">
        <v>0.62</v>
      </c>
      <c r="P110" s="66">
        <v>0.28999999999999998</v>
      </c>
      <c r="Q110" s="66">
        <v>0.28999999999999998</v>
      </c>
      <c r="R110" s="66">
        <v>0.41</v>
      </c>
      <c r="S110" s="66">
        <v>0.55000000000000004</v>
      </c>
      <c r="T110" s="66">
        <v>0.47</v>
      </c>
      <c r="U110" s="66">
        <v>0.61</v>
      </c>
      <c r="V110" s="66">
        <v>0.06</v>
      </c>
      <c r="W110" s="66">
        <v>0.12</v>
      </c>
      <c r="X110" s="66">
        <v>0.49</v>
      </c>
      <c r="Y110" s="66">
        <v>0.5</v>
      </c>
      <c r="Z110" s="12" t="s">
        <v>283</v>
      </c>
      <c r="AA110" s="66">
        <v>0.08</v>
      </c>
      <c r="AB110" s="66">
        <v>0.42</v>
      </c>
      <c r="AC110" s="66">
        <v>0.24</v>
      </c>
      <c r="AD110" s="66">
        <v>0.54</v>
      </c>
      <c r="AE110" s="66">
        <v>0.28999999999999998</v>
      </c>
      <c r="AF110" s="66">
        <v>0.43</v>
      </c>
      <c r="AG110" s="66">
        <v>0.46</v>
      </c>
      <c r="AH110" s="12">
        <v>50</v>
      </c>
      <c r="AI110" s="12">
        <v>8</v>
      </c>
      <c r="AJ110" s="40">
        <v>0.1</v>
      </c>
      <c r="AK110" s="40">
        <v>0.63</v>
      </c>
      <c r="AL110" s="40">
        <v>0.27</v>
      </c>
      <c r="AM110" s="40">
        <v>0</v>
      </c>
      <c r="AN110" s="40">
        <v>0.37</v>
      </c>
      <c r="AO110" s="40">
        <v>0.52</v>
      </c>
      <c r="AP110" s="40">
        <v>0.57999999999999996</v>
      </c>
      <c r="AQ110" s="40">
        <v>0.4</v>
      </c>
      <c r="AR110" s="40">
        <v>0.5</v>
      </c>
      <c r="AS110" s="40">
        <v>0.56000000000000005</v>
      </c>
      <c r="AT110" s="40">
        <v>0.59</v>
      </c>
      <c r="AU110" s="40">
        <v>0.49</v>
      </c>
      <c r="AV110" s="40">
        <v>0.68</v>
      </c>
      <c r="AW110" s="40">
        <v>0.62</v>
      </c>
      <c r="AX110" s="40">
        <v>0.7</v>
      </c>
      <c r="AY110" s="40">
        <v>0.36</v>
      </c>
      <c r="AZ110" s="40">
        <v>0.34</v>
      </c>
      <c r="BA110" s="40">
        <v>0.52</v>
      </c>
      <c r="BB110" s="40">
        <v>0.72</v>
      </c>
      <c r="BC110" s="40">
        <v>0.75</v>
      </c>
      <c r="BD110" s="40">
        <v>0.4</v>
      </c>
      <c r="BE110" s="40">
        <v>0.56999999999999995</v>
      </c>
      <c r="BF110" s="40">
        <v>0.56999999999999995</v>
      </c>
      <c r="BG110" s="40">
        <v>0.53</v>
      </c>
      <c r="BH110" s="40">
        <v>0.48</v>
      </c>
      <c r="BI110" s="40">
        <v>0.47</v>
      </c>
      <c r="BJ110" s="40">
        <v>0.34</v>
      </c>
      <c r="BK110" s="40">
        <v>0.48</v>
      </c>
      <c r="BL110" s="40">
        <v>0.65</v>
      </c>
      <c r="BM110" s="12">
        <v>48</v>
      </c>
      <c r="BN110" s="12">
        <v>10</v>
      </c>
      <c r="BO110" s="66">
        <v>0.24</v>
      </c>
      <c r="BP110" s="66">
        <v>0.56999999999999995</v>
      </c>
      <c r="BQ110" s="66">
        <v>0.19</v>
      </c>
      <c r="BR110" s="66">
        <v>0</v>
      </c>
      <c r="BS110" s="66">
        <v>0.36</v>
      </c>
      <c r="BT110" s="66">
        <v>0.69</v>
      </c>
      <c r="BU110" s="66">
        <v>0.81</v>
      </c>
      <c r="BV110" s="66">
        <v>0.75</v>
      </c>
      <c r="BW110" s="66">
        <v>0.56000000000000005</v>
      </c>
      <c r="BX110" s="66">
        <v>0.43</v>
      </c>
      <c r="BY110" s="66">
        <v>0.46</v>
      </c>
      <c r="BZ110" s="66">
        <v>0.53</v>
      </c>
      <c r="CA110" s="66">
        <v>0.45</v>
      </c>
      <c r="CB110" s="66">
        <v>0.54</v>
      </c>
      <c r="CC110" s="66">
        <v>0.32</v>
      </c>
      <c r="CD110" s="66">
        <v>0.4</v>
      </c>
      <c r="CE110" s="66">
        <v>0.37</v>
      </c>
      <c r="CF110" s="66">
        <v>0.55000000000000004</v>
      </c>
      <c r="CG110" s="66">
        <v>0.6</v>
      </c>
      <c r="CH110" s="66">
        <v>0.43</v>
      </c>
      <c r="CI110" s="66">
        <v>0.55000000000000004</v>
      </c>
      <c r="CJ110" s="66">
        <v>0.5</v>
      </c>
      <c r="CK110" s="66">
        <v>0.78</v>
      </c>
      <c r="CL110" s="66">
        <v>0.33</v>
      </c>
      <c r="CM110" s="66">
        <v>0.56999999999999995</v>
      </c>
      <c r="CN110" s="66">
        <v>0.45</v>
      </c>
      <c r="CO110" s="66">
        <v>0.53</v>
      </c>
      <c r="CP110" s="66">
        <v>0.36</v>
      </c>
      <c r="CQ110" s="66">
        <v>0.54</v>
      </c>
      <c r="CR110" s="66">
        <v>0.6</v>
      </c>
      <c r="CS110" s="12">
        <v>49</v>
      </c>
      <c r="CT110" s="12">
        <v>8</v>
      </c>
      <c r="CU110" s="63">
        <v>0.09</v>
      </c>
      <c r="CV110" s="63">
        <v>0.74</v>
      </c>
      <c r="CW110" s="63">
        <v>0.17</v>
      </c>
      <c r="CX110" s="63">
        <v>0</v>
      </c>
      <c r="CY110" s="63">
        <v>0.5</v>
      </c>
      <c r="CZ110" s="63">
        <v>0.28000000000000003</v>
      </c>
      <c r="DA110" s="63">
        <v>0.64</v>
      </c>
      <c r="DB110" s="63">
        <v>0.49</v>
      </c>
      <c r="DC110" s="63">
        <v>0.56000000000000005</v>
      </c>
      <c r="DD110" s="63">
        <v>0.53</v>
      </c>
      <c r="DE110" s="63">
        <v>0.4</v>
      </c>
      <c r="DF110" s="63">
        <v>0.63</v>
      </c>
      <c r="DG110" s="63">
        <v>0.43</v>
      </c>
      <c r="DH110" s="63">
        <v>0.39</v>
      </c>
      <c r="DI110" s="63">
        <v>0.48</v>
      </c>
      <c r="DJ110" s="63">
        <v>0.51</v>
      </c>
      <c r="DK110" s="63">
        <v>0.28000000000000003</v>
      </c>
      <c r="DL110" s="63">
        <v>0.44</v>
      </c>
      <c r="DM110" s="63">
        <v>0.48</v>
      </c>
      <c r="DN110" s="63">
        <v>0.5</v>
      </c>
      <c r="DO110" s="63">
        <v>0.31</v>
      </c>
      <c r="DP110" s="63">
        <v>0.51</v>
      </c>
      <c r="DQ110" s="63">
        <v>0.51</v>
      </c>
      <c r="DR110" s="63">
        <v>0.23</v>
      </c>
      <c r="DS110" s="63">
        <v>0.38</v>
      </c>
      <c r="DT110" s="63">
        <v>0.63</v>
      </c>
      <c r="DU110" s="63">
        <v>0.6</v>
      </c>
      <c r="DV110" s="63">
        <v>0.68</v>
      </c>
      <c r="DW110" s="63">
        <v>0.36</v>
      </c>
      <c r="DX110" s="35">
        <v>50</v>
      </c>
      <c r="DY110" s="35">
        <v>8</v>
      </c>
      <c r="DZ110" s="40">
        <v>0.15</v>
      </c>
      <c r="EA110" s="40">
        <v>0.59</v>
      </c>
      <c r="EB110" s="40">
        <v>0.26</v>
      </c>
      <c r="EC110" s="40">
        <v>0</v>
      </c>
      <c r="ED110" s="40">
        <v>0.34</v>
      </c>
      <c r="EE110" s="40">
        <v>0.37</v>
      </c>
      <c r="EF110" s="40">
        <v>0.5</v>
      </c>
      <c r="EG110" s="40">
        <v>0.27</v>
      </c>
      <c r="EH110" s="40">
        <v>0.51</v>
      </c>
      <c r="EI110" s="40">
        <v>0.49</v>
      </c>
      <c r="EJ110" s="40">
        <v>0.56999999999999995</v>
      </c>
      <c r="EK110" s="40">
        <v>0.35</v>
      </c>
      <c r="EL110" s="40">
        <v>0.47</v>
      </c>
      <c r="EM110" s="40">
        <v>0.81</v>
      </c>
      <c r="EN110" s="40">
        <v>0.53</v>
      </c>
      <c r="EO110" s="40">
        <v>0.67</v>
      </c>
      <c r="EP110" s="40">
        <v>0.34</v>
      </c>
      <c r="EQ110" s="40">
        <v>0.23</v>
      </c>
      <c r="ER110" s="40">
        <v>0.67</v>
      </c>
      <c r="ES110" s="40">
        <v>0.38</v>
      </c>
      <c r="ET110" s="40">
        <v>0.28999999999999998</v>
      </c>
      <c r="EU110" s="40">
        <v>0.57999999999999996</v>
      </c>
      <c r="EV110" s="40">
        <v>0.47</v>
      </c>
      <c r="EW110" s="40">
        <v>0.22</v>
      </c>
      <c r="EX110" s="40">
        <v>0.82</v>
      </c>
      <c r="EY110" s="40">
        <v>0.56999999999999995</v>
      </c>
      <c r="EZ110" s="40">
        <v>0.15</v>
      </c>
      <c r="FA110" s="40">
        <v>0.68</v>
      </c>
      <c r="FB110" s="247">
        <v>53</v>
      </c>
      <c r="FC110" s="247" t="s">
        <v>874</v>
      </c>
      <c r="FD110" s="247">
        <v>7</v>
      </c>
      <c r="FE110" s="247" t="s">
        <v>874</v>
      </c>
      <c r="FF110" s="264">
        <v>0</v>
      </c>
      <c r="FG110" s="264">
        <v>0.72</v>
      </c>
      <c r="FH110" s="264">
        <v>0.28000000000000003</v>
      </c>
      <c r="FI110" s="264">
        <v>0</v>
      </c>
      <c r="FJ110" s="264">
        <v>0.43</v>
      </c>
      <c r="FK110" s="264">
        <v>0.59</v>
      </c>
      <c r="FL110" s="264">
        <v>0.46</v>
      </c>
      <c r="FM110" s="264">
        <v>0.44</v>
      </c>
      <c r="FN110" s="264">
        <v>0.14000000000000001</v>
      </c>
      <c r="FO110" s="264">
        <v>0.17</v>
      </c>
      <c r="FP110" s="264">
        <v>0.33</v>
      </c>
      <c r="FQ110" s="264">
        <v>0.28999999999999998</v>
      </c>
      <c r="FR110" s="264">
        <v>0.56999999999999995</v>
      </c>
      <c r="FS110" s="264">
        <v>0.31</v>
      </c>
      <c r="FT110" s="264">
        <v>0.4</v>
      </c>
      <c r="FU110" s="264">
        <v>0.28000000000000003</v>
      </c>
      <c r="FV110" s="264">
        <v>0.62</v>
      </c>
      <c r="FW110" s="264">
        <v>0.59</v>
      </c>
      <c r="FX110" s="264">
        <v>0.43</v>
      </c>
      <c r="FY110" s="264">
        <v>0.18</v>
      </c>
      <c r="FZ110" s="264">
        <v>0.39</v>
      </c>
      <c r="GA110" s="264">
        <v>0.52</v>
      </c>
      <c r="GB110" s="264">
        <v>0.52</v>
      </c>
      <c r="GC110" s="264">
        <v>0.41</v>
      </c>
      <c r="GD110" s="264">
        <v>0.5</v>
      </c>
      <c r="GE110" s="264">
        <v>0.45</v>
      </c>
      <c r="GF110" s="264">
        <v>0.35</v>
      </c>
      <c r="GG110" s="264">
        <v>0.41</v>
      </c>
      <c r="GH110" s="264">
        <v>0.52</v>
      </c>
      <c r="GI110" s="264">
        <v>0.3</v>
      </c>
      <c r="GJ110" s="655"/>
      <c r="GK110" s="655"/>
      <c r="GL110" s="655"/>
      <c r="GM110" s="655"/>
      <c r="GN110" s="655"/>
      <c r="GO110" s="655"/>
      <c r="GP110" s="655"/>
      <c r="GQ110" s="655"/>
      <c r="GR110" s="655"/>
      <c r="GS110" s="655"/>
      <c r="GT110" s="655"/>
      <c r="GU110" s="655"/>
      <c r="GV110" s="655"/>
      <c r="GW110" s="655"/>
      <c r="GX110" s="655"/>
      <c r="GY110" s="655"/>
      <c r="GZ110" s="655"/>
      <c r="HA110" s="655"/>
      <c r="HB110" s="655"/>
      <c r="HC110" s="655"/>
      <c r="HD110" s="655"/>
      <c r="HE110" s="655"/>
      <c r="HF110" s="655"/>
      <c r="HG110" s="655"/>
      <c r="HH110" s="655"/>
      <c r="HI110" s="655"/>
      <c r="HJ110" s="655"/>
      <c r="HK110" s="655"/>
      <c r="HL110" s="655"/>
      <c r="HM110" s="655"/>
      <c r="HN110" s="655"/>
      <c r="HO110" s="655"/>
      <c r="HP110" s="655"/>
      <c r="HQ110" s="655"/>
      <c r="HR110" s="657"/>
      <c r="HS110" s="657"/>
      <c r="HT110" s="657"/>
      <c r="HU110" s="657"/>
      <c r="HV110" s="657"/>
      <c r="HW110" s="657"/>
      <c r="HX110" s="657"/>
      <c r="HY110" s="657"/>
      <c r="HZ110" s="657"/>
      <c r="IA110" s="657"/>
      <c r="IB110" s="657"/>
      <c r="IC110" s="657"/>
      <c r="ID110" s="657"/>
      <c r="IE110" s="657"/>
      <c r="IF110" s="657"/>
      <c r="IG110" s="657"/>
      <c r="IH110" s="657"/>
      <c r="II110" s="657"/>
      <c r="IJ110" s="657"/>
      <c r="IK110" s="657"/>
      <c r="IL110" s="657"/>
      <c r="IM110" s="657"/>
      <c r="IN110" s="657"/>
      <c r="IO110" s="657"/>
      <c r="IP110" s="657"/>
      <c r="IQ110" s="657"/>
      <c r="IR110" s="657"/>
      <c r="IS110" s="657"/>
      <c r="IT110" s="657"/>
      <c r="IU110" s="657"/>
      <c r="IV110" s="657"/>
      <c r="IW110" s="657"/>
      <c r="IX110" s="657"/>
      <c r="IY110" s="657"/>
      <c r="IZ110" s="656"/>
      <c r="JA110" s="656"/>
      <c r="JB110" s="656"/>
      <c r="JC110" s="656"/>
      <c r="JD110" s="656"/>
      <c r="JE110" s="656"/>
      <c r="JF110" s="656"/>
      <c r="JG110" s="656"/>
      <c r="JH110" s="656"/>
      <c r="JI110" s="656"/>
      <c r="JJ110" s="656"/>
      <c r="JK110" s="656"/>
      <c r="JL110" s="656"/>
      <c r="JM110" s="656"/>
      <c r="JN110" s="656"/>
      <c r="JO110" s="656"/>
      <c r="JP110" s="656"/>
      <c r="JQ110" s="656"/>
      <c r="JR110" s="656"/>
      <c r="JS110" s="656"/>
      <c r="JT110" s="656"/>
      <c r="JU110" s="656"/>
      <c r="JV110" s="656"/>
      <c r="JW110" s="656"/>
      <c r="JX110" s="656"/>
      <c r="JY110" s="656"/>
      <c r="JZ110" s="656"/>
      <c r="KA110" s="656"/>
      <c r="KB110" s="656"/>
      <c r="KC110" s="656"/>
      <c r="KD110" s="656"/>
      <c r="KE110" s="656"/>
      <c r="KF110" s="656"/>
      <c r="KG110" s="656"/>
    </row>
    <row r="111" spans="1:293" ht="24.95" customHeight="1" x14ac:dyDescent="0.2">
      <c r="A111" s="126" t="s">
        <v>61</v>
      </c>
      <c r="B111" s="1" t="s">
        <v>219</v>
      </c>
      <c r="C111" s="2">
        <v>6</v>
      </c>
      <c r="D111" s="12">
        <v>54</v>
      </c>
      <c r="E111" s="12">
        <v>7</v>
      </c>
      <c r="F111" s="66">
        <v>0.03</v>
      </c>
      <c r="G111" s="66">
        <v>0.57999999999999996</v>
      </c>
      <c r="H111" s="66">
        <v>0.39</v>
      </c>
      <c r="I111" s="66">
        <v>0</v>
      </c>
      <c r="J111" s="66">
        <v>0.34</v>
      </c>
      <c r="K111" s="66">
        <v>0.28999999999999998</v>
      </c>
      <c r="L111" s="66">
        <v>0.66</v>
      </c>
      <c r="M111" s="66">
        <v>0.21</v>
      </c>
      <c r="N111" s="66">
        <v>0.32</v>
      </c>
      <c r="O111" s="66">
        <v>0.56000000000000005</v>
      </c>
      <c r="P111" s="66">
        <v>0.28999999999999998</v>
      </c>
      <c r="Q111" s="66">
        <v>0.41</v>
      </c>
      <c r="R111" s="66">
        <v>0.55000000000000004</v>
      </c>
      <c r="S111" s="66">
        <v>0.52</v>
      </c>
      <c r="T111" s="66">
        <v>0.41</v>
      </c>
      <c r="U111" s="66">
        <v>0.61</v>
      </c>
      <c r="V111" s="66">
        <v>7.0000000000000007E-2</v>
      </c>
      <c r="W111" s="66">
        <v>0.08</v>
      </c>
      <c r="X111" s="66">
        <v>0.53</v>
      </c>
      <c r="Y111" s="66">
        <v>0.49</v>
      </c>
      <c r="Z111" s="66">
        <v>1</v>
      </c>
      <c r="AA111" s="66">
        <v>7.0000000000000007E-2</v>
      </c>
      <c r="AB111" s="66">
        <v>0.42</v>
      </c>
      <c r="AC111" s="66">
        <v>0.16</v>
      </c>
      <c r="AD111" s="66">
        <v>0.4</v>
      </c>
      <c r="AE111" s="66">
        <v>0.38</v>
      </c>
      <c r="AF111" s="66">
        <v>0.6</v>
      </c>
      <c r="AG111" s="66">
        <v>0.41</v>
      </c>
      <c r="AH111" s="12">
        <v>52</v>
      </c>
      <c r="AI111" s="12">
        <v>8</v>
      </c>
      <c r="AJ111" s="40">
        <v>0.09</v>
      </c>
      <c r="AK111" s="40">
        <v>0.53</v>
      </c>
      <c r="AL111" s="40">
        <v>0.38</v>
      </c>
      <c r="AM111" s="40">
        <v>0</v>
      </c>
      <c r="AN111" s="40">
        <v>0.3</v>
      </c>
      <c r="AO111" s="40">
        <v>0.52</v>
      </c>
      <c r="AP111" s="40">
        <v>0.55000000000000004</v>
      </c>
      <c r="AQ111" s="40">
        <v>0.43</v>
      </c>
      <c r="AR111" s="40">
        <v>0.53</v>
      </c>
      <c r="AS111" s="40">
        <v>0.5</v>
      </c>
      <c r="AT111" s="40">
        <v>0.48</v>
      </c>
      <c r="AU111" s="40">
        <v>0.56999999999999995</v>
      </c>
      <c r="AV111" s="40">
        <v>0.64</v>
      </c>
      <c r="AW111" s="40">
        <v>0.36</v>
      </c>
      <c r="AX111" s="40">
        <v>0.57999999999999996</v>
      </c>
      <c r="AY111" s="40">
        <v>0.28000000000000003</v>
      </c>
      <c r="AZ111" s="40">
        <v>0.24</v>
      </c>
      <c r="BA111" s="40">
        <v>0.46</v>
      </c>
      <c r="BB111" s="40">
        <v>0.66</v>
      </c>
      <c r="BC111" s="40">
        <v>0.65</v>
      </c>
      <c r="BD111" s="40">
        <v>0.38</v>
      </c>
      <c r="BE111" s="40">
        <v>0.54</v>
      </c>
      <c r="BF111" s="40">
        <v>0.53</v>
      </c>
      <c r="BG111" s="40">
        <v>0.53</v>
      </c>
      <c r="BH111" s="40">
        <v>0.4</v>
      </c>
      <c r="BI111" s="40">
        <v>0.43</v>
      </c>
      <c r="BJ111" s="40">
        <v>0.38</v>
      </c>
      <c r="BK111" s="40">
        <v>0.43</v>
      </c>
      <c r="BL111" s="40">
        <v>0.46</v>
      </c>
      <c r="BM111" s="12">
        <v>49</v>
      </c>
      <c r="BN111" s="12">
        <v>8</v>
      </c>
      <c r="BO111" s="66">
        <v>0.16</v>
      </c>
      <c r="BP111" s="66">
        <v>0.61</v>
      </c>
      <c r="BQ111" s="66">
        <v>0.23</v>
      </c>
      <c r="BR111" s="66">
        <v>0</v>
      </c>
      <c r="BS111" s="66">
        <v>0.36</v>
      </c>
      <c r="BT111" s="66">
        <v>0.64</v>
      </c>
      <c r="BU111" s="66">
        <v>0.75</v>
      </c>
      <c r="BV111" s="66">
        <v>0.43</v>
      </c>
      <c r="BW111" s="66">
        <v>0.64</v>
      </c>
      <c r="BX111" s="66">
        <v>0.34</v>
      </c>
      <c r="BY111" s="66">
        <v>0.46</v>
      </c>
      <c r="BZ111" s="66">
        <v>0.55000000000000004</v>
      </c>
      <c r="CA111" s="66">
        <v>0.47</v>
      </c>
      <c r="CB111" s="66">
        <v>0.33</v>
      </c>
      <c r="CC111" s="66">
        <v>0.18</v>
      </c>
      <c r="CD111" s="66">
        <v>0.45</v>
      </c>
      <c r="CE111" s="66">
        <v>0.4</v>
      </c>
      <c r="CF111" s="66">
        <v>0.67</v>
      </c>
      <c r="CG111" s="66">
        <v>0.61</v>
      </c>
      <c r="CH111" s="66">
        <v>0.48</v>
      </c>
      <c r="CI111" s="66">
        <v>0.6</v>
      </c>
      <c r="CJ111" s="66">
        <v>0.4</v>
      </c>
      <c r="CK111" s="66">
        <v>0.72</v>
      </c>
      <c r="CL111" s="66">
        <v>0.32</v>
      </c>
      <c r="CM111" s="66">
        <v>0.52</v>
      </c>
      <c r="CN111" s="66">
        <v>0.54</v>
      </c>
      <c r="CO111" s="66">
        <v>0.49</v>
      </c>
      <c r="CP111" s="66">
        <v>0.38</v>
      </c>
      <c r="CQ111" s="66">
        <v>0.59</v>
      </c>
      <c r="CR111" s="66">
        <v>0.62</v>
      </c>
      <c r="CS111" s="12">
        <v>48</v>
      </c>
      <c r="CT111" s="12">
        <v>8</v>
      </c>
      <c r="CU111" s="63">
        <v>0.14000000000000001</v>
      </c>
      <c r="CV111" s="63">
        <v>0.7</v>
      </c>
      <c r="CW111" s="63">
        <v>0.17</v>
      </c>
      <c r="CX111" s="63">
        <v>0</v>
      </c>
      <c r="CY111" s="63">
        <v>0.52</v>
      </c>
      <c r="CZ111" s="63">
        <v>0.3</v>
      </c>
      <c r="DA111" s="63">
        <v>0.57999999999999996</v>
      </c>
      <c r="DB111" s="63">
        <v>0.31</v>
      </c>
      <c r="DC111" s="63">
        <v>0.48</v>
      </c>
      <c r="DD111" s="63">
        <v>0.63</v>
      </c>
      <c r="DE111" s="63">
        <v>0.52</v>
      </c>
      <c r="DF111" s="63">
        <v>0.54</v>
      </c>
      <c r="DG111" s="63">
        <v>0.46</v>
      </c>
      <c r="DH111" s="63">
        <v>0.44</v>
      </c>
      <c r="DI111" s="63">
        <v>0.56999999999999995</v>
      </c>
      <c r="DJ111" s="63">
        <v>0.56999999999999995</v>
      </c>
      <c r="DK111" s="63">
        <v>0.37</v>
      </c>
      <c r="DL111" s="63">
        <v>0.42</v>
      </c>
      <c r="DM111" s="63">
        <v>0.57999999999999996</v>
      </c>
      <c r="DN111" s="63">
        <v>0.49</v>
      </c>
      <c r="DO111" s="63">
        <v>0.54</v>
      </c>
      <c r="DP111" s="63">
        <v>0.5</v>
      </c>
      <c r="DQ111" s="63">
        <v>0.64</v>
      </c>
      <c r="DR111" s="63">
        <v>0.21</v>
      </c>
      <c r="DS111" s="63">
        <v>0.4</v>
      </c>
      <c r="DT111" s="63">
        <v>0.62</v>
      </c>
      <c r="DU111" s="63">
        <v>0.53</v>
      </c>
      <c r="DV111" s="63">
        <v>0.6</v>
      </c>
      <c r="DW111" s="63">
        <v>0.3</v>
      </c>
      <c r="DX111" s="35">
        <v>48</v>
      </c>
      <c r="DY111" s="35">
        <v>8</v>
      </c>
      <c r="DZ111" s="40">
        <v>0.21</v>
      </c>
      <c r="EA111" s="40">
        <v>0.65</v>
      </c>
      <c r="EB111" s="40">
        <v>0.13</v>
      </c>
      <c r="EC111" s="40">
        <v>0.01</v>
      </c>
      <c r="ED111" s="40">
        <v>0.5</v>
      </c>
      <c r="EE111" s="40">
        <v>0.49</v>
      </c>
      <c r="EF111" s="40">
        <v>0.57999999999999996</v>
      </c>
      <c r="EG111" s="40">
        <v>0.46</v>
      </c>
      <c r="EH111" s="40">
        <v>0.49</v>
      </c>
      <c r="EI111" s="40">
        <v>0.54</v>
      </c>
      <c r="EJ111" s="40">
        <v>0.59</v>
      </c>
      <c r="EK111" s="40">
        <v>0.31</v>
      </c>
      <c r="EL111" s="40">
        <v>0.49</v>
      </c>
      <c r="EM111" s="40">
        <v>0.65</v>
      </c>
      <c r="EN111" s="40">
        <v>0.54</v>
      </c>
      <c r="EO111" s="40">
        <v>0.56999999999999995</v>
      </c>
      <c r="EP111" s="40">
        <v>0.42</v>
      </c>
      <c r="EQ111" s="40">
        <v>0.4</v>
      </c>
      <c r="ER111" s="40">
        <v>0.64</v>
      </c>
      <c r="ES111" s="40">
        <v>0.52</v>
      </c>
      <c r="ET111" s="40">
        <v>0.31</v>
      </c>
      <c r="EU111" s="40">
        <v>0.56999999999999995</v>
      </c>
      <c r="EV111" s="40">
        <v>0.46</v>
      </c>
      <c r="EW111" s="40">
        <v>0.32</v>
      </c>
      <c r="EX111" s="40">
        <v>0.67</v>
      </c>
      <c r="EY111" s="40">
        <v>0.61</v>
      </c>
      <c r="EZ111" s="40">
        <v>0.2</v>
      </c>
      <c r="FA111" s="40">
        <v>0.68</v>
      </c>
      <c r="FB111" s="247">
        <v>48</v>
      </c>
      <c r="FC111" s="247" t="s">
        <v>874</v>
      </c>
      <c r="FD111" s="247">
        <v>8</v>
      </c>
      <c r="FE111" s="247" t="s">
        <v>874</v>
      </c>
      <c r="FF111" s="264">
        <v>0.17</v>
      </c>
      <c r="FG111" s="264">
        <v>0.69</v>
      </c>
      <c r="FH111" s="264">
        <v>0.14000000000000001</v>
      </c>
      <c r="FI111" s="264">
        <v>0</v>
      </c>
      <c r="FJ111" s="264">
        <v>0.56999999999999995</v>
      </c>
      <c r="FK111" s="264">
        <v>0.68</v>
      </c>
      <c r="FL111" s="264">
        <v>0.5</v>
      </c>
      <c r="FM111" s="264">
        <v>0.48</v>
      </c>
      <c r="FN111" s="264">
        <v>0.28000000000000003</v>
      </c>
      <c r="FO111" s="264">
        <v>0.36</v>
      </c>
      <c r="FP111" s="264">
        <v>0.46</v>
      </c>
      <c r="FQ111" s="264">
        <v>0.43</v>
      </c>
      <c r="FR111" s="264">
        <v>0.57999999999999996</v>
      </c>
      <c r="FS111" s="264">
        <v>0.53</v>
      </c>
      <c r="FT111" s="264">
        <v>0.52</v>
      </c>
      <c r="FU111" s="264">
        <v>0.36</v>
      </c>
      <c r="FV111" s="264">
        <v>0.67</v>
      </c>
      <c r="FW111" s="264">
        <v>0.56999999999999995</v>
      </c>
      <c r="FX111" s="264">
        <v>0.56000000000000005</v>
      </c>
      <c r="FY111" s="264">
        <v>0.41</v>
      </c>
      <c r="FZ111" s="264">
        <v>0.44</v>
      </c>
      <c r="GA111" s="264">
        <v>0.52</v>
      </c>
      <c r="GB111" s="264">
        <v>0.62</v>
      </c>
      <c r="GC111" s="264">
        <v>0.5</v>
      </c>
      <c r="GD111" s="264">
        <v>0.65</v>
      </c>
      <c r="GE111" s="264">
        <v>0.62</v>
      </c>
      <c r="GF111" s="264">
        <v>0.46</v>
      </c>
      <c r="GG111" s="264">
        <v>0.51</v>
      </c>
      <c r="GH111" s="264">
        <v>0.61</v>
      </c>
      <c r="GI111" s="264">
        <v>0.34</v>
      </c>
      <c r="GJ111" s="74">
        <v>49</v>
      </c>
      <c r="GK111" s="74" t="s">
        <v>874</v>
      </c>
      <c r="GL111" s="74">
        <v>9</v>
      </c>
      <c r="GM111" s="74" t="s">
        <v>874</v>
      </c>
      <c r="GN111" s="96">
        <v>0.14000000000000001</v>
      </c>
      <c r="GO111" s="96">
        <v>0.63</v>
      </c>
      <c r="GP111" s="96">
        <v>0.23</v>
      </c>
      <c r="GQ111" s="96">
        <v>0.01</v>
      </c>
      <c r="GR111" s="96">
        <v>0.5</v>
      </c>
      <c r="GS111" s="96">
        <v>0.54</v>
      </c>
      <c r="GT111" s="96">
        <v>0.65</v>
      </c>
      <c r="GU111" s="96">
        <v>0.31</v>
      </c>
      <c r="GV111" s="96">
        <v>0.59</v>
      </c>
      <c r="GW111" s="96">
        <v>0.52</v>
      </c>
      <c r="GX111" s="96">
        <v>0.49</v>
      </c>
      <c r="GY111" s="74" t="s">
        <v>283</v>
      </c>
      <c r="GZ111" s="96">
        <v>0.45</v>
      </c>
      <c r="HA111" s="96">
        <v>0.51</v>
      </c>
      <c r="HB111" s="96">
        <v>0.51</v>
      </c>
      <c r="HC111" s="96">
        <v>0.59</v>
      </c>
      <c r="HD111" s="96">
        <v>0.61</v>
      </c>
      <c r="HE111" s="96">
        <v>0.52</v>
      </c>
      <c r="HF111" s="96">
        <v>0.48</v>
      </c>
      <c r="HG111" s="96">
        <v>0.7</v>
      </c>
      <c r="HH111" s="96">
        <v>0.44</v>
      </c>
      <c r="HI111" s="96">
        <v>0.66</v>
      </c>
      <c r="HJ111" s="96">
        <v>0.64</v>
      </c>
      <c r="HK111" s="96">
        <v>0.56999999999999995</v>
      </c>
      <c r="HL111" s="96">
        <v>0.47</v>
      </c>
      <c r="HM111" s="96">
        <v>0.47</v>
      </c>
      <c r="HN111" s="96">
        <v>0.5</v>
      </c>
      <c r="HO111" s="96">
        <v>0.38</v>
      </c>
      <c r="HP111" s="74" t="s">
        <v>283</v>
      </c>
      <c r="HQ111" s="96">
        <v>0.46</v>
      </c>
      <c r="HR111" s="658">
        <v>49</v>
      </c>
      <c r="HS111" s="658" t="s">
        <v>874</v>
      </c>
      <c r="HT111" s="658">
        <v>8</v>
      </c>
      <c r="HU111" s="658" t="s">
        <v>874</v>
      </c>
      <c r="HV111" s="659">
        <v>0.17</v>
      </c>
      <c r="HW111" s="659">
        <v>0.61</v>
      </c>
      <c r="HX111" s="659">
        <v>0.21</v>
      </c>
      <c r="HY111" s="659">
        <v>0.01</v>
      </c>
      <c r="HZ111" s="659">
        <v>0.46</v>
      </c>
      <c r="IA111" s="659">
        <v>0.6</v>
      </c>
      <c r="IB111" s="659">
        <v>0.37</v>
      </c>
      <c r="IC111" s="659">
        <v>0.54</v>
      </c>
      <c r="ID111" s="659">
        <v>0.69</v>
      </c>
      <c r="IE111" s="659">
        <v>0.38</v>
      </c>
      <c r="IF111" s="659">
        <v>0.42</v>
      </c>
      <c r="IG111" s="659">
        <v>0.54</v>
      </c>
      <c r="IH111" s="659">
        <v>0.55000000000000004</v>
      </c>
      <c r="II111" s="659">
        <v>0.31</v>
      </c>
      <c r="IJ111" s="659">
        <v>0.31</v>
      </c>
      <c r="IK111" s="659">
        <v>0.7</v>
      </c>
      <c r="IL111" s="659">
        <v>0.33</v>
      </c>
      <c r="IM111" s="659">
        <v>0.61</v>
      </c>
      <c r="IN111" s="659">
        <v>0.42</v>
      </c>
      <c r="IO111" s="659">
        <v>0.57999999999999996</v>
      </c>
      <c r="IP111" s="659">
        <v>0.45</v>
      </c>
      <c r="IQ111" s="659">
        <v>0.68</v>
      </c>
      <c r="IR111" s="659">
        <v>0.56999999999999995</v>
      </c>
      <c r="IS111" s="659">
        <v>0.56000000000000005</v>
      </c>
      <c r="IT111" s="659">
        <v>0.47</v>
      </c>
      <c r="IU111" s="658" t="s">
        <v>283</v>
      </c>
      <c r="IV111" s="659">
        <v>0.67</v>
      </c>
      <c r="IW111" s="659">
        <v>0.48</v>
      </c>
      <c r="IX111" s="659">
        <v>0.56000000000000005</v>
      </c>
      <c r="IY111" s="659">
        <v>0.62</v>
      </c>
      <c r="IZ111" s="74">
        <v>50</v>
      </c>
      <c r="JA111" s="74" t="s">
        <v>874</v>
      </c>
      <c r="JB111" s="74">
        <v>8</v>
      </c>
      <c r="JC111" s="74" t="s">
        <v>874</v>
      </c>
      <c r="JD111" s="96">
        <v>0.13</v>
      </c>
      <c r="JE111" s="96">
        <v>0.61</v>
      </c>
      <c r="JF111" s="96">
        <v>0.26</v>
      </c>
      <c r="JG111" s="96">
        <v>0</v>
      </c>
      <c r="JH111" s="96">
        <v>0.55000000000000004</v>
      </c>
      <c r="JI111" s="96">
        <v>0.46</v>
      </c>
      <c r="JJ111" s="96">
        <v>0.46</v>
      </c>
      <c r="JK111" s="96">
        <v>0.52</v>
      </c>
      <c r="JL111" s="96">
        <v>0.49</v>
      </c>
      <c r="JM111" s="96">
        <v>0.5</v>
      </c>
      <c r="JN111" s="96">
        <v>0.43</v>
      </c>
      <c r="JO111" s="96">
        <v>0.53</v>
      </c>
      <c r="JP111" s="96">
        <v>0.57999999999999996</v>
      </c>
      <c r="JQ111" s="96">
        <v>0.32</v>
      </c>
      <c r="JR111" s="96">
        <v>0.61</v>
      </c>
      <c r="JS111" s="96">
        <v>0.59</v>
      </c>
      <c r="JT111" s="96">
        <v>0.51</v>
      </c>
      <c r="JU111" s="96">
        <v>0.55000000000000004</v>
      </c>
      <c r="JV111" s="96">
        <v>0.52</v>
      </c>
      <c r="JW111" s="96">
        <v>0.48</v>
      </c>
      <c r="JX111" s="96">
        <v>0.46</v>
      </c>
      <c r="JY111" s="96">
        <v>0.51</v>
      </c>
      <c r="JZ111" s="96">
        <v>0.45</v>
      </c>
      <c r="KA111" s="96">
        <v>0.7</v>
      </c>
      <c r="KB111" s="96">
        <v>0.49</v>
      </c>
      <c r="KC111" s="96">
        <v>0.68</v>
      </c>
      <c r="KD111" s="96">
        <v>0.35</v>
      </c>
      <c r="KE111" s="96">
        <v>0.53</v>
      </c>
      <c r="KF111" s="96">
        <v>0.43</v>
      </c>
      <c r="KG111" s="96">
        <v>0.52</v>
      </c>
    </row>
    <row r="112" spans="1:293" ht="24.95" customHeight="1" x14ac:dyDescent="0.2">
      <c r="A112" s="126" t="s">
        <v>21</v>
      </c>
      <c r="B112" s="1" t="s">
        <v>219</v>
      </c>
      <c r="C112" s="2">
        <v>5</v>
      </c>
      <c r="D112" s="12">
        <v>53</v>
      </c>
      <c r="E112" s="12">
        <v>7</v>
      </c>
      <c r="F112" s="66">
        <v>0.04</v>
      </c>
      <c r="G112" s="66">
        <v>0.6</v>
      </c>
      <c r="H112" s="66">
        <v>0.35</v>
      </c>
      <c r="I112" s="66">
        <v>0</v>
      </c>
      <c r="J112" s="66">
        <v>0.32</v>
      </c>
      <c r="K112" s="66">
        <v>0.47</v>
      </c>
      <c r="L112" s="66">
        <v>0.7</v>
      </c>
      <c r="M112" s="66">
        <v>0.22</v>
      </c>
      <c r="N112" s="66">
        <v>0.24</v>
      </c>
      <c r="O112" s="66">
        <v>0.53</v>
      </c>
      <c r="P112" s="66">
        <v>0.3</v>
      </c>
      <c r="Q112" s="66">
        <v>0.4</v>
      </c>
      <c r="R112" s="66">
        <v>0.53</v>
      </c>
      <c r="S112" s="66">
        <v>0.66</v>
      </c>
      <c r="T112" s="66">
        <v>0.51</v>
      </c>
      <c r="U112" s="66">
        <v>0.56999999999999995</v>
      </c>
      <c r="V112" s="66">
        <v>0.04</v>
      </c>
      <c r="W112" s="66">
        <v>0.12</v>
      </c>
      <c r="X112" s="66">
        <v>0.51</v>
      </c>
      <c r="Y112" s="66">
        <v>0.46</v>
      </c>
      <c r="Z112" s="66">
        <v>1</v>
      </c>
      <c r="AA112" s="66">
        <v>0.09</v>
      </c>
      <c r="AB112" s="66">
        <v>0.45</v>
      </c>
      <c r="AC112" s="66">
        <v>0.21</v>
      </c>
      <c r="AD112" s="66">
        <v>0.41</v>
      </c>
      <c r="AE112" s="66">
        <v>0.39</v>
      </c>
      <c r="AF112" s="66">
        <v>0.56999999999999995</v>
      </c>
      <c r="AG112" s="66">
        <v>0.56000000000000005</v>
      </c>
      <c r="AH112" s="12">
        <v>50</v>
      </c>
      <c r="AI112" s="12">
        <v>8</v>
      </c>
      <c r="AJ112" s="40">
        <v>0.13</v>
      </c>
      <c r="AK112" s="40">
        <v>0.6</v>
      </c>
      <c r="AL112" s="40">
        <v>0.27</v>
      </c>
      <c r="AM112" s="40">
        <v>0</v>
      </c>
      <c r="AN112" s="40">
        <v>0.31</v>
      </c>
      <c r="AO112" s="40">
        <v>0.53</v>
      </c>
      <c r="AP112" s="40">
        <v>0.59</v>
      </c>
      <c r="AQ112" s="40">
        <v>0.42</v>
      </c>
      <c r="AR112" s="40">
        <v>0.6</v>
      </c>
      <c r="AS112" s="40">
        <v>0.54</v>
      </c>
      <c r="AT112" s="40">
        <v>0.57999999999999996</v>
      </c>
      <c r="AU112" s="40">
        <v>0.6</v>
      </c>
      <c r="AV112" s="40">
        <v>0.61</v>
      </c>
      <c r="AW112" s="40">
        <v>0.6</v>
      </c>
      <c r="AX112" s="40">
        <v>0.64</v>
      </c>
      <c r="AY112" s="40">
        <v>0.35</v>
      </c>
      <c r="AZ112" s="40">
        <v>0.38</v>
      </c>
      <c r="BA112" s="40">
        <v>0.52</v>
      </c>
      <c r="BB112" s="40">
        <v>0.71</v>
      </c>
      <c r="BC112" s="40">
        <v>0.71</v>
      </c>
      <c r="BD112" s="40">
        <v>0.44</v>
      </c>
      <c r="BE112" s="40">
        <v>0.64</v>
      </c>
      <c r="BF112" s="40">
        <v>0.55000000000000004</v>
      </c>
      <c r="BG112" s="40">
        <v>0.53</v>
      </c>
      <c r="BH112" s="40">
        <v>0.45</v>
      </c>
      <c r="BI112" s="40">
        <v>0.44</v>
      </c>
      <c r="BJ112" s="40">
        <v>0.43</v>
      </c>
      <c r="BK112" s="40">
        <v>0.5</v>
      </c>
      <c r="BL112" s="40">
        <v>0.44</v>
      </c>
      <c r="BM112" s="12">
        <v>49</v>
      </c>
      <c r="BN112" s="12">
        <v>8</v>
      </c>
      <c r="BO112" s="66">
        <v>0.15</v>
      </c>
      <c r="BP112" s="66">
        <v>0.68</v>
      </c>
      <c r="BQ112" s="66">
        <v>0.17</v>
      </c>
      <c r="BR112" s="66">
        <v>0.01</v>
      </c>
      <c r="BS112" s="66">
        <v>0.38</v>
      </c>
      <c r="BT112" s="66">
        <v>0.56000000000000005</v>
      </c>
      <c r="BU112" s="66">
        <v>0.66</v>
      </c>
      <c r="BV112" s="66">
        <v>0.4</v>
      </c>
      <c r="BW112" s="66">
        <v>0.63</v>
      </c>
      <c r="BX112" s="66">
        <v>0.36</v>
      </c>
      <c r="BY112" s="66">
        <v>0.45</v>
      </c>
      <c r="BZ112" s="66">
        <v>0.53</v>
      </c>
      <c r="CA112" s="66">
        <v>0.49</v>
      </c>
      <c r="CB112" s="66">
        <v>0.38</v>
      </c>
      <c r="CC112" s="66">
        <v>0.22</v>
      </c>
      <c r="CD112" s="66">
        <v>0.49</v>
      </c>
      <c r="CE112" s="66">
        <v>0.4</v>
      </c>
      <c r="CF112" s="66">
        <v>0.67</v>
      </c>
      <c r="CG112" s="66">
        <v>0.66</v>
      </c>
      <c r="CH112" s="66">
        <v>0.47</v>
      </c>
      <c r="CI112" s="66">
        <v>0.64</v>
      </c>
      <c r="CJ112" s="66">
        <v>0.41</v>
      </c>
      <c r="CK112" s="66">
        <v>0.73</v>
      </c>
      <c r="CL112" s="66">
        <v>0.34</v>
      </c>
      <c r="CM112" s="66">
        <v>0.47</v>
      </c>
      <c r="CN112" s="66">
        <v>0.52</v>
      </c>
      <c r="CO112" s="66">
        <v>0.55000000000000004</v>
      </c>
      <c r="CP112" s="66">
        <v>0.42</v>
      </c>
      <c r="CQ112" s="66">
        <v>0.61</v>
      </c>
      <c r="CR112" s="66">
        <v>0.62</v>
      </c>
      <c r="CS112" s="12">
        <v>49</v>
      </c>
      <c r="CT112" s="12">
        <v>8</v>
      </c>
      <c r="CU112" s="63">
        <v>0.16</v>
      </c>
      <c r="CV112" s="63">
        <v>0.66</v>
      </c>
      <c r="CW112" s="63">
        <v>0.18</v>
      </c>
      <c r="CX112" s="63">
        <v>0.01</v>
      </c>
      <c r="CY112" s="63">
        <v>0.51</v>
      </c>
      <c r="CZ112" s="63">
        <v>0.3</v>
      </c>
      <c r="DA112" s="63">
        <v>0.59</v>
      </c>
      <c r="DB112" s="63">
        <v>0.37</v>
      </c>
      <c r="DC112" s="63">
        <v>0.44</v>
      </c>
      <c r="DD112" s="63">
        <v>0.66</v>
      </c>
      <c r="DE112" s="63">
        <v>0.5</v>
      </c>
      <c r="DF112" s="63">
        <v>0.56999999999999995</v>
      </c>
      <c r="DG112" s="63">
        <v>0.49</v>
      </c>
      <c r="DH112" s="63">
        <v>0.37</v>
      </c>
      <c r="DI112" s="63">
        <v>0.52</v>
      </c>
      <c r="DJ112" s="63">
        <v>0.55000000000000004</v>
      </c>
      <c r="DK112" s="63">
        <v>0.38</v>
      </c>
      <c r="DL112" s="63">
        <v>0.33</v>
      </c>
      <c r="DM112" s="63">
        <v>0.5</v>
      </c>
      <c r="DN112" s="63">
        <v>0.49</v>
      </c>
      <c r="DO112" s="63">
        <v>0.48</v>
      </c>
      <c r="DP112" s="63">
        <v>0.47</v>
      </c>
      <c r="DQ112" s="63">
        <v>0.62</v>
      </c>
      <c r="DR112" s="63">
        <v>0.21</v>
      </c>
      <c r="DS112" s="63">
        <v>0.39</v>
      </c>
      <c r="DT112" s="63">
        <v>0.62</v>
      </c>
      <c r="DU112" s="63">
        <v>0.49</v>
      </c>
      <c r="DV112" s="63">
        <v>0.6</v>
      </c>
      <c r="DW112" s="63">
        <v>0.38</v>
      </c>
      <c r="DX112" s="35">
        <v>49</v>
      </c>
      <c r="DY112" s="35">
        <v>8</v>
      </c>
      <c r="DZ112" s="40">
        <v>0.19</v>
      </c>
      <c r="EA112" s="40">
        <v>0.56999999999999995</v>
      </c>
      <c r="EB112" s="40">
        <v>0.23</v>
      </c>
      <c r="EC112" s="40">
        <v>0.01</v>
      </c>
      <c r="ED112" s="40">
        <v>0.47</v>
      </c>
      <c r="EE112" s="40">
        <v>0.44</v>
      </c>
      <c r="EF112" s="40">
        <v>0.56999999999999995</v>
      </c>
      <c r="EG112" s="40">
        <v>0.45</v>
      </c>
      <c r="EH112" s="40">
        <v>0.45</v>
      </c>
      <c r="EI112" s="40">
        <v>0.55000000000000004</v>
      </c>
      <c r="EJ112" s="40">
        <v>0.61</v>
      </c>
      <c r="EK112" s="40">
        <v>0.3</v>
      </c>
      <c r="EL112" s="40">
        <v>0.44</v>
      </c>
      <c r="EM112" s="40">
        <v>0.57999999999999996</v>
      </c>
      <c r="EN112" s="40">
        <v>0.5</v>
      </c>
      <c r="EO112" s="40">
        <v>0.61</v>
      </c>
      <c r="EP112" s="40">
        <v>0.36</v>
      </c>
      <c r="EQ112" s="40">
        <v>0.23</v>
      </c>
      <c r="ER112" s="40">
        <v>0.64</v>
      </c>
      <c r="ES112" s="40">
        <v>0.51</v>
      </c>
      <c r="ET112" s="40">
        <v>0.35</v>
      </c>
      <c r="EU112" s="40">
        <v>0.57999999999999996</v>
      </c>
      <c r="EV112" s="40">
        <v>0.39</v>
      </c>
      <c r="EW112" s="40">
        <v>0.31</v>
      </c>
      <c r="EX112" s="40">
        <v>0.71</v>
      </c>
      <c r="EY112" s="40">
        <v>0.64</v>
      </c>
      <c r="EZ112" s="40">
        <v>0.22</v>
      </c>
      <c r="FA112" s="40">
        <v>0.62</v>
      </c>
      <c r="FB112" s="247">
        <v>48</v>
      </c>
      <c r="FC112" s="247" t="s">
        <v>874</v>
      </c>
      <c r="FD112" s="247">
        <v>8</v>
      </c>
      <c r="FE112" s="247" t="s">
        <v>874</v>
      </c>
      <c r="FF112" s="264">
        <v>0.18</v>
      </c>
      <c r="FG112" s="264">
        <v>0.64</v>
      </c>
      <c r="FH112" s="264">
        <v>0.19</v>
      </c>
      <c r="FI112" s="264">
        <v>0</v>
      </c>
      <c r="FJ112" s="264">
        <v>0.48</v>
      </c>
      <c r="FK112" s="264">
        <v>0.69</v>
      </c>
      <c r="FL112" s="264">
        <v>0.53</v>
      </c>
      <c r="FM112" s="264">
        <v>0.47</v>
      </c>
      <c r="FN112" s="264">
        <v>0.35</v>
      </c>
      <c r="FO112" s="264">
        <v>0.34</v>
      </c>
      <c r="FP112" s="264">
        <v>0.42</v>
      </c>
      <c r="FQ112" s="264">
        <v>0.48</v>
      </c>
      <c r="FR112" s="264">
        <v>0.64</v>
      </c>
      <c r="FS112" s="264">
        <v>0.49</v>
      </c>
      <c r="FT112" s="264">
        <v>0.56000000000000005</v>
      </c>
      <c r="FU112" s="264">
        <v>0.4</v>
      </c>
      <c r="FV112" s="264">
        <v>0.66</v>
      </c>
      <c r="FW112" s="264">
        <v>0.6</v>
      </c>
      <c r="FX112" s="264">
        <v>0.48</v>
      </c>
      <c r="FY112" s="264">
        <v>0.4</v>
      </c>
      <c r="FZ112" s="264">
        <v>0.48</v>
      </c>
      <c r="GA112" s="264">
        <v>0.49</v>
      </c>
      <c r="GB112" s="264">
        <v>0.61</v>
      </c>
      <c r="GC112" s="264">
        <v>0.47</v>
      </c>
      <c r="GD112" s="264">
        <v>0.66</v>
      </c>
      <c r="GE112" s="264">
        <v>0.62</v>
      </c>
      <c r="GF112" s="264">
        <v>0.54</v>
      </c>
      <c r="GG112" s="264">
        <v>0.48</v>
      </c>
      <c r="GH112" s="264">
        <v>0.59</v>
      </c>
      <c r="GI112" s="264">
        <v>0.3</v>
      </c>
      <c r="GJ112" s="311">
        <v>50</v>
      </c>
      <c r="GK112" s="311" t="s">
        <v>874</v>
      </c>
      <c r="GL112" s="311">
        <v>9</v>
      </c>
      <c r="GM112" s="311" t="s">
        <v>874</v>
      </c>
      <c r="GN112" s="329">
        <v>0.14000000000000001</v>
      </c>
      <c r="GO112" s="329">
        <v>0.59</v>
      </c>
      <c r="GP112" s="329">
        <v>0.25</v>
      </c>
      <c r="GQ112" s="329">
        <v>0.02</v>
      </c>
      <c r="GR112" s="329">
        <v>0.5</v>
      </c>
      <c r="GS112" s="329">
        <v>0.56000000000000005</v>
      </c>
      <c r="GT112" s="329">
        <v>0.6</v>
      </c>
      <c r="GU112" s="329">
        <v>0.23</v>
      </c>
      <c r="GV112" s="329">
        <v>0.6</v>
      </c>
      <c r="GW112" s="329">
        <v>0.52</v>
      </c>
      <c r="GX112" s="329">
        <v>0.47</v>
      </c>
      <c r="GY112" s="311" t="s">
        <v>283</v>
      </c>
      <c r="GZ112" s="329">
        <v>0.37</v>
      </c>
      <c r="HA112" s="329">
        <v>0.65</v>
      </c>
      <c r="HB112" s="329">
        <v>0.46</v>
      </c>
      <c r="HC112" s="329">
        <v>0.51</v>
      </c>
      <c r="HD112" s="329">
        <v>0.56999999999999995</v>
      </c>
      <c r="HE112" s="329">
        <v>0.47</v>
      </c>
      <c r="HF112" s="329">
        <v>0.47</v>
      </c>
      <c r="HG112" s="329">
        <v>0.68</v>
      </c>
      <c r="HH112" s="329">
        <v>0.44</v>
      </c>
      <c r="HI112" s="329">
        <v>0.51</v>
      </c>
      <c r="HJ112" s="329">
        <v>0.56999999999999995</v>
      </c>
      <c r="HK112" s="329">
        <v>0.5</v>
      </c>
      <c r="HL112" s="329">
        <v>0.4</v>
      </c>
      <c r="HM112" s="329">
        <v>0.5</v>
      </c>
      <c r="HN112" s="329">
        <v>0.52</v>
      </c>
      <c r="HO112" s="329">
        <v>0.47</v>
      </c>
      <c r="HP112" s="311" t="s">
        <v>283</v>
      </c>
      <c r="HQ112" s="329">
        <v>0.42</v>
      </c>
      <c r="HR112" s="426">
        <v>49</v>
      </c>
      <c r="HS112" s="426" t="s">
        <v>874</v>
      </c>
      <c r="HT112" s="426">
        <v>8</v>
      </c>
      <c r="HU112" s="426" t="s">
        <v>874</v>
      </c>
      <c r="HV112" s="430">
        <v>0.17</v>
      </c>
      <c r="HW112" s="430">
        <v>0.64</v>
      </c>
      <c r="HX112" s="430">
        <v>0.18</v>
      </c>
      <c r="HY112" s="430">
        <v>0.01</v>
      </c>
      <c r="HZ112" s="430">
        <v>0.42</v>
      </c>
      <c r="IA112" s="430">
        <v>0.56000000000000005</v>
      </c>
      <c r="IB112" s="430">
        <v>0.38</v>
      </c>
      <c r="IC112" s="430">
        <v>0.56999999999999995</v>
      </c>
      <c r="ID112" s="430">
        <v>0.71</v>
      </c>
      <c r="IE112" s="430">
        <v>0.41</v>
      </c>
      <c r="IF112" s="430">
        <v>0.43</v>
      </c>
      <c r="IG112" s="430">
        <v>0.61</v>
      </c>
      <c r="IH112" s="430">
        <v>0.57999999999999996</v>
      </c>
      <c r="II112" s="430">
        <v>0.45</v>
      </c>
      <c r="IJ112" s="430">
        <v>0.33</v>
      </c>
      <c r="IK112" s="430">
        <v>0.62</v>
      </c>
      <c r="IL112" s="430">
        <v>0.36</v>
      </c>
      <c r="IM112" s="430">
        <v>0.61</v>
      </c>
      <c r="IN112" s="430">
        <v>0.51</v>
      </c>
      <c r="IO112" s="430">
        <v>0.62</v>
      </c>
      <c r="IP112" s="430">
        <v>0.44</v>
      </c>
      <c r="IQ112" s="430">
        <v>0.67</v>
      </c>
      <c r="IR112" s="430">
        <v>0.6</v>
      </c>
      <c r="IS112" s="430">
        <v>0.55000000000000004</v>
      </c>
      <c r="IT112" s="430">
        <v>0.49</v>
      </c>
      <c r="IU112" s="426" t="s">
        <v>283</v>
      </c>
      <c r="IV112" s="430">
        <v>0.68</v>
      </c>
      <c r="IW112" s="430">
        <v>0.48</v>
      </c>
      <c r="IX112" s="430">
        <v>0.48</v>
      </c>
      <c r="IY112" s="430">
        <v>0.56999999999999995</v>
      </c>
      <c r="IZ112" s="466">
        <v>51</v>
      </c>
      <c r="JA112" s="466" t="s">
        <v>874</v>
      </c>
      <c r="JB112" s="466">
        <v>9</v>
      </c>
      <c r="JC112" s="466" t="s">
        <v>874</v>
      </c>
      <c r="JD112" s="480">
        <v>0.11</v>
      </c>
      <c r="JE112" s="480">
        <v>0.56000000000000005</v>
      </c>
      <c r="JF112" s="480">
        <v>0.32</v>
      </c>
      <c r="JG112" s="480">
        <v>0.01</v>
      </c>
      <c r="JH112" s="480">
        <v>0.52</v>
      </c>
      <c r="JI112" s="480">
        <v>0.44</v>
      </c>
      <c r="JJ112" s="480">
        <v>0.42</v>
      </c>
      <c r="JK112" s="480">
        <v>0.5</v>
      </c>
      <c r="JL112" s="480">
        <v>0.5</v>
      </c>
      <c r="JM112" s="480">
        <v>0.5</v>
      </c>
      <c r="JN112" s="480">
        <v>0.47</v>
      </c>
      <c r="JO112" s="480">
        <v>0.48</v>
      </c>
      <c r="JP112" s="480">
        <v>0.54</v>
      </c>
      <c r="JQ112" s="480">
        <v>0.21</v>
      </c>
      <c r="JR112" s="480">
        <v>0.59</v>
      </c>
      <c r="JS112" s="480">
        <v>0.56999999999999995</v>
      </c>
      <c r="JT112" s="480">
        <v>0.42</v>
      </c>
      <c r="JU112" s="480">
        <v>0.5</v>
      </c>
      <c r="JV112" s="480">
        <v>0.53</v>
      </c>
      <c r="JW112" s="480">
        <v>0.47</v>
      </c>
      <c r="JX112" s="480">
        <v>0.42</v>
      </c>
      <c r="JY112" s="480">
        <v>0.46</v>
      </c>
      <c r="JZ112" s="480">
        <v>0.5</v>
      </c>
      <c r="KA112" s="480">
        <v>0.6</v>
      </c>
      <c r="KB112" s="480">
        <v>0.48</v>
      </c>
      <c r="KC112" s="480">
        <v>0.73</v>
      </c>
      <c r="KD112" s="480">
        <v>0.39</v>
      </c>
      <c r="KE112" s="480">
        <v>0.5</v>
      </c>
      <c r="KF112" s="480">
        <v>0.47</v>
      </c>
      <c r="KG112" s="480">
        <v>0.53</v>
      </c>
    </row>
    <row r="113" spans="1:293" ht="24.95" customHeight="1" x14ac:dyDescent="0.2">
      <c r="A113" s="126" t="s">
        <v>124</v>
      </c>
      <c r="B113" s="1" t="s">
        <v>219</v>
      </c>
      <c r="C113" s="2">
        <v>4</v>
      </c>
      <c r="D113" s="12">
        <v>48</v>
      </c>
      <c r="E113" s="12">
        <v>7</v>
      </c>
      <c r="F113" s="66">
        <v>0.14000000000000001</v>
      </c>
      <c r="G113" s="66">
        <v>0.8</v>
      </c>
      <c r="H113" s="66">
        <v>0.06</v>
      </c>
      <c r="I113" s="66">
        <v>0</v>
      </c>
      <c r="J113" s="66">
        <v>0.44</v>
      </c>
      <c r="K113" s="66">
        <v>0.53</v>
      </c>
      <c r="L113" s="66">
        <v>0.91</v>
      </c>
      <c r="M113" s="66">
        <v>0.46</v>
      </c>
      <c r="N113" s="66">
        <v>0.4</v>
      </c>
      <c r="O113" s="66">
        <v>0.71</v>
      </c>
      <c r="P113" s="66">
        <v>0.36</v>
      </c>
      <c r="Q113" s="66">
        <v>0.62</v>
      </c>
      <c r="R113" s="66">
        <v>0.59</v>
      </c>
      <c r="S113" s="66">
        <v>0.69</v>
      </c>
      <c r="T113" s="66">
        <v>0.53</v>
      </c>
      <c r="U113" s="66">
        <v>0.69</v>
      </c>
      <c r="V113" s="66">
        <v>0.16</v>
      </c>
      <c r="W113" s="66">
        <v>0.2</v>
      </c>
      <c r="X113" s="66">
        <v>0.56999999999999995</v>
      </c>
      <c r="Y113" s="66">
        <v>0.6</v>
      </c>
      <c r="Z113" s="66">
        <v>1</v>
      </c>
      <c r="AA113" s="66">
        <v>0.06</v>
      </c>
      <c r="AB113" s="66">
        <v>0.48</v>
      </c>
      <c r="AC113" s="66">
        <v>0.31</v>
      </c>
      <c r="AD113" s="66">
        <v>0.56999999999999995</v>
      </c>
      <c r="AE113" s="66">
        <v>0.54</v>
      </c>
      <c r="AF113" s="66">
        <v>0.59</v>
      </c>
      <c r="AG113" s="66">
        <v>0.57999999999999996</v>
      </c>
      <c r="AH113" s="12">
        <v>47</v>
      </c>
      <c r="AI113" s="12">
        <v>7</v>
      </c>
      <c r="AJ113" s="40">
        <v>0.17</v>
      </c>
      <c r="AK113" s="40">
        <v>0.73</v>
      </c>
      <c r="AL113" s="40">
        <v>0.1</v>
      </c>
      <c r="AM113" s="40">
        <v>0</v>
      </c>
      <c r="AN113" s="40">
        <v>0.38</v>
      </c>
      <c r="AO113" s="40">
        <v>0.52</v>
      </c>
      <c r="AP113" s="40">
        <v>0.7</v>
      </c>
      <c r="AQ113" s="40">
        <v>0.51</v>
      </c>
      <c r="AR113" s="40">
        <v>0.65</v>
      </c>
      <c r="AS113" s="40">
        <v>0.59</v>
      </c>
      <c r="AT113" s="40">
        <v>0.66</v>
      </c>
      <c r="AU113" s="40">
        <v>0.57999999999999996</v>
      </c>
      <c r="AV113" s="40">
        <v>0.56999999999999995</v>
      </c>
      <c r="AW113" s="40">
        <v>0.66</v>
      </c>
      <c r="AX113" s="40">
        <v>0.62</v>
      </c>
      <c r="AY113" s="40">
        <v>0.41</v>
      </c>
      <c r="AZ113" s="40">
        <v>0.35</v>
      </c>
      <c r="BA113" s="40">
        <v>0.61</v>
      </c>
      <c r="BB113" s="40">
        <v>0.7</v>
      </c>
      <c r="BC113" s="40">
        <v>0.67</v>
      </c>
      <c r="BD113" s="40">
        <v>0.56000000000000005</v>
      </c>
      <c r="BE113" s="40">
        <v>0.67</v>
      </c>
      <c r="BF113" s="40">
        <v>0.68</v>
      </c>
      <c r="BG113" s="40">
        <v>0.69</v>
      </c>
      <c r="BH113" s="40">
        <v>0.56000000000000005</v>
      </c>
      <c r="BI113" s="40">
        <v>0.48</v>
      </c>
      <c r="BJ113" s="40">
        <v>0.49</v>
      </c>
      <c r="BK113" s="40">
        <v>0.56999999999999995</v>
      </c>
      <c r="BL113" s="40">
        <v>0.71</v>
      </c>
      <c r="BM113" s="12">
        <v>44</v>
      </c>
      <c r="BN113" s="12">
        <v>8</v>
      </c>
      <c r="BO113" s="66">
        <v>0.28000000000000003</v>
      </c>
      <c r="BP113" s="66">
        <v>0.6</v>
      </c>
      <c r="BQ113" s="66">
        <v>0.13</v>
      </c>
      <c r="BR113" s="66">
        <v>0</v>
      </c>
      <c r="BS113" s="66">
        <v>0.32</v>
      </c>
      <c r="BT113" s="66">
        <v>0.7</v>
      </c>
      <c r="BU113" s="66">
        <v>0.79</v>
      </c>
      <c r="BV113" s="66">
        <v>0.52</v>
      </c>
      <c r="BW113" s="66">
        <v>0.73</v>
      </c>
      <c r="BX113" s="66">
        <v>0.5</v>
      </c>
      <c r="BY113" s="66">
        <v>0.53</v>
      </c>
      <c r="BZ113" s="66">
        <v>0.63</v>
      </c>
      <c r="CA113" s="66">
        <v>0.49</v>
      </c>
      <c r="CB113" s="66">
        <v>0.6</v>
      </c>
      <c r="CC113" s="66">
        <v>0.35</v>
      </c>
      <c r="CD113" s="66">
        <v>0.54</v>
      </c>
      <c r="CE113" s="66">
        <v>0.52</v>
      </c>
      <c r="CF113" s="66">
        <v>0.64</v>
      </c>
      <c r="CG113" s="66">
        <v>0.7</v>
      </c>
      <c r="CH113" s="66">
        <v>0.52</v>
      </c>
      <c r="CI113" s="66">
        <v>0.74</v>
      </c>
      <c r="CJ113" s="66">
        <v>0.51</v>
      </c>
      <c r="CK113" s="66">
        <v>0.78</v>
      </c>
      <c r="CL113" s="66">
        <v>0.59</v>
      </c>
      <c r="CM113" s="66">
        <v>0.57999999999999996</v>
      </c>
      <c r="CN113" s="66">
        <v>0.6</v>
      </c>
      <c r="CO113" s="66">
        <v>0.51</v>
      </c>
      <c r="CP113" s="66">
        <v>0.52</v>
      </c>
      <c r="CQ113" s="66">
        <v>0.66</v>
      </c>
      <c r="CR113" s="66">
        <v>0.71</v>
      </c>
      <c r="CS113" s="12">
        <v>43</v>
      </c>
      <c r="CT113" s="12">
        <v>8</v>
      </c>
      <c r="CU113" s="63">
        <v>0.39</v>
      </c>
      <c r="CV113" s="63">
        <v>0.54</v>
      </c>
      <c r="CW113" s="63">
        <v>7.0000000000000007E-2</v>
      </c>
      <c r="CX113" s="63">
        <v>0</v>
      </c>
      <c r="CY113" s="63">
        <v>0.56000000000000005</v>
      </c>
      <c r="CZ113" s="63">
        <v>0.4</v>
      </c>
      <c r="DA113" s="63">
        <v>0.63</v>
      </c>
      <c r="DB113" s="63">
        <v>0.55000000000000004</v>
      </c>
      <c r="DC113" s="63">
        <v>0.54</v>
      </c>
      <c r="DD113" s="63">
        <v>0.66</v>
      </c>
      <c r="DE113" s="63">
        <v>0.59</v>
      </c>
      <c r="DF113" s="63">
        <v>0.6</v>
      </c>
      <c r="DG113" s="63">
        <v>0.64</v>
      </c>
      <c r="DH113" s="63">
        <v>0.47</v>
      </c>
      <c r="DI113" s="63">
        <v>0.64</v>
      </c>
      <c r="DJ113" s="63">
        <v>0.63</v>
      </c>
      <c r="DK113" s="63">
        <v>0.51</v>
      </c>
      <c r="DL113" s="63">
        <v>0.48</v>
      </c>
      <c r="DM113" s="63">
        <v>0.61</v>
      </c>
      <c r="DN113" s="63">
        <v>0.56000000000000005</v>
      </c>
      <c r="DO113" s="63">
        <v>0.61</v>
      </c>
      <c r="DP113" s="63">
        <v>0.53</v>
      </c>
      <c r="DQ113" s="63">
        <v>0.65</v>
      </c>
      <c r="DR113" s="63">
        <v>0.26</v>
      </c>
      <c r="DS113" s="63">
        <v>0.52</v>
      </c>
      <c r="DT113" s="63">
        <v>0.57999999999999996</v>
      </c>
      <c r="DU113" s="63">
        <v>0.53</v>
      </c>
      <c r="DV113" s="63">
        <v>0.64</v>
      </c>
      <c r="DW113" s="63">
        <v>0.37</v>
      </c>
      <c r="DX113" s="35">
        <v>45</v>
      </c>
      <c r="DY113" s="35">
        <v>7</v>
      </c>
      <c r="DZ113" s="40">
        <v>0.27</v>
      </c>
      <c r="EA113" s="40">
        <v>0.66</v>
      </c>
      <c r="EB113" s="40">
        <v>7.0000000000000007E-2</v>
      </c>
      <c r="EC113" s="40">
        <v>0</v>
      </c>
      <c r="ED113" s="40">
        <v>0.59</v>
      </c>
      <c r="EE113" s="40">
        <v>0.52</v>
      </c>
      <c r="EF113" s="40">
        <v>0.47</v>
      </c>
      <c r="EG113" s="40">
        <v>0.42</v>
      </c>
      <c r="EH113" s="40">
        <v>0.63</v>
      </c>
      <c r="EI113" s="40">
        <v>0.57999999999999996</v>
      </c>
      <c r="EJ113" s="40">
        <v>0.52</v>
      </c>
      <c r="EK113" s="40">
        <v>0.43</v>
      </c>
      <c r="EL113" s="40">
        <v>0.49</v>
      </c>
      <c r="EM113" s="40">
        <v>0.74</v>
      </c>
      <c r="EN113" s="40">
        <v>0.55000000000000004</v>
      </c>
      <c r="EO113" s="40">
        <v>0.57999999999999996</v>
      </c>
      <c r="EP113" s="40">
        <v>0.53</v>
      </c>
      <c r="EQ113" s="40">
        <v>0.53</v>
      </c>
      <c r="ER113" s="40">
        <v>0.68</v>
      </c>
      <c r="ES113" s="40">
        <v>0.64</v>
      </c>
      <c r="ET113" s="40">
        <v>0.42</v>
      </c>
      <c r="EU113" s="40">
        <v>0.69</v>
      </c>
      <c r="EV113" s="40">
        <v>0.67</v>
      </c>
      <c r="EW113" s="40">
        <v>0.34</v>
      </c>
      <c r="EX113" s="40">
        <v>0.61</v>
      </c>
      <c r="EY113" s="40">
        <v>0.63</v>
      </c>
      <c r="EZ113" s="40">
        <v>0.33</v>
      </c>
      <c r="FA113" s="40">
        <v>0.67</v>
      </c>
      <c r="FB113" s="247">
        <v>46</v>
      </c>
      <c r="FC113" s="247" t="s">
        <v>874</v>
      </c>
      <c r="FD113" s="247">
        <v>6</v>
      </c>
      <c r="FE113" s="247" t="s">
        <v>874</v>
      </c>
      <c r="FF113" s="264">
        <v>0.18</v>
      </c>
      <c r="FG113" s="264">
        <v>0.78</v>
      </c>
      <c r="FH113" s="264">
        <v>0.04</v>
      </c>
      <c r="FI113" s="264">
        <v>0</v>
      </c>
      <c r="FJ113" s="264">
        <v>0.54</v>
      </c>
      <c r="FK113" s="264">
        <v>0.72</v>
      </c>
      <c r="FL113" s="264">
        <v>0.55000000000000004</v>
      </c>
      <c r="FM113" s="264">
        <v>0.61</v>
      </c>
      <c r="FN113" s="264">
        <v>0.37</v>
      </c>
      <c r="FO113" s="264">
        <v>0.42</v>
      </c>
      <c r="FP113" s="264">
        <v>0.53</v>
      </c>
      <c r="FQ113" s="264">
        <v>0.44</v>
      </c>
      <c r="FR113" s="264">
        <v>0.73</v>
      </c>
      <c r="FS113" s="264">
        <v>0.63</v>
      </c>
      <c r="FT113" s="264">
        <v>0.67</v>
      </c>
      <c r="FU113" s="264">
        <v>0.5</v>
      </c>
      <c r="FV113" s="264">
        <v>0.69</v>
      </c>
      <c r="FW113" s="264">
        <v>0.64</v>
      </c>
      <c r="FX113" s="264">
        <v>0.57999999999999996</v>
      </c>
      <c r="FY113" s="264">
        <v>0.44</v>
      </c>
      <c r="FZ113" s="264">
        <v>0.39</v>
      </c>
      <c r="GA113" s="264">
        <v>0.52</v>
      </c>
      <c r="GB113" s="264">
        <v>0.56000000000000005</v>
      </c>
      <c r="GC113" s="264">
        <v>0.53</v>
      </c>
      <c r="GD113" s="264">
        <v>0.6</v>
      </c>
      <c r="GE113" s="264">
        <v>0.61</v>
      </c>
      <c r="GF113" s="264">
        <v>0.57999999999999996</v>
      </c>
      <c r="GG113" s="264">
        <v>0.53</v>
      </c>
      <c r="GH113" s="264">
        <v>0.67</v>
      </c>
      <c r="GI113" s="264">
        <v>0.42</v>
      </c>
      <c r="GJ113" s="311">
        <v>46</v>
      </c>
      <c r="GK113" s="311" t="s">
        <v>874</v>
      </c>
      <c r="GL113" s="311">
        <v>10</v>
      </c>
      <c r="GM113" s="311" t="s">
        <v>874</v>
      </c>
      <c r="GN113" s="329">
        <v>0.36</v>
      </c>
      <c r="GO113" s="329">
        <v>0.45</v>
      </c>
      <c r="GP113" s="329">
        <v>0.17</v>
      </c>
      <c r="GQ113" s="329">
        <v>0.02</v>
      </c>
      <c r="GR113" s="329">
        <v>0.59</v>
      </c>
      <c r="GS113" s="329">
        <v>0.65</v>
      </c>
      <c r="GT113" s="329">
        <v>0.63</v>
      </c>
      <c r="GU113" s="329">
        <v>0.37</v>
      </c>
      <c r="GV113" s="329">
        <v>0.57999999999999996</v>
      </c>
      <c r="GW113" s="329">
        <v>0.49</v>
      </c>
      <c r="GX113" s="329">
        <v>0.54</v>
      </c>
      <c r="GY113" s="311" t="s">
        <v>283</v>
      </c>
      <c r="GZ113" s="329">
        <v>0.43</v>
      </c>
      <c r="HA113" s="329">
        <v>0.72</v>
      </c>
      <c r="HB113" s="329">
        <v>0.56000000000000005</v>
      </c>
      <c r="HC113" s="329">
        <v>0.56000000000000005</v>
      </c>
      <c r="HD113" s="329">
        <v>0.68</v>
      </c>
      <c r="HE113" s="329">
        <v>0.62</v>
      </c>
      <c r="HF113" s="329">
        <v>0.56999999999999995</v>
      </c>
      <c r="HG113" s="329">
        <v>0.73</v>
      </c>
      <c r="HH113" s="329">
        <v>0.57999999999999996</v>
      </c>
      <c r="HI113" s="329">
        <v>0.64</v>
      </c>
      <c r="HJ113" s="329">
        <v>0.64</v>
      </c>
      <c r="HK113" s="329">
        <v>0.54</v>
      </c>
      <c r="HL113" s="329">
        <v>0.54</v>
      </c>
      <c r="HM113" s="329">
        <v>0.51</v>
      </c>
      <c r="HN113" s="329">
        <v>0.56999999999999995</v>
      </c>
      <c r="HO113" s="329">
        <v>0.53</v>
      </c>
      <c r="HP113" s="311" t="s">
        <v>283</v>
      </c>
      <c r="HQ113" s="329">
        <v>0.53</v>
      </c>
      <c r="HR113" s="426">
        <v>47</v>
      </c>
      <c r="HS113" s="426" t="s">
        <v>874</v>
      </c>
      <c r="HT113" s="426">
        <v>10</v>
      </c>
      <c r="HU113" s="426" t="s">
        <v>874</v>
      </c>
      <c r="HV113" s="430">
        <v>0.31</v>
      </c>
      <c r="HW113" s="430">
        <v>0.47</v>
      </c>
      <c r="HX113" s="430">
        <v>0.21</v>
      </c>
      <c r="HY113" s="430">
        <v>0.02</v>
      </c>
      <c r="HZ113" s="430">
        <v>0.51</v>
      </c>
      <c r="IA113" s="430">
        <v>0.6</v>
      </c>
      <c r="IB113" s="430">
        <v>0.44</v>
      </c>
      <c r="IC113" s="430">
        <v>0.57999999999999996</v>
      </c>
      <c r="ID113" s="430">
        <v>0.59</v>
      </c>
      <c r="IE113" s="430">
        <v>0.48</v>
      </c>
      <c r="IF113" s="430">
        <v>0.52</v>
      </c>
      <c r="IG113" s="430">
        <v>0.56999999999999995</v>
      </c>
      <c r="IH113" s="430">
        <v>0.56000000000000005</v>
      </c>
      <c r="II113" s="430">
        <v>0.48</v>
      </c>
      <c r="IJ113" s="430">
        <v>0.32</v>
      </c>
      <c r="IK113" s="430">
        <v>0.65</v>
      </c>
      <c r="IL113" s="430">
        <v>0.45</v>
      </c>
      <c r="IM113" s="430">
        <v>0.59</v>
      </c>
      <c r="IN113" s="430">
        <v>0.56999999999999995</v>
      </c>
      <c r="IO113" s="430">
        <v>0.66</v>
      </c>
      <c r="IP113" s="430">
        <v>0.57999999999999996</v>
      </c>
      <c r="IQ113" s="430">
        <v>0.69</v>
      </c>
      <c r="IR113" s="430">
        <v>0.66</v>
      </c>
      <c r="IS113" s="430">
        <v>0.56000000000000005</v>
      </c>
      <c r="IT113" s="430">
        <v>0.54</v>
      </c>
      <c r="IU113" s="426" t="s">
        <v>283</v>
      </c>
      <c r="IV113" s="430">
        <v>0.75</v>
      </c>
      <c r="IW113" s="430">
        <v>0.54</v>
      </c>
      <c r="IX113" s="430">
        <v>0.5</v>
      </c>
      <c r="IY113" s="430">
        <v>0.55000000000000004</v>
      </c>
      <c r="IZ113" s="466">
        <v>45</v>
      </c>
      <c r="JA113" s="466" t="s">
        <v>874</v>
      </c>
      <c r="JB113" s="466">
        <v>8</v>
      </c>
      <c r="JC113" s="466" t="s">
        <v>874</v>
      </c>
      <c r="JD113" s="480">
        <v>0.32</v>
      </c>
      <c r="JE113" s="480">
        <v>0.56000000000000005</v>
      </c>
      <c r="JF113" s="480">
        <v>0.12</v>
      </c>
      <c r="JG113" s="480">
        <v>0</v>
      </c>
      <c r="JH113" s="480">
        <v>0.52</v>
      </c>
      <c r="JI113" s="480">
        <v>0.56999999999999995</v>
      </c>
      <c r="JJ113" s="480">
        <v>0.59</v>
      </c>
      <c r="JK113" s="480">
        <v>0.65</v>
      </c>
      <c r="JL113" s="480">
        <v>0.59</v>
      </c>
      <c r="JM113" s="480">
        <v>0.62</v>
      </c>
      <c r="JN113" s="480">
        <v>0.64</v>
      </c>
      <c r="JO113" s="480">
        <v>0.57999999999999996</v>
      </c>
      <c r="JP113" s="480">
        <v>0.7</v>
      </c>
      <c r="JQ113" s="480">
        <v>0.39</v>
      </c>
      <c r="JR113" s="480">
        <v>0.66</v>
      </c>
      <c r="JS113" s="480">
        <v>0.75</v>
      </c>
      <c r="JT113" s="480">
        <v>0.59</v>
      </c>
      <c r="JU113" s="480">
        <v>0.64</v>
      </c>
      <c r="JV113" s="480">
        <v>0.64</v>
      </c>
      <c r="JW113" s="480">
        <v>0.55000000000000004</v>
      </c>
      <c r="JX113" s="480">
        <v>0.56999999999999995</v>
      </c>
      <c r="JY113" s="480">
        <v>0.56000000000000005</v>
      </c>
      <c r="JZ113" s="480">
        <v>0.51</v>
      </c>
      <c r="KA113" s="480">
        <v>0.6</v>
      </c>
      <c r="KB113" s="480">
        <v>0.66</v>
      </c>
      <c r="KC113" s="480">
        <v>0.76</v>
      </c>
      <c r="KD113" s="480">
        <v>0.46</v>
      </c>
      <c r="KE113" s="480">
        <v>0.54</v>
      </c>
      <c r="KF113" s="480">
        <v>0.5</v>
      </c>
      <c r="KG113" s="480">
        <v>0.73</v>
      </c>
    </row>
    <row r="114" spans="1:293" ht="24.95" customHeight="1" x14ac:dyDescent="0.2">
      <c r="A114" s="126" t="s">
        <v>23</v>
      </c>
      <c r="B114" s="1" t="s">
        <v>219</v>
      </c>
      <c r="C114" s="2">
        <v>2</v>
      </c>
      <c r="D114" s="12">
        <v>55</v>
      </c>
      <c r="E114" s="12">
        <v>8</v>
      </c>
      <c r="F114" s="66">
        <v>0.04</v>
      </c>
      <c r="G114" s="66">
        <v>0.52</v>
      </c>
      <c r="H114" s="66">
        <v>0.43</v>
      </c>
      <c r="I114" s="66">
        <v>0.01</v>
      </c>
      <c r="J114" s="66">
        <v>0.36</v>
      </c>
      <c r="K114" s="66">
        <v>0.35</v>
      </c>
      <c r="L114" s="66">
        <v>0.68</v>
      </c>
      <c r="M114" s="66">
        <v>0.17</v>
      </c>
      <c r="N114" s="66">
        <v>0.26</v>
      </c>
      <c r="O114" s="66">
        <v>0.53</v>
      </c>
      <c r="P114" s="66">
        <v>0.27</v>
      </c>
      <c r="Q114" s="66">
        <v>0.33</v>
      </c>
      <c r="R114" s="66">
        <v>0.49</v>
      </c>
      <c r="S114" s="66">
        <v>0.5</v>
      </c>
      <c r="T114" s="66">
        <v>0.41</v>
      </c>
      <c r="U114" s="66">
        <v>0.56999999999999995</v>
      </c>
      <c r="V114" s="66">
        <v>0.08</v>
      </c>
      <c r="W114" s="66">
        <v>0.2</v>
      </c>
      <c r="X114" s="66">
        <v>0.49</v>
      </c>
      <c r="Y114" s="66">
        <v>0.45</v>
      </c>
      <c r="Z114" s="66">
        <v>1</v>
      </c>
      <c r="AA114" s="66">
        <v>0.05</v>
      </c>
      <c r="AB114" s="66">
        <v>0.39</v>
      </c>
      <c r="AC114" s="66">
        <v>0.2</v>
      </c>
      <c r="AD114" s="66">
        <v>0.38</v>
      </c>
      <c r="AE114" s="66">
        <v>0.44</v>
      </c>
      <c r="AF114" s="66">
        <v>0.54</v>
      </c>
      <c r="AG114" s="66">
        <v>0.4</v>
      </c>
      <c r="AH114" s="12">
        <v>54</v>
      </c>
      <c r="AI114" s="12">
        <v>8</v>
      </c>
      <c r="AJ114" s="40">
        <v>0.05</v>
      </c>
      <c r="AK114" s="40">
        <v>0.54</v>
      </c>
      <c r="AL114" s="40">
        <v>0.4</v>
      </c>
      <c r="AM114" s="40">
        <v>0.01</v>
      </c>
      <c r="AN114" s="40">
        <v>0.23</v>
      </c>
      <c r="AO114" s="40">
        <v>0.45</v>
      </c>
      <c r="AP114" s="40">
        <v>0.56000000000000005</v>
      </c>
      <c r="AQ114" s="40">
        <v>0.38</v>
      </c>
      <c r="AR114" s="40">
        <v>0.55000000000000004</v>
      </c>
      <c r="AS114" s="40">
        <v>0.48</v>
      </c>
      <c r="AT114" s="40">
        <v>0.48</v>
      </c>
      <c r="AU114" s="40">
        <v>0.48</v>
      </c>
      <c r="AV114" s="40">
        <v>0.56999999999999995</v>
      </c>
      <c r="AW114" s="40">
        <v>0.4</v>
      </c>
      <c r="AX114" s="40">
        <v>0.49</v>
      </c>
      <c r="AY114" s="40">
        <v>0.27</v>
      </c>
      <c r="AZ114" s="40">
        <v>0.23</v>
      </c>
      <c r="BA114" s="40">
        <v>0.49</v>
      </c>
      <c r="BB114" s="40">
        <v>0.65</v>
      </c>
      <c r="BC114" s="40">
        <v>0.57999999999999996</v>
      </c>
      <c r="BD114" s="40">
        <v>0.37</v>
      </c>
      <c r="BE114" s="40">
        <v>0.52</v>
      </c>
      <c r="BF114" s="40">
        <v>0.64</v>
      </c>
      <c r="BG114" s="40">
        <v>0.45</v>
      </c>
      <c r="BH114" s="40">
        <v>0.4</v>
      </c>
      <c r="BI114" s="40">
        <v>0.38</v>
      </c>
      <c r="BJ114" s="40">
        <v>0.38</v>
      </c>
      <c r="BK114" s="40">
        <v>0.42</v>
      </c>
      <c r="BL114" s="40">
        <v>0.44</v>
      </c>
      <c r="BM114" s="12">
        <v>52</v>
      </c>
      <c r="BN114" s="12">
        <v>9</v>
      </c>
      <c r="BO114" s="66">
        <v>0.13</v>
      </c>
      <c r="BP114" s="66">
        <v>0.53</v>
      </c>
      <c r="BQ114" s="66">
        <v>0.34</v>
      </c>
      <c r="BR114" s="66">
        <v>0</v>
      </c>
      <c r="BS114" s="66">
        <v>0.35</v>
      </c>
      <c r="BT114" s="66">
        <v>0.43</v>
      </c>
      <c r="BU114" s="66">
        <v>0.65</v>
      </c>
      <c r="BV114" s="66">
        <v>0.27</v>
      </c>
      <c r="BW114" s="66">
        <v>0.63</v>
      </c>
      <c r="BX114" s="66">
        <v>0.33</v>
      </c>
      <c r="BY114" s="66">
        <v>0.47</v>
      </c>
      <c r="BZ114" s="66">
        <v>0.53</v>
      </c>
      <c r="CA114" s="66">
        <v>0.48</v>
      </c>
      <c r="CB114" s="66">
        <v>0.35</v>
      </c>
      <c r="CC114" s="66">
        <v>0.2</v>
      </c>
      <c r="CD114" s="66">
        <v>0.4</v>
      </c>
      <c r="CE114" s="66">
        <v>0.3</v>
      </c>
      <c r="CF114" s="66">
        <v>0.6</v>
      </c>
      <c r="CG114" s="66">
        <v>0.6</v>
      </c>
      <c r="CH114" s="66">
        <v>0.43</v>
      </c>
      <c r="CI114" s="66">
        <v>0.56000000000000005</v>
      </c>
      <c r="CJ114" s="66">
        <v>0.31</v>
      </c>
      <c r="CK114" s="66">
        <v>0.64</v>
      </c>
      <c r="CL114" s="66">
        <v>0.3</v>
      </c>
      <c r="CM114" s="66">
        <v>0.42</v>
      </c>
      <c r="CN114" s="66">
        <v>0.41</v>
      </c>
      <c r="CO114" s="66">
        <v>0.43</v>
      </c>
      <c r="CP114" s="66">
        <v>0.35</v>
      </c>
      <c r="CQ114" s="66">
        <v>0.54</v>
      </c>
      <c r="CR114" s="66">
        <v>0.55000000000000004</v>
      </c>
      <c r="CS114" s="12">
        <v>50</v>
      </c>
      <c r="CT114" s="12">
        <v>9</v>
      </c>
      <c r="CU114" s="63">
        <v>0.12</v>
      </c>
      <c r="CV114" s="63">
        <v>0.61</v>
      </c>
      <c r="CW114" s="63">
        <v>0.26</v>
      </c>
      <c r="CX114" s="63">
        <v>0.01</v>
      </c>
      <c r="CY114" s="63">
        <v>0.51</v>
      </c>
      <c r="CZ114" s="63">
        <v>0.3</v>
      </c>
      <c r="DA114" s="63">
        <v>0.55000000000000004</v>
      </c>
      <c r="DB114" s="63">
        <v>0.34</v>
      </c>
      <c r="DC114" s="63">
        <v>0.45</v>
      </c>
      <c r="DD114" s="63">
        <v>0.65</v>
      </c>
      <c r="DE114" s="63">
        <v>0.46</v>
      </c>
      <c r="DF114" s="63">
        <v>0.53</v>
      </c>
      <c r="DG114" s="63">
        <v>0.44</v>
      </c>
      <c r="DH114" s="63">
        <v>0.37</v>
      </c>
      <c r="DI114" s="63">
        <v>0.49</v>
      </c>
      <c r="DJ114" s="63">
        <v>0.5</v>
      </c>
      <c r="DK114" s="63">
        <v>0.32</v>
      </c>
      <c r="DL114" s="63">
        <v>0.31</v>
      </c>
      <c r="DM114" s="63">
        <v>0.53</v>
      </c>
      <c r="DN114" s="63">
        <v>0.5</v>
      </c>
      <c r="DO114" s="63">
        <v>0.45</v>
      </c>
      <c r="DP114" s="63">
        <v>0.47</v>
      </c>
      <c r="DQ114" s="63">
        <v>0.53</v>
      </c>
      <c r="DR114" s="63">
        <v>0.19</v>
      </c>
      <c r="DS114" s="63">
        <v>0.38</v>
      </c>
      <c r="DT114" s="63">
        <v>0.6</v>
      </c>
      <c r="DU114" s="63">
        <v>0.46</v>
      </c>
      <c r="DV114" s="63">
        <v>0.56999999999999995</v>
      </c>
      <c r="DW114" s="63">
        <v>0.36</v>
      </c>
      <c r="DX114" s="35">
        <v>49</v>
      </c>
      <c r="DY114" s="35">
        <v>9</v>
      </c>
      <c r="DZ114" s="40">
        <v>0.16</v>
      </c>
      <c r="EA114" s="40">
        <v>0.56000000000000005</v>
      </c>
      <c r="EB114" s="40">
        <v>0.26</v>
      </c>
      <c r="EC114" s="40">
        <v>0.02</v>
      </c>
      <c r="ED114" s="40">
        <v>0.49</v>
      </c>
      <c r="EE114" s="40">
        <v>0.44</v>
      </c>
      <c r="EF114" s="40">
        <v>0.49</v>
      </c>
      <c r="EG114" s="40">
        <v>0.28000000000000003</v>
      </c>
      <c r="EH114" s="40">
        <v>0.43</v>
      </c>
      <c r="EI114" s="40">
        <v>0.51</v>
      </c>
      <c r="EJ114" s="40">
        <v>0.56000000000000005</v>
      </c>
      <c r="EK114" s="40">
        <v>0.28000000000000003</v>
      </c>
      <c r="EL114" s="40">
        <v>0.44</v>
      </c>
      <c r="EM114" s="40">
        <v>0.62</v>
      </c>
      <c r="EN114" s="40">
        <v>0.46</v>
      </c>
      <c r="EO114" s="40">
        <v>0.56999999999999995</v>
      </c>
      <c r="EP114" s="40">
        <v>0.44</v>
      </c>
      <c r="EQ114" s="40">
        <v>0.25</v>
      </c>
      <c r="ER114" s="40">
        <v>0.6</v>
      </c>
      <c r="ES114" s="40">
        <v>0.46</v>
      </c>
      <c r="ET114" s="40">
        <v>0.36</v>
      </c>
      <c r="EU114" s="40">
        <v>0.63</v>
      </c>
      <c r="EV114" s="40">
        <v>0.43</v>
      </c>
      <c r="EW114" s="40">
        <v>0.34</v>
      </c>
      <c r="EX114" s="40">
        <v>0.78</v>
      </c>
      <c r="EY114" s="40">
        <v>0.59</v>
      </c>
      <c r="EZ114" s="40">
        <v>0.25</v>
      </c>
      <c r="FA114" s="40">
        <v>0.6</v>
      </c>
      <c r="FB114" s="247">
        <v>50</v>
      </c>
      <c r="FC114" s="247" t="s">
        <v>874</v>
      </c>
      <c r="FD114" s="247">
        <v>8</v>
      </c>
      <c r="FE114" s="247" t="s">
        <v>874</v>
      </c>
      <c r="FF114" s="264">
        <v>0.13</v>
      </c>
      <c r="FG114" s="264">
        <v>0.63</v>
      </c>
      <c r="FH114" s="264">
        <v>0.24</v>
      </c>
      <c r="FI114" s="264">
        <v>0</v>
      </c>
      <c r="FJ114" s="264">
        <v>0.47</v>
      </c>
      <c r="FK114" s="264">
        <v>0.67</v>
      </c>
      <c r="FL114" s="264">
        <v>0.48</v>
      </c>
      <c r="FM114" s="264">
        <v>0.46</v>
      </c>
      <c r="FN114" s="264">
        <v>0.23</v>
      </c>
      <c r="FO114" s="264">
        <v>0.35</v>
      </c>
      <c r="FP114" s="264">
        <v>0.41</v>
      </c>
      <c r="FQ114" s="264">
        <v>0.39</v>
      </c>
      <c r="FR114" s="264">
        <v>0.62</v>
      </c>
      <c r="FS114" s="264">
        <v>0.49</v>
      </c>
      <c r="FT114" s="264">
        <v>0.5</v>
      </c>
      <c r="FU114" s="264">
        <v>0.41</v>
      </c>
      <c r="FV114" s="264">
        <v>0.6</v>
      </c>
      <c r="FW114" s="264">
        <v>0.59</v>
      </c>
      <c r="FX114" s="264">
        <v>0.47</v>
      </c>
      <c r="FY114" s="264">
        <v>0.32</v>
      </c>
      <c r="FZ114" s="264">
        <v>0.42</v>
      </c>
      <c r="GA114" s="264">
        <v>0.53</v>
      </c>
      <c r="GB114" s="264">
        <v>0.53</v>
      </c>
      <c r="GC114" s="264">
        <v>0.46</v>
      </c>
      <c r="GD114" s="264">
        <v>0.6</v>
      </c>
      <c r="GE114" s="264">
        <v>0.57999999999999996</v>
      </c>
      <c r="GF114" s="264">
        <v>0.47</v>
      </c>
      <c r="GG114" s="264">
        <v>0.44</v>
      </c>
      <c r="GH114" s="264">
        <v>0.56999999999999995</v>
      </c>
      <c r="GI114" s="264">
        <v>0.28000000000000003</v>
      </c>
      <c r="GJ114" s="311">
        <v>52</v>
      </c>
      <c r="GK114" s="311" t="s">
        <v>874</v>
      </c>
      <c r="GL114" s="311">
        <v>9</v>
      </c>
      <c r="GM114" s="311" t="s">
        <v>874</v>
      </c>
      <c r="GN114" s="329">
        <v>0.11</v>
      </c>
      <c r="GO114" s="329">
        <v>0.56000000000000005</v>
      </c>
      <c r="GP114" s="329">
        <v>0.32</v>
      </c>
      <c r="GQ114" s="329">
        <v>0.01</v>
      </c>
      <c r="GR114" s="329">
        <v>0.48</v>
      </c>
      <c r="GS114" s="329">
        <v>0.56000000000000005</v>
      </c>
      <c r="GT114" s="329">
        <v>0.6</v>
      </c>
      <c r="GU114" s="329">
        <v>0.18</v>
      </c>
      <c r="GV114" s="329">
        <v>0.55000000000000004</v>
      </c>
      <c r="GW114" s="329">
        <v>0.43</v>
      </c>
      <c r="GX114" s="329">
        <v>0.44</v>
      </c>
      <c r="GY114" s="311" t="s">
        <v>283</v>
      </c>
      <c r="GZ114" s="329">
        <v>0.28999999999999998</v>
      </c>
      <c r="HA114" s="329">
        <v>0.62</v>
      </c>
      <c r="HB114" s="329">
        <v>0.45</v>
      </c>
      <c r="HC114" s="329">
        <v>0.51</v>
      </c>
      <c r="HD114" s="329">
        <v>0.55000000000000004</v>
      </c>
      <c r="HE114" s="329">
        <v>0.42</v>
      </c>
      <c r="HF114" s="329">
        <v>0.47</v>
      </c>
      <c r="HG114" s="329">
        <v>0.68</v>
      </c>
      <c r="HH114" s="329">
        <v>0.37</v>
      </c>
      <c r="HI114" s="329">
        <v>0.51</v>
      </c>
      <c r="HJ114" s="329">
        <v>0.59</v>
      </c>
      <c r="HK114" s="329">
        <v>0.47</v>
      </c>
      <c r="HL114" s="329">
        <v>0.41</v>
      </c>
      <c r="HM114" s="329">
        <v>0.47</v>
      </c>
      <c r="HN114" s="329">
        <v>0.47</v>
      </c>
      <c r="HO114" s="329">
        <v>0.42</v>
      </c>
      <c r="HP114" s="311" t="s">
        <v>283</v>
      </c>
      <c r="HQ114" s="329">
        <v>0.42</v>
      </c>
      <c r="HR114" s="426">
        <v>51</v>
      </c>
      <c r="HS114" s="426" t="s">
        <v>874</v>
      </c>
      <c r="HT114" s="426">
        <v>9</v>
      </c>
      <c r="HU114" s="426" t="s">
        <v>874</v>
      </c>
      <c r="HV114" s="430">
        <v>0.12</v>
      </c>
      <c r="HW114" s="430">
        <v>0.57999999999999996</v>
      </c>
      <c r="HX114" s="430">
        <v>0.28999999999999998</v>
      </c>
      <c r="HY114" s="430">
        <v>0.02</v>
      </c>
      <c r="HZ114" s="430">
        <v>0.39</v>
      </c>
      <c r="IA114" s="430">
        <v>0.52</v>
      </c>
      <c r="IB114" s="430">
        <v>0.39</v>
      </c>
      <c r="IC114" s="430">
        <v>0.51</v>
      </c>
      <c r="ID114" s="430">
        <v>0.62</v>
      </c>
      <c r="IE114" s="430">
        <v>0.35</v>
      </c>
      <c r="IF114" s="430">
        <v>0.41</v>
      </c>
      <c r="IG114" s="430">
        <v>0.52</v>
      </c>
      <c r="IH114" s="430">
        <v>0.55000000000000004</v>
      </c>
      <c r="II114" s="430">
        <v>0.42</v>
      </c>
      <c r="IJ114" s="430">
        <v>0.3</v>
      </c>
      <c r="IK114" s="430">
        <v>0.56000000000000005</v>
      </c>
      <c r="IL114" s="430">
        <v>0.39</v>
      </c>
      <c r="IM114" s="430">
        <v>0.6</v>
      </c>
      <c r="IN114" s="430">
        <v>0.47</v>
      </c>
      <c r="IO114" s="430">
        <v>0.49</v>
      </c>
      <c r="IP114" s="430">
        <v>0.43</v>
      </c>
      <c r="IQ114" s="430">
        <v>0.63</v>
      </c>
      <c r="IR114" s="430">
        <v>0.56000000000000005</v>
      </c>
      <c r="IS114" s="430">
        <v>0.5</v>
      </c>
      <c r="IT114" s="430">
        <v>0.44</v>
      </c>
      <c r="IU114" s="426" t="s">
        <v>283</v>
      </c>
      <c r="IV114" s="430">
        <v>0.62</v>
      </c>
      <c r="IW114" s="430">
        <v>0.42</v>
      </c>
      <c r="IX114" s="430">
        <v>0.49</v>
      </c>
      <c r="IY114" s="430">
        <v>0.52</v>
      </c>
      <c r="IZ114" s="466">
        <v>51</v>
      </c>
      <c r="JA114" s="466" t="s">
        <v>874</v>
      </c>
      <c r="JB114" s="466">
        <v>9</v>
      </c>
      <c r="JC114" s="466" t="s">
        <v>874</v>
      </c>
      <c r="JD114" s="480">
        <v>0.14000000000000001</v>
      </c>
      <c r="JE114" s="480">
        <v>0.51</v>
      </c>
      <c r="JF114" s="480">
        <v>0.34</v>
      </c>
      <c r="JG114" s="480">
        <v>0.01</v>
      </c>
      <c r="JH114" s="480">
        <v>0.49</v>
      </c>
      <c r="JI114" s="480">
        <v>0.47</v>
      </c>
      <c r="JJ114" s="480">
        <v>0.39</v>
      </c>
      <c r="JK114" s="480">
        <v>0.46</v>
      </c>
      <c r="JL114" s="480">
        <v>0.5</v>
      </c>
      <c r="JM114" s="480">
        <v>0.52</v>
      </c>
      <c r="JN114" s="480">
        <v>0.43</v>
      </c>
      <c r="JO114" s="480">
        <v>0.47</v>
      </c>
      <c r="JP114" s="480">
        <v>0.54</v>
      </c>
      <c r="JQ114" s="480">
        <v>0.3</v>
      </c>
      <c r="JR114" s="480">
        <v>0.59</v>
      </c>
      <c r="JS114" s="480">
        <v>0.54</v>
      </c>
      <c r="JT114" s="480">
        <v>0.42</v>
      </c>
      <c r="JU114" s="480">
        <v>0.5</v>
      </c>
      <c r="JV114" s="480">
        <v>0.46</v>
      </c>
      <c r="JW114" s="480">
        <v>0.5</v>
      </c>
      <c r="JX114" s="480">
        <v>0.35</v>
      </c>
      <c r="JY114" s="480">
        <v>0.5</v>
      </c>
      <c r="JZ114" s="480">
        <v>0.45</v>
      </c>
      <c r="KA114" s="480">
        <v>0.56999999999999995</v>
      </c>
      <c r="KB114" s="480">
        <v>0.46</v>
      </c>
      <c r="KC114" s="480">
        <v>0.69</v>
      </c>
      <c r="KD114" s="480">
        <v>0.33</v>
      </c>
      <c r="KE114" s="480">
        <v>0.46</v>
      </c>
      <c r="KF114" s="480">
        <v>0.45</v>
      </c>
      <c r="KG114" s="480">
        <v>0.47</v>
      </c>
    </row>
    <row r="115" spans="1:293" ht="24.95" customHeight="1" x14ac:dyDescent="0.2">
      <c r="A115" s="126" t="s">
        <v>222</v>
      </c>
      <c r="B115" s="1" t="s">
        <v>221</v>
      </c>
      <c r="C115" s="2">
        <v>1</v>
      </c>
      <c r="D115" s="12">
        <v>51</v>
      </c>
      <c r="E115" s="12">
        <v>8</v>
      </c>
      <c r="F115" s="66">
        <v>7.0000000000000007E-2</v>
      </c>
      <c r="G115" s="66">
        <v>0.76</v>
      </c>
      <c r="H115" s="66">
        <v>0.17</v>
      </c>
      <c r="I115" s="66">
        <v>0</v>
      </c>
      <c r="J115" s="66">
        <v>0.39</v>
      </c>
      <c r="K115" s="66">
        <v>0.6</v>
      </c>
      <c r="L115" s="66">
        <v>0.86</v>
      </c>
      <c r="M115" s="66">
        <v>0.28999999999999998</v>
      </c>
      <c r="N115" s="66">
        <v>0.32</v>
      </c>
      <c r="O115" s="66">
        <v>0.57999999999999996</v>
      </c>
      <c r="P115" s="66">
        <v>0.34</v>
      </c>
      <c r="Q115" s="66">
        <v>0.5</v>
      </c>
      <c r="R115" s="66">
        <v>0.64</v>
      </c>
      <c r="S115" s="66">
        <v>0.56000000000000005</v>
      </c>
      <c r="T115" s="66">
        <v>0.42</v>
      </c>
      <c r="U115" s="66">
        <v>0.73</v>
      </c>
      <c r="V115" s="66">
        <v>0.14000000000000001</v>
      </c>
      <c r="W115" s="66">
        <v>0.24</v>
      </c>
      <c r="X115" s="66">
        <v>0.5</v>
      </c>
      <c r="Y115" s="66">
        <v>0.47</v>
      </c>
      <c r="Z115" s="66">
        <v>1</v>
      </c>
      <c r="AA115" s="66">
        <v>0.31</v>
      </c>
      <c r="AB115" s="66">
        <v>0.39</v>
      </c>
      <c r="AC115" s="66">
        <v>0.19</v>
      </c>
      <c r="AD115" s="66">
        <v>0.63</v>
      </c>
      <c r="AE115" s="66">
        <v>0.48</v>
      </c>
      <c r="AF115" s="66">
        <v>0.52</v>
      </c>
      <c r="AG115" s="66">
        <v>0.51</v>
      </c>
      <c r="AH115" s="12">
        <v>54</v>
      </c>
      <c r="AI115" s="12">
        <v>9</v>
      </c>
      <c r="AJ115" s="40">
        <v>0.05</v>
      </c>
      <c r="AK115" s="40">
        <v>0.46</v>
      </c>
      <c r="AL115" s="40">
        <v>0.44</v>
      </c>
      <c r="AM115" s="40">
        <v>0.05</v>
      </c>
      <c r="AN115" s="40">
        <v>0.21</v>
      </c>
      <c r="AO115" s="40">
        <v>0.4</v>
      </c>
      <c r="AP115" s="40">
        <v>0.51</v>
      </c>
      <c r="AQ115" s="40">
        <v>0.35</v>
      </c>
      <c r="AR115" s="40">
        <v>0.45</v>
      </c>
      <c r="AS115" s="40">
        <v>0.45</v>
      </c>
      <c r="AT115" s="40">
        <v>0.46</v>
      </c>
      <c r="AU115" s="40">
        <v>0.45</v>
      </c>
      <c r="AV115" s="40">
        <v>0.49</v>
      </c>
      <c r="AW115" s="40">
        <v>0.47</v>
      </c>
      <c r="AX115" s="40">
        <v>0.61</v>
      </c>
      <c r="AY115" s="40">
        <v>0.28000000000000003</v>
      </c>
      <c r="AZ115" s="40">
        <v>0.16</v>
      </c>
      <c r="BA115" s="40">
        <v>0.45</v>
      </c>
      <c r="BB115" s="40">
        <v>0.57999999999999996</v>
      </c>
      <c r="BC115" s="40">
        <v>0.59</v>
      </c>
      <c r="BD115" s="40">
        <v>0.38</v>
      </c>
      <c r="BE115" s="40">
        <v>0.45</v>
      </c>
      <c r="BF115" s="40">
        <v>0.5</v>
      </c>
      <c r="BG115" s="40">
        <v>0.53</v>
      </c>
      <c r="BH115" s="40">
        <v>0.36</v>
      </c>
      <c r="BI115" s="40">
        <v>0.4</v>
      </c>
      <c r="BJ115" s="40">
        <v>0.3</v>
      </c>
      <c r="BK115" s="40">
        <v>0.43</v>
      </c>
      <c r="BL115" s="40">
        <v>0.37</v>
      </c>
      <c r="BM115" s="12">
        <v>54</v>
      </c>
      <c r="BN115" s="12">
        <v>8</v>
      </c>
      <c r="BO115" s="66">
        <v>0.03</v>
      </c>
      <c r="BP115" s="66">
        <v>0.55000000000000004</v>
      </c>
      <c r="BQ115" s="66">
        <v>0.39</v>
      </c>
      <c r="BR115" s="66">
        <v>0.03</v>
      </c>
      <c r="BS115" s="66">
        <v>0.22</v>
      </c>
      <c r="BT115" s="66">
        <v>0.33</v>
      </c>
      <c r="BU115" s="66">
        <v>0.52</v>
      </c>
      <c r="BV115" s="66">
        <v>0.14000000000000001</v>
      </c>
      <c r="BW115" s="66">
        <v>0.65</v>
      </c>
      <c r="BX115" s="66">
        <v>0.28999999999999998</v>
      </c>
      <c r="BY115" s="66">
        <v>0.35</v>
      </c>
      <c r="BZ115" s="66">
        <v>0.44</v>
      </c>
      <c r="CA115" s="66">
        <v>0.31</v>
      </c>
      <c r="CB115" s="66">
        <v>0.27</v>
      </c>
      <c r="CC115" s="66">
        <v>0.1</v>
      </c>
      <c r="CD115" s="66">
        <v>0.26</v>
      </c>
      <c r="CE115" s="66">
        <v>0.28999999999999998</v>
      </c>
      <c r="CF115" s="66">
        <v>0.69</v>
      </c>
      <c r="CG115" s="66">
        <v>0.52</v>
      </c>
      <c r="CH115" s="66">
        <v>0.44</v>
      </c>
      <c r="CI115" s="66">
        <v>0.42</v>
      </c>
      <c r="CJ115" s="66">
        <v>0.35</v>
      </c>
      <c r="CK115" s="66">
        <v>0.6</v>
      </c>
      <c r="CL115" s="66">
        <v>0.28000000000000003</v>
      </c>
      <c r="CM115" s="66">
        <v>0.41</v>
      </c>
      <c r="CN115" s="66">
        <v>0.37</v>
      </c>
      <c r="CO115" s="66">
        <v>0.42</v>
      </c>
      <c r="CP115" s="66">
        <v>0.28999999999999998</v>
      </c>
      <c r="CQ115" s="66">
        <v>0.51</v>
      </c>
      <c r="CR115" s="66">
        <v>0.44</v>
      </c>
      <c r="CS115" s="12">
        <v>53</v>
      </c>
      <c r="CT115" s="12">
        <v>7</v>
      </c>
      <c r="CU115" s="63">
        <v>0</v>
      </c>
      <c r="CV115" s="63">
        <v>0.7</v>
      </c>
      <c r="CW115" s="63">
        <v>0.24</v>
      </c>
      <c r="CX115" s="63">
        <v>0.05</v>
      </c>
      <c r="CY115" s="63">
        <v>0.43</v>
      </c>
      <c r="CZ115" s="63">
        <v>0.23</v>
      </c>
      <c r="DA115" s="63">
        <v>0.5</v>
      </c>
      <c r="DB115" s="63">
        <v>0.28999999999999998</v>
      </c>
      <c r="DC115" s="63">
        <v>0.38</v>
      </c>
      <c r="DD115" s="63">
        <v>0.56000000000000005</v>
      </c>
      <c r="DE115" s="63">
        <v>0.43</v>
      </c>
      <c r="DF115" s="63">
        <v>0.42</v>
      </c>
      <c r="DG115" s="63">
        <v>0.39</v>
      </c>
      <c r="DH115" s="63">
        <v>0.26</v>
      </c>
      <c r="DI115" s="63">
        <v>0.45</v>
      </c>
      <c r="DJ115" s="63">
        <v>0.47</v>
      </c>
      <c r="DK115" s="63">
        <v>0.35</v>
      </c>
      <c r="DL115" s="63">
        <v>0.15</v>
      </c>
      <c r="DM115" s="63">
        <v>0.44</v>
      </c>
      <c r="DN115" s="63">
        <v>0.51</v>
      </c>
      <c r="DO115" s="63">
        <v>0.43</v>
      </c>
      <c r="DP115" s="63">
        <v>0.33</v>
      </c>
      <c r="DQ115" s="63">
        <v>0.55000000000000004</v>
      </c>
      <c r="DR115" s="63">
        <v>0.14000000000000001</v>
      </c>
      <c r="DS115" s="63">
        <v>0.4</v>
      </c>
      <c r="DT115" s="63">
        <v>0.39</v>
      </c>
      <c r="DU115" s="63">
        <v>0.47</v>
      </c>
      <c r="DV115" s="63">
        <v>0.61</v>
      </c>
      <c r="DW115" s="63">
        <v>0.24</v>
      </c>
      <c r="DX115" s="35">
        <v>53</v>
      </c>
      <c r="DY115" s="35">
        <v>9</v>
      </c>
      <c r="DZ115" s="40">
        <v>7.0000000000000007E-2</v>
      </c>
      <c r="EA115" s="40">
        <v>0.56000000000000005</v>
      </c>
      <c r="EB115" s="40">
        <v>0.33</v>
      </c>
      <c r="EC115" s="40">
        <v>0.04</v>
      </c>
      <c r="ED115" s="40">
        <v>0.47</v>
      </c>
      <c r="EE115" s="40">
        <v>0.45</v>
      </c>
      <c r="EF115" s="40">
        <v>0.47</v>
      </c>
      <c r="EG115" s="40">
        <v>0.52</v>
      </c>
      <c r="EH115" s="40">
        <v>0.38</v>
      </c>
      <c r="EI115" s="40">
        <v>0.37</v>
      </c>
      <c r="EJ115" s="40">
        <v>0.43</v>
      </c>
      <c r="EK115" s="40">
        <v>0.15</v>
      </c>
      <c r="EL115" s="40">
        <v>0.41</v>
      </c>
      <c r="EM115" s="40">
        <v>0.59</v>
      </c>
      <c r="EN115" s="40">
        <v>0.32</v>
      </c>
      <c r="EO115" s="40">
        <v>0.56000000000000005</v>
      </c>
      <c r="EP115" s="40">
        <v>0.27</v>
      </c>
      <c r="EQ115" s="40">
        <v>0.2</v>
      </c>
      <c r="ER115" s="40">
        <v>0.47</v>
      </c>
      <c r="ES115" s="40">
        <v>0.46</v>
      </c>
      <c r="ET115" s="40">
        <v>0.35</v>
      </c>
      <c r="EU115" s="40">
        <v>0.61</v>
      </c>
      <c r="EV115" s="40">
        <v>0.39</v>
      </c>
      <c r="EW115" s="40">
        <v>0.28000000000000003</v>
      </c>
      <c r="EX115" s="40">
        <v>0.62</v>
      </c>
      <c r="EY115" s="40">
        <v>0.53</v>
      </c>
      <c r="EZ115" s="40">
        <v>0.05</v>
      </c>
      <c r="FA115" s="40">
        <v>0.56000000000000005</v>
      </c>
      <c r="FB115" s="247">
        <v>52</v>
      </c>
      <c r="FC115" s="247" t="s">
        <v>874</v>
      </c>
      <c r="FD115" s="247">
        <v>8</v>
      </c>
      <c r="FE115" s="247" t="s">
        <v>874</v>
      </c>
      <c r="FF115" s="264">
        <v>7.0000000000000007E-2</v>
      </c>
      <c r="FG115" s="264">
        <v>0.56999999999999995</v>
      </c>
      <c r="FH115" s="264">
        <v>0.36</v>
      </c>
      <c r="FI115" s="264">
        <v>0</v>
      </c>
      <c r="FJ115" s="264">
        <v>0.41</v>
      </c>
      <c r="FK115" s="264">
        <v>0.59</v>
      </c>
      <c r="FL115" s="264">
        <v>0.46</v>
      </c>
      <c r="FM115" s="264">
        <v>0.36</v>
      </c>
      <c r="FN115" s="264">
        <v>0.2</v>
      </c>
      <c r="FO115" s="264">
        <v>0.25</v>
      </c>
      <c r="FP115" s="264">
        <v>0.3</v>
      </c>
      <c r="FQ115" s="264">
        <v>0.37</v>
      </c>
      <c r="FR115" s="264">
        <v>0.57999999999999996</v>
      </c>
      <c r="FS115" s="264">
        <v>0.38</v>
      </c>
      <c r="FT115" s="264">
        <v>0.51</v>
      </c>
      <c r="FU115" s="264">
        <v>0.35</v>
      </c>
      <c r="FV115" s="264">
        <v>0.5</v>
      </c>
      <c r="FW115" s="264">
        <v>0.45</v>
      </c>
      <c r="FX115" s="264">
        <v>0.46</v>
      </c>
      <c r="FY115" s="264">
        <v>0.26</v>
      </c>
      <c r="FZ115" s="264">
        <v>0.36</v>
      </c>
      <c r="GA115" s="264">
        <v>0.42</v>
      </c>
      <c r="GB115" s="264">
        <v>0.59</v>
      </c>
      <c r="GC115" s="264">
        <v>0.46</v>
      </c>
      <c r="GD115" s="264">
        <v>0.57999999999999996</v>
      </c>
      <c r="GE115" s="264">
        <v>0.47</v>
      </c>
      <c r="GF115" s="264">
        <v>0.46</v>
      </c>
      <c r="GG115" s="264">
        <v>0.41</v>
      </c>
      <c r="GH115" s="264">
        <v>0.46</v>
      </c>
      <c r="GI115" s="264">
        <v>0.25</v>
      </c>
      <c r="GJ115" s="311">
        <v>52</v>
      </c>
      <c r="GK115" s="311" t="s">
        <v>874</v>
      </c>
      <c r="GL115" s="311">
        <v>9</v>
      </c>
      <c r="GM115" s="311" t="s">
        <v>874</v>
      </c>
      <c r="GN115" s="329">
        <v>0.15</v>
      </c>
      <c r="GO115" s="329">
        <v>0.46</v>
      </c>
      <c r="GP115" s="329">
        <v>0.37</v>
      </c>
      <c r="GQ115" s="329">
        <v>0.03</v>
      </c>
      <c r="GR115" s="329">
        <v>0.48</v>
      </c>
      <c r="GS115" s="329">
        <v>0.54</v>
      </c>
      <c r="GT115" s="329">
        <v>0.56999999999999995</v>
      </c>
      <c r="GU115" s="329">
        <v>0.1</v>
      </c>
      <c r="GV115" s="329">
        <v>0.56000000000000005</v>
      </c>
      <c r="GW115" s="329">
        <v>0.48</v>
      </c>
      <c r="GX115" s="329">
        <v>0.53</v>
      </c>
      <c r="GY115" s="311" t="s">
        <v>283</v>
      </c>
      <c r="GZ115" s="329">
        <v>0.31</v>
      </c>
      <c r="HA115" s="329">
        <v>0.68</v>
      </c>
      <c r="HB115" s="329">
        <v>0.48</v>
      </c>
      <c r="HC115" s="329">
        <v>0.55000000000000004</v>
      </c>
      <c r="HD115" s="329">
        <v>0.55000000000000004</v>
      </c>
      <c r="HE115" s="329">
        <v>0.44</v>
      </c>
      <c r="HF115" s="329">
        <v>0.42</v>
      </c>
      <c r="HG115" s="329">
        <v>0.64</v>
      </c>
      <c r="HH115" s="329">
        <v>0.38</v>
      </c>
      <c r="HI115" s="329">
        <v>0.5</v>
      </c>
      <c r="HJ115" s="329">
        <v>0.54</v>
      </c>
      <c r="HK115" s="329">
        <v>0.46</v>
      </c>
      <c r="HL115" s="329">
        <v>0.38</v>
      </c>
      <c r="HM115" s="329">
        <v>0.45</v>
      </c>
      <c r="HN115" s="329">
        <v>0.46</v>
      </c>
      <c r="HO115" s="329">
        <v>0.4</v>
      </c>
      <c r="HP115" s="311" t="s">
        <v>283</v>
      </c>
      <c r="HQ115" s="329">
        <v>0.44</v>
      </c>
      <c r="HR115" s="426">
        <v>56</v>
      </c>
      <c r="HS115" s="426" t="s">
        <v>874</v>
      </c>
      <c r="HT115" s="426">
        <v>8</v>
      </c>
      <c r="HU115" s="426" t="s">
        <v>874</v>
      </c>
      <c r="HV115" s="430">
        <v>0.04</v>
      </c>
      <c r="HW115" s="430">
        <v>0.5</v>
      </c>
      <c r="HX115" s="430">
        <v>0.41</v>
      </c>
      <c r="HY115" s="430">
        <v>0.06</v>
      </c>
      <c r="HZ115" s="430">
        <v>0.38</v>
      </c>
      <c r="IA115" s="430">
        <v>0.42</v>
      </c>
      <c r="IB115" s="430">
        <v>0.22</v>
      </c>
      <c r="IC115" s="430">
        <v>0.39</v>
      </c>
      <c r="ID115" s="430">
        <v>0.51</v>
      </c>
      <c r="IE115" s="430">
        <v>0.25</v>
      </c>
      <c r="IF115" s="430">
        <v>0.35</v>
      </c>
      <c r="IG115" s="430">
        <v>0.47</v>
      </c>
      <c r="IH115" s="430">
        <v>0.48</v>
      </c>
      <c r="II115" s="430">
        <v>0.19</v>
      </c>
      <c r="IJ115" s="430">
        <v>0.24</v>
      </c>
      <c r="IK115" s="430">
        <v>0.54</v>
      </c>
      <c r="IL115" s="430">
        <v>0.37</v>
      </c>
      <c r="IM115" s="430">
        <v>0.48</v>
      </c>
      <c r="IN115" s="430">
        <v>0.3</v>
      </c>
      <c r="IO115" s="430">
        <v>0.46</v>
      </c>
      <c r="IP115" s="430">
        <v>0.42</v>
      </c>
      <c r="IQ115" s="430">
        <v>0.61</v>
      </c>
      <c r="IR115" s="430">
        <v>0.56000000000000005</v>
      </c>
      <c r="IS115" s="430">
        <v>0.47</v>
      </c>
      <c r="IT115" s="430">
        <v>0.28999999999999998</v>
      </c>
      <c r="IU115" s="426" t="s">
        <v>283</v>
      </c>
      <c r="IV115" s="430">
        <v>0.49</v>
      </c>
      <c r="IW115" s="430">
        <v>0.32</v>
      </c>
      <c r="IX115" s="430">
        <v>0.39</v>
      </c>
      <c r="IY115" s="430">
        <v>0.41</v>
      </c>
      <c r="IZ115" s="466">
        <v>52</v>
      </c>
      <c r="JA115" s="466" t="s">
        <v>874</v>
      </c>
      <c r="JB115" s="466">
        <v>8</v>
      </c>
      <c r="JC115" s="466" t="s">
        <v>874</v>
      </c>
      <c r="JD115" s="480">
        <v>0.04</v>
      </c>
      <c r="JE115" s="480">
        <v>0.64</v>
      </c>
      <c r="JF115" s="480">
        <v>0.3</v>
      </c>
      <c r="JG115" s="480">
        <v>0.02</v>
      </c>
      <c r="JH115" s="480">
        <v>0.47</v>
      </c>
      <c r="JI115" s="480">
        <v>0.38</v>
      </c>
      <c r="JJ115" s="480">
        <v>0.5</v>
      </c>
      <c r="JK115" s="480">
        <v>0.52</v>
      </c>
      <c r="JL115" s="480">
        <v>0.47</v>
      </c>
      <c r="JM115" s="480">
        <v>0.47</v>
      </c>
      <c r="JN115" s="480">
        <v>0.52</v>
      </c>
      <c r="JO115" s="480">
        <v>0.46</v>
      </c>
      <c r="JP115" s="480">
        <v>0.53</v>
      </c>
      <c r="JQ115" s="480">
        <v>0.18</v>
      </c>
      <c r="JR115" s="480">
        <v>0.54</v>
      </c>
      <c r="JS115" s="480">
        <v>0.56999999999999995</v>
      </c>
      <c r="JT115" s="480">
        <v>0.43</v>
      </c>
      <c r="JU115" s="480">
        <v>0.53</v>
      </c>
      <c r="JV115" s="480">
        <v>0.45</v>
      </c>
      <c r="JW115" s="480">
        <v>0.44</v>
      </c>
      <c r="JX115" s="480">
        <v>0.39</v>
      </c>
      <c r="JY115" s="480">
        <v>0.51</v>
      </c>
      <c r="JZ115" s="480">
        <v>0.52</v>
      </c>
      <c r="KA115" s="480">
        <v>0.79</v>
      </c>
      <c r="KB115" s="480">
        <v>0.49</v>
      </c>
      <c r="KC115" s="480">
        <v>0.76</v>
      </c>
      <c r="KD115" s="480">
        <v>0.31</v>
      </c>
      <c r="KE115" s="480">
        <v>0.48</v>
      </c>
      <c r="KF115" s="480">
        <v>0.46</v>
      </c>
      <c r="KG115" s="480">
        <v>0.5</v>
      </c>
    </row>
    <row r="116" spans="1:293" ht="24.95" customHeight="1" x14ac:dyDescent="0.2">
      <c r="A116" s="126" t="s">
        <v>88</v>
      </c>
      <c r="B116" s="1" t="s">
        <v>219</v>
      </c>
      <c r="C116" s="2">
        <v>2</v>
      </c>
      <c r="D116" s="12">
        <v>53</v>
      </c>
      <c r="E116" s="12">
        <v>7</v>
      </c>
      <c r="F116" s="66">
        <v>0.06</v>
      </c>
      <c r="G116" s="66">
        <v>0.61</v>
      </c>
      <c r="H116" s="66">
        <v>0.33</v>
      </c>
      <c r="I116" s="66">
        <v>0</v>
      </c>
      <c r="J116" s="66">
        <v>0.46</v>
      </c>
      <c r="K116" s="66">
        <v>0.44</v>
      </c>
      <c r="L116" s="66">
        <v>0.71</v>
      </c>
      <c r="M116" s="66">
        <v>0.23</v>
      </c>
      <c r="N116" s="66">
        <v>0.28999999999999998</v>
      </c>
      <c r="O116" s="66">
        <v>0.66</v>
      </c>
      <c r="P116" s="66">
        <v>0.35</v>
      </c>
      <c r="Q116" s="66">
        <v>0.4</v>
      </c>
      <c r="R116" s="66">
        <v>0.62</v>
      </c>
      <c r="S116" s="66">
        <v>0.61</v>
      </c>
      <c r="T116" s="66">
        <v>0.46</v>
      </c>
      <c r="U116" s="66">
        <v>0.56999999999999995</v>
      </c>
      <c r="V116" s="66">
        <v>0.06</v>
      </c>
      <c r="W116" s="66">
        <v>0.12</v>
      </c>
      <c r="X116" s="66">
        <v>0.47</v>
      </c>
      <c r="Y116" s="66">
        <v>0.54</v>
      </c>
      <c r="Z116" s="66">
        <v>0.75</v>
      </c>
      <c r="AA116" s="66">
        <v>0.1</v>
      </c>
      <c r="AB116" s="66">
        <v>0.45</v>
      </c>
      <c r="AC116" s="66">
        <v>0.21</v>
      </c>
      <c r="AD116" s="66">
        <v>0.45</v>
      </c>
      <c r="AE116" s="66">
        <v>0.5</v>
      </c>
      <c r="AF116" s="66">
        <v>0.57999999999999996</v>
      </c>
      <c r="AG116" s="66">
        <v>0.51</v>
      </c>
      <c r="AH116" s="12">
        <v>53</v>
      </c>
      <c r="AI116" s="12">
        <v>8</v>
      </c>
      <c r="AJ116" s="40">
        <v>7.0000000000000007E-2</v>
      </c>
      <c r="AK116" s="40">
        <v>0.54</v>
      </c>
      <c r="AL116" s="40">
        <v>0.38</v>
      </c>
      <c r="AM116" s="40">
        <v>0.01</v>
      </c>
      <c r="AN116" s="40">
        <v>0.28000000000000003</v>
      </c>
      <c r="AO116" s="40">
        <v>0.45</v>
      </c>
      <c r="AP116" s="40">
        <v>0.56999999999999995</v>
      </c>
      <c r="AQ116" s="40">
        <v>0.36</v>
      </c>
      <c r="AR116" s="40">
        <v>0.53</v>
      </c>
      <c r="AS116" s="40">
        <v>0.49</v>
      </c>
      <c r="AT116" s="40">
        <v>0.52</v>
      </c>
      <c r="AU116" s="40">
        <v>0.51</v>
      </c>
      <c r="AV116" s="40">
        <v>0.56999999999999995</v>
      </c>
      <c r="AW116" s="40">
        <v>0.46</v>
      </c>
      <c r="AX116" s="40">
        <v>0.6</v>
      </c>
      <c r="AY116" s="40">
        <v>0.28000000000000003</v>
      </c>
      <c r="AZ116" s="40">
        <v>0.3</v>
      </c>
      <c r="BA116" s="40">
        <v>0.5</v>
      </c>
      <c r="BB116" s="40">
        <v>0.6</v>
      </c>
      <c r="BC116" s="40">
        <v>0.64</v>
      </c>
      <c r="BD116" s="40">
        <v>0.38</v>
      </c>
      <c r="BE116" s="40">
        <v>0.48</v>
      </c>
      <c r="BF116" s="40">
        <v>0.61</v>
      </c>
      <c r="BG116" s="40">
        <v>0.48</v>
      </c>
      <c r="BH116" s="40">
        <v>0.43</v>
      </c>
      <c r="BI116" s="40">
        <v>0.36</v>
      </c>
      <c r="BJ116" s="40">
        <v>0.35</v>
      </c>
      <c r="BK116" s="40">
        <v>0.41</v>
      </c>
      <c r="BL116" s="40">
        <v>0.43</v>
      </c>
      <c r="BM116" s="12">
        <v>50</v>
      </c>
      <c r="BN116" s="12">
        <v>9</v>
      </c>
      <c r="BO116" s="66">
        <v>0.17</v>
      </c>
      <c r="BP116" s="66">
        <v>0.56999999999999995</v>
      </c>
      <c r="BQ116" s="66">
        <v>0.26</v>
      </c>
      <c r="BR116" s="66">
        <v>0</v>
      </c>
      <c r="BS116" s="66">
        <v>0.42</v>
      </c>
      <c r="BT116" s="66">
        <v>0.5</v>
      </c>
      <c r="BU116" s="66">
        <v>0.63</v>
      </c>
      <c r="BV116" s="66">
        <v>0.36</v>
      </c>
      <c r="BW116" s="66">
        <v>0.66</v>
      </c>
      <c r="BX116" s="66">
        <v>0.41</v>
      </c>
      <c r="BY116" s="66">
        <v>0.44</v>
      </c>
      <c r="BZ116" s="66">
        <v>0.53</v>
      </c>
      <c r="CA116" s="66">
        <v>0.46</v>
      </c>
      <c r="CB116" s="66">
        <v>0.32</v>
      </c>
      <c r="CC116" s="66">
        <v>0.27</v>
      </c>
      <c r="CD116" s="66">
        <v>0.42</v>
      </c>
      <c r="CE116" s="66">
        <v>0.35</v>
      </c>
      <c r="CF116" s="66">
        <v>0.6</v>
      </c>
      <c r="CG116" s="66">
        <v>0.56999999999999995</v>
      </c>
      <c r="CH116" s="66">
        <v>0.44</v>
      </c>
      <c r="CI116" s="66">
        <v>0.57999999999999996</v>
      </c>
      <c r="CJ116" s="66">
        <v>0.38</v>
      </c>
      <c r="CK116" s="66">
        <v>0.66</v>
      </c>
      <c r="CL116" s="66">
        <v>0.33</v>
      </c>
      <c r="CM116" s="66">
        <v>0.49</v>
      </c>
      <c r="CN116" s="66">
        <v>0.46</v>
      </c>
      <c r="CO116" s="66">
        <v>0.46</v>
      </c>
      <c r="CP116" s="66">
        <v>0.4</v>
      </c>
      <c r="CQ116" s="66">
        <v>0.56999999999999995</v>
      </c>
      <c r="CR116" s="66">
        <v>0.55000000000000004</v>
      </c>
      <c r="CS116" s="12">
        <v>48</v>
      </c>
      <c r="CT116" s="12">
        <v>9</v>
      </c>
      <c r="CU116" s="63">
        <v>0.19</v>
      </c>
      <c r="CV116" s="63">
        <v>0.6</v>
      </c>
      <c r="CW116" s="63">
        <v>0.21</v>
      </c>
      <c r="CX116" s="63">
        <v>0</v>
      </c>
      <c r="CY116" s="63">
        <v>0.55000000000000004</v>
      </c>
      <c r="CZ116" s="63">
        <v>0.34</v>
      </c>
      <c r="DA116" s="63">
        <v>0.56999999999999995</v>
      </c>
      <c r="DB116" s="63">
        <v>0.37</v>
      </c>
      <c r="DC116" s="63">
        <v>0.52</v>
      </c>
      <c r="DD116" s="63">
        <v>0.61</v>
      </c>
      <c r="DE116" s="63">
        <v>0.51</v>
      </c>
      <c r="DF116" s="63">
        <v>0.55000000000000004</v>
      </c>
      <c r="DG116" s="63">
        <v>0.47</v>
      </c>
      <c r="DH116" s="63">
        <v>0.39</v>
      </c>
      <c r="DI116" s="63">
        <v>0.56999999999999995</v>
      </c>
      <c r="DJ116" s="63">
        <v>0.56000000000000005</v>
      </c>
      <c r="DK116" s="63">
        <v>0.37</v>
      </c>
      <c r="DL116" s="63">
        <v>0.38</v>
      </c>
      <c r="DM116" s="63">
        <v>0.52</v>
      </c>
      <c r="DN116" s="63">
        <v>0.54</v>
      </c>
      <c r="DO116" s="63">
        <v>0.42</v>
      </c>
      <c r="DP116" s="63">
        <v>0.46</v>
      </c>
      <c r="DQ116" s="63">
        <v>0.59</v>
      </c>
      <c r="DR116" s="63">
        <v>0.22</v>
      </c>
      <c r="DS116" s="63">
        <v>0.4</v>
      </c>
      <c r="DT116" s="63">
        <v>0.51</v>
      </c>
      <c r="DU116" s="63">
        <v>0.56000000000000005</v>
      </c>
      <c r="DV116" s="63">
        <v>0.65</v>
      </c>
      <c r="DW116" s="63">
        <v>0.33</v>
      </c>
      <c r="DX116" s="35">
        <v>49</v>
      </c>
      <c r="DY116" s="35">
        <v>8</v>
      </c>
      <c r="DZ116" s="40">
        <v>0.18</v>
      </c>
      <c r="EA116" s="40">
        <v>0.57999999999999996</v>
      </c>
      <c r="EB116" s="40">
        <v>0.23</v>
      </c>
      <c r="EC116" s="40">
        <v>0.01</v>
      </c>
      <c r="ED116" s="40">
        <v>0.52</v>
      </c>
      <c r="EE116" s="40">
        <v>0.46</v>
      </c>
      <c r="EF116" s="40">
        <v>0.57999999999999996</v>
      </c>
      <c r="EG116" s="40">
        <v>0.33</v>
      </c>
      <c r="EH116" s="40">
        <v>0.47</v>
      </c>
      <c r="EI116" s="40">
        <v>0.49</v>
      </c>
      <c r="EJ116" s="40">
        <v>0.59</v>
      </c>
      <c r="EK116" s="40">
        <v>0.32</v>
      </c>
      <c r="EL116" s="40">
        <v>0.49</v>
      </c>
      <c r="EM116" s="40">
        <v>0.66</v>
      </c>
      <c r="EN116" s="40">
        <v>0.47</v>
      </c>
      <c r="EO116" s="40">
        <v>0.59</v>
      </c>
      <c r="EP116" s="40">
        <v>0.39</v>
      </c>
      <c r="EQ116" s="40">
        <v>0.27</v>
      </c>
      <c r="ER116" s="40">
        <v>0.63</v>
      </c>
      <c r="ES116" s="40">
        <v>0.49</v>
      </c>
      <c r="ET116" s="40">
        <v>0.33</v>
      </c>
      <c r="EU116" s="40">
        <v>0.6</v>
      </c>
      <c r="EV116" s="40">
        <v>0.37</v>
      </c>
      <c r="EW116" s="40">
        <v>0.32</v>
      </c>
      <c r="EX116" s="40">
        <v>0.71</v>
      </c>
      <c r="EY116" s="40">
        <v>0.59</v>
      </c>
      <c r="EZ116" s="40">
        <v>0.25</v>
      </c>
      <c r="FA116" s="40">
        <v>0.59</v>
      </c>
      <c r="FB116" s="247">
        <v>48</v>
      </c>
      <c r="FC116" s="247" t="s">
        <v>874</v>
      </c>
      <c r="FD116" s="247">
        <v>7</v>
      </c>
      <c r="FE116" s="247" t="s">
        <v>874</v>
      </c>
      <c r="FF116" s="264">
        <v>0.18</v>
      </c>
      <c r="FG116" s="264">
        <v>0.64</v>
      </c>
      <c r="FH116" s="264">
        <v>0.19</v>
      </c>
      <c r="FI116" s="264">
        <v>0</v>
      </c>
      <c r="FJ116" s="264">
        <v>0.49</v>
      </c>
      <c r="FK116" s="264">
        <v>0.67</v>
      </c>
      <c r="FL116" s="264">
        <v>0.51</v>
      </c>
      <c r="FM116" s="264">
        <v>0.47</v>
      </c>
      <c r="FN116" s="264">
        <v>0.28999999999999998</v>
      </c>
      <c r="FO116" s="264">
        <v>0.37</v>
      </c>
      <c r="FP116" s="264">
        <v>0.43</v>
      </c>
      <c r="FQ116" s="264">
        <v>0.42</v>
      </c>
      <c r="FR116" s="264">
        <v>0.61</v>
      </c>
      <c r="FS116" s="264">
        <v>0.55000000000000004</v>
      </c>
      <c r="FT116" s="264">
        <v>0.51</v>
      </c>
      <c r="FU116" s="264">
        <v>0.45</v>
      </c>
      <c r="FV116" s="264">
        <v>0.7</v>
      </c>
      <c r="FW116" s="264">
        <v>0.56999999999999995</v>
      </c>
      <c r="FX116" s="264">
        <v>0.52</v>
      </c>
      <c r="FY116" s="264">
        <v>0.43</v>
      </c>
      <c r="FZ116" s="264">
        <v>0.41</v>
      </c>
      <c r="GA116" s="264">
        <v>0.52</v>
      </c>
      <c r="GB116" s="264">
        <v>0.57999999999999996</v>
      </c>
      <c r="GC116" s="264">
        <v>0.51</v>
      </c>
      <c r="GD116" s="264">
        <v>0.65</v>
      </c>
      <c r="GE116" s="264">
        <v>0.6</v>
      </c>
      <c r="GF116" s="264">
        <v>0.53</v>
      </c>
      <c r="GG116" s="264">
        <v>0.46</v>
      </c>
      <c r="GH116" s="264">
        <v>0.62</v>
      </c>
      <c r="GI116" s="264">
        <v>0.33</v>
      </c>
      <c r="GJ116" s="311">
        <v>48</v>
      </c>
      <c r="GK116" s="311" t="s">
        <v>874</v>
      </c>
      <c r="GL116" s="311">
        <v>9</v>
      </c>
      <c r="GM116" s="311" t="s">
        <v>874</v>
      </c>
      <c r="GN116" s="329">
        <v>0.19</v>
      </c>
      <c r="GO116" s="329">
        <v>0.61</v>
      </c>
      <c r="GP116" s="329">
        <v>0.2</v>
      </c>
      <c r="GQ116" s="329">
        <v>0</v>
      </c>
      <c r="GR116" s="329">
        <v>0.54</v>
      </c>
      <c r="GS116" s="329">
        <v>0.57999999999999996</v>
      </c>
      <c r="GT116" s="329">
        <v>0.64</v>
      </c>
      <c r="GU116" s="329">
        <v>0.28999999999999998</v>
      </c>
      <c r="GV116" s="329">
        <v>0.61</v>
      </c>
      <c r="GW116" s="329">
        <v>0.54</v>
      </c>
      <c r="GX116" s="329">
        <v>0.5</v>
      </c>
      <c r="GY116" s="311" t="s">
        <v>283</v>
      </c>
      <c r="GZ116" s="329">
        <v>0.36</v>
      </c>
      <c r="HA116" s="329">
        <v>0.72</v>
      </c>
      <c r="HB116" s="329">
        <v>0.54</v>
      </c>
      <c r="HC116" s="329">
        <v>0.59</v>
      </c>
      <c r="HD116" s="329">
        <v>0.63</v>
      </c>
      <c r="HE116" s="329">
        <v>0.53</v>
      </c>
      <c r="HF116" s="329">
        <v>0.53</v>
      </c>
      <c r="HG116" s="329">
        <v>0.69</v>
      </c>
      <c r="HH116" s="329">
        <v>0.47</v>
      </c>
      <c r="HI116" s="329">
        <v>0.54</v>
      </c>
      <c r="HJ116" s="329">
        <v>0.64</v>
      </c>
      <c r="HK116" s="329">
        <v>0.54</v>
      </c>
      <c r="HL116" s="329">
        <v>0.44</v>
      </c>
      <c r="HM116" s="329">
        <v>0.47</v>
      </c>
      <c r="HN116" s="329">
        <v>0.52</v>
      </c>
      <c r="HO116" s="329">
        <v>0.49</v>
      </c>
      <c r="HP116" s="311" t="s">
        <v>283</v>
      </c>
      <c r="HQ116" s="329">
        <v>0.49</v>
      </c>
      <c r="HR116" s="426">
        <v>50</v>
      </c>
      <c r="HS116" s="426" t="s">
        <v>874</v>
      </c>
      <c r="HT116" s="426">
        <v>8</v>
      </c>
      <c r="HU116" s="426" t="s">
        <v>874</v>
      </c>
      <c r="HV116" s="430">
        <v>0.11</v>
      </c>
      <c r="HW116" s="430">
        <v>0.63</v>
      </c>
      <c r="HX116" s="430">
        <v>0.25</v>
      </c>
      <c r="HY116" s="430">
        <v>0.01</v>
      </c>
      <c r="HZ116" s="430">
        <v>0.44</v>
      </c>
      <c r="IA116" s="430">
        <v>0.54</v>
      </c>
      <c r="IB116" s="430">
        <v>0.4</v>
      </c>
      <c r="IC116" s="430">
        <v>0.54</v>
      </c>
      <c r="ID116" s="430">
        <v>0.64</v>
      </c>
      <c r="IE116" s="430">
        <v>0.37</v>
      </c>
      <c r="IF116" s="430">
        <v>0.45</v>
      </c>
      <c r="IG116" s="430">
        <v>0.57999999999999996</v>
      </c>
      <c r="IH116" s="430">
        <v>0.54</v>
      </c>
      <c r="II116" s="430">
        <v>0.32</v>
      </c>
      <c r="IJ116" s="430">
        <v>0.28999999999999998</v>
      </c>
      <c r="IK116" s="430">
        <v>0.61</v>
      </c>
      <c r="IL116" s="430">
        <v>0.35</v>
      </c>
      <c r="IM116" s="430">
        <v>0.57999999999999996</v>
      </c>
      <c r="IN116" s="430">
        <v>0.46</v>
      </c>
      <c r="IO116" s="430">
        <v>0.55000000000000004</v>
      </c>
      <c r="IP116" s="430">
        <v>0.41</v>
      </c>
      <c r="IQ116" s="430">
        <v>0.66</v>
      </c>
      <c r="IR116" s="430">
        <v>0.57999999999999996</v>
      </c>
      <c r="IS116" s="430">
        <v>0.56000000000000005</v>
      </c>
      <c r="IT116" s="430">
        <v>0.46</v>
      </c>
      <c r="IU116" s="426" t="s">
        <v>283</v>
      </c>
      <c r="IV116" s="430">
        <v>0.64</v>
      </c>
      <c r="IW116" s="430">
        <v>0.41</v>
      </c>
      <c r="IX116" s="430">
        <v>0.46</v>
      </c>
      <c r="IY116" s="430">
        <v>0.53</v>
      </c>
      <c r="IZ116" s="466">
        <v>51</v>
      </c>
      <c r="JA116" s="466" t="s">
        <v>874</v>
      </c>
      <c r="JB116" s="466">
        <v>9</v>
      </c>
      <c r="JC116" s="466" t="s">
        <v>874</v>
      </c>
      <c r="JD116" s="480">
        <v>0.13</v>
      </c>
      <c r="JE116" s="480">
        <v>0.55000000000000004</v>
      </c>
      <c r="JF116" s="480">
        <v>0.31</v>
      </c>
      <c r="JG116" s="480">
        <v>0.01</v>
      </c>
      <c r="JH116" s="480">
        <v>0.47</v>
      </c>
      <c r="JI116" s="480">
        <v>0.44</v>
      </c>
      <c r="JJ116" s="480">
        <v>0.43</v>
      </c>
      <c r="JK116" s="480">
        <v>0.47</v>
      </c>
      <c r="JL116" s="480">
        <v>0.49</v>
      </c>
      <c r="JM116" s="480">
        <v>0.49</v>
      </c>
      <c r="JN116" s="480">
        <v>0.41</v>
      </c>
      <c r="JO116" s="480">
        <v>0.49</v>
      </c>
      <c r="JP116" s="480">
        <v>0.59</v>
      </c>
      <c r="JQ116" s="480">
        <v>0.3</v>
      </c>
      <c r="JR116" s="480">
        <v>0.59</v>
      </c>
      <c r="JS116" s="480">
        <v>0.59</v>
      </c>
      <c r="JT116" s="480">
        <v>0.43</v>
      </c>
      <c r="JU116" s="480">
        <v>0.5</v>
      </c>
      <c r="JV116" s="480">
        <v>0.49</v>
      </c>
      <c r="JW116" s="480">
        <v>0.45</v>
      </c>
      <c r="JX116" s="480">
        <v>0.42</v>
      </c>
      <c r="JY116" s="480">
        <v>0.47</v>
      </c>
      <c r="JZ116" s="480">
        <v>0.47</v>
      </c>
      <c r="KA116" s="480">
        <v>0.65</v>
      </c>
      <c r="KB116" s="480">
        <v>0.45</v>
      </c>
      <c r="KC116" s="480">
        <v>0.65</v>
      </c>
      <c r="KD116" s="480">
        <v>0.34</v>
      </c>
      <c r="KE116" s="480">
        <v>0.5</v>
      </c>
      <c r="KF116" s="480">
        <v>0.45</v>
      </c>
      <c r="KG116" s="480">
        <v>0.54</v>
      </c>
    </row>
    <row r="117" spans="1:293" ht="24.95" customHeight="1" x14ac:dyDescent="0.2">
      <c r="A117" s="126" t="s">
        <v>1096</v>
      </c>
      <c r="B117" s="1" t="s">
        <v>219</v>
      </c>
      <c r="C117" s="2">
        <v>4</v>
      </c>
      <c r="D117" s="12">
        <v>54</v>
      </c>
      <c r="E117" s="12">
        <v>8</v>
      </c>
      <c r="F117" s="66">
        <v>0.06</v>
      </c>
      <c r="G117" s="66">
        <v>0.5</v>
      </c>
      <c r="H117" s="66">
        <v>0.42</v>
      </c>
      <c r="I117" s="66">
        <v>0.02</v>
      </c>
      <c r="J117" s="66">
        <v>0.31</v>
      </c>
      <c r="K117" s="66">
        <v>0.34</v>
      </c>
      <c r="L117" s="66">
        <v>0.61</v>
      </c>
      <c r="M117" s="66">
        <v>0.19</v>
      </c>
      <c r="N117" s="66">
        <v>0.3</v>
      </c>
      <c r="O117" s="66">
        <v>0.63</v>
      </c>
      <c r="P117" s="66">
        <v>0.36</v>
      </c>
      <c r="Q117" s="66">
        <v>0.45</v>
      </c>
      <c r="R117" s="66">
        <v>0.52</v>
      </c>
      <c r="S117" s="66">
        <v>0.59</v>
      </c>
      <c r="T117" s="66">
        <v>0.42</v>
      </c>
      <c r="U117" s="66">
        <v>0.66</v>
      </c>
      <c r="V117" s="66">
        <v>0.08</v>
      </c>
      <c r="W117" s="66">
        <v>0.14000000000000001</v>
      </c>
      <c r="X117" s="66">
        <v>0.48</v>
      </c>
      <c r="Y117" s="66">
        <v>0.44</v>
      </c>
      <c r="Z117" s="66">
        <v>0.6</v>
      </c>
      <c r="AA117" s="66">
        <v>0.08</v>
      </c>
      <c r="AB117" s="66">
        <v>0.4</v>
      </c>
      <c r="AC117" s="66">
        <v>0.24</v>
      </c>
      <c r="AD117" s="66">
        <v>0.42</v>
      </c>
      <c r="AE117" s="66">
        <v>0.34</v>
      </c>
      <c r="AF117" s="66">
        <v>0.49</v>
      </c>
      <c r="AG117" s="66">
        <v>0.52</v>
      </c>
      <c r="AH117" s="12">
        <v>54</v>
      </c>
      <c r="AI117" s="12">
        <v>9</v>
      </c>
      <c r="AJ117" s="40">
        <v>0.1</v>
      </c>
      <c r="AK117" s="40">
        <v>0.54</v>
      </c>
      <c r="AL117" s="40">
        <v>0.34</v>
      </c>
      <c r="AM117" s="40">
        <v>0.02</v>
      </c>
      <c r="AN117" s="40">
        <v>0.25</v>
      </c>
      <c r="AO117" s="40">
        <v>0.43</v>
      </c>
      <c r="AP117" s="40">
        <v>0.51</v>
      </c>
      <c r="AQ117" s="40">
        <v>0.36</v>
      </c>
      <c r="AR117" s="40">
        <v>0.56000000000000005</v>
      </c>
      <c r="AS117" s="40">
        <v>0.48</v>
      </c>
      <c r="AT117" s="40">
        <v>0.46</v>
      </c>
      <c r="AU117" s="40">
        <v>0.52</v>
      </c>
      <c r="AV117" s="40">
        <v>0.59</v>
      </c>
      <c r="AW117" s="40">
        <v>0.38</v>
      </c>
      <c r="AX117" s="40">
        <v>0.57999999999999996</v>
      </c>
      <c r="AY117" s="40">
        <v>0.28000000000000003</v>
      </c>
      <c r="AZ117" s="40">
        <v>0.24</v>
      </c>
      <c r="BA117" s="40">
        <v>0.49</v>
      </c>
      <c r="BB117" s="40">
        <v>0.64</v>
      </c>
      <c r="BC117" s="40">
        <v>0.64</v>
      </c>
      <c r="BD117" s="40">
        <v>0.37</v>
      </c>
      <c r="BE117" s="40">
        <v>0.53</v>
      </c>
      <c r="BF117" s="40">
        <v>0.63</v>
      </c>
      <c r="BG117" s="40">
        <v>0.43</v>
      </c>
      <c r="BH117" s="40">
        <v>0.37</v>
      </c>
      <c r="BI117" s="40">
        <v>0.38</v>
      </c>
      <c r="BJ117" s="40">
        <v>0.28999999999999998</v>
      </c>
      <c r="BK117" s="40">
        <v>0.41</v>
      </c>
      <c r="BL117" s="40">
        <v>0.47</v>
      </c>
      <c r="BM117" s="12">
        <v>47</v>
      </c>
      <c r="BN117" s="12">
        <v>8</v>
      </c>
      <c r="BO117" s="66">
        <v>0.22</v>
      </c>
      <c r="BP117" s="66">
        <v>0.62</v>
      </c>
      <c r="BQ117" s="66">
        <v>0.16</v>
      </c>
      <c r="BR117" s="66">
        <v>0</v>
      </c>
      <c r="BS117" s="66">
        <v>0.43</v>
      </c>
      <c r="BT117" s="66">
        <v>0.68</v>
      </c>
      <c r="BU117" s="66">
        <v>0.69</v>
      </c>
      <c r="BV117" s="66">
        <v>0.37</v>
      </c>
      <c r="BW117" s="66">
        <v>0.71</v>
      </c>
      <c r="BX117" s="66">
        <v>0.43</v>
      </c>
      <c r="BY117" s="66">
        <v>0.41</v>
      </c>
      <c r="BZ117" s="66">
        <v>0.59</v>
      </c>
      <c r="CA117" s="66">
        <v>0.54</v>
      </c>
      <c r="CB117" s="66">
        <v>0.47</v>
      </c>
      <c r="CC117" s="66">
        <v>0.26</v>
      </c>
      <c r="CD117" s="66">
        <v>0.5</v>
      </c>
      <c r="CE117" s="66">
        <v>0.44</v>
      </c>
      <c r="CF117" s="66">
        <v>0.73</v>
      </c>
      <c r="CG117" s="66">
        <v>0.63</v>
      </c>
      <c r="CH117" s="66">
        <v>0.51</v>
      </c>
      <c r="CI117" s="66">
        <v>0.64</v>
      </c>
      <c r="CJ117" s="66">
        <v>0.44</v>
      </c>
      <c r="CK117" s="66">
        <v>0.71</v>
      </c>
      <c r="CL117" s="66">
        <v>0.4</v>
      </c>
      <c r="CM117" s="66">
        <v>0.49</v>
      </c>
      <c r="CN117" s="66">
        <v>0.56999999999999995</v>
      </c>
      <c r="CO117" s="66">
        <v>0.45</v>
      </c>
      <c r="CP117" s="66">
        <v>0.44</v>
      </c>
      <c r="CQ117" s="66">
        <v>0.57999999999999996</v>
      </c>
      <c r="CR117" s="66">
        <v>0.63</v>
      </c>
      <c r="CS117" s="12">
        <v>48</v>
      </c>
      <c r="CT117" s="12">
        <v>9</v>
      </c>
      <c r="CU117" s="63">
        <v>0.19</v>
      </c>
      <c r="CV117" s="63">
        <v>0.61</v>
      </c>
      <c r="CW117" s="63">
        <v>0.2</v>
      </c>
      <c r="CX117" s="63">
        <v>0.01</v>
      </c>
      <c r="CY117" s="63">
        <v>0.54</v>
      </c>
      <c r="CZ117" s="63">
        <v>0.3</v>
      </c>
      <c r="DA117" s="63">
        <v>0.54</v>
      </c>
      <c r="DB117" s="63">
        <v>0.38</v>
      </c>
      <c r="DC117" s="63">
        <v>0.51</v>
      </c>
      <c r="DD117" s="63">
        <v>0.62</v>
      </c>
      <c r="DE117" s="63">
        <v>0.49</v>
      </c>
      <c r="DF117" s="63">
        <v>0.57999999999999996</v>
      </c>
      <c r="DG117" s="63">
        <v>0.5</v>
      </c>
      <c r="DH117" s="63">
        <v>0.35</v>
      </c>
      <c r="DI117" s="63">
        <v>0.55000000000000004</v>
      </c>
      <c r="DJ117" s="63">
        <v>0.53</v>
      </c>
      <c r="DK117" s="63">
        <v>0.42</v>
      </c>
      <c r="DL117" s="63">
        <v>0.42</v>
      </c>
      <c r="DM117" s="63">
        <v>0.53</v>
      </c>
      <c r="DN117" s="63">
        <v>0.53</v>
      </c>
      <c r="DO117" s="63">
        <v>0.46</v>
      </c>
      <c r="DP117" s="63">
        <v>0.51</v>
      </c>
      <c r="DQ117" s="63">
        <v>0.61</v>
      </c>
      <c r="DR117" s="63">
        <v>0.19</v>
      </c>
      <c r="DS117" s="63">
        <v>0.42</v>
      </c>
      <c r="DT117" s="63">
        <v>0.56999999999999995</v>
      </c>
      <c r="DU117" s="63">
        <v>0.5</v>
      </c>
      <c r="DV117" s="63">
        <v>0.61</v>
      </c>
      <c r="DW117" s="63">
        <v>0.34</v>
      </c>
      <c r="DX117" s="35">
        <v>47</v>
      </c>
      <c r="DY117" s="35">
        <v>8</v>
      </c>
      <c r="DZ117" s="40">
        <v>0.24</v>
      </c>
      <c r="EA117" s="40">
        <v>0.6</v>
      </c>
      <c r="EB117" s="40">
        <v>0.16</v>
      </c>
      <c r="EC117" s="40">
        <v>0</v>
      </c>
      <c r="ED117" s="40">
        <v>0.49</v>
      </c>
      <c r="EE117" s="40">
        <v>0.47</v>
      </c>
      <c r="EF117" s="40">
        <v>0.57999999999999996</v>
      </c>
      <c r="EG117" s="40">
        <v>0.4</v>
      </c>
      <c r="EH117" s="40">
        <v>0.51</v>
      </c>
      <c r="EI117" s="40">
        <v>0.51</v>
      </c>
      <c r="EJ117" s="40">
        <v>0.56999999999999995</v>
      </c>
      <c r="EK117" s="40">
        <v>0.37</v>
      </c>
      <c r="EL117" s="40">
        <v>0.5</v>
      </c>
      <c r="EM117" s="40">
        <v>0.7</v>
      </c>
      <c r="EN117" s="40">
        <v>0.52</v>
      </c>
      <c r="EO117" s="40">
        <v>0.63</v>
      </c>
      <c r="EP117" s="40">
        <v>0.46</v>
      </c>
      <c r="EQ117" s="40">
        <v>0.38</v>
      </c>
      <c r="ER117" s="40">
        <v>0.65</v>
      </c>
      <c r="ES117" s="40">
        <v>0.53</v>
      </c>
      <c r="ET117" s="40">
        <v>0.41</v>
      </c>
      <c r="EU117" s="40">
        <v>0.67</v>
      </c>
      <c r="EV117" s="40">
        <v>0.41</v>
      </c>
      <c r="EW117" s="40">
        <v>0.3</v>
      </c>
      <c r="EX117" s="40">
        <v>0.63</v>
      </c>
      <c r="EY117" s="40">
        <v>0.64</v>
      </c>
      <c r="EZ117" s="40">
        <v>0.24</v>
      </c>
      <c r="FA117" s="40">
        <v>0.69</v>
      </c>
      <c r="FB117" s="247">
        <v>47</v>
      </c>
      <c r="FC117" s="247" t="s">
        <v>874</v>
      </c>
      <c r="FD117" s="247">
        <v>8</v>
      </c>
      <c r="FE117" s="247" t="s">
        <v>874</v>
      </c>
      <c r="FF117" s="264">
        <v>0.22</v>
      </c>
      <c r="FG117" s="264">
        <v>0.66</v>
      </c>
      <c r="FH117" s="264">
        <v>0.1</v>
      </c>
      <c r="FI117" s="264">
        <v>0.01</v>
      </c>
      <c r="FJ117" s="264">
        <v>0.6</v>
      </c>
      <c r="FK117" s="264">
        <v>0.71</v>
      </c>
      <c r="FL117" s="264">
        <v>0.55000000000000004</v>
      </c>
      <c r="FM117" s="264">
        <v>0.49</v>
      </c>
      <c r="FN117" s="264">
        <v>0.37</v>
      </c>
      <c r="FO117" s="264">
        <v>0.35</v>
      </c>
      <c r="FP117" s="264">
        <v>0.44</v>
      </c>
      <c r="FQ117" s="264">
        <v>0.46</v>
      </c>
      <c r="FR117" s="264">
        <v>0.66</v>
      </c>
      <c r="FS117" s="264">
        <v>0.54</v>
      </c>
      <c r="FT117" s="264">
        <v>0.51</v>
      </c>
      <c r="FU117" s="264">
        <v>0.42</v>
      </c>
      <c r="FV117" s="264">
        <v>0.62</v>
      </c>
      <c r="FW117" s="264">
        <v>0.61</v>
      </c>
      <c r="FX117" s="264">
        <v>0.51</v>
      </c>
      <c r="FY117" s="264">
        <v>0.43</v>
      </c>
      <c r="FZ117" s="264">
        <v>0.46</v>
      </c>
      <c r="GA117" s="264">
        <v>0.53</v>
      </c>
      <c r="GB117" s="264">
        <v>0.6</v>
      </c>
      <c r="GC117" s="264">
        <v>0.56999999999999995</v>
      </c>
      <c r="GD117" s="264">
        <v>0.64</v>
      </c>
      <c r="GE117" s="264">
        <v>0.54</v>
      </c>
      <c r="GF117" s="264">
        <v>0.55000000000000004</v>
      </c>
      <c r="GG117" s="264">
        <v>0.54</v>
      </c>
      <c r="GH117" s="264">
        <v>0.64</v>
      </c>
      <c r="GI117" s="264">
        <v>0.3</v>
      </c>
      <c r="GJ117" s="311">
        <v>47</v>
      </c>
      <c r="GK117" s="311" t="s">
        <v>874</v>
      </c>
      <c r="GL117" s="311">
        <v>8</v>
      </c>
      <c r="GM117" s="311" t="s">
        <v>874</v>
      </c>
      <c r="GN117" s="329">
        <v>0.23</v>
      </c>
      <c r="GO117" s="329">
        <v>0.61</v>
      </c>
      <c r="GP117" s="329">
        <v>0.16</v>
      </c>
      <c r="GQ117" s="329">
        <v>0</v>
      </c>
      <c r="GR117" s="329">
        <v>0.57999999999999996</v>
      </c>
      <c r="GS117" s="329">
        <v>0.57999999999999996</v>
      </c>
      <c r="GT117" s="329">
        <v>0.69</v>
      </c>
      <c r="GU117" s="329">
        <v>0.27</v>
      </c>
      <c r="GV117" s="329">
        <v>0.6</v>
      </c>
      <c r="GW117" s="329">
        <v>0.54</v>
      </c>
      <c r="GX117" s="329">
        <v>0.57999999999999996</v>
      </c>
      <c r="GY117" s="311" t="s">
        <v>283</v>
      </c>
      <c r="GZ117" s="329">
        <v>0.37</v>
      </c>
      <c r="HA117" s="329">
        <v>0.61</v>
      </c>
      <c r="HB117" s="329">
        <v>0.52</v>
      </c>
      <c r="HC117" s="329">
        <v>0.63</v>
      </c>
      <c r="HD117" s="329">
        <v>0.64</v>
      </c>
      <c r="HE117" s="329">
        <v>0.56000000000000005</v>
      </c>
      <c r="HF117" s="329">
        <v>0.56000000000000005</v>
      </c>
      <c r="HG117" s="329">
        <v>0.75</v>
      </c>
      <c r="HH117" s="329">
        <v>0.42</v>
      </c>
      <c r="HI117" s="329">
        <v>0.6</v>
      </c>
      <c r="HJ117" s="329">
        <v>0.62</v>
      </c>
      <c r="HK117" s="329">
        <v>0.59</v>
      </c>
      <c r="HL117" s="329">
        <v>0.52</v>
      </c>
      <c r="HM117" s="329">
        <v>0.54</v>
      </c>
      <c r="HN117" s="329">
        <v>0.5</v>
      </c>
      <c r="HO117" s="329">
        <v>0.48</v>
      </c>
      <c r="HP117" s="311" t="s">
        <v>283</v>
      </c>
      <c r="HQ117" s="329">
        <v>0.48</v>
      </c>
      <c r="HR117" s="426">
        <v>49</v>
      </c>
      <c r="HS117" s="426" t="s">
        <v>874</v>
      </c>
      <c r="HT117" s="426">
        <v>9</v>
      </c>
      <c r="HU117" s="426" t="s">
        <v>874</v>
      </c>
      <c r="HV117" s="430">
        <v>0.16</v>
      </c>
      <c r="HW117" s="430">
        <v>0.62</v>
      </c>
      <c r="HX117" s="430">
        <v>0.21</v>
      </c>
      <c r="HY117" s="430">
        <v>0.01</v>
      </c>
      <c r="HZ117" s="430">
        <v>0.45</v>
      </c>
      <c r="IA117" s="430">
        <v>0.57999999999999996</v>
      </c>
      <c r="IB117" s="430">
        <v>0.37</v>
      </c>
      <c r="IC117" s="430">
        <v>0.48</v>
      </c>
      <c r="ID117" s="430">
        <v>0.63</v>
      </c>
      <c r="IE117" s="430">
        <v>0.35</v>
      </c>
      <c r="IF117" s="430">
        <v>0.42</v>
      </c>
      <c r="IG117" s="430">
        <v>0.6</v>
      </c>
      <c r="IH117" s="430">
        <v>0.57999999999999996</v>
      </c>
      <c r="II117" s="430">
        <v>0.4</v>
      </c>
      <c r="IJ117" s="430">
        <v>0.34</v>
      </c>
      <c r="IK117" s="430">
        <v>0.59</v>
      </c>
      <c r="IL117" s="430">
        <v>0.41</v>
      </c>
      <c r="IM117" s="430">
        <v>0.62</v>
      </c>
      <c r="IN117" s="430">
        <v>0.46</v>
      </c>
      <c r="IO117" s="430">
        <v>0.56999999999999995</v>
      </c>
      <c r="IP117" s="430">
        <v>0.43</v>
      </c>
      <c r="IQ117" s="430">
        <v>0.67</v>
      </c>
      <c r="IR117" s="430">
        <v>0.53</v>
      </c>
      <c r="IS117" s="430">
        <v>0.56999999999999995</v>
      </c>
      <c r="IT117" s="430">
        <v>0.49</v>
      </c>
      <c r="IU117" s="426" t="s">
        <v>283</v>
      </c>
      <c r="IV117" s="430">
        <v>0.64</v>
      </c>
      <c r="IW117" s="430">
        <v>0.47</v>
      </c>
      <c r="IX117" s="430">
        <v>0.54</v>
      </c>
      <c r="IY117" s="430">
        <v>0.55000000000000004</v>
      </c>
      <c r="IZ117" s="466">
        <v>48</v>
      </c>
      <c r="JA117" s="466" t="s">
        <v>874</v>
      </c>
      <c r="JB117" s="466">
        <v>8</v>
      </c>
      <c r="JC117" s="466" t="s">
        <v>874</v>
      </c>
      <c r="JD117" s="480">
        <v>0.19</v>
      </c>
      <c r="JE117" s="480">
        <v>0.62</v>
      </c>
      <c r="JF117" s="480">
        <v>0.19</v>
      </c>
      <c r="JG117" s="480">
        <v>0</v>
      </c>
      <c r="JH117" s="480">
        <v>0.63</v>
      </c>
      <c r="JI117" s="480">
        <v>0.48</v>
      </c>
      <c r="JJ117" s="480">
        <v>0.54</v>
      </c>
      <c r="JK117" s="480">
        <v>0.5</v>
      </c>
      <c r="JL117" s="480">
        <v>0.56999999999999995</v>
      </c>
      <c r="JM117" s="480">
        <v>0.5</v>
      </c>
      <c r="JN117" s="480">
        <v>0.44</v>
      </c>
      <c r="JO117" s="480">
        <v>0.51</v>
      </c>
      <c r="JP117" s="480">
        <v>0.65</v>
      </c>
      <c r="JQ117" s="480">
        <v>0.37</v>
      </c>
      <c r="JR117" s="480">
        <v>0.68</v>
      </c>
      <c r="JS117" s="480">
        <v>0.6</v>
      </c>
      <c r="JT117" s="480">
        <v>0.5</v>
      </c>
      <c r="JU117" s="480">
        <v>0.56999999999999995</v>
      </c>
      <c r="JV117" s="480">
        <v>0.59</v>
      </c>
      <c r="JW117" s="480">
        <v>0.54</v>
      </c>
      <c r="JX117" s="480">
        <v>0.48</v>
      </c>
      <c r="JY117" s="480">
        <v>0.62</v>
      </c>
      <c r="JZ117" s="480">
        <v>0.48</v>
      </c>
      <c r="KA117" s="480">
        <v>0.5</v>
      </c>
      <c r="KB117" s="480">
        <v>0.53</v>
      </c>
      <c r="KC117" s="480">
        <v>0.63</v>
      </c>
      <c r="KD117" s="480">
        <v>0.43</v>
      </c>
      <c r="KE117" s="480">
        <v>0.5</v>
      </c>
      <c r="KF117" s="480">
        <v>0.46</v>
      </c>
      <c r="KG117" s="480">
        <v>0.56999999999999995</v>
      </c>
    </row>
    <row r="118" spans="1:293" ht="24.95" customHeight="1" x14ac:dyDescent="0.2">
      <c r="A118" s="126" t="s">
        <v>1097</v>
      </c>
      <c r="B118" s="1" t="s">
        <v>221</v>
      </c>
      <c r="C118" s="2">
        <v>1</v>
      </c>
      <c r="D118" s="12">
        <v>50</v>
      </c>
      <c r="E118" s="12">
        <v>7</v>
      </c>
      <c r="F118" s="66">
        <v>0.05</v>
      </c>
      <c r="G118" s="66">
        <v>0.76</v>
      </c>
      <c r="H118" s="66">
        <v>0.19</v>
      </c>
      <c r="I118" s="66">
        <v>0</v>
      </c>
      <c r="J118" s="66">
        <v>0.53</v>
      </c>
      <c r="K118" s="66">
        <v>0.4</v>
      </c>
      <c r="L118" s="66">
        <v>0.77</v>
      </c>
      <c r="M118" s="66">
        <v>0.33</v>
      </c>
      <c r="N118" s="66">
        <v>0.36</v>
      </c>
      <c r="O118" s="66">
        <v>0.63</v>
      </c>
      <c r="P118" s="66">
        <v>0.42</v>
      </c>
      <c r="Q118" s="66">
        <v>0.44</v>
      </c>
      <c r="R118" s="66">
        <v>0.66</v>
      </c>
      <c r="S118" s="66">
        <v>0.64</v>
      </c>
      <c r="T118" s="66">
        <v>0.36</v>
      </c>
      <c r="U118" s="66">
        <v>0.68</v>
      </c>
      <c r="V118" s="66">
        <v>0.12</v>
      </c>
      <c r="W118" s="66">
        <v>0.15</v>
      </c>
      <c r="X118" s="66">
        <v>0.6</v>
      </c>
      <c r="Y118" s="66">
        <v>0.46</v>
      </c>
      <c r="Z118" s="66">
        <v>1</v>
      </c>
      <c r="AA118" s="66">
        <v>0.13</v>
      </c>
      <c r="AB118" s="66">
        <v>0.48</v>
      </c>
      <c r="AC118" s="66">
        <v>0.28999999999999998</v>
      </c>
      <c r="AD118" s="66">
        <v>0.47</v>
      </c>
      <c r="AE118" s="66">
        <v>0.41</v>
      </c>
      <c r="AF118" s="66">
        <v>0.55000000000000004</v>
      </c>
      <c r="AG118" s="66">
        <v>0.44</v>
      </c>
      <c r="AH118" s="12">
        <v>48</v>
      </c>
      <c r="AI118" s="12">
        <v>9</v>
      </c>
      <c r="AJ118" s="40">
        <v>0.28999999999999998</v>
      </c>
      <c r="AK118" s="40">
        <v>0.47</v>
      </c>
      <c r="AL118" s="40">
        <v>0.24</v>
      </c>
      <c r="AM118" s="40">
        <v>0</v>
      </c>
      <c r="AN118" s="40">
        <v>0.31</v>
      </c>
      <c r="AO118" s="40">
        <v>0.52</v>
      </c>
      <c r="AP118" s="40">
        <v>0.59</v>
      </c>
      <c r="AQ118" s="40">
        <v>0.67</v>
      </c>
      <c r="AR118" s="40">
        <v>0.79</v>
      </c>
      <c r="AS118" s="40">
        <v>0.71</v>
      </c>
      <c r="AT118" s="40">
        <v>0.69</v>
      </c>
      <c r="AU118" s="40">
        <v>0.61</v>
      </c>
      <c r="AV118" s="40">
        <v>0.69</v>
      </c>
      <c r="AW118" s="40">
        <v>0.55000000000000004</v>
      </c>
      <c r="AX118" s="40">
        <v>0.61</v>
      </c>
      <c r="AY118" s="40">
        <v>0.41</v>
      </c>
      <c r="AZ118" s="40">
        <v>0.44</v>
      </c>
      <c r="BA118" s="40">
        <v>0.5</v>
      </c>
      <c r="BB118" s="40">
        <v>0.78</v>
      </c>
      <c r="BC118" s="40">
        <v>0.56999999999999995</v>
      </c>
      <c r="BD118" s="40">
        <v>0.39</v>
      </c>
      <c r="BE118" s="40">
        <v>0.86</v>
      </c>
      <c r="BF118" s="40">
        <v>0.8</v>
      </c>
      <c r="BG118" s="40">
        <v>0.6</v>
      </c>
      <c r="BH118" s="40">
        <v>0.57999999999999996</v>
      </c>
      <c r="BI118" s="40">
        <v>0.35</v>
      </c>
      <c r="BJ118" s="40">
        <v>0.4</v>
      </c>
      <c r="BK118" s="40">
        <v>0.57999999999999996</v>
      </c>
      <c r="BL118" s="40">
        <v>0.22</v>
      </c>
      <c r="BM118" s="12">
        <v>46</v>
      </c>
      <c r="BN118" s="12">
        <v>5</v>
      </c>
      <c r="BO118" s="66">
        <v>0.28999999999999998</v>
      </c>
      <c r="BP118" s="66">
        <v>0.71</v>
      </c>
      <c r="BQ118" s="66">
        <v>0</v>
      </c>
      <c r="BR118" s="66">
        <v>0</v>
      </c>
      <c r="BS118" s="66">
        <v>0.41</v>
      </c>
      <c r="BT118" s="66">
        <v>0.63</v>
      </c>
      <c r="BU118" s="66">
        <v>0.65</v>
      </c>
      <c r="BV118" s="66">
        <v>0.5</v>
      </c>
      <c r="BW118" s="66">
        <v>0.81</v>
      </c>
      <c r="BX118" s="66">
        <v>0.56000000000000005</v>
      </c>
      <c r="BY118" s="66">
        <v>0.56000000000000005</v>
      </c>
      <c r="BZ118" s="66">
        <v>0.46</v>
      </c>
      <c r="CA118" s="66">
        <v>0.39</v>
      </c>
      <c r="CB118" s="66">
        <v>0.43</v>
      </c>
      <c r="CC118" s="66">
        <v>0.2</v>
      </c>
      <c r="CD118" s="66">
        <v>0.33</v>
      </c>
      <c r="CE118" s="66">
        <v>0.44</v>
      </c>
      <c r="CF118" s="66">
        <v>0.78</v>
      </c>
      <c r="CG118" s="66">
        <v>0.81</v>
      </c>
      <c r="CH118" s="66">
        <v>0.5</v>
      </c>
      <c r="CI118" s="66">
        <v>0.62</v>
      </c>
      <c r="CJ118" s="66">
        <v>0.44</v>
      </c>
      <c r="CK118" s="66">
        <v>0.79</v>
      </c>
      <c r="CL118" s="66">
        <v>0.51</v>
      </c>
      <c r="CM118" s="66">
        <v>0.59</v>
      </c>
      <c r="CN118" s="66">
        <v>0.73</v>
      </c>
      <c r="CO118" s="66">
        <v>0.5</v>
      </c>
      <c r="CP118" s="66">
        <v>0.55000000000000004</v>
      </c>
      <c r="CQ118" s="66">
        <v>0.61</v>
      </c>
      <c r="CR118" s="66">
        <v>0.67</v>
      </c>
      <c r="CS118" s="12">
        <v>47</v>
      </c>
      <c r="CT118" s="12">
        <v>7</v>
      </c>
      <c r="CU118" s="63">
        <v>0.22</v>
      </c>
      <c r="CV118" s="63">
        <v>0.65</v>
      </c>
      <c r="CW118" s="63">
        <v>0.13</v>
      </c>
      <c r="CX118" s="63">
        <v>0</v>
      </c>
      <c r="CY118" s="63">
        <v>0.55000000000000004</v>
      </c>
      <c r="CZ118" s="63">
        <v>0.33</v>
      </c>
      <c r="DA118" s="63">
        <v>0.48</v>
      </c>
      <c r="DB118" s="63">
        <v>0.43</v>
      </c>
      <c r="DC118" s="63">
        <v>0.47</v>
      </c>
      <c r="DD118" s="63">
        <v>0.56000000000000005</v>
      </c>
      <c r="DE118" s="63">
        <v>0.68</v>
      </c>
      <c r="DF118" s="63">
        <v>0.5</v>
      </c>
      <c r="DG118" s="63">
        <v>0.44</v>
      </c>
      <c r="DH118" s="63">
        <v>0.27</v>
      </c>
      <c r="DI118" s="63">
        <v>0.59</v>
      </c>
      <c r="DJ118" s="63">
        <v>0.59</v>
      </c>
      <c r="DK118" s="63">
        <v>0.46</v>
      </c>
      <c r="DL118" s="63">
        <v>0.46</v>
      </c>
      <c r="DM118" s="63">
        <v>0.57999999999999996</v>
      </c>
      <c r="DN118" s="63">
        <v>0.57999999999999996</v>
      </c>
      <c r="DO118" s="63">
        <v>0.55000000000000004</v>
      </c>
      <c r="DP118" s="63">
        <v>0.54</v>
      </c>
      <c r="DQ118" s="63">
        <v>0.65</v>
      </c>
      <c r="DR118" s="63">
        <v>0.26</v>
      </c>
      <c r="DS118" s="63">
        <v>0.31</v>
      </c>
      <c r="DT118" s="63">
        <v>0.54</v>
      </c>
      <c r="DU118" s="63">
        <v>0.7</v>
      </c>
      <c r="DV118" s="63">
        <v>0.67</v>
      </c>
      <c r="DW118" s="63">
        <v>0.44</v>
      </c>
      <c r="DX118" s="35">
        <v>48</v>
      </c>
      <c r="DY118" s="35">
        <v>9</v>
      </c>
      <c r="DZ118" s="40">
        <v>0.19</v>
      </c>
      <c r="EA118" s="40">
        <v>0.62</v>
      </c>
      <c r="EB118" s="40">
        <v>0.19</v>
      </c>
      <c r="EC118" s="40">
        <v>0</v>
      </c>
      <c r="ED118" s="40">
        <v>0.46</v>
      </c>
      <c r="EE118" s="40">
        <v>0.52</v>
      </c>
      <c r="EF118" s="40">
        <v>0.5</v>
      </c>
      <c r="EG118" s="40">
        <v>0.38</v>
      </c>
      <c r="EH118" s="40">
        <v>0.65</v>
      </c>
      <c r="EI118" s="40">
        <v>0.46</v>
      </c>
      <c r="EJ118" s="40">
        <v>0.6</v>
      </c>
      <c r="EK118" s="40">
        <v>0.33</v>
      </c>
      <c r="EL118" s="40">
        <v>0.4</v>
      </c>
      <c r="EM118" s="40">
        <v>0.75</v>
      </c>
      <c r="EN118" s="40">
        <v>0.47</v>
      </c>
      <c r="EO118" s="40">
        <v>0.62</v>
      </c>
      <c r="EP118" s="40">
        <v>0.48</v>
      </c>
      <c r="EQ118" s="40">
        <v>0.28000000000000003</v>
      </c>
      <c r="ER118" s="40">
        <v>0.68</v>
      </c>
      <c r="ES118" s="40">
        <v>0.66</v>
      </c>
      <c r="ET118" s="40">
        <v>0.31</v>
      </c>
      <c r="EU118" s="40">
        <v>0.56999999999999995</v>
      </c>
      <c r="EV118" s="40">
        <v>0.57999999999999996</v>
      </c>
      <c r="EW118" s="40">
        <v>0.38</v>
      </c>
      <c r="EX118" s="40">
        <v>0.83</v>
      </c>
      <c r="EY118" s="40">
        <v>0.62</v>
      </c>
      <c r="EZ118" s="40">
        <v>0.25</v>
      </c>
      <c r="FA118" s="40">
        <v>0.67</v>
      </c>
      <c r="FB118" s="247">
        <v>49</v>
      </c>
      <c r="FC118" s="247" t="s">
        <v>874</v>
      </c>
      <c r="FD118" s="247">
        <v>10</v>
      </c>
      <c r="FE118" s="247" t="s">
        <v>874</v>
      </c>
      <c r="FF118" s="264">
        <v>0.24</v>
      </c>
      <c r="FG118" s="264">
        <v>0.43</v>
      </c>
      <c r="FH118" s="264">
        <v>0.33</v>
      </c>
      <c r="FI118" s="264">
        <v>0</v>
      </c>
      <c r="FJ118" s="264">
        <v>0.52</v>
      </c>
      <c r="FK118" s="264">
        <v>0.71</v>
      </c>
      <c r="FL118" s="264">
        <v>0.56999999999999995</v>
      </c>
      <c r="FM118" s="264">
        <v>0.42</v>
      </c>
      <c r="FN118" s="264">
        <v>0.22</v>
      </c>
      <c r="FO118" s="264">
        <v>0.34</v>
      </c>
      <c r="FP118" s="264">
        <v>0.35</v>
      </c>
      <c r="FQ118" s="264">
        <v>0.4</v>
      </c>
      <c r="FR118" s="264">
        <v>0.6</v>
      </c>
      <c r="FS118" s="264">
        <v>0.53</v>
      </c>
      <c r="FT118" s="264">
        <v>0.51</v>
      </c>
      <c r="FU118" s="264">
        <v>0.28999999999999998</v>
      </c>
      <c r="FV118" s="264">
        <v>0.43</v>
      </c>
      <c r="FW118" s="264">
        <v>0.6</v>
      </c>
      <c r="FX118" s="264">
        <v>0.42</v>
      </c>
      <c r="FY118" s="264">
        <v>0.4</v>
      </c>
      <c r="FZ118" s="264">
        <v>0.56999999999999995</v>
      </c>
      <c r="GA118" s="264">
        <v>0.56000000000000005</v>
      </c>
      <c r="GB118" s="264">
        <v>0.52</v>
      </c>
      <c r="GC118" s="264">
        <v>0.5</v>
      </c>
      <c r="GD118" s="264">
        <v>0.61</v>
      </c>
      <c r="GE118" s="264">
        <v>0.56999999999999995</v>
      </c>
      <c r="GF118" s="264">
        <v>0.44</v>
      </c>
      <c r="GG118" s="264">
        <v>0.46</v>
      </c>
      <c r="GH118" s="264">
        <v>0.48</v>
      </c>
      <c r="GI118" s="264">
        <v>0.34</v>
      </c>
      <c r="GJ118" s="311">
        <v>49</v>
      </c>
      <c r="GK118" s="311" t="s">
        <v>874</v>
      </c>
      <c r="GL118" s="311">
        <v>9</v>
      </c>
      <c r="GM118" s="311" t="s">
        <v>874</v>
      </c>
      <c r="GN118" s="329">
        <v>0.14000000000000001</v>
      </c>
      <c r="GO118" s="329">
        <v>0.62</v>
      </c>
      <c r="GP118" s="329">
        <v>0.24</v>
      </c>
      <c r="GQ118" s="329">
        <v>0</v>
      </c>
      <c r="GR118" s="329">
        <v>0.44</v>
      </c>
      <c r="GS118" s="329">
        <v>0.65</v>
      </c>
      <c r="GT118" s="329">
        <v>0.68</v>
      </c>
      <c r="GU118" s="329">
        <v>0.31</v>
      </c>
      <c r="GV118" s="329">
        <v>0.55000000000000004</v>
      </c>
      <c r="GW118" s="329">
        <v>0.55000000000000004</v>
      </c>
      <c r="GX118" s="329">
        <v>0.49</v>
      </c>
      <c r="GY118" s="311" t="s">
        <v>283</v>
      </c>
      <c r="GZ118" s="329">
        <v>0.18</v>
      </c>
      <c r="HA118" s="329">
        <v>0.67</v>
      </c>
      <c r="HB118" s="329">
        <v>0.46</v>
      </c>
      <c r="HC118" s="329">
        <v>0.71</v>
      </c>
      <c r="HD118" s="329">
        <v>0.62</v>
      </c>
      <c r="HE118" s="329">
        <v>0.38</v>
      </c>
      <c r="HF118" s="329">
        <v>0.5</v>
      </c>
      <c r="HG118" s="329">
        <v>0.78</v>
      </c>
      <c r="HH118" s="329">
        <v>0.36</v>
      </c>
      <c r="HI118" s="329">
        <v>0.45</v>
      </c>
      <c r="HJ118" s="329">
        <v>0.62</v>
      </c>
      <c r="HK118" s="329">
        <v>0.7</v>
      </c>
      <c r="HL118" s="329">
        <v>0.31</v>
      </c>
      <c r="HM118" s="329">
        <v>0.61</v>
      </c>
      <c r="HN118" s="329">
        <v>0.43</v>
      </c>
      <c r="HO118" s="329">
        <v>0.46</v>
      </c>
      <c r="HP118" s="311" t="s">
        <v>283</v>
      </c>
      <c r="HQ118" s="329">
        <v>0.39</v>
      </c>
      <c r="HR118" s="426">
        <v>49</v>
      </c>
      <c r="HS118" s="426" t="s">
        <v>874</v>
      </c>
      <c r="HT118" s="426">
        <v>9</v>
      </c>
      <c r="HU118" s="426" t="s">
        <v>874</v>
      </c>
      <c r="HV118" s="430">
        <v>0.16</v>
      </c>
      <c r="HW118" s="430">
        <v>0.52</v>
      </c>
      <c r="HX118" s="430">
        <v>0.32</v>
      </c>
      <c r="HY118" s="430">
        <v>0</v>
      </c>
      <c r="HZ118" s="430">
        <v>0.37</v>
      </c>
      <c r="IA118" s="430">
        <v>0.49</v>
      </c>
      <c r="IB118" s="430">
        <v>0.33</v>
      </c>
      <c r="IC118" s="430">
        <v>0.48</v>
      </c>
      <c r="ID118" s="430">
        <v>0.57999999999999996</v>
      </c>
      <c r="IE118" s="430">
        <v>0.37</v>
      </c>
      <c r="IF118" s="430">
        <v>0.41</v>
      </c>
      <c r="IG118" s="430">
        <v>0.67</v>
      </c>
      <c r="IH118" s="430">
        <v>0.47</v>
      </c>
      <c r="II118" s="430">
        <v>0.27</v>
      </c>
      <c r="IJ118" s="430">
        <v>0.35</v>
      </c>
      <c r="IK118" s="430">
        <v>0.64</v>
      </c>
      <c r="IL118" s="430">
        <v>0.48</v>
      </c>
      <c r="IM118" s="430">
        <v>0.55000000000000004</v>
      </c>
      <c r="IN118" s="430">
        <v>0.45</v>
      </c>
      <c r="IO118" s="430">
        <v>0.63</v>
      </c>
      <c r="IP118" s="430">
        <v>0.51</v>
      </c>
      <c r="IQ118" s="430">
        <v>0.77</v>
      </c>
      <c r="IR118" s="430">
        <v>0.59</v>
      </c>
      <c r="IS118" s="430">
        <v>0.62</v>
      </c>
      <c r="IT118" s="430">
        <v>0.46</v>
      </c>
      <c r="IU118" s="426" t="s">
        <v>283</v>
      </c>
      <c r="IV118" s="430">
        <v>0.7</v>
      </c>
      <c r="IW118" s="430">
        <v>0.42</v>
      </c>
      <c r="IX118" s="430">
        <v>0.5</v>
      </c>
      <c r="IY118" s="430">
        <v>0.5</v>
      </c>
      <c r="IZ118" s="466">
        <v>54</v>
      </c>
      <c r="JA118" s="466" t="s">
        <v>874</v>
      </c>
      <c r="JB118" s="466">
        <v>8</v>
      </c>
      <c r="JC118" s="466" t="s">
        <v>874</v>
      </c>
      <c r="JD118" s="480">
        <v>0</v>
      </c>
      <c r="JE118" s="480">
        <v>0.63</v>
      </c>
      <c r="JF118" s="480">
        <v>0.37</v>
      </c>
      <c r="JG118" s="480">
        <v>0</v>
      </c>
      <c r="JH118" s="480">
        <v>0.5</v>
      </c>
      <c r="JI118" s="480">
        <v>0.43</v>
      </c>
      <c r="JJ118" s="480">
        <v>0.38</v>
      </c>
      <c r="JK118" s="480">
        <v>0.3</v>
      </c>
      <c r="JL118" s="480">
        <v>0.41</v>
      </c>
      <c r="JM118" s="480">
        <v>0.38</v>
      </c>
      <c r="JN118" s="480">
        <v>0.26</v>
      </c>
      <c r="JO118" s="480">
        <v>0.46</v>
      </c>
      <c r="JP118" s="480">
        <v>0.49</v>
      </c>
      <c r="JQ118" s="480">
        <v>0.19</v>
      </c>
      <c r="JR118" s="480">
        <v>0.6</v>
      </c>
      <c r="JS118" s="480">
        <v>0.42</v>
      </c>
      <c r="JT118" s="480">
        <v>0.32</v>
      </c>
      <c r="JU118" s="480">
        <v>0.51</v>
      </c>
      <c r="JV118" s="480">
        <v>0.41</v>
      </c>
      <c r="JW118" s="480">
        <v>0.43</v>
      </c>
      <c r="JX118" s="480">
        <v>0.35</v>
      </c>
      <c r="JY118" s="480">
        <v>0.48</v>
      </c>
      <c r="JZ118" s="480">
        <v>0.38</v>
      </c>
      <c r="KA118" s="480">
        <v>0.8</v>
      </c>
      <c r="KB118" s="480">
        <v>0.28999999999999998</v>
      </c>
      <c r="KC118" s="480">
        <v>0.44</v>
      </c>
      <c r="KD118" s="480">
        <v>0.28000000000000003</v>
      </c>
      <c r="KE118" s="480">
        <v>0.59</v>
      </c>
      <c r="KF118" s="480">
        <v>0.47</v>
      </c>
      <c r="KG118" s="480">
        <v>0.49</v>
      </c>
    </row>
    <row r="119" spans="1:293" ht="24.95" customHeight="1" x14ac:dyDescent="0.2">
      <c r="A119" s="126" t="s">
        <v>172</v>
      </c>
      <c r="B119" s="1" t="s">
        <v>219</v>
      </c>
      <c r="C119" s="2">
        <v>3</v>
      </c>
      <c r="D119" s="12">
        <v>53</v>
      </c>
      <c r="E119" s="12">
        <v>7</v>
      </c>
      <c r="F119" s="66">
        <v>0.06</v>
      </c>
      <c r="G119" s="66">
        <v>0.64</v>
      </c>
      <c r="H119" s="66">
        <v>0.3</v>
      </c>
      <c r="I119" s="66">
        <v>0</v>
      </c>
      <c r="J119" s="66">
        <v>0.47</v>
      </c>
      <c r="K119" s="66">
        <v>0.47</v>
      </c>
      <c r="L119" s="66">
        <v>0.65</v>
      </c>
      <c r="M119" s="66">
        <v>0.32</v>
      </c>
      <c r="N119" s="66">
        <v>0.34</v>
      </c>
      <c r="O119" s="66">
        <v>0.71</v>
      </c>
      <c r="P119" s="66">
        <v>0.3</v>
      </c>
      <c r="Q119" s="66">
        <v>0.42</v>
      </c>
      <c r="R119" s="66">
        <v>0.52</v>
      </c>
      <c r="S119" s="66">
        <v>0.62</v>
      </c>
      <c r="T119" s="66">
        <v>0.46</v>
      </c>
      <c r="U119" s="66">
        <v>0.56999999999999995</v>
      </c>
      <c r="V119" s="66">
        <v>0.08</v>
      </c>
      <c r="W119" s="66">
        <v>0.13</v>
      </c>
      <c r="X119" s="66">
        <v>0.52</v>
      </c>
      <c r="Y119" s="66">
        <v>0.5</v>
      </c>
      <c r="Z119" s="66">
        <v>0.72</v>
      </c>
      <c r="AA119" s="66">
        <v>0.12</v>
      </c>
      <c r="AB119" s="66">
        <v>0.52</v>
      </c>
      <c r="AC119" s="66">
        <v>0.35</v>
      </c>
      <c r="AD119" s="66">
        <v>0.46</v>
      </c>
      <c r="AE119" s="66">
        <v>0.39</v>
      </c>
      <c r="AF119" s="66">
        <v>0.61</v>
      </c>
      <c r="AG119" s="66">
        <v>0.48</v>
      </c>
      <c r="AH119" s="12">
        <v>51</v>
      </c>
      <c r="AI119" s="12">
        <v>8</v>
      </c>
      <c r="AJ119" s="40">
        <v>0.09</v>
      </c>
      <c r="AK119" s="40">
        <v>0.57999999999999996</v>
      </c>
      <c r="AL119" s="40">
        <v>0.32</v>
      </c>
      <c r="AM119" s="40">
        <v>0</v>
      </c>
      <c r="AN119" s="40">
        <v>0.34</v>
      </c>
      <c r="AO119" s="40">
        <v>0.47</v>
      </c>
      <c r="AP119" s="40">
        <v>0.61</v>
      </c>
      <c r="AQ119" s="40">
        <v>0.43</v>
      </c>
      <c r="AR119" s="40">
        <v>0.54</v>
      </c>
      <c r="AS119" s="40">
        <v>0.55000000000000004</v>
      </c>
      <c r="AT119" s="40">
        <v>0.51</v>
      </c>
      <c r="AU119" s="40">
        <v>0.55000000000000004</v>
      </c>
      <c r="AV119" s="40">
        <v>0.63</v>
      </c>
      <c r="AW119" s="40">
        <v>0.53</v>
      </c>
      <c r="AX119" s="40">
        <v>0.62</v>
      </c>
      <c r="AY119" s="40">
        <v>0.32</v>
      </c>
      <c r="AZ119" s="40">
        <v>0.27</v>
      </c>
      <c r="BA119" s="40">
        <v>0.49</v>
      </c>
      <c r="BB119" s="40">
        <v>0.66</v>
      </c>
      <c r="BC119" s="40">
        <v>0.66</v>
      </c>
      <c r="BD119" s="40">
        <v>0.43</v>
      </c>
      <c r="BE119" s="40">
        <v>0.6</v>
      </c>
      <c r="BF119" s="40">
        <v>0.56999999999999995</v>
      </c>
      <c r="BG119" s="40">
        <v>0.5</v>
      </c>
      <c r="BH119" s="40">
        <v>0.45</v>
      </c>
      <c r="BI119" s="40">
        <v>0.39</v>
      </c>
      <c r="BJ119" s="40">
        <v>0.34</v>
      </c>
      <c r="BK119" s="40">
        <v>0.47</v>
      </c>
      <c r="BL119" s="40">
        <v>0.5</v>
      </c>
      <c r="BM119" s="12">
        <v>51</v>
      </c>
      <c r="BN119" s="12">
        <v>8</v>
      </c>
      <c r="BO119" s="66">
        <v>0.12</v>
      </c>
      <c r="BP119" s="66">
        <v>0.57999999999999996</v>
      </c>
      <c r="BQ119" s="66">
        <v>0.28999999999999998</v>
      </c>
      <c r="BR119" s="66">
        <v>0.01</v>
      </c>
      <c r="BS119" s="66">
        <v>0.33</v>
      </c>
      <c r="BT119" s="66">
        <v>0.51</v>
      </c>
      <c r="BU119" s="66">
        <v>0.67</v>
      </c>
      <c r="BV119" s="66">
        <v>0.34</v>
      </c>
      <c r="BW119" s="66">
        <v>0.63</v>
      </c>
      <c r="BX119" s="66">
        <v>0.36</v>
      </c>
      <c r="BY119" s="66">
        <v>0.43</v>
      </c>
      <c r="BZ119" s="66">
        <v>0.52</v>
      </c>
      <c r="CA119" s="66">
        <v>0.45</v>
      </c>
      <c r="CB119" s="66">
        <v>0.36</v>
      </c>
      <c r="CC119" s="66">
        <v>0.21</v>
      </c>
      <c r="CD119" s="66">
        <v>0.45</v>
      </c>
      <c r="CE119" s="66">
        <v>0.35</v>
      </c>
      <c r="CF119" s="66">
        <v>0.55000000000000004</v>
      </c>
      <c r="CG119" s="66">
        <v>0.61</v>
      </c>
      <c r="CH119" s="66">
        <v>0.45</v>
      </c>
      <c r="CI119" s="66">
        <v>0.52</v>
      </c>
      <c r="CJ119" s="66">
        <v>0.36</v>
      </c>
      <c r="CK119" s="66">
        <v>0.68</v>
      </c>
      <c r="CL119" s="66">
        <v>0.34</v>
      </c>
      <c r="CM119" s="66">
        <v>0.47</v>
      </c>
      <c r="CN119" s="66">
        <v>0.49</v>
      </c>
      <c r="CO119" s="66">
        <v>0.47</v>
      </c>
      <c r="CP119" s="66">
        <v>0.36</v>
      </c>
      <c r="CQ119" s="66">
        <v>0.5</v>
      </c>
      <c r="CR119" s="66">
        <v>0.57999999999999996</v>
      </c>
      <c r="CS119" s="12">
        <v>49</v>
      </c>
      <c r="CT119" s="12">
        <v>8</v>
      </c>
      <c r="CU119" s="63">
        <v>0.17</v>
      </c>
      <c r="CV119" s="63">
        <v>0.61</v>
      </c>
      <c r="CW119" s="63">
        <v>0.22</v>
      </c>
      <c r="CX119" s="63">
        <v>0</v>
      </c>
      <c r="CY119" s="63">
        <v>0.51</v>
      </c>
      <c r="CZ119" s="63">
        <v>0.31</v>
      </c>
      <c r="DA119" s="63">
        <v>0.61</v>
      </c>
      <c r="DB119" s="63">
        <v>0.4</v>
      </c>
      <c r="DC119" s="63">
        <v>0.46</v>
      </c>
      <c r="DD119" s="63">
        <v>0.62</v>
      </c>
      <c r="DE119" s="63">
        <v>0.46</v>
      </c>
      <c r="DF119" s="63">
        <v>0.54</v>
      </c>
      <c r="DG119" s="63">
        <v>0.48</v>
      </c>
      <c r="DH119" s="63">
        <v>0.39</v>
      </c>
      <c r="DI119" s="63">
        <v>0.54</v>
      </c>
      <c r="DJ119" s="63">
        <v>0.53</v>
      </c>
      <c r="DK119" s="63">
        <v>0.4</v>
      </c>
      <c r="DL119" s="63">
        <v>0.41</v>
      </c>
      <c r="DM119" s="63">
        <v>0.51</v>
      </c>
      <c r="DN119" s="63">
        <v>0.49</v>
      </c>
      <c r="DO119" s="63">
        <v>0.43</v>
      </c>
      <c r="DP119" s="63">
        <v>0.47</v>
      </c>
      <c r="DQ119" s="63">
        <v>0.56999999999999995</v>
      </c>
      <c r="DR119" s="63">
        <v>0.22</v>
      </c>
      <c r="DS119" s="63">
        <v>0.43</v>
      </c>
      <c r="DT119" s="63">
        <v>0.57999999999999996</v>
      </c>
      <c r="DU119" s="63">
        <v>0.49</v>
      </c>
      <c r="DV119" s="63">
        <v>0.63</v>
      </c>
      <c r="DW119" s="63">
        <v>0.4</v>
      </c>
      <c r="DX119" s="35">
        <v>47</v>
      </c>
      <c r="DY119" s="35">
        <v>9</v>
      </c>
      <c r="DZ119" s="40">
        <v>0.22</v>
      </c>
      <c r="EA119" s="40">
        <v>0.57999999999999996</v>
      </c>
      <c r="EB119" s="40">
        <v>0.2</v>
      </c>
      <c r="EC119" s="40">
        <v>0</v>
      </c>
      <c r="ED119" s="40">
        <v>0.5</v>
      </c>
      <c r="EE119" s="40">
        <v>0.49</v>
      </c>
      <c r="EF119" s="40">
        <v>0.54</v>
      </c>
      <c r="EG119" s="40">
        <v>0.45</v>
      </c>
      <c r="EH119" s="40">
        <v>0.46</v>
      </c>
      <c r="EI119" s="40">
        <v>0.56000000000000005</v>
      </c>
      <c r="EJ119" s="40">
        <v>0.63</v>
      </c>
      <c r="EK119" s="40">
        <v>0.37</v>
      </c>
      <c r="EL119" s="40">
        <v>0.56000000000000005</v>
      </c>
      <c r="EM119" s="40">
        <v>0.78</v>
      </c>
      <c r="EN119" s="40">
        <v>0.55000000000000004</v>
      </c>
      <c r="EO119" s="40">
        <v>0.56000000000000005</v>
      </c>
      <c r="EP119" s="40">
        <v>0.4</v>
      </c>
      <c r="EQ119" s="40">
        <v>0.37</v>
      </c>
      <c r="ER119" s="40">
        <v>0.63</v>
      </c>
      <c r="ES119" s="40">
        <v>0.51</v>
      </c>
      <c r="ET119" s="40">
        <v>0.37</v>
      </c>
      <c r="EU119" s="40">
        <v>0.62</v>
      </c>
      <c r="EV119" s="40">
        <v>0.53</v>
      </c>
      <c r="EW119" s="40">
        <v>0.36</v>
      </c>
      <c r="EX119" s="40">
        <v>0.63</v>
      </c>
      <c r="EY119" s="40">
        <v>0.61</v>
      </c>
      <c r="EZ119" s="40">
        <v>0.24</v>
      </c>
      <c r="FA119" s="40">
        <v>0.6</v>
      </c>
      <c r="FB119" s="247">
        <v>48</v>
      </c>
      <c r="FC119" s="247" t="s">
        <v>874</v>
      </c>
      <c r="FD119" s="247">
        <v>7</v>
      </c>
      <c r="FE119" s="247" t="s">
        <v>874</v>
      </c>
      <c r="FF119" s="264">
        <v>0.13</v>
      </c>
      <c r="FG119" s="264">
        <v>0.76</v>
      </c>
      <c r="FH119" s="264">
        <v>0.12</v>
      </c>
      <c r="FI119" s="264">
        <v>0</v>
      </c>
      <c r="FJ119" s="264">
        <v>0.5</v>
      </c>
      <c r="FK119" s="264">
        <v>0.7</v>
      </c>
      <c r="FL119" s="264">
        <v>0.52</v>
      </c>
      <c r="FM119" s="264">
        <v>0.46</v>
      </c>
      <c r="FN119" s="264">
        <v>0.32</v>
      </c>
      <c r="FO119" s="264">
        <v>0.4</v>
      </c>
      <c r="FP119" s="264">
        <v>0.41</v>
      </c>
      <c r="FQ119" s="264">
        <v>0.43</v>
      </c>
      <c r="FR119" s="264">
        <v>0.64</v>
      </c>
      <c r="FS119" s="264">
        <v>0.56000000000000005</v>
      </c>
      <c r="FT119" s="264">
        <v>0.56000000000000005</v>
      </c>
      <c r="FU119" s="264">
        <v>0.44</v>
      </c>
      <c r="FV119" s="264">
        <v>0.63</v>
      </c>
      <c r="FW119" s="264">
        <v>0.59</v>
      </c>
      <c r="FX119" s="264">
        <v>0.6</v>
      </c>
      <c r="FY119" s="264">
        <v>0.39</v>
      </c>
      <c r="FZ119" s="264">
        <v>0.43</v>
      </c>
      <c r="GA119" s="264">
        <v>0.56999999999999995</v>
      </c>
      <c r="GB119" s="264">
        <v>0.59</v>
      </c>
      <c r="GC119" s="264">
        <v>0.51</v>
      </c>
      <c r="GD119" s="264">
        <v>0.64</v>
      </c>
      <c r="GE119" s="264">
        <v>0.54</v>
      </c>
      <c r="GF119" s="264">
        <v>0.49</v>
      </c>
      <c r="GG119" s="264">
        <v>0.53</v>
      </c>
      <c r="GH119" s="264">
        <v>0.53</v>
      </c>
      <c r="GI119" s="264">
        <v>0.32</v>
      </c>
      <c r="GJ119" s="311">
        <v>49</v>
      </c>
      <c r="GK119" s="311" t="s">
        <v>874</v>
      </c>
      <c r="GL119" s="311">
        <v>9</v>
      </c>
      <c r="GM119" s="311" t="s">
        <v>874</v>
      </c>
      <c r="GN119" s="329">
        <v>0.21</v>
      </c>
      <c r="GO119" s="329">
        <v>0.55000000000000004</v>
      </c>
      <c r="GP119" s="329">
        <v>0.22</v>
      </c>
      <c r="GQ119" s="329">
        <v>0.03</v>
      </c>
      <c r="GR119" s="329">
        <v>0.51</v>
      </c>
      <c r="GS119" s="329">
        <v>0.56999999999999995</v>
      </c>
      <c r="GT119" s="329">
        <v>0.63</v>
      </c>
      <c r="GU119" s="329">
        <v>0.27</v>
      </c>
      <c r="GV119" s="329">
        <v>0.56000000000000005</v>
      </c>
      <c r="GW119" s="329">
        <v>0.56000000000000005</v>
      </c>
      <c r="GX119" s="329">
        <v>0.51</v>
      </c>
      <c r="GY119" s="311" t="s">
        <v>283</v>
      </c>
      <c r="GZ119" s="329">
        <v>0.39</v>
      </c>
      <c r="HA119" s="329">
        <v>0.73</v>
      </c>
      <c r="HB119" s="329">
        <v>0.51</v>
      </c>
      <c r="HC119" s="329">
        <v>0.56999999999999995</v>
      </c>
      <c r="HD119" s="329">
        <v>0.57999999999999996</v>
      </c>
      <c r="HE119" s="329">
        <v>0.49</v>
      </c>
      <c r="HF119" s="329">
        <v>0.52</v>
      </c>
      <c r="HG119" s="329">
        <v>0.69</v>
      </c>
      <c r="HH119" s="329">
        <v>0.44</v>
      </c>
      <c r="HI119" s="329">
        <v>0.56999999999999995</v>
      </c>
      <c r="HJ119" s="329">
        <v>0.63</v>
      </c>
      <c r="HK119" s="329">
        <v>0.55000000000000004</v>
      </c>
      <c r="HL119" s="329">
        <v>0.48</v>
      </c>
      <c r="HM119" s="329">
        <v>0.5</v>
      </c>
      <c r="HN119" s="329">
        <v>0.51</v>
      </c>
      <c r="HO119" s="329">
        <v>0.52</v>
      </c>
      <c r="HP119" s="311" t="s">
        <v>283</v>
      </c>
      <c r="HQ119" s="329">
        <v>0.41</v>
      </c>
      <c r="HR119" s="426">
        <v>49</v>
      </c>
      <c r="HS119" s="426" t="s">
        <v>874</v>
      </c>
      <c r="HT119" s="426">
        <v>8</v>
      </c>
      <c r="HU119" s="426" t="s">
        <v>874</v>
      </c>
      <c r="HV119" s="430">
        <v>0.15</v>
      </c>
      <c r="HW119" s="430">
        <v>0.61</v>
      </c>
      <c r="HX119" s="430">
        <v>0.24</v>
      </c>
      <c r="HY119" s="430">
        <v>0</v>
      </c>
      <c r="HZ119" s="430">
        <v>0.46</v>
      </c>
      <c r="IA119" s="430">
        <v>0.55000000000000004</v>
      </c>
      <c r="IB119" s="430">
        <v>0.41</v>
      </c>
      <c r="IC119" s="430">
        <v>0.55000000000000004</v>
      </c>
      <c r="ID119" s="430">
        <v>0.66</v>
      </c>
      <c r="IE119" s="430">
        <v>0.41</v>
      </c>
      <c r="IF119" s="430">
        <v>0.4</v>
      </c>
      <c r="IG119" s="430">
        <v>0.64</v>
      </c>
      <c r="IH119" s="430">
        <v>0.56999999999999995</v>
      </c>
      <c r="II119" s="430">
        <v>0.36</v>
      </c>
      <c r="IJ119" s="430">
        <v>0.32</v>
      </c>
      <c r="IK119" s="430">
        <v>0.66</v>
      </c>
      <c r="IL119" s="430">
        <v>0.4</v>
      </c>
      <c r="IM119" s="430">
        <v>0.64</v>
      </c>
      <c r="IN119" s="430">
        <v>0.49</v>
      </c>
      <c r="IO119" s="430">
        <v>0.53</v>
      </c>
      <c r="IP119" s="430">
        <v>0.51</v>
      </c>
      <c r="IQ119" s="430">
        <v>0.67</v>
      </c>
      <c r="IR119" s="430">
        <v>0.5</v>
      </c>
      <c r="IS119" s="430">
        <v>0.56999999999999995</v>
      </c>
      <c r="IT119" s="430">
        <v>0.51</v>
      </c>
      <c r="IU119" s="426" t="s">
        <v>283</v>
      </c>
      <c r="IV119" s="430">
        <v>0.63</v>
      </c>
      <c r="IW119" s="430">
        <v>0.46</v>
      </c>
      <c r="IX119" s="430">
        <v>0.53</v>
      </c>
      <c r="IY119" s="430">
        <v>0.55000000000000004</v>
      </c>
      <c r="IZ119" s="466">
        <v>49</v>
      </c>
      <c r="JA119" s="466" t="s">
        <v>874</v>
      </c>
      <c r="JB119" s="466">
        <v>8</v>
      </c>
      <c r="JC119" s="466" t="s">
        <v>874</v>
      </c>
      <c r="JD119" s="480">
        <v>0.13</v>
      </c>
      <c r="JE119" s="480">
        <v>0.61</v>
      </c>
      <c r="JF119" s="480">
        <v>0.26</v>
      </c>
      <c r="JG119" s="480">
        <v>0</v>
      </c>
      <c r="JH119" s="480">
        <v>0.49</v>
      </c>
      <c r="JI119" s="480">
        <v>0.49</v>
      </c>
      <c r="JJ119" s="480">
        <v>0.43</v>
      </c>
      <c r="JK119" s="480">
        <v>0.49</v>
      </c>
      <c r="JL119" s="480">
        <v>0.54</v>
      </c>
      <c r="JM119" s="480">
        <v>0.53</v>
      </c>
      <c r="JN119" s="480">
        <v>0.48</v>
      </c>
      <c r="JO119" s="480">
        <v>0.53</v>
      </c>
      <c r="JP119" s="480">
        <v>0.56999999999999995</v>
      </c>
      <c r="JQ119" s="480">
        <v>0.37</v>
      </c>
      <c r="JR119" s="480">
        <v>0.66</v>
      </c>
      <c r="JS119" s="480">
        <v>0.56000000000000005</v>
      </c>
      <c r="JT119" s="480">
        <v>0.49</v>
      </c>
      <c r="JU119" s="480">
        <v>0.6</v>
      </c>
      <c r="JV119" s="480">
        <v>0.54</v>
      </c>
      <c r="JW119" s="480">
        <v>0.48</v>
      </c>
      <c r="JX119" s="480">
        <v>0.5</v>
      </c>
      <c r="JY119" s="480">
        <v>0.53</v>
      </c>
      <c r="JZ119" s="480">
        <v>0.47</v>
      </c>
      <c r="KA119" s="480">
        <v>0.63</v>
      </c>
      <c r="KB119" s="480">
        <v>0.52</v>
      </c>
      <c r="KC119" s="480">
        <v>0.76</v>
      </c>
      <c r="KD119" s="480">
        <v>0.43</v>
      </c>
      <c r="KE119" s="480">
        <v>0.54</v>
      </c>
      <c r="KF119" s="480">
        <v>0.5</v>
      </c>
      <c r="KG119" s="480">
        <v>0.53</v>
      </c>
    </row>
    <row r="120" spans="1:293" ht="24.95" customHeight="1" x14ac:dyDescent="0.2">
      <c r="A120" s="126" t="s">
        <v>33</v>
      </c>
      <c r="B120" s="1" t="s">
        <v>219</v>
      </c>
      <c r="C120" s="2">
        <v>6</v>
      </c>
      <c r="D120" s="12">
        <v>52</v>
      </c>
      <c r="E120" s="12">
        <v>7</v>
      </c>
      <c r="F120" s="66">
        <v>0.06</v>
      </c>
      <c r="G120" s="66">
        <v>0.63</v>
      </c>
      <c r="H120" s="66">
        <v>0.31</v>
      </c>
      <c r="I120" s="66">
        <v>0</v>
      </c>
      <c r="J120" s="66">
        <v>0.56999999999999995</v>
      </c>
      <c r="K120" s="66">
        <v>0.5</v>
      </c>
      <c r="L120" s="66">
        <v>0.78</v>
      </c>
      <c r="M120" s="66">
        <v>0.26</v>
      </c>
      <c r="N120" s="66">
        <v>0.33</v>
      </c>
      <c r="O120" s="66">
        <v>0.56999999999999995</v>
      </c>
      <c r="P120" s="66">
        <v>0.41</v>
      </c>
      <c r="Q120" s="66">
        <v>0.42</v>
      </c>
      <c r="R120" s="66">
        <v>0.55000000000000004</v>
      </c>
      <c r="S120" s="66">
        <v>0.61</v>
      </c>
      <c r="T120" s="66">
        <v>0.52</v>
      </c>
      <c r="U120" s="66">
        <v>0.65</v>
      </c>
      <c r="V120" s="66">
        <v>0.04</v>
      </c>
      <c r="W120" s="66">
        <v>0.3</v>
      </c>
      <c r="X120" s="66">
        <v>0.53</v>
      </c>
      <c r="Y120" s="66">
        <v>0.56000000000000005</v>
      </c>
      <c r="Z120" s="66">
        <v>0.75</v>
      </c>
      <c r="AA120" s="66">
        <v>0.09</v>
      </c>
      <c r="AB120" s="66">
        <v>0.47</v>
      </c>
      <c r="AC120" s="66">
        <v>0.35</v>
      </c>
      <c r="AD120" s="66">
        <v>0.49</v>
      </c>
      <c r="AE120" s="66">
        <v>0.45</v>
      </c>
      <c r="AF120" s="66">
        <v>0.53</v>
      </c>
      <c r="AG120" s="66">
        <v>0.49</v>
      </c>
      <c r="AH120" s="12">
        <v>53</v>
      </c>
      <c r="AI120" s="12">
        <v>8</v>
      </c>
      <c r="AJ120" s="40">
        <v>7.0000000000000007E-2</v>
      </c>
      <c r="AK120" s="40">
        <v>0.56000000000000005</v>
      </c>
      <c r="AL120" s="40">
        <v>0.38</v>
      </c>
      <c r="AM120" s="40">
        <v>0</v>
      </c>
      <c r="AN120" s="40">
        <v>0.32</v>
      </c>
      <c r="AO120" s="40">
        <v>0.45</v>
      </c>
      <c r="AP120" s="40">
        <v>0.57999999999999996</v>
      </c>
      <c r="AQ120" s="40">
        <v>0.34</v>
      </c>
      <c r="AR120" s="40">
        <v>0.5</v>
      </c>
      <c r="AS120" s="40">
        <v>0.5</v>
      </c>
      <c r="AT120" s="40">
        <v>0.53</v>
      </c>
      <c r="AU120" s="40">
        <v>0.5</v>
      </c>
      <c r="AV120" s="40">
        <v>0.66</v>
      </c>
      <c r="AW120" s="40">
        <v>0.46</v>
      </c>
      <c r="AX120" s="40">
        <v>0.55000000000000004</v>
      </c>
      <c r="AY120" s="40">
        <v>0.3</v>
      </c>
      <c r="AZ120" s="40">
        <v>0.33</v>
      </c>
      <c r="BA120" s="40">
        <v>0.5</v>
      </c>
      <c r="BB120" s="40">
        <v>0.69</v>
      </c>
      <c r="BC120" s="40">
        <v>0.63</v>
      </c>
      <c r="BD120" s="40">
        <v>0.39</v>
      </c>
      <c r="BE120" s="40">
        <v>0.41</v>
      </c>
      <c r="BF120" s="40">
        <v>0.68</v>
      </c>
      <c r="BG120" s="40">
        <v>0.48</v>
      </c>
      <c r="BH120" s="40">
        <v>0.39</v>
      </c>
      <c r="BI120" s="40">
        <v>0.44</v>
      </c>
      <c r="BJ120" s="40">
        <v>0.33</v>
      </c>
      <c r="BK120" s="40">
        <v>0.46</v>
      </c>
      <c r="BL120" s="40">
        <v>0.47</v>
      </c>
      <c r="BM120" s="12">
        <v>53</v>
      </c>
      <c r="BN120" s="12">
        <v>9</v>
      </c>
      <c r="BO120" s="66">
        <v>0.09</v>
      </c>
      <c r="BP120" s="66">
        <v>0.49</v>
      </c>
      <c r="BQ120" s="66">
        <v>0.41</v>
      </c>
      <c r="BR120" s="66">
        <v>0.01</v>
      </c>
      <c r="BS120" s="66">
        <v>0.28000000000000003</v>
      </c>
      <c r="BT120" s="66">
        <v>0.54</v>
      </c>
      <c r="BU120" s="66">
        <v>0.63</v>
      </c>
      <c r="BV120" s="66">
        <v>0.28000000000000003</v>
      </c>
      <c r="BW120" s="66">
        <v>0.59</v>
      </c>
      <c r="BX120" s="66">
        <v>0.25</v>
      </c>
      <c r="BY120" s="66">
        <v>0.39</v>
      </c>
      <c r="BZ120" s="66">
        <v>0.48</v>
      </c>
      <c r="CA120" s="66">
        <v>0.47</v>
      </c>
      <c r="CB120" s="66">
        <v>0.34</v>
      </c>
      <c r="CC120" s="66">
        <v>0.14000000000000001</v>
      </c>
      <c r="CD120" s="66">
        <v>0.39</v>
      </c>
      <c r="CE120" s="66">
        <v>0.28999999999999998</v>
      </c>
      <c r="CF120" s="66">
        <v>0.55000000000000004</v>
      </c>
      <c r="CG120" s="66">
        <v>0.54</v>
      </c>
      <c r="CH120" s="66">
        <v>0.42</v>
      </c>
      <c r="CI120" s="66">
        <v>0.52</v>
      </c>
      <c r="CJ120" s="66">
        <v>0.27</v>
      </c>
      <c r="CK120" s="66">
        <v>0.62</v>
      </c>
      <c r="CL120" s="66">
        <v>0.25</v>
      </c>
      <c r="CM120" s="66">
        <v>0.38</v>
      </c>
      <c r="CN120" s="66">
        <v>0.41</v>
      </c>
      <c r="CO120" s="66">
        <v>0.36</v>
      </c>
      <c r="CP120" s="66">
        <v>0.34</v>
      </c>
      <c r="CQ120" s="66">
        <v>0.52</v>
      </c>
      <c r="CR120" s="66">
        <v>0.51</v>
      </c>
      <c r="CS120" s="12">
        <v>49</v>
      </c>
      <c r="CT120" s="12">
        <v>8</v>
      </c>
      <c r="CU120" s="63">
        <v>0.17</v>
      </c>
      <c r="CV120" s="63">
        <v>0.61</v>
      </c>
      <c r="CW120" s="63">
        <v>0.22</v>
      </c>
      <c r="CX120" s="63">
        <v>0</v>
      </c>
      <c r="CY120" s="63">
        <v>0.46</v>
      </c>
      <c r="CZ120" s="63">
        <v>0.28999999999999998</v>
      </c>
      <c r="DA120" s="63">
        <v>0.6</v>
      </c>
      <c r="DB120" s="63">
        <v>0.39</v>
      </c>
      <c r="DC120" s="63">
        <v>0.45</v>
      </c>
      <c r="DD120" s="63">
        <v>0.61</v>
      </c>
      <c r="DE120" s="63">
        <v>0.53</v>
      </c>
      <c r="DF120" s="63">
        <v>0.47</v>
      </c>
      <c r="DG120" s="63">
        <v>0.46</v>
      </c>
      <c r="DH120" s="63">
        <v>0.38</v>
      </c>
      <c r="DI120" s="63">
        <v>0.51</v>
      </c>
      <c r="DJ120" s="63">
        <v>0.51</v>
      </c>
      <c r="DK120" s="63">
        <v>0.41</v>
      </c>
      <c r="DL120" s="63">
        <v>0.39</v>
      </c>
      <c r="DM120" s="63">
        <v>0.56000000000000005</v>
      </c>
      <c r="DN120" s="63">
        <v>0.52</v>
      </c>
      <c r="DO120" s="63">
        <v>0.46</v>
      </c>
      <c r="DP120" s="63">
        <v>0.48</v>
      </c>
      <c r="DQ120" s="63">
        <v>0.6</v>
      </c>
      <c r="DR120" s="63">
        <v>0.23</v>
      </c>
      <c r="DS120" s="63">
        <v>0.4</v>
      </c>
      <c r="DT120" s="63">
        <v>0.54</v>
      </c>
      <c r="DU120" s="63">
        <v>0.63</v>
      </c>
      <c r="DV120" s="63">
        <v>0.56999999999999995</v>
      </c>
      <c r="DW120" s="63">
        <v>0.39</v>
      </c>
      <c r="DX120" s="35">
        <v>49</v>
      </c>
      <c r="DY120" s="35">
        <v>8</v>
      </c>
      <c r="DZ120" s="40">
        <v>0.17</v>
      </c>
      <c r="EA120" s="40">
        <v>0.62</v>
      </c>
      <c r="EB120" s="40">
        <v>0.21</v>
      </c>
      <c r="EC120" s="40">
        <v>0</v>
      </c>
      <c r="ED120" s="40">
        <v>0.47</v>
      </c>
      <c r="EE120" s="40">
        <v>0.5</v>
      </c>
      <c r="EF120" s="40">
        <v>0.57999999999999996</v>
      </c>
      <c r="EG120" s="40">
        <v>0.26</v>
      </c>
      <c r="EH120" s="40">
        <v>0.43</v>
      </c>
      <c r="EI120" s="40">
        <v>0.51</v>
      </c>
      <c r="EJ120" s="40">
        <v>0.6</v>
      </c>
      <c r="EK120" s="40">
        <v>0.3</v>
      </c>
      <c r="EL120" s="40">
        <v>0.47</v>
      </c>
      <c r="EM120" s="40">
        <v>0.6</v>
      </c>
      <c r="EN120" s="40">
        <v>0.49</v>
      </c>
      <c r="EO120" s="40">
        <v>0.61</v>
      </c>
      <c r="EP120" s="40">
        <v>0.39</v>
      </c>
      <c r="EQ120" s="40">
        <v>0.28999999999999998</v>
      </c>
      <c r="ER120" s="40">
        <v>0.57999999999999996</v>
      </c>
      <c r="ES120" s="40">
        <v>0.5</v>
      </c>
      <c r="ET120" s="40">
        <v>0.32</v>
      </c>
      <c r="EU120" s="40">
        <v>0.59</v>
      </c>
      <c r="EV120" s="40">
        <v>0.52</v>
      </c>
      <c r="EW120" s="40">
        <v>0.36</v>
      </c>
      <c r="EX120" s="40">
        <v>0.7</v>
      </c>
      <c r="EY120" s="40">
        <v>0.63</v>
      </c>
      <c r="EZ120" s="40">
        <v>0.26</v>
      </c>
      <c r="FA120" s="40">
        <v>0.65</v>
      </c>
      <c r="FB120" s="247">
        <v>48</v>
      </c>
      <c r="FC120" s="247" t="s">
        <v>874</v>
      </c>
      <c r="FD120" s="247">
        <v>7</v>
      </c>
      <c r="FE120" s="247" t="s">
        <v>874</v>
      </c>
      <c r="FF120" s="264">
        <v>0.16</v>
      </c>
      <c r="FG120" s="264">
        <v>0.69</v>
      </c>
      <c r="FH120" s="264">
        <v>0.15</v>
      </c>
      <c r="FI120" s="264">
        <v>0</v>
      </c>
      <c r="FJ120" s="264">
        <v>0.49</v>
      </c>
      <c r="FK120" s="264">
        <v>0.67</v>
      </c>
      <c r="FL120" s="264">
        <v>0.55000000000000004</v>
      </c>
      <c r="FM120" s="264">
        <v>0.42</v>
      </c>
      <c r="FN120" s="264">
        <v>0.28999999999999998</v>
      </c>
      <c r="FO120" s="264">
        <v>0.33</v>
      </c>
      <c r="FP120" s="264">
        <v>0.44</v>
      </c>
      <c r="FQ120" s="264">
        <v>0.39</v>
      </c>
      <c r="FR120" s="264">
        <v>0.64</v>
      </c>
      <c r="FS120" s="264">
        <v>0.54</v>
      </c>
      <c r="FT120" s="264">
        <v>0.53</v>
      </c>
      <c r="FU120" s="264">
        <v>0.44</v>
      </c>
      <c r="FV120" s="264">
        <v>0.69</v>
      </c>
      <c r="FW120" s="264">
        <v>0.6</v>
      </c>
      <c r="FX120" s="264">
        <v>0.53</v>
      </c>
      <c r="FY120" s="264">
        <v>0.37</v>
      </c>
      <c r="FZ120" s="264">
        <v>0.45</v>
      </c>
      <c r="GA120" s="264">
        <v>0.5</v>
      </c>
      <c r="GB120" s="264">
        <v>0.56000000000000005</v>
      </c>
      <c r="GC120" s="264">
        <v>0.52</v>
      </c>
      <c r="GD120" s="264">
        <v>0.67</v>
      </c>
      <c r="GE120" s="264">
        <v>0.57999999999999996</v>
      </c>
      <c r="GF120" s="264">
        <v>0.5</v>
      </c>
      <c r="GG120" s="264">
        <v>0.48</v>
      </c>
      <c r="GH120" s="264">
        <v>0.63</v>
      </c>
      <c r="GI120" s="264">
        <v>0.33</v>
      </c>
      <c r="GJ120" s="311">
        <v>49</v>
      </c>
      <c r="GK120" s="311" t="s">
        <v>874</v>
      </c>
      <c r="GL120" s="311">
        <v>8</v>
      </c>
      <c r="GM120" s="311" t="s">
        <v>874</v>
      </c>
      <c r="GN120" s="329">
        <v>0.19</v>
      </c>
      <c r="GO120" s="329">
        <v>0.57999999999999996</v>
      </c>
      <c r="GP120" s="329">
        <v>0.23</v>
      </c>
      <c r="GQ120" s="329">
        <v>0</v>
      </c>
      <c r="GR120" s="329">
        <v>0.49</v>
      </c>
      <c r="GS120" s="329">
        <v>0.55000000000000004</v>
      </c>
      <c r="GT120" s="329">
        <v>0.63</v>
      </c>
      <c r="GU120" s="329">
        <v>0.28999999999999998</v>
      </c>
      <c r="GV120" s="329">
        <v>0.59</v>
      </c>
      <c r="GW120" s="329">
        <v>0.53</v>
      </c>
      <c r="GX120" s="329">
        <v>0.52</v>
      </c>
      <c r="GY120" s="311" t="s">
        <v>283</v>
      </c>
      <c r="GZ120" s="329">
        <v>0.34</v>
      </c>
      <c r="HA120" s="329">
        <v>0.66</v>
      </c>
      <c r="HB120" s="329">
        <v>0.5</v>
      </c>
      <c r="HC120" s="329">
        <v>0.55000000000000004</v>
      </c>
      <c r="HD120" s="329">
        <v>0.63</v>
      </c>
      <c r="HE120" s="329">
        <v>0.5</v>
      </c>
      <c r="HF120" s="329">
        <v>0.52</v>
      </c>
      <c r="HG120" s="329">
        <v>0.68</v>
      </c>
      <c r="HH120" s="329">
        <v>0.41</v>
      </c>
      <c r="HI120" s="329">
        <v>0.56000000000000005</v>
      </c>
      <c r="HJ120" s="329">
        <v>0.57999999999999996</v>
      </c>
      <c r="HK120" s="329">
        <v>0.54</v>
      </c>
      <c r="HL120" s="329">
        <v>0.49</v>
      </c>
      <c r="HM120" s="329">
        <v>0.47</v>
      </c>
      <c r="HN120" s="329">
        <v>0.5</v>
      </c>
      <c r="HO120" s="329">
        <v>0.5</v>
      </c>
      <c r="HP120" s="311" t="s">
        <v>283</v>
      </c>
      <c r="HQ120" s="329">
        <v>0.45</v>
      </c>
      <c r="HR120" s="426">
        <v>50</v>
      </c>
      <c r="HS120" s="426" t="s">
        <v>874</v>
      </c>
      <c r="HT120" s="426">
        <v>9</v>
      </c>
      <c r="HU120" s="426" t="s">
        <v>874</v>
      </c>
      <c r="HV120" s="430">
        <v>0.17</v>
      </c>
      <c r="HW120" s="430">
        <v>0.56000000000000005</v>
      </c>
      <c r="HX120" s="430">
        <v>0.26</v>
      </c>
      <c r="HY120" s="430">
        <v>0.01</v>
      </c>
      <c r="HZ120" s="430">
        <v>0.47</v>
      </c>
      <c r="IA120" s="430">
        <v>0.54</v>
      </c>
      <c r="IB120" s="430">
        <v>0.41</v>
      </c>
      <c r="IC120" s="430">
        <v>0.51</v>
      </c>
      <c r="ID120" s="430">
        <v>0.6</v>
      </c>
      <c r="IE120" s="430">
        <v>0.41</v>
      </c>
      <c r="IF120" s="430">
        <v>0.41</v>
      </c>
      <c r="IG120" s="430">
        <v>0.56000000000000005</v>
      </c>
      <c r="IH120" s="430">
        <v>0.56000000000000005</v>
      </c>
      <c r="II120" s="430">
        <v>0.37</v>
      </c>
      <c r="IJ120" s="430">
        <v>0.33</v>
      </c>
      <c r="IK120" s="430">
        <v>0.6</v>
      </c>
      <c r="IL120" s="430">
        <v>0.33</v>
      </c>
      <c r="IM120" s="430">
        <v>0.56000000000000005</v>
      </c>
      <c r="IN120" s="430">
        <v>0.48</v>
      </c>
      <c r="IO120" s="430">
        <v>0.54</v>
      </c>
      <c r="IP120" s="430">
        <v>0.41</v>
      </c>
      <c r="IQ120" s="430">
        <v>0.7</v>
      </c>
      <c r="IR120" s="430">
        <v>0.59</v>
      </c>
      <c r="IS120" s="430">
        <v>0.51</v>
      </c>
      <c r="IT120" s="430">
        <v>0.51</v>
      </c>
      <c r="IU120" s="426" t="s">
        <v>283</v>
      </c>
      <c r="IV120" s="430">
        <v>0.65</v>
      </c>
      <c r="IW120" s="430">
        <v>0.43</v>
      </c>
      <c r="IX120" s="430">
        <v>0.48</v>
      </c>
      <c r="IY120" s="430">
        <v>0.56999999999999995</v>
      </c>
      <c r="IZ120" s="466">
        <v>48</v>
      </c>
      <c r="JA120" s="466" t="s">
        <v>874</v>
      </c>
      <c r="JB120" s="466">
        <v>9</v>
      </c>
      <c r="JC120" s="466" t="s">
        <v>874</v>
      </c>
      <c r="JD120" s="480">
        <v>0.23</v>
      </c>
      <c r="JE120" s="480">
        <v>0.55000000000000004</v>
      </c>
      <c r="JF120" s="480">
        <v>0.21</v>
      </c>
      <c r="JG120" s="480">
        <v>0.01</v>
      </c>
      <c r="JH120" s="480">
        <v>0.54</v>
      </c>
      <c r="JI120" s="480">
        <v>0.48</v>
      </c>
      <c r="JJ120" s="480">
        <v>0.55000000000000004</v>
      </c>
      <c r="JK120" s="480">
        <v>0.5</v>
      </c>
      <c r="JL120" s="480">
        <v>0.55000000000000004</v>
      </c>
      <c r="JM120" s="480">
        <v>0.53</v>
      </c>
      <c r="JN120" s="480">
        <v>0.49</v>
      </c>
      <c r="JO120" s="480">
        <v>0.53</v>
      </c>
      <c r="JP120" s="480">
        <v>0.63</v>
      </c>
      <c r="JQ120" s="480">
        <v>0.4</v>
      </c>
      <c r="JR120" s="480">
        <v>0.65</v>
      </c>
      <c r="JS120" s="480">
        <v>0.54</v>
      </c>
      <c r="JT120" s="480">
        <v>0.54</v>
      </c>
      <c r="JU120" s="480">
        <v>0.53</v>
      </c>
      <c r="JV120" s="480">
        <v>0.53</v>
      </c>
      <c r="JW120" s="480">
        <v>0.55000000000000004</v>
      </c>
      <c r="JX120" s="480">
        <v>0.5</v>
      </c>
      <c r="JY120" s="480">
        <v>0.52</v>
      </c>
      <c r="JZ120" s="480">
        <v>0.53</v>
      </c>
      <c r="KA120" s="480">
        <v>0.59</v>
      </c>
      <c r="KB120" s="480">
        <v>0.56999999999999995</v>
      </c>
      <c r="KC120" s="480">
        <v>0.68</v>
      </c>
      <c r="KD120" s="480">
        <v>0.4</v>
      </c>
      <c r="KE120" s="480">
        <v>0.54</v>
      </c>
      <c r="KF120" s="480">
        <v>0.51</v>
      </c>
      <c r="KG120" s="480">
        <v>0.57999999999999996</v>
      </c>
    </row>
    <row r="121" spans="1:293" ht="24.95" customHeight="1" x14ac:dyDescent="0.2">
      <c r="A121" s="126" t="s">
        <v>65</v>
      </c>
      <c r="B121" s="1" t="s">
        <v>219</v>
      </c>
      <c r="C121" s="2">
        <v>3</v>
      </c>
      <c r="D121" s="12">
        <v>53</v>
      </c>
      <c r="E121" s="12">
        <v>7</v>
      </c>
      <c r="F121" s="66">
        <v>7.0000000000000007E-2</v>
      </c>
      <c r="G121" s="66">
        <v>0.55000000000000004</v>
      </c>
      <c r="H121" s="66">
        <v>0.38</v>
      </c>
      <c r="I121" s="66">
        <v>0</v>
      </c>
      <c r="J121" s="66">
        <v>0.54</v>
      </c>
      <c r="K121" s="66">
        <v>0.37</v>
      </c>
      <c r="L121" s="66">
        <v>0.84</v>
      </c>
      <c r="M121" s="66">
        <v>0.22</v>
      </c>
      <c r="N121" s="66">
        <v>0.28999999999999998</v>
      </c>
      <c r="O121" s="66">
        <v>0.76</v>
      </c>
      <c r="P121" s="66">
        <v>0.41</v>
      </c>
      <c r="Q121" s="66">
        <v>0.4</v>
      </c>
      <c r="R121" s="66">
        <v>0.52</v>
      </c>
      <c r="S121" s="66">
        <v>0.61</v>
      </c>
      <c r="T121" s="66">
        <v>0.44</v>
      </c>
      <c r="U121" s="66">
        <v>0.62</v>
      </c>
      <c r="V121" s="66">
        <v>7.0000000000000007E-2</v>
      </c>
      <c r="W121" s="66">
        <v>0.31</v>
      </c>
      <c r="X121" s="66">
        <v>0.56000000000000005</v>
      </c>
      <c r="Y121" s="66">
        <v>0.46</v>
      </c>
      <c r="Z121" s="66">
        <v>1</v>
      </c>
      <c r="AA121" s="66">
        <v>0.27</v>
      </c>
      <c r="AB121" s="66">
        <v>0.49</v>
      </c>
      <c r="AC121" s="66">
        <v>0.2</v>
      </c>
      <c r="AD121" s="66">
        <v>0.41</v>
      </c>
      <c r="AE121" s="66">
        <v>0.56000000000000005</v>
      </c>
      <c r="AF121" s="66">
        <v>0.52</v>
      </c>
      <c r="AG121" s="66">
        <v>0.43</v>
      </c>
      <c r="AH121" s="12">
        <v>51</v>
      </c>
      <c r="AI121" s="12">
        <v>8</v>
      </c>
      <c r="AJ121" s="40">
        <v>0.08</v>
      </c>
      <c r="AK121" s="40">
        <v>0.57999999999999996</v>
      </c>
      <c r="AL121" s="40">
        <v>0.33</v>
      </c>
      <c r="AM121" s="40">
        <v>0.01</v>
      </c>
      <c r="AN121" s="40">
        <v>0.28000000000000003</v>
      </c>
      <c r="AO121" s="40">
        <v>0.47</v>
      </c>
      <c r="AP121" s="40">
        <v>0.59</v>
      </c>
      <c r="AQ121" s="40">
        <v>0.41</v>
      </c>
      <c r="AR121" s="40">
        <v>0.56000000000000005</v>
      </c>
      <c r="AS121" s="40">
        <v>0.52</v>
      </c>
      <c r="AT121" s="40">
        <v>0.53</v>
      </c>
      <c r="AU121" s="40">
        <v>0.52</v>
      </c>
      <c r="AV121" s="40">
        <v>0.62</v>
      </c>
      <c r="AW121" s="40">
        <v>0.47</v>
      </c>
      <c r="AX121" s="40">
        <v>0.56999999999999995</v>
      </c>
      <c r="AY121" s="40">
        <v>0.35</v>
      </c>
      <c r="AZ121" s="40">
        <v>0.32</v>
      </c>
      <c r="BA121" s="40">
        <v>0.53</v>
      </c>
      <c r="BB121" s="40">
        <v>0.68</v>
      </c>
      <c r="BC121" s="40">
        <v>0.62</v>
      </c>
      <c r="BD121" s="40">
        <v>0.42</v>
      </c>
      <c r="BE121" s="40">
        <v>0.53</v>
      </c>
      <c r="BF121" s="40">
        <v>0.56000000000000005</v>
      </c>
      <c r="BG121" s="40">
        <v>0.51</v>
      </c>
      <c r="BH121" s="40">
        <v>0.46</v>
      </c>
      <c r="BI121" s="40">
        <v>0.43</v>
      </c>
      <c r="BJ121" s="40">
        <v>0.36</v>
      </c>
      <c r="BK121" s="40">
        <v>0.45</v>
      </c>
      <c r="BL121" s="40">
        <v>0.44</v>
      </c>
      <c r="BM121" s="12">
        <v>50</v>
      </c>
      <c r="BN121" s="12">
        <v>8</v>
      </c>
      <c r="BO121" s="66">
        <v>0.12</v>
      </c>
      <c r="BP121" s="66">
        <v>0.62</v>
      </c>
      <c r="BQ121" s="66">
        <v>0.25</v>
      </c>
      <c r="BR121" s="66">
        <v>0</v>
      </c>
      <c r="BS121" s="66">
        <v>0.37</v>
      </c>
      <c r="BT121" s="66">
        <v>0.56999999999999995</v>
      </c>
      <c r="BU121" s="66">
        <v>0.63</v>
      </c>
      <c r="BV121" s="66">
        <v>0.37</v>
      </c>
      <c r="BW121" s="66">
        <v>0.63</v>
      </c>
      <c r="BX121" s="66">
        <v>0.43</v>
      </c>
      <c r="BY121" s="66">
        <v>0.39</v>
      </c>
      <c r="BZ121" s="66">
        <v>0.53</v>
      </c>
      <c r="CA121" s="66">
        <v>0.47</v>
      </c>
      <c r="CB121" s="66">
        <v>0.39</v>
      </c>
      <c r="CC121" s="66">
        <v>0.21</v>
      </c>
      <c r="CD121" s="66">
        <v>0.42</v>
      </c>
      <c r="CE121" s="66">
        <v>0.35</v>
      </c>
      <c r="CF121" s="66">
        <v>0.64</v>
      </c>
      <c r="CG121" s="66">
        <v>0.62</v>
      </c>
      <c r="CH121" s="66">
        <v>0.46</v>
      </c>
      <c r="CI121" s="66">
        <v>0.6</v>
      </c>
      <c r="CJ121" s="66">
        <v>0.4</v>
      </c>
      <c r="CK121" s="66">
        <v>0.72</v>
      </c>
      <c r="CL121" s="66">
        <v>0.31</v>
      </c>
      <c r="CM121" s="66">
        <v>0.47</v>
      </c>
      <c r="CN121" s="66">
        <v>0.49</v>
      </c>
      <c r="CO121" s="66">
        <v>0.46</v>
      </c>
      <c r="CP121" s="66">
        <v>0.36</v>
      </c>
      <c r="CQ121" s="66">
        <v>0.54</v>
      </c>
      <c r="CR121" s="66">
        <v>0.57999999999999996</v>
      </c>
      <c r="CS121" s="12">
        <v>49</v>
      </c>
      <c r="CT121" s="12">
        <v>9</v>
      </c>
      <c r="CU121" s="63">
        <v>0.18</v>
      </c>
      <c r="CV121" s="63">
        <v>0.61</v>
      </c>
      <c r="CW121" s="63">
        <v>0.21</v>
      </c>
      <c r="CX121" s="63">
        <v>0</v>
      </c>
      <c r="CY121" s="63">
        <v>0.51</v>
      </c>
      <c r="CZ121" s="63">
        <v>0.31</v>
      </c>
      <c r="DA121" s="63">
        <v>0.61</v>
      </c>
      <c r="DB121" s="63">
        <v>0.35</v>
      </c>
      <c r="DC121" s="63">
        <v>0.48</v>
      </c>
      <c r="DD121" s="63">
        <v>0.67</v>
      </c>
      <c r="DE121" s="63">
        <v>0.48</v>
      </c>
      <c r="DF121" s="63">
        <v>0.57999999999999996</v>
      </c>
      <c r="DG121" s="63">
        <v>0.49</v>
      </c>
      <c r="DH121" s="63">
        <v>0.37</v>
      </c>
      <c r="DI121" s="63">
        <v>0.56000000000000005</v>
      </c>
      <c r="DJ121" s="63">
        <v>0.53</v>
      </c>
      <c r="DK121" s="63">
        <v>0.4</v>
      </c>
      <c r="DL121" s="63">
        <v>0.36</v>
      </c>
      <c r="DM121" s="63">
        <v>0.49</v>
      </c>
      <c r="DN121" s="63">
        <v>0.53</v>
      </c>
      <c r="DO121" s="63">
        <v>0.46</v>
      </c>
      <c r="DP121" s="63">
        <v>0.45</v>
      </c>
      <c r="DQ121" s="63">
        <v>0.62</v>
      </c>
      <c r="DR121" s="63">
        <v>0.19</v>
      </c>
      <c r="DS121" s="63">
        <v>0.42</v>
      </c>
      <c r="DT121" s="63">
        <v>0.62</v>
      </c>
      <c r="DU121" s="63">
        <v>0.57999999999999996</v>
      </c>
      <c r="DV121" s="63">
        <v>0.6</v>
      </c>
      <c r="DW121" s="63">
        <v>0.38</v>
      </c>
      <c r="DX121" s="35">
        <v>50</v>
      </c>
      <c r="DY121" s="35">
        <v>9</v>
      </c>
      <c r="DZ121" s="40">
        <v>0.16</v>
      </c>
      <c r="EA121" s="40">
        <v>0.56000000000000005</v>
      </c>
      <c r="EB121" s="40">
        <v>0.28000000000000003</v>
      </c>
      <c r="EC121" s="40">
        <v>0</v>
      </c>
      <c r="ED121" s="40">
        <v>0.47</v>
      </c>
      <c r="EE121" s="40">
        <v>0.44</v>
      </c>
      <c r="EF121" s="40">
        <v>0.5</v>
      </c>
      <c r="EG121" s="40">
        <v>0.3</v>
      </c>
      <c r="EH121" s="40">
        <v>0.4</v>
      </c>
      <c r="EI121" s="40">
        <v>0.47</v>
      </c>
      <c r="EJ121" s="40">
        <v>0.54</v>
      </c>
      <c r="EK121" s="40">
        <v>0.26</v>
      </c>
      <c r="EL121" s="40">
        <v>0.44</v>
      </c>
      <c r="EM121" s="40">
        <v>0.61</v>
      </c>
      <c r="EN121" s="40">
        <v>0.48</v>
      </c>
      <c r="EO121" s="40">
        <v>0.6</v>
      </c>
      <c r="EP121" s="40">
        <v>0.37</v>
      </c>
      <c r="EQ121" s="40">
        <v>0.3</v>
      </c>
      <c r="ER121" s="40">
        <v>0.62</v>
      </c>
      <c r="ES121" s="40">
        <v>0.42</v>
      </c>
      <c r="ET121" s="40">
        <v>0.33</v>
      </c>
      <c r="EU121" s="40">
        <v>0.64</v>
      </c>
      <c r="EV121" s="40">
        <v>0.45</v>
      </c>
      <c r="EW121" s="40">
        <v>0.33</v>
      </c>
      <c r="EX121" s="40">
        <v>0.66</v>
      </c>
      <c r="EY121" s="40">
        <v>0.57999999999999996</v>
      </c>
      <c r="EZ121" s="40">
        <v>0.28999999999999998</v>
      </c>
      <c r="FA121" s="40">
        <v>0.62</v>
      </c>
      <c r="FB121" s="247">
        <v>48</v>
      </c>
      <c r="FC121" s="247" t="s">
        <v>874</v>
      </c>
      <c r="FD121" s="247">
        <v>8</v>
      </c>
      <c r="FE121" s="247" t="s">
        <v>874</v>
      </c>
      <c r="FF121" s="264">
        <v>0.19</v>
      </c>
      <c r="FG121" s="264">
        <v>0.65</v>
      </c>
      <c r="FH121" s="264">
        <v>0.15</v>
      </c>
      <c r="FI121" s="264">
        <v>0.01</v>
      </c>
      <c r="FJ121" s="264">
        <v>0.51</v>
      </c>
      <c r="FK121" s="264">
        <v>0.66</v>
      </c>
      <c r="FL121" s="264">
        <v>0.59</v>
      </c>
      <c r="FM121" s="264">
        <v>0.45</v>
      </c>
      <c r="FN121" s="264">
        <v>0.37</v>
      </c>
      <c r="FO121" s="264">
        <v>0.37</v>
      </c>
      <c r="FP121" s="264">
        <v>0.41</v>
      </c>
      <c r="FQ121" s="264">
        <v>0.45</v>
      </c>
      <c r="FR121" s="264">
        <v>0.64</v>
      </c>
      <c r="FS121" s="264">
        <v>0.56000000000000005</v>
      </c>
      <c r="FT121" s="264">
        <v>0.56000000000000005</v>
      </c>
      <c r="FU121" s="264">
        <v>0.38</v>
      </c>
      <c r="FV121" s="264">
        <v>0.64</v>
      </c>
      <c r="FW121" s="264">
        <v>0.59</v>
      </c>
      <c r="FX121" s="264">
        <v>0.51</v>
      </c>
      <c r="FY121" s="264">
        <v>0.44</v>
      </c>
      <c r="FZ121" s="264">
        <v>0.49</v>
      </c>
      <c r="GA121" s="264">
        <v>0.55000000000000004</v>
      </c>
      <c r="GB121" s="264">
        <v>0.54</v>
      </c>
      <c r="GC121" s="264">
        <v>0.5</v>
      </c>
      <c r="GD121" s="264">
        <v>0.61</v>
      </c>
      <c r="GE121" s="264">
        <v>0.54</v>
      </c>
      <c r="GF121" s="264">
        <v>0.49</v>
      </c>
      <c r="GG121" s="264">
        <v>0.52</v>
      </c>
      <c r="GH121" s="264">
        <v>0.61</v>
      </c>
      <c r="GI121" s="264">
        <v>0.36</v>
      </c>
      <c r="GJ121" s="311">
        <v>48</v>
      </c>
      <c r="GK121" s="311" t="s">
        <v>874</v>
      </c>
      <c r="GL121" s="311">
        <v>8</v>
      </c>
      <c r="GM121" s="311" t="s">
        <v>874</v>
      </c>
      <c r="GN121" s="329">
        <v>0.2</v>
      </c>
      <c r="GO121" s="329">
        <v>0.65</v>
      </c>
      <c r="GP121" s="329">
        <v>0.14000000000000001</v>
      </c>
      <c r="GQ121" s="329">
        <v>0.01</v>
      </c>
      <c r="GR121" s="329">
        <v>0.54</v>
      </c>
      <c r="GS121" s="329">
        <v>0.63</v>
      </c>
      <c r="GT121" s="329">
        <v>0.63</v>
      </c>
      <c r="GU121" s="329">
        <v>0.4</v>
      </c>
      <c r="GV121" s="329">
        <v>0.63</v>
      </c>
      <c r="GW121" s="329">
        <v>0.56000000000000005</v>
      </c>
      <c r="GX121" s="329">
        <v>0.53</v>
      </c>
      <c r="GY121" s="311" t="s">
        <v>283</v>
      </c>
      <c r="GZ121" s="329">
        <v>0.37</v>
      </c>
      <c r="HA121" s="329">
        <v>0.72</v>
      </c>
      <c r="HB121" s="329">
        <v>0.51</v>
      </c>
      <c r="HC121" s="329">
        <v>0.57999999999999996</v>
      </c>
      <c r="HD121" s="329">
        <v>0.62</v>
      </c>
      <c r="HE121" s="329">
        <v>0.49</v>
      </c>
      <c r="HF121" s="329">
        <v>0.52</v>
      </c>
      <c r="HG121" s="329">
        <v>0.69</v>
      </c>
      <c r="HH121" s="329">
        <v>0.43</v>
      </c>
      <c r="HI121" s="329">
        <v>0.59</v>
      </c>
      <c r="HJ121" s="329">
        <v>0.63</v>
      </c>
      <c r="HK121" s="329">
        <v>0.56000000000000005</v>
      </c>
      <c r="HL121" s="329">
        <v>0.47</v>
      </c>
      <c r="HM121" s="329">
        <v>0.55000000000000004</v>
      </c>
      <c r="HN121" s="329">
        <v>0.56000000000000005</v>
      </c>
      <c r="HO121" s="329">
        <v>0.48</v>
      </c>
      <c r="HP121" s="311" t="s">
        <v>283</v>
      </c>
      <c r="HQ121" s="329">
        <v>0.51</v>
      </c>
      <c r="HR121" s="426">
        <v>48</v>
      </c>
      <c r="HS121" s="426" t="s">
        <v>874</v>
      </c>
      <c r="HT121" s="426">
        <v>8</v>
      </c>
      <c r="HU121" s="426" t="s">
        <v>874</v>
      </c>
      <c r="HV121" s="430">
        <v>0.21</v>
      </c>
      <c r="HW121" s="430">
        <v>0.6</v>
      </c>
      <c r="HX121" s="430">
        <v>0.19</v>
      </c>
      <c r="HY121" s="430">
        <v>0</v>
      </c>
      <c r="HZ121" s="430">
        <v>0.51</v>
      </c>
      <c r="IA121" s="430">
        <v>0.57999999999999996</v>
      </c>
      <c r="IB121" s="430">
        <v>0.4</v>
      </c>
      <c r="IC121" s="430">
        <v>0.54</v>
      </c>
      <c r="ID121" s="430">
        <v>0.67</v>
      </c>
      <c r="IE121" s="430">
        <v>0.4</v>
      </c>
      <c r="IF121" s="430">
        <v>0.42</v>
      </c>
      <c r="IG121" s="430">
        <v>0.6</v>
      </c>
      <c r="IH121" s="430">
        <v>0.56999999999999995</v>
      </c>
      <c r="II121" s="430">
        <v>0.38</v>
      </c>
      <c r="IJ121" s="430">
        <v>0.34</v>
      </c>
      <c r="IK121" s="430">
        <v>0.6</v>
      </c>
      <c r="IL121" s="430">
        <v>0.38</v>
      </c>
      <c r="IM121" s="430">
        <v>0.65</v>
      </c>
      <c r="IN121" s="430">
        <v>0.49</v>
      </c>
      <c r="IO121" s="430">
        <v>0.62</v>
      </c>
      <c r="IP121" s="430">
        <v>0.5</v>
      </c>
      <c r="IQ121" s="430">
        <v>0.67</v>
      </c>
      <c r="IR121" s="430">
        <v>0.63</v>
      </c>
      <c r="IS121" s="430">
        <v>0.63</v>
      </c>
      <c r="IT121" s="430">
        <v>0.51</v>
      </c>
      <c r="IU121" s="426" t="s">
        <v>283</v>
      </c>
      <c r="IV121" s="430">
        <v>0.66</v>
      </c>
      <c r="IW121" s="430">
        <v>0.48</v>
      </c>
      <c r="IX121" s="430">
        <v>0.62</v>
      </c>
      <c r="IY121" s="430">
        <v>0.56999999999999995</v>
      </c>
      <c r="IZ121" s="466">
        <v>49</v>
      </c>
      <c r="JA121" s="466" t="s">
        <v>874</v>
      </c>
      <c r="JB121" s="466">
        <v>10</v>
      </c>
      <c r="JC121" s="466" t="s">
        <v>874</v>
      </c>
      <c r="JD121" s="480">
        <v>0.19</v>
      </c>
      <c r="JE121" s="480">
        <v>0.57999999999999996</v>
      </c>
      <c r="JF121" s="480">
        <v>0.21</v>
      </c>
      <c r="JG121" s="480">
        <v>0.02</v>
      </c>
      <c r="JH121" s="480">
        <v>0.49</v>
      </c>
      <c r="JI121" s="480">
        <v>0.48</v>
      </c>
      <c r="JJ121" s="480">
        <v>0.51</v>
      </c>
      <c r="JK121" s="480">
        <v>0.52</v>
      </c>
      <c r="JL121" s="480">
        <v>0.52</v>
      </c>
      <c r="JM121" s="480">
        <v>0.55000000000000004</v>
      </c>
      <c r="JN121" s="480">
        <v>0.45</v>
      </c>
      <c r="JO121" s="480">
        <v>0.53</v>
      </c>
      <c r="JP121" s="480">
        <v>0.56999999999999995</v>
      </c>
      <c r="JQ121" s="480">
        <v>0.34</v>
      </c>
      <c r="JR121" s="480">
        <v>0.63</v>
      </c>
      <c r="JS121" s="480">
        <v>0.59</v>
      </c>
      <c r="JT121" s="480">
        <v>0.53</v>
      </c>
      <c r="JU121" s="480">
        <v>0.53</v>
      </c>
      <c r="JV121" s="480">
        <v>0.51</v>
      </c>
      <c r="JW121" s="480">
        <v>0.51</v>
      </c>
      <c r="JX121" s="480">
        <v>0.49</v>
      </c>
      <c r="JY121" s="480">
        <v>0.45</v>
      </c>
      <c r="JZ121" s="480">
        <v>0.49</v>
      </c>
      <c r="KA121" s="480">
        <v>0.6</v>
      </c>
      <c r="KB121" s="480">
        <v>0.5</v>
      </c>
      <c r="KC121" s="480">
        <v>0.67</v>
      </c>
      <c r="KD121" s="480">
        <v>0.38</v>
      </c>
      <c r="KE121" s="480">
        <v>0.52</v>
      </c>
      <c r="KF121" s="480">
        <v>0.48</v>
      </c>
      <c r="KG121" s="480">
        <v>0.6</v>
      </c>
    </row>
    <row r="122" spans="1:293" ht="24.95" customHeight="1" x14ac:dyDescent="0.2">
      <c r="A122" s="126" t="s">
        <v>106</v>
      </c>
      <c r="B122" s="1" t="s">
        <v>221</v>
      </c>
      <c r="C122" s="2">
        <v>1</v>
      </c>
      <c r="D122" s="12">
        <v>58</v>
      </c>
      <c r="E122" s="12">
        <v>7</v>
      </c>
      <c r="F122" s="66">
        <v>0.06</v>
      </c>
      <c r="G122" s="66">
        <v>0.26</v>
      </c>
      <c r="H122" s="66">
        <v>0.68</v>
      </c>
      <c r="I122" s="66">
        <v>0</v>
      </c>
      <c r="J122" s="66">
        <v>0.38</v>
      </c>
      <c r="K122" s="66">
        <v>0.28999999999999998</v>
      </c>
      <c r="L122" s="66">
        <v>0.63</v>
      </c>
      <c r="M122" s="66">
        <v>0.13</v>
      </c>
      <c r="N122" s="66">
        <v>0.23</v>
      </c>
      <c r="O122" s="66">
        <v>0.62</v>
      </c>
      <c r="P122" s="66">
        <v>0.31</v>
      </c>
      <c r="Q122" s="66">
        <v>0.35</v>
      </c>
      <c r="R122" s="66">
        <v>0.39</v>
      </c>
      <c r="S122" s="66">
        <v>0.56000000000000005</v>
      </c>
      <c r="T122" s="66">
        <v>0.36</v>
      </c>
      <c r="U122" s="66">
        <v>0.55000000000000004</v>
      </c>
      <c r="V122" s="66">
        <v>7.0000000000000007E-2</v>
      </c>
      <c r="W122" s="66">
        <v>0.04</v>
      </c>
      <c r="X122" s="66">
        <v>0.38</v>
      </c>
      <c r="Y122" s="66">
        <v>0.39</v>
      </c>
      <c r="Z122" s="12" t="s">
        <v>283</v>
      </c>
      <c r="AA122" s="66">
        <v>7.0000000000000007E-2</v>
      </c>
      <c r="AB122" s="66">
        <v>0.43</v>
      </c>
      <c r="AC122" s="66">
        <v>0.17</v>
      </c>
      <c r="AD122" s="66">
        <v>0.32</v>
      </c>
      <c r="AE122" s="66">
        <v>0.4</v>
      </c>
      <c r="AF122" s="66">
        <v>0.41</v>
      </c>
      <c r="AG122" s="66">
        <v>0.48</v>
      </c>
      <c r="AH122" s="12">
        <v>56</v>
      </c>
      <c r="AI122" s="12">
        <v>8</v>
      </c>
      <c r="AJ122" s="40">
        <v>0.03</v>
      </c>
      <c r="AK122" s="40">
        <v>0.37</v>
      </c>
      <c r="AL122" s="40">
        <v>0.61</v>
      </c>
      <c r="AM122" s="40">
        <v>0</v>
      </c>
      <c r="AN122" s="40">
        <v>0.21</v>
      </c>
      <c r="AO122" s="40">
        <v>0.35</v>
      </c>
      <c r="AP122" s="40">
        <v>0.55000000000000004</v>
      </c>
      <c r="AQ122" s="40">
        <v>0.26</v>
      </c>
      <c r="AR122" s="40">
        <v>0.49</v>
      </c>
      <c r="AS122" s="40">
        <v>0.43</v>
      </c>
      <c r="AT122" s="40">
        <v>0.43</v>
      </c>
      <c r="AU122" s="40">
        <v>0.47</v>
      </c>
      <c r="AV122" s="40">
        <v>0.44</v>
      </c>
      <c r="AW122" s="40">
        <v>0.59</v>
      </c>
      <c r="AX122" s="40">
        <v>0.37</v>
      </c>
      <c r="AY122" s="40">
        <v>0.21</v>
      </c>
      <c r="AZ122" s="40">
        <v>0.21</v>
      </c>
      <c r="BA122" s="40">
        <v>0.34</v>
      </c>
      <c r="BB122" s="40">
        <v>0.64</v>
      </c>
      <c r="BC122" s="40">
        <v>0.63</v>
      </c>
      <c r="BD122" s="40">
        <v>0.35</v>
      </c>
      <c r="BE122" s="40">
        <v>0.45</v>
      </c>
      <c r="BF122" s="40">
        <v>0.63</v>
      </c>
      <c r="BG122" s="40">
        <v>0.35</v>
      </c>
      <c r="BH122" s="40">
        <v>0.34</v>
      </c>
      <c r="BI122" s="40">
        <v>0.34</v>
      </c>
      <c r="BJ122" s="40">
        <v>0.25</v>
      </c>
      <c r="BK122" s="40">
        <v>0.39</v>
      </c>
      <c r="BL122" s="40">
        <v>0.47</v>
      </c>
      <c r="BM122" s="12">
        <v>53</v>
      </c>
      <c r="BN122" s="12">
        <v>9</v>
      </c>
      <c r="BO122" s="66">
        <v>0.11</v>
      </c>
      <c r="BP122" s="66">
        <v>0.5</v>
      </c>
      <c r="BQ122" s="66">
        <v>0.39</v>
      </c>
      <c r="BR122" s="66">
        <v>0</v>
      </c>
      <c r="BS122" s="66">
        <v>0.3</v>
      </c>
      <c r="BT122" s="66">
        <v>0.42</v>
      </c>
      <c r="BU122" s="66">
        <v>0.54</v>
      </c>
      <c r="BV122" s="66">
        <v>0.3</v>
      </c>
      <c r="BW122" s="66">
        <v>0.56999999999999995</v>
      </c>
      <c r="BX122" s="66">
        <v>0.31</v>
      </c>
      <c r="BY122" s="66">
        <v>0.4</v>
      </c>
      <c r="BZ122" s="66">
        <v>0.53</v>
      </c>
      <c r="CA122" s="66">
        <v>0.47</v>
      </c>
      <c r="CB122" s="66">
        <v>0.28999999999999998</v>
      </c>
      <c r="CC122" s="66">
        <v>0.14000000000000001</v>
      </c>
      <c r="CD122" s="66">
        <v>0.32</v>
      </c>
      <c r="CE122" s="66">
        <v>0.35</v>
      </c>
      <c r="CF122" s="66">
        <v>0.59</v>
      </c>
      <c r="CG122" s="66">
        <v>0.5</v>
      </c>
      <c r="CH122" s="66">
        <v>0.44</v>
      </c>
      <c r="CI122" s="66">
        <v>0.55000000000000004</v>
      </c>
      <c r="CJ122" s="66">
        <v>0.2</v>
      </c>
      <c r="CK122" s="66">
        <v>0.65</v>
      </c>
      <c r="CL122" s="66">
        <v>0.28000000000000003</v>
      </c>
      <c r="CM122" s="66">
        <v>0.43</v>
      </c>
      <c r="CN122" s="66">
        <v>0.38</v>
      </c>
      <c r="CO122" s="66">
        <v>0.37</v>
      </c>
      <c r="CP122" s="66">
        <v>0.28000000000000003</v>
      </c>
      <c r="CQ122" s="66">
        <v>0.46</v>
      </c>
      <c r="CR122" s="66">
        <v>0.48</v>
      </c>
      <c r="CS122" s="12">
        <v>49</v>
      </c>
      <c r="CT122" s="12">
        <v>9</v>
      </c>
      <c r="CU122" s="63">
        <v>0.11</v>
      </c>
      <c r="CV122" s="63">
        <v>0.68</v>
      </c>
      <c r="CW122" s="63">
        <v>0.22</v>
      </c>
      <c r="CX122" s="63">
        <v>0</v>
      </c>
      <c r="CY122" s="63">
        <v>0.5</v>
      </c>
      <c r="CZ122" s="63">
        <v>0.28000000000000003</v>
      </c>
      <c r="DA122" s="63">
        <v>0.49</v>
      </c>
      <c r="DB122" s="63">
        <v>0.35</v>
      </c>
      <c r="DC122" s="63">
        <v>0.56000000000000005</v>
      </c>
      <c r="DD122" s="63">
        <v>0.64</v>
      </c>
      <c r="DE122" s="63">
        <v>0.54</v>
      </c>
      <c r="DF122" s="63">
        <v>0.51</v>
      </c>
      <c r="DG122" s="63">
        <v>0.54</v>
      </c>
      <c r="DH122" s="63">
        <v>0.45</v>
      </c>
      <c r="DI122" s="63">
        <v>0.66</v>
      </c>
      <c r="DJ122" s="63">
        <v>0.47</v>
      </c>
      <c r="DK122" s="63">
        <v>0.46</v>
      </c>
      <c r="DL122" s="63">
        <v>0.5</v>
      </c>
      <c r="DM122" s="63">
        <v>0.56999999999999995</v>
      </c>
      <c r="DN122" s="63">
        <v>0.63</v>
      </c>
      <c r="DO122" s="63">
        <v>0.4</v>
      </c>
      <c r="DP122" s="63">
        <v>0.4</v>
      </c>
      <c r="DQ122" s="63">
        <v>0.47</v>
      </c>
      <c r="DR122" s="63">
        <v>0.19</v>
      </c>
      <c r="DS122" s="63">
        <v>0.36</v>
      </c>
      <c r="DT122" s="63">
        <v>0.5</v>
      </c>
      <c r="DU122" s="63">
        <v>0.56000000000000005</v>
      </c>
      <c r="DV122" s="63">
        <v>0.52</v>
      </c>
      <c r="DW122" s="63">
        <v>0.33</v>
      </c>
      <c r="DX122" s="35">
        <v>50</v>
      </c>
      <c r="DY122" s="35">
        <v>10</v>
      </c>
      <c r="DZ122" s="40">
        <v>0.27</v>
      </c>
      <c r="EA122" s="40">
        <v>0.32</v>
      </c>
      <c r="EB122" s="40">
        <v>0.41</v>
      </c>
      <c r="EC122" s="40">
        <v>0</v>
      </c>
      <c r="ED122" s="40">
        <v>0.43</v>
      </c>
      <c r="EE122" s="40">
        <v>0.56999999999999995</v>
      </c>
      <c r="EF122" s="40">
        <v>0.53</v>
      </c>
      <c r="EG122" s="40">
        <v>0.56999999999999995</v>
      </c>
      <c r="EH122" s="40">
        <v>0.55000000000000004</v>
      </c>
      <c r="EI122" s="40">
        <v>0.35</v>
      </c>
      <c r="EJ122" s="40">
        <v>0.56999999999999995</v>
      </c>
      <c r="EK122" s="40">
        <v>0.3</v>
      </c>
      <c r="EL122" s="40">
        <v>0.5</v>
      </c>
      <c r="EM122" s="40">
        <v>0.57999999999999996</v>
      </c>
      <c r="EN122" s="40">
        <v>0.36</v>
      </c>
      <c r="EO122" s="40">
        <v>0.48</v>
      </c>
      <c r="EP122" s="40">
        <v>0.28000000000000003</v>
      </c>
      <c r="EQ122" s="40">
        <v>0.28999999999999998</v>
      </c>
      <c r="ER122" s="40">
        <v>0.53</v>
      </c>
      <c r="ES122" s="40">
        <v>0.57999999999999996</v>
      </c>
      <c r="ET122" s="40">
        <v>0.32</v>
      </c>
      <c r="EU122" s="40">
        <v>0.64</v>
      </c>
      <c r="EV122" s="40">
        <v>0.33</v>
      </c>
      <c r="EW122" s="40">
        <v>0.46</v>
      </c>
      <c r="EX122" s="40">
        <v>0.64</v>
      </c>
      <c r="EY122" s="40">
        <v>0.55000000000000004</v>
      </c>
      <c r="EZ122" s="40">
        <v>0.17</v>
      </c>
      <c r="FA122" s="40">
        <v>0.43</v>
      </c>
      <c r="FB122" s="247">
        <v>49</v>
      </c>
      <c r="FC122" s="247" t="s">
        <v>874</v>
      </c>
      <c r="FD122" s="247">
        <v>9</v>
      </c>
      <c r="FE122" s="247" t="s">
        <v>874</v>
      </c>
      <c r="FF122" s="264">
        <v>0.19</v>
      </c>
      <c r="FG122" s="264">
        <v>0.54</v>
      </c>
      <c r="FH122" s="264">
        <v>0.27</v>
      </c>
      <c r="FI122" s="264">
        <v>0</v>
      </c>
      <c r="FJ122" s="264">
        <v>0.51</v>
      </c>
      <c r="FK122" s="264">
        <v>0.63</v>
      </c>
      <c r="FL122" s="264">
        <v>0.45</v>
      </c>
      <c r="FM122" s="264">
        <v>0.44</v>
      </c>
      <c r="FN122" s="264">
        <v>0.31</v>
      </c>
      <c r="FO122" s="264">
        <v>0.28000000000000003</v>
      </c>
      <c r="FP122" s="264">
        <v>0.37</v>
      </c>
      <c r="FQ122" s="264">
        <v>0.41</v>
      </c>
      <c r="FR122" s="264">
        <v>0.66</v>
      </c>
      <c r="FS122" s="264">
        <v>0.44</v>
      </c>
      <c r="FT122" s="264">
        <v>0.46</v>
      </c>
      <c r="FU122" s="264">
        <v>0.33</v>
      </c>
      <c r="FV122" s="264">
        <v>0.56999999999999995</v>
      </c>
      <c r="FW122" s="264">
        <v>0.54</v>
      </c>
      <c r="FX122" s="264">
        <v>0.41</v>
      </c>
      <c r="FY122" s="264">
        <v>0.36</v>
      </c>
      <c r="FZ122" s="264">
        <v>0.49</v>
      </c>
      <c r="GA122" s="264">
        <v>0.57999999999999996</v>
      </c>
      <c r="GB122" s="264">
        <v>0.61</v>
      </c>
      <c r="GC122" s="264">
        <v>0.52</v>
      </c>
      <c r="GD122" s="264">
        <v>0.64</v>
      </c>
      <c r="GE122" s="264">
        <v>0.55000000000000004</v>
      </c>
      <c r="GF122" s="264">
        <v>0.45</v>
      </c>
      <c r="GG122" s="264">
        <v>0.39</v>
      </c>
      <c r="GH122" s="264">
        <v>0.51</v>
      </c>
      <c r="GI122" s="264">
        <v>0.27</v>
      </c>
      <c r="GJ122" s="311">
        <v>56</v>
      </c>
      <c r="GK122" s="311" t="s">
        <v>874</v>
      </c>
      <c r="GL122" s="311">
        <v>8</v>
      </c>
      <c r="GM122" s="311" t="s">
        <v>874</v>
      </c>
      <c r="GN122" s="329">
        <v>0.06</v>
      </c>
      <c r="GO122" s="329">
        <v>0.41</v>
      </c>
      <c r="GP122" s="329">
        <v>0.53</v>
      </c>
      <c r="GQ122" s="329">
        <v>0</v>
      </c>
      <c r="GR122" s="329">
        <v>0.33</v>
      </c>
      <c r="GS122" s="329">
        <v>0.44</v>
      </c>
      <c r="GT122" s="329">
        <v>0.5</v>
      </c>
      <c r="GU122" s="329">
        <v>0.12</v>
      </c>
      <c r="GV122" s="329">
        <v>0.46</v>
      </c>
      <c r="GW122" s="329">
        <v>0.34</v>
      </c>
      <c r="GX122" s="329">
        <v>0.3</v>
      </c>
      <c r="GY122" s="311" t="s">
        <v>283</v>
      </c>
      <c r="GZ122" s="329">
        <v>0.16</v>
      </c>
      <c r="HA122" s="329">
        <v>0.5</v>
      </c>
      <c r="HB122" s="329">
        <v>0.37</v>
      </c>
      <c r="HC122" s="329">
        <v>0.47</v>
      </c>
      <c r="HD122" s="329">
        <v>0.46</v>
      </c>
      <c r="HE122" s="329">
        <v>0.3</v>
      </c>
      <c r="HF122" s="329">
        <v>0.34</v>
      </c>
      <c r="HG122" s="329">
        <v>0.68</v>
      </c>
      <c r="HH122" s="329">
        <v>0.31</v>
      </c>
      <c r="HI122" s="329">
        <v>0.53</v>
      </c>
      <c r="HJ122" s="329">
        <v>0.54</v>
      </c>
      <c r="HK122" s="329">
        <v>0.46</v>
      </c>
      <c r="HL122" s="329">
        <v>0.31</v>
      </c>
      <c r="HM122" s="329">
        <v>0.44</v>
      </c>
      <c r="HN122" s="329">
        <v>0.45</v>
      </c>
      <c r="HO122" s="329">
        <v>0.25</v>
      </c>
      <c r="HP122" s="311" t="s">
        <v>283</v>
      </c>
      <c r="HQ122" s="329">
        <v>0.3</v>
      </c>
      <c r="HR122" s="426">
        <v>55</v>
      </c>
      <c r="HS122" s="426" t="s">
        <v>874</v>
      </c>
      <c r="HT122" s="426">
        <v>8</v>
      </c>
      <c r="HU122" s="426" t="s">
        <v>874</v>
      </c>
      <c r="HV122" s="430">
        <v>0.09</v>
      </c>
      <c r="HW122" s="430">
        <v>0.38</v>
      </c>
      <c r="HX122" s="430">
        <v>0.52</v>
      </c>
      <c r="HY122" s="430">
        <v>0.02</v>
      </c>
      <c r="HZ122" s="430">
        <v>0.32</v>
      </c>
      <c r="IA122" s="430">
        <v>0.46</v>
      </c>
      <c r="IB122" s="430">
        <v>0.23</v>
      </c>
      <c r="IC122" s="430">
        <v>0.45</v>
      </c>
      <c r="ID122" s="430">
        <v>0.56000000000000005</v>
      </c>
      <c r="IE122" s="430">
        <v>0.2</v>
      </c>
      <c r="IF122" s="430">
        <v>0.26</v>
      </c>
      <c r="IG122" s="430">
        <v>0.41</v>
      </c>
      <c r="IH122" s="430">
        <v>0.42</v>
      </c>
      <c r="II122" s="430">
        <v>0.16</v>
      </c>
      <c r="IJ122" s="430">
        <v>0.17</v>
      </c>
      <c r="IK122" s="430">
        <v>0.52</v>
      </c>
      <c r="IL122" s="430">
        <v>0.25</v>
      </c>
      <c r="IM122" s="430">
        <v>0.53</v>
      </c>
      <c r="IN122" s="430">
        <v>0.39</v>
      </c>
      <c r="IO122" s="430">
        <v>0.42</v>
      </c>
      <c r="IP122" s="430">
        <v>0.32</v>
      </c>
      <c r="IQ122" s="430">
        <v>0.56000000000000005</v>
      </c>
      <c r="IR122" s="430">
        <v>0.51</v>
      </c>
      <c r="IS122" s="430">
        <v>0.47</v>
      </c>
      <c r="IT122" s="430">
        <v>0.38</v>
      </c>
      <c r="IU122" s="426" t="s">
        <v>283</v>
      </c>
      <c r="IV122" s="430">
        <v>0.54</v>
      </c>
      <c r="IW122" s="430">
        <v>0.38</v>
      </c>
      <c r="IX122" s="430">
        <v>0.37</v>
      </c>
      <c r="IY122" s="430">
        <v>0.44</v>
      </c>
      <c r="IZ122" s="466">
        <v>53</v>
      </c>
      <c r="JA122" s="466" t="s">
        <v>874</v>
      </c>
      <c r="JB122" s="466">
        <v>10</v>
      </c>
      <c r="JC122" s="466" t="s">
        <v>874</v>
      </c>
      <c r="JD122" s="480">
        <v>0.17</v>
      </c>
      <c r="JE122" s="480">
        <v>0.4</v>
      </c>
      <c r="JF122" s="480">
        <v>0.44</v>
      </c>
      <c r="JG122" s="480">
        <v>0</v>
      </c>
      <c r="JH122" s="480">
        <v>0.52</v>
      </c>
      <c r="JI122" s="480">
        <v>0.45</v>
      </c>
      <c r="JJ122" s="480">
        <v>0.4</v>
      </c>
      <c r="JK122" s="480">
        <v>0.47</v>
      </c>
      <c r="JL122" s="480">
        <v>0.49</v>
      </c>
      <c r="JM122" s="480">
        <v>0.48</v>
      </c>
      <c r="JN122" s="480">
        <v>0.4</v>
      </c>
      <c r="JO122" s="480">
        <v>0.56000000000000005</v>
      </c>
      <c r="JP122" s="480">
        <v>0.48</v>
      </c>
      <c r="JQ122" s="480">
        <v>0.28999999999999998</v>
      </c>
      <c r="JR122" s="480">
        <v>0.56000000000000005</v>
      </c>
      <c r="JS122" s="480">
        <v>0.44</v>
      </c>
      <c r="JT122" s="480">
        <v>0.45</v>
      </c>
      <c r="JU122" s="480">
        <v>0.47</v>
      </c>
      <c r="JV122" s="480">
        <v>0.42</v>
      </c>
      <c r="JW122" s="480">
        <v>0.44</v>
      </c>
      <c r="JX122" s="480">
        <v>0.27</v>
      </c>
      <c r="JY122" s="480">
        <v>0.55000000000000004</v>
      </c>
      <c r="JZ122" s="480">
        <v>0.49</v>
      </c>
      <c r="KA122" s="480">
        <v>0.65</v>
      </c>
      <c r="KB122" s="480">
        <v>0.36</v>
      </c>
      <c r="KC122" s="480">
        <v>0.67</v>
      </c>
      <c r="KD122" s="480">
        <v>0.31</v>
      </c>
      <c r="KE122" s="480">
        <v>0.56000000000000005</v>
      </c>
      <c r="KF122" s="480">
        <v>0.38</v>
      </c>
      <c r="KG122" s="480">
        <v>0.52</v>
      </c>
    </row>
    <row r="123" spans="1:293" ht="24.95" customHeight="1" x14ac:dyDescent="0.2">
      <c r="A123" s="126" t="s">
        <v>187</v>
      </c>
      <c r="B123" s="1" t="s">
        <v>219</v>
      </c>
      <c r="C123" s="2">
        <v>4</v>
      </c>
      <c r="D123" s="12">
        <v>50</v>
      </c>
      <c r="E123" s="12">
        <v>7</v>
      </c>
      <c r="F123" s="66">
        <v>0.14000000000000001</v>
      </c>
      <c r="G123" s="66">
        <v>0.69</v>
      </c>
      <c r="H123" s="66">
        <v>0.17</v>
      </c>
      <c r="I123" s="66">
        <v>0</v>
      </c>
      <c r="J123" s="66">
        <v>0.42</v>
      </c>
      <c r="K123" s="66">
        <v>0.31</v>
      </c>
      <c r="L123" s="66">
        <v>0.83</v>
      </c>
      <c r="M123" s="66">
        <v>0.16</v>
      </c>
      <c r="N123" s="66">
        <v>0.42</v>
      </c>
      <c r="O123" s="66">
        <v>0.78</v>
      </c>
      <c r="P123" s="66">
        <v>0.39</v>
      </c>
      <c r="Q123" s="66">
        <v>0.47</v>
      </c>
      <c r="R123" s="66">
        <v>0.6</v>
      </c>
      <c r="S123" s="66">
        <v>0.63</v>
      </c>
      <c r="T123" s="66">
        <v>0.59</v>
      </c>
      <c r="U123" s="66">
        <v>0.68</v>
      </c>
      <c r="V123" s="66">
        <v>0.11</v>
      </c>
      <c r="W123" s="66">
        <v>0.21</v>
      </c>
      <c r="X123" s="66">
        <v>0.61</v>
      </c>
      <c r="Y123" s="66">
        <v>0.53</v>
      </c>
      <c r="Z123" s="12" t="s">
        <v>283</v>
      </c>
      <c r="AA123" s="66">
        <v>0.05</v>
      </c>
      <c r="AB123" s="66">
        <v>0.51</v>
      </c>
      <c r="AC123" s="66">
        <v>0.34</v>
      </c>
      <c r="AD123" s="66">
        <v>0.45</v>
      </c>
      <c r="AE123" s="66">
        <v>0.57999999999999996</v>
      </c>
      <c r="AF123" s="66">
        <v>0.61</v>
      </c>
      <c r="AG123" s="66">
        <v>0.59</v>
      </c>
      <c r="AH123" s="12">
        <v>49</v>
      </c>
      <c r="AI123" s="12">
        <v>7</v>
      </c>
      <c r="AJ123" s="40">
        <v>0.1</v>
      </c>
      <c r="AK123" s="40">
        <v>0.72</v>
      </c>
      <c r="AL123" s="40">
        <v>0.18</v>
      </c>
      <c r="AM123" s="40">
        <v>0</v>
      </c>
      <c r="AN123" s="40">
        <v>0.33</v>
      </c>
      <c r="AO123" s="40">
        <v>0.54</v>
      </c>
      <c r="AP123" s="40">
        <v>0.67</v>
      </c>
      <c r="AQ123" s="40">
        <v>0.5</v>
      </c>
      <c r="AR123" s="40">
        <v>0.6</v>
      </c>
      <c r="AS123" s="40">
        <v>0.56000000000000005</v>
      </c>
      <c r="AT123" s="40">
        <v>0.56000000000000005</v>
      </c>
      <c r="AU123" s="40">
        <v>0.6</v>
      </c>
      <c r="AV123" s="40">
        <v>0.63</v>
      </c>
      <c r="AW123" s="40">
        <v>0.61</v>
      </c>
      <c r="AX123" s="40">
        <v>0.71</v>
      </c>
      <c r="AY123" s="40">
        <v>0.48</v>
      </c>
      <c r="AZ123" s="40">
        <v>0.3</v>
      </c>
      <c r="BA123" s="40">
        <v>0.56000000000000005</v>
      </c>
      <c r="BB123" s="40">
        <v>0.73</v>
      </c>
      <c r="BC123" s="40">
        <v>0.71</v>
      </c>
      <c r="BD123" s="40">
        <v>0.43</v>
      </c>
      <c r="BE123" s="40">
        <v>0.62</v>
      </c>
      <c r="BF123" s="40">
        <v>0.62</v>
      </c>
      <c r="BG123" s="40">
        <v>0.6</v>
      </c>
      <c r="BH123" s="40">
        <v>0.51</v>
      </c>
      <c r="BI123" s="40">
        <v>0.52</v>
      </c>
      <c r="BJ123" s="40">
        <v>0.44</v>
      </c>
      <c r="BK123" s="40">
        <v>0.52</v>
      </c>
      <c r="BL123" s="40">
        <v>0.62</v>
      </c>
      <c r="BM123" s="12">
        <v>45</v>
      </c>
      <c r="BN123" s="12">
        <v>7</v>
      </c>
      <c r="BO123" s="66">
        <v>0.3</v>
      </c>
      <c r="BP123" s="66">
        <v>0.64</v>
      </c>
      <c r="BQ123" s="66">
        <v>0.06</v>
      </c>
      <c r="BR123" s="66">
        <v>0</v>
      </c>
      <c r="BS123" s="66">
        <v>0.42</v>
      </c>
      <c r="BT123" s="66">
        <v>0.73</v>
      </c>
      <c r="BU123" s="66">
        <v>0.72</v>
      </c>
      <c r="BV123" s="66">
        <v>0.56000000000000005</v>
      </c>
      <c r="BW123" s="66">
        <v>0.7</v>
      </c>
      <c r="BX123" s="66">
        <v>0.51</v>
      </c>
      <c r="BY123" s="66">
        <v>0.49</v>
      </c>
      <c r="BZ123" s="66">
        <v>0.57999999999999996</v>
      </c>
      <c r="CA123" s="66">
        <v>0.6</v>
      </c>
      <c r="CB123" s="66">
        <v>0.52</v>
      </c>
      <c r="CC123" s="66">
        <v>0.36</v>
      </c>
      <c r="CD123" s="66">
        <v>0.53</v>
      </c>
      <c r="CE123" s="66">
        <v>0.37</v>
      </c>
      <c r="CF123" s="66">
        <v>0.7</v>
      </c>
      <c r="CG123" s="66">
        <v>0.75</v>
      </c>
      <c r="CH123" s="66">
        <v>0.63</v>
      </c>
      <c r="CI123" s="66">
        <v>0.69</v>
      </c>
      <c r="CJ123" s="66">
        <v>0.42</v>
      </c>
      <c r="CK123" s="66">
        <v>0.78</v>
      </c>
      <c r="CL123" s="66">
        <v>0.37</v>
      </c>
      <c r="CM123" s="66">
        <v>0.63</v>
      </c>
      <c r="CN123" s="66">
        <v>0.56000000000000005</v>
      </c>
      <c r="CO123" s="66">
        <v>0.46</v>
      </c>
      <c r="CP123" s="66">
        <v>0.49</v>
      </c>
      <c r="CQ123" s="66">
        <v>0.6</v>
      </c>
      <c r="CR123" s="66">
        <v>0.66</v>
      </c>
      <c r="CS123" s="12">
        <v>45</v>
      </c>
      <c r="CT123" s="12">
        <v>8</v>
      </c>
      <c r="CU123" s="63">
        <v>0.28999999999999998</v>
      </c>
      <c r="CV123" s="63">
        <v>0.63</v>
      </c>
      <c r="CW123" s="63">
        <v>7.0000000000000007E-2</v>
      </c>
      <c r="CX123" s="63">
        <v>0</v>
      </c>
      <c r="CY123" s="63">
        <v>0.56999999999999995</v>
      </c>
      <c r="CZ123" s="63">
        <v>0.46</v>
      </c>
      <c r="DA123" s="63">
        <v>0.56000000000000005</v>
      </c>
      <c r="DB123" s="63">
        <v>0.48</v>
      </c>
      <c r="DC123" s="63">
        <v>0.56999999999999995</v>
      </c>
      <c r="DD123" s="63">
        <v>0.62</v>
      </c>
      <c r="DE123" s="63">
        <v>0.51</v>
      </c>
      <c r="DF123" s="63">
        <v>0.56000000000000005</v>
      </c>
      <c r="DG123" s="63">
        <v>0.51</v>
      </c>
      <c r="DH123" s="63">
        <v>0.37</v>
      </c>
      <c r="DI123" s="63">
        <v>0.66</v>
      </c>
      <c r="DJ123" s="63">
        <v>0.56000000000000005</v>
      </c>
      <c r="DK123" s="63">
        <v>0.52</v>
      </c>
      <c r="DL123" s="63">
        <v>0.44</v>
      </c>
      <c r="DM123" s="63">
        <v>0.69</v>
      </c>
      <c r="DN123" s="63">
        <v>0.56000000000000005</v>
      </c>
      <c r="DO123" s="63">
        <v>0.35</v>
      </c>
      <c r="DP123" s="63">
        <v>0.53</v>
      </c>
      <c r="DQ123" s="63">
        <v>0.64</v>
      </c>
      <c r="DR123" s="63">
        <v>0.37</v>
      </c>
      <c r="DS123" s="63">
        <v>0.35</v>
      </c>
      <c r="DT123" s="63">
        <v>0.65</v>
      </c>
      <c r="DU123" s="63">
        <v>0.62</v>
      </c>
      <c r="DV123" s="63">
        <v>0.71</v>
      </c>
      <c r="DW123" s="63">
        <v>0.43</v>
      </c>
      <c r="DX123" s="35">
        <v>45</v>
      </c>
      <c r="DY123" s="35">
        <v>7</v>
      </c>
      <c r="DZ123" s="40">
        <v>0.22</v>
      </c>
      <c r="EA123" s="40">
        <v>0.78</v>
      </c>
      <c r="EB123" s="40">
        <v>0</v>
      </c>
      <c r="EC123" s="40">
        <v>0</v>
      </c>
      <c r="ED123" s="40">
        <v>0.48</v>
      </c>
      <c r="EE123" s="40">
        <v>0.56000000000000005</v>
      </c>
      <c r="EF123" s="40">
        <v>0.6</v>
      </c>
      <c r="EG123" s="40">
        <v>0.46</v>
      </c>
      <c r="EH123" s="40">
        <v>0.41</v>
      </c>
      <c r="EI123" s="40">
        <v>0.6</v>
      </c>
      <c r="EJ123" s="40">
        <v>0.75</v>
      </c>
      <c r="EK123" s="40">
        <v>0.41</v>
      </c>
      <c r="EL123" s="40">
        <v>0.52</v>
      </c>
      <c r="EM123" s="40">
        <v>0.79</v>
      </c>
      <c r="EN123" s="40">
        <v>0.68</v>
      </c>
      <c r="EO123" s="40">
        <v>0.76</v>
      </c>
      <c r="EP123" s="40">
        <v>0.43</v>
      </c>
      <c r="EQ123" s="40">
        <v>0.53</v>
      </c>
      <c r="ER123" s="40">
        <v>0.67</v>
      </c>
      <c r="ES123" s="40">
        <v>0.51</v>
      </c>
      <c r="ET123" s="40">
        <v>0.4</v>
      </c>
      <c r="EU123" s="40">
        <v>0.79</v>
      </c>
      <c r="EV123" s="40">
        <v>0.47</v>
      </c>
      <c r="EW123" s="40">
        <v>0.39</v>
      </c>
      <c r="EX123" s="40">
        <v>0.81</v>
      </c>
      <c r="EY123" s="40">
        <v>0.63</v>
      </c>
      <c r="EZ123" s="40">
        <v>0.17</v>
      </c>
      <c r="FA123" s="40">
        <v>0.69</v>
      </c>
      <c r="FB123" s="247">
        <v>47</v>
      </c>
      <c r="FC123" s="247" t="s">
        <v>874</v>
      </c>
      <c r="FD123" s="247">
        <v>8</v>
      </c>
      <c r="FE123" s="247" t="s">
        <v>874</v>
      </c>
      <c r="FF123" s="264">
        <v>0.27</v>
      </c>
      <c r="FG123" s="264">
        <v>0.53</v>
      </c>
      <c r="FH123" s="264">
        <v>0.2</v>
      </c>
      <c r="FI123" s="264">
        <v>0</v>
      </c>
      <c r="FJ123" s="264">
        <v>0.6</v>
      </c>
      <c r="FK123" s="264">
        <v>0.78</v>
      </c>
      <c r="FL123" s="264">
        <v>0.62</v>
      </c>
      <c r="FM123" s="264">
        <v>0.57999999999999996</v>
      </c>
      <c r="FN123" s="264">
        <v>0.47</v>
      </c>
      <c r="FO123" s="264">
        <v>0.4</v>
      </c>
      <c r="FP123" s="264">
        <v>0.49</v>
      </c>
      <c r="FQ123" s="264">
        <v>0.44</v>
      </c>
      <c r="FR123" s="264">
        <v>0.62</v>
      </c>
      <c r="FS123" s="264">
        <v>0.63</v>
      </c>
      <c r="FT123" s="264">
        <v>0.57999999999999996</v>
      </c>
      <c r="FU123" s="264">
        <v>0.25</v>
      </c>
      <c r="FV123" s="264">
        <v>0.63</v>
      </c>
      <c r="FW123" s="264">
        <v>0.66</v>
      </c>
      <c r="FX123" s="264">
        <v>0.53</v>
      </c>
      <c r="FY123" s="264">
        <v>0.44</v>
      </c>
      <c r="FZ123" s="264">
        <v>0.41</v>
      </c>
      <c r="GA123" s="264">
        <v>0.5</v>
      </c>
      <c r="GB123" s="264">
        <v>0.61</v>
      </c>
      <c r="GC123" s="264">
        <v>0.41</v>
      </c>
      <c r="GD123" s="264">
        <v>0.6</v>
      </c>
      <c r="GE123" s="264">
        <v>0.59</v>
      </c>
      <c r="GF123" s="264">
        <v>0.45</v>
      </c>
      <c r="GG123" s="264">
        <v>0.48</v>
      </c>
      <c r="GH123" s="264">
        <v>0.63</v>
      </c>
      <c r="GI123" s="264">
        <v>0.27</v>
      </c>
      <c r="GJ123" s="311">
        <v>46</v>
      </c>
      <c r="GK123" s="311" t="s">
        <v>874</v>
      </c>
      <c r="GL123" s="311">
        <v>8</v>
      </c>
      <c r="GM123" s="311" t="s">
        <v>874</v>
      </c>
      <c r="GN123" s="329">
        <v>0.28000000000000003</v>
      </c>
      <c r="GO123" s="329">
        <v>0.61</v>
      </c>
      <c r="GP123" s="329">
        <v>0.11</v>
      </c>
      <c r="GQ123" s="329">
        <v>0</v>
      </c>
      <c r="GR123" s="329">
        <v>0.68</v>
      </c>
      <c r="GS123" s="329">
        <v>0.77</v>
      </c>
      <c r="GT123" s="329">
        <v>0.74</v>
      </c>
      <c r="GU123" s="329">
        <v>0.26</v>
      </c>
      <c r="GV123" s="329">
        <v>0.64</v>
      </c>
      <c r="GW123" s="329">
        <v>0.57999999999999996</v>
      </c>
      <c r="GX123" s="329">
        <v>0.56999999999999995</v>
      </c>
      <c r="GY123" s="311" t="s">
        <v>283</v>
      </c>
      <c r="GZ123" s="329">
        <v>0.35</v>
      </c>
      <c r="HA123" s="329">
        <v>0.43</v>
      </c>
      <c r="HB123" s="329">
        <v>0.59</v>
      </c>
      <c r="HC123" s="329">
        <v>0.65</v>
      </c>
      <c r="HD123" s="329">
        <v>0.6</v>
      </c>
      <c r="HE123" s="329">
        <v>0.53</v>
      </c>
      <c r="HF123" s="329">
        <v>0.6</v>
      </c>
      <c r="HG123" s="329">
        <v>0.67</v>
      </c>
      <c r="HH123" s="329">
        <v>0.48</v>
      </c>
      <c r="HI123" s="329">
        <v>0.54</v>
      </c>
      <c r="HJ123" s="329">
        <v>0.65</v>
      </c>
      <c r="HK123" s="329">
        <v>0.66</v>
      </c>
      <c r="HL123" s="329">
        <v>0.45</v>
      </c>
      <c r="HM123" s="329">
        <v>0.66</v>
      </c>
      <c r="HN123" s="329">
        <v>0.55000000000000004</v>
      </c>
      <c r="HO123" s="329">
        <v>0.52</v>
      </c>
      <c r="HP123" s="311" t="s">
        <v>283</v>
      </c>
      <c r="HQ123" s="329">
        <v>0.47</v>
      </c>
      <c r="HR123" s="426">
        <v>47</v>
      </c>
      <c r="HS123" s="426" t="s">
        <v>874</v>
      </c>
      <c r="HT123" s="426">
        <v>10</v>
      </c>
      <c r="HU123" s="426" t="s">
        <v>874</v>
      </c>
      <c r="HV123" s="430">
        <v>0.34</v>
      </c>
      <c r="HW123" s="430">
        <v>0.47</v>
      </c>
      <c r="HX123" s="430">
        <v>0.19</v>
      </c>
      <c r="HY123" s="430">
        <v>0</v>
      </c>
      <c r="HZ123" s="430">
        <v>0.56000000000000005</v>
      </c>
      <c r="IA123" s="430">
        <v>0.62</v>
      </c>
      <c r="IB123" s="430">
        <v>0.61</v>
      </c>
      <c r="IC123" s="430">
        <v>0.63</v>
      </c>
      <c r="ID123" s="430">
        <v>0.57999999999999996</v>
      </c>
      <c r="IE123" s="430">
        <v>0.41</v>
      </c>
      <c r="IF123" s="430">
        <v>0.52</v>
      </c>
      <c r="IG123" s="430">
        <v>0.59</v>
      </c>
      <c r="IH123" s="430">
        <v>0.5</v>
      </c>
      <c r="II123" s="430">
        <v>0.26</v>
      </c>
      <c r="IJ123" s="430">
        <v>0.4</v>
      </c>
      <c r="IK123" s="430">
        <v>0.7</v>
      </c>
      <c r="IL123" s="430">
        <v>0.35</v>
      </c>
      <c r="IM123" s="430">
        <v>0.69</v>
      </c>
      <c r="IN123" s="430">
        <v>0.52</v>
      </c>
      <c r="IO123" s="430">
        <v>0.57999999999999996</v>
      </c>
      <c r="IP123" s="430">
        <v>0.53</v>
      </c>
      <c r="IQ123" s="430">
        <v>0.75</v>
      </c>
      <c r="IR123" s="430">
        <v>0.51</v>
      </c>
      <c r="IS123" s="430">
        <v>0.55000000000000004</v>
      </c>
      <c r="IT123" s="430">
        <v>0.61</v>
      </c>
      <c r="IU123" s="426" t="s">
        <v>283</v>
      </c>
      <c r="IV123" s="430">
        <v>0.64</v>
      </c>
      <c r="IW123" s="430">
        <v>0.47</v>
      </c>
      <c r="IX123" s="430">
        <v>0.72</v>
      </c>
      <c r="IY123" s="430">
        <v>0.45</v>
      </c>
      <c r="IZ123" s="466">
        <v>48</v>
      </c>
      <c r="JA123" s="466" t="s">
        <v>874</v>
      </c>
      <c r="JB123" s="466">
        <v>9</v>
      </c>
      <c r="JC123" s="466" t="s">
        <v>874</v>
      </c>
      <c r="JD123" s="480">
        <v>0.27</v>
      </c>
      <c r="JE123" s="480">
        <v>0.53</v>
      </c>
      <c r="JF123" s="480">
        <v>0.2</v>
      </c>
      <c r="JG123" s="480">
        <v>0</v>
      </c>
      <c r="JH123" s="480">
        <v>0.43</v>
      </c>
      <c r="JI123" s="480">
        <v>0.57999999999999996</v>
      </c>
      <c r="JJ123" s="480">
        <v>0.54</v>
      </c>
      <c r="JK123" s="480">
        <v>0.56000000000000005</v>
      </c>
      <c r="JL123" s="480">
        <v>0.53</v>
      </c>
      <c r="JM123" s="480">
        <v>0.52</v>
      </c>
      <c r="JN123" s="480">
        <v>0.61</v>
      </c>
      <c r="JO123" s="480">
        <v>0.55000000000000004</v>
      </c>
      <c r="JP123" s="480">
        <v>0.48</v>
      </c>
      <c r="JQ123" s="480">
        <v>0.3</v>
      </c>
      <c r="JR123" s="480">
        <v>0.72</v>
      </c>
      <c r="JS123" s="480">
        <v>0.56000000000000005</v>
      </c>
      <c r="JT123" s="480">
        <v>0.45</v>
      </c>
      <c r="JU123" s="480">
        <v>0.62</v>
      </c>
      <c r="JV123" s="480">
        <v>0.57999999999999996</v>
      </c>
      <c r="JW123" s="480">
        <v>0.47</v>
      </c>
      <c r="JX123" s="480">
        <v>0.42</v>
      </c>
      <c r="JY123" s="480">
        <v>0.49</v>
      </c>
      <c r="JZ123" s="480">
        <v>0.39</v>
      </c>
      <c r="KA123" s="480">
        <v>0.35</v>
      </c>
      <c r="KB123" s="480">
        <v>0.63</v>
      </c>
      <c r="KC123" s="480">
        <v>0.69</v>
      </c>
      <c r="KD123" s="480">
        <v>0.44</v>
      </c>
      <c r="KE123" s="480">
        <v>0.56999999999999995</v>
      </c>
      <c r="KF123" s="480">
        <v>0.45</v>
      </c>
      <c r="KG123" s="480">
        <v>0.61</v>
      </c>
    </row>
    <row r="124" spans="1:293" ht="24.95" customHeight="1" x14ac:dyDescent="0.2">
      <c r="A124" s="126" t="s">
        <v>928</v>
      </c>
      <c r="B124" s="1" t="s">
        <v>219</v>
      </c>
      <c r="C124" s="2">
        <v>2</v>
      </c>
      <c r="D124" s="12"/>
      <c r="E124" s="12"/>
      <c r="F124" s="66"/>
      <c r="G124" s="66"/>
      <c r="H124" s="66"/>
      <c r="I124" s="66"/>
      <c r="J124" s="66"/>
      <c r="K124" s="66"/>
      <c r="L124" s="66"/>
      <c r="M124" s="66"/>
      <c r="N124" s="66"/>
      <c r="O124" s="66"/>
      <c r="P124" s="66"/>
      <c r="Q124" s="66"/>
      <c r="R124" s="66"/>
      <c r="S124" s="66"/>
      <c r="T124" s="66"/>
      <c r="U124" s="66"/>
      <c r="V124" s="66"/>
      <c r="W124" s="66"/>
      <c r="X124" s="66"/>
      <c r="Y124" s="66"/>
      <c r="Z124" s="12"/>
      <c r="AA124" s="66"/>
      <c r="AB124" s="66"/>
      <c r="AC124" s="66"/>
      <c r="AD124" s="66"/>
      <c r="AE124" s="66"/>
      <c r="AF124" s="66"/>
      <c r="AG124" s="66"/>
      <c r="AH124" s="12"/>
      <c r="AI124" s="12"/>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12"/>
      <c r="BN124" s="12"/>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12"/>
      <c r="CT124" s="12"/>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35"/>
      <c r="DY124" s="35"/>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247"/>
      <c r="FC124" s="247"/>
      <c r="FD124" s="247"/>
      <c r="FE124" s="247"/>
      <c r="FF124" s="264"/>
      <c r="FG124" s="264"/>
      <c r="FH124" s="264"/>
      <c r="FI124" s="264"/>
      <c r="FJ124" s="264"/>
      <c r="FK124" s="264"/>
      <c r="FL124" s="264"/>
      <c r="FM124" s="264"/>
      <c r="FN124" s="264"/>
      <c r="FO124" s="264"/>
      <c r="FP124" s="264"/>
      <c r="FQ124" s="264"/>
      <c r="FR124" s="264"/>
      <c r="FS124" s="264"/>
      <c r="FT124" s="264"/>
      <c r="FU124" s="264"/>
      <c r="FV124" s="264"/>
      <c r="FW124" s="264"/>
      <c r="FX124" s="264"/>
      <c r="FY124" s="264"/>
      <c r="FZ124" s="264"/>
      <c r="GA124" s="264"/>
      <c r="GB124" s="264"/>
      <c r="GC124" s="264"/>
      <c r="GD124" s="264"/>
      <c r="GE124" s="264"/>
      <c r="GF124" s="264"/>
      <c r="GG124" s="264"/>
      <c r="GH124" s="264"/>
      <c r="GI124" s="264"/>
      <c r="GJ124" s="311">
        <v>51</v>
      </c>
      <c r="GK124" s="311" t="s">
        <v>874</v>
      </c>
      <c r="GL124" s="311">
        <v>6</v>
      </c>
      <c r="GM124" s="311" t="s">
        <v>874</v>
      </c>
      <c r="GN124" s="329">
        <v>0.05</v>
      </c>
      <c r="GO124" s="329">
        <v>0.61</v>
      </c>
      <c r="GP124" s="329">
        <v>0.34</v>
      </c>
      <c r="GQ124" s="329">
        <v>0</v>
      </c>
      <c r="GR124" s="329">
        <v>0.46</v>
      </c>
      <c r="GS124" s="329">
        <v>0.44</v>
      </c>
      <c r="GT124" s="329">
        <v>0.69</v>
      </c>
      <c r="GU124" s="329">
        <v>0.25</v>
      </c>
      <c r="GV124" s="329">
        <v>0.51</v>
      </c>
      <c r="GW124" s="329">
        <v>0.61</v>
      </c>
      <c r="GX124" s="329">
        <v>0.41</v>
      </c>
      <c r="GY124" s="311" t="s">
        <v>283</v>
      </c>
      <c r="GZ124" s="329">
        <v>0.4</v>
      </c>
      <c r="HA124" s="329">
        <v>0.82</v>
      </c>
      <c r="HB124" s="329">
        <v>0.39</v>
      </c>
      <c r="HC124" s="329">
        <v>0.53</v>
      </c>
      <c r="HD124" s="329">
        <v>0.64</v>
      </c>
      <c r="HE124" s="329">
        <v>0.46</v>
      </c>
      <c r="HF124" s="329">
        <v>0.49</v>
      </c>
      <c r="HG124" s="329">
        <v>0.63</v>
      </c>
      <c r="HH124" s="329">
        <v>0.32</v>
      </c>
      <c r="HI124" s="329">
        <v>0.55000000000000004</v>
      </c>
      <c r="HJ124" s="329">
        <v>0.67</v>
      </c>
      <c r="HK124" s="329">
        <v>0.38</v>
      </c>
      <c r="HL124" s="329">
        <v>0.45</v>
      </c>
      <c r="HM124" s="329">
        <v>0.45</v>
      </c>
      <c r="HN124" s="329">
        <v>0.42</v>
      </c>
      <c r="HO124" s="329">
        <v>0.4</v>
      </c>
      <c r="HP124" s="311" t="s">
        <v>283</v>
      </c>
      <c r="HQ124" s="329">
        <v>0.51</v>
      </c>
      <c r="HR124" s="426">
        <v>49</v>
      </c>
      <c r="HS124" s="426" t="s">
        <v>874</v>
      </c>
      <c r="HT124" s="426">
        <v>9</v>
      </c>
      <c r="HU124" s="426" t="s">
        <v>874</v>
      </c>
      <c r="HV124" s="430">
        <v>0.16</v>
      </c>
      <c r="HW124" s="430">
        <v>0.6</v>
      </c>
      <c r="HX124" s="430">
        <v>0.25</v>
      </c>
      <c r="HY124" s="430">
        <v>0</v>
      </c>
      <c r="HZ124" s="430">
        <v>0.41</v>
      </c>
      <c r="IA124" s="430">
        <v>0.6</v>
      </c>
      <c r="IB124" s="430">
        <v>0.4</v>
      </c>
      <c r="IC124" s="430">
        <v>0.62</v>
      </c>
      <c r="ID124" s="430">
        <v>0.61</v>
      </c>
      <c r="IE124" s="430">
        <v>0.38</v>
      </c>
      <c r="IF124" s="430">
        <v>0.39</v>
      </c>
      <c r="IG124" s="430">
        <v>0.59</v>
      </c>
      <c r="IH124" s="430">
        <v>0.55000000000000004</v>
      </c>
      <c r="II124" s="430">
        <v>0.33</v>
      </c>
      <c r="IJ124" s="430">
        <v>0.43</v>
      </c>
      <c r="IK124" s="430">
        <v>0.63</v>
      </c>
      <c r="IL124" s="430">
        <v>0.34</v>
      </c>
      <c r="IM124" s="430">
        <v>0.61</v>
      </c>
      <c r="IN124" s="430">
        <v>0.5</v>
      </c>
      <c r="IO124" s="430">
        <v>0.5</v>
      </c>
      <c r="IP124" s="430">
        <v>0.39</v>
      </c>
      <c r="IQ124" s="430">
        <v>0.65</v>
      </c>
      <c r="IR124" s="430">
        <v>0.6</v>
      </c>
      <c r="IS124" s="430">
        <v>0.55000000000000004</v>
      </c>
      <c r="IT124" s="430">
        <v>0.5</v>
      </c>
      <c r="IU124" s="426" t="s">
        <v>283</v>
      </c>
      <c r="IV124" s="430">
        <v>0.64</v>
      </c>
      <c r="IW124" s="430">
        <v>0.43</v>
      </c>
      <c r="IX124" s="430">
        <v>0.5</v>
      </c>
      <c r="IY124" s="430">
        <v>0.56000000000000005</v>
      </c>
      <c r="IZ124" s="466">
        <v>50</v>
      </c>
      <c r="JA124" s="466" t="s">
        <v>874</v>
      </c>
      <c r="JB124" s="466">
        <v>8</v>
      </c>
      <c r="JC124" s="466" t="s">
        <v>874</v>
      </c>
      <c r="JD124" s="480">
        <v>0.13</v>
      </c>
      <c r="JE124" s="480">
        <v>0.63</v>
      </c>
      <c r="JF124" s="480">
        <v>0.24</v>
      </c>
      <c r="JG124" s="480">
        <v>0</v>
      </c>
      <c r="JH124" s="480">
        <v>0.5</v>
      </c>
      <c r="JI124" s="480">
        <v>0.48</v>
      </c>
      <c r="JJ124" s="480">
        <v>0.47</v>
      </c>
      <c r="JK124" s="480">
        <v>0.54</v>
      </c>
      <c r="JL124" s="480">
        <v>0.56999999999999995</v>
      </c>
      <c r="JM124" s="480">
        <v>0.53</v>
      </c>
      <c r="JN124" s="480">
        <v>0.4</v>
      </c>
      <c r="JO124" s="480">
        <v>0.49</v>
      </c>
      <c r="JP124" s="480">
        <v>0.55000000000000004</v>
      </c>
      <c r="JQ124" s="480">
        <v>0.32</v>
      </c>
      <c r="JR124" s="480">
        <v>0.72</v>
      </c>
      <c r="JS124" s="480">
        <v>0.54</v>
      </c>
      <c r="JT124" s="480">
        <v>0.45</v>
      </c>
      <c r="JU124" s="480">
        <v>0.59</v>
      </c>
      <c r="JV124" s="480">
        <v>0.54</v>
      </c>
      <c r="JW124" s="480">
        <v>0.48</v>
      </c>
      <c r="JX124" s="480">
        <v>0.5</v>
      </c>
      <c r="JY124" s="480">
        <v>0.56999999999999995</v>
      </c>
      <c r="JZ124" s="480">
        <v>0.44</v>
      </c>
      <c r="KA124" s="480">
        <v>0.62</v>
      </c>
      <c r="KB124" s="480">
        <v>0.53</v>
      </c>
      <c r="KC124" s="480">
        <v>0.7</v>
      </c>
      <c r="KD124" s="480">
        <v>0.35</v>
      </c>
      <c r="KE124" s="480">
        <v>0.45</v>
      </c>
      <c r="KF124" s="480">
        <v>0.49</v>
      </c>
      <c r="KG124" s="480">
        <v>0.46</v>
      </c>
    </row>
    <row r="125" spans="1:293" ht="24.95" customHeight="1" x14ac:dyDescent="0.2">
      <c r="A125" s="560" t="s">
        <v>130</v>
      </c>
      <c r="B125" s="1" t="s">
        <v>219</v>
      </c>
      <c r="C125" s="311">
        <v>3</v>
      </c>
      <c r="D125" s="330">
        <v>54</v>
      </c>
      <c r="E125" s="330">
        <v>8</v>
      </c>
      <c r="F125" s="335">
        <v>0.04</v>
      </c>
      <c r="G125" s="335">
        <v>0.6</v>
      </c>
      <c r="H125" s="335">
        <v>0.36</v>
      </c>
      <c r="I125" s="335">
        <v>0.01</v>
      </c>
      <c r="J125" s="335">
        <v>0.32</v>
      </c>
      <c r="K125" s="335">
        <v>0.31</v>
      </c>
      <c r="L125" s="335">
        <v>0.65</v>
      </c>
      <c r="M125" s="335">
        <v>0.19</v>
      </c>
      <c r="N125" s="335">
        <v>0.27</v>
      </c>
      <c r="O125" s="335">
        <v>0.66</v>
      </c>
      <c r="P125" s="335">
        <v>0.3</v>
      </c>
      <c r="Q125" s="335">
        <v>0.41</v>
      </c>
      <c r="R125" s="335">
        <v>0.49</v>
      </c>
      <c r="S125" s="335">
        <v>0.54</v>
      </c>
      <c r="T125" s="335">
        <v>0.42</v>
      </c>
      <c r="U125" s="335">
        <v>0.66</v>
      </c>
      <c r="V125" s="335">
        <v>7.0000000000000007E-2</v>
      </c>
      <c r="W125" s="335">
        <v>0.13</v>
      </c>
      <c r="X125" s="335">
        <v>0.48</v>
      </c>
      <c r="Y125" s="335">
        <v>0.38</v>
      </c>
      <c r="Z125" s="335">
        <v>0.67</v>
      </c>
      <c r="AA125" s="335">
        <v>0.06</v>
      </c>
      <c r="AB125" s="335">
        <v>0.45</v>
      </c>
      <c r="AC125" s="335">
        <v>0.22</v>
      </c>
      <c r="AD125" s="335">
        <v>0.45</v>
      </c>
      <c r="AE125" s="335">
        <v>0.42</v>
      </c>
      <c r="AF125" s="335">
        <v>0.51</v>
      </c>
      <c r="AG125" s="335">
        <v>0.47</v>
      </c>
      <c r="AH125" s="330">
        <v>52</v>
      </c>
      <c r="AI125" s="330">
        <v>8</v>
      </c>
      <c r="AJ125" s="333">
        <v>0.1</v>
      </c>
      <c r="AK125" s="333">
        <v>0.56000000000000005</v>
      </c>
      <c r="AL125" s="333">
        <v>0.34</v>
      </c>
      <c r="AM125" s="333">
        <v>0</v>
      </c>
      <c r="AN125" s="333">
        <v>0.28999999999999998</v>
      </c>
      <c r="AO125" s="333">
        <v>0.46</v>
      </c>
      <c r="AP125" s="333">
        <v>0.61</v>
      </c>
      <c r="AQ125" s="333">
        <v>0.4</v>
      </c>
      <c r="AR125" s="333">
        <v>0.53</v>
      </c>
      <c r="AS125" s="333">
        <v>0.56000000000000005</v>
      </c>
      <c r="AT125" s="333">
        <v>0.54</v>
      </c>
      <c r="AU125" s="333">
        <v>0.54</v>
      </c>
      <c r="AV125" s="333">
        <v>0.61</v>
      </c>
      <c r="AW125" s="333">
        <v>0.4</v>
      </c>
      <c r="AX125" s="333">
        <v>0.59</v>
      </c>
      <c r="AY125" s="333">
        <v>0.34</v>
      </c>
      <c r="AZ125" s="333">
        <v>0.3</v>
      </c>
      <c r="BA125" s="333">
        <v>0.46</v>
      </c>
      <c r="BB125" s="333">
        <v>0.65</v>
      </c>
      <c r="BC125" s="333">
        <v>0.65</v>
      </c>
      <c r="BD125" s="333">
        <v>0.39</v>
      </c>
      <c r="BE125" s="333">
        <v>0.62</v>
      </c>
      <c r="BF125" s="333">
        <v>0.59</v>
      </c>
      <c r="BG125" s="333">
        <v>0.53</v>
      </c>
      <c r="BH125" s="333">
        <v>0.45</v>
      </c>
      <c r="BI125" s="333">
        <v>0.4</v>
      </c>
      <c r="BJ125" s="333">
        <v>0.37</v>
      </c>
      <c r="BK125" s="333">
        <v>0.45</v>
      </c>
      <c r="BL125" s="333">
        <v>0.5</v>
      </c>
      <c r="BM125" s="330">
        <v>51</v>
      </c>
      <c r="BN125" s="330">
        <v>9</v>
      </c>
      <c r="BO125" s="335">
        <v>0.14000000000000001</v>
      </c>
      <c r="BP125" s="335">
        <v>0.53</v>
      </c>
      <c r="BQ125" s="335">
        <v>0.33</v>
      </c>
      <c r="BR125" s="335">
        <v>0</v>
      </c>
      <c r="BS125" s="335">
        <v>0.35</v>
      </c>
      <c r="BT125" s="335">
        <v>0.64</v>
      </c>
      <c r="BU125" s="335">
        <v>0.61</v>
      </c>
      <c r="BV125" s="335">
        <v>0.34</v>
      </c>
      <c r="BW125" s="335">
        <v>0.65</v>
      </c>
      <c r="BX125" s="335">
        <v>0.41</v>
      </c>
      <c r="BY125" s="335">
        <v>0.41</v>
      </c>
      <c r="BZ125" s="335">
        <v>0.54</v>
      </c>
      <c r="CA125" s="335">
        <v>0.46</v>
      </c>
      <c r="CB125" s="335">
        <v>0.28999999999999998</v>
      </c>
      <c r="CC125" s="335">
        <v>0.18</v>
      </c>
      <c r="CD125" s="335">
        <v>0.47</v>
      </c>
      <c r="CE125" s="335">
        <v>0.34</v>
      </c>
      <c r="CF125" s="335">
        <v>0.59</v>
      </c>
      <c r="CG125" s="335">
        <v>0.57999999999999996</v>
      </c>
      <c r="CH125" s="335">
        <v>0.51</v>
      </c>
      <c r="CI125" s="335">
        <v>0.59</v>
      </c>
      <c r="CJ125" s="335">
        <v>0.36</v>
      </c>
      <c r="CK125" s="335">
        <v>0.68</v>
      </c>
      <c r="CL125" s="335">
        <v>0.3</v>
      </c>
      <c r="CM125" s="335">
        <v>0.42</v>
      </c>
      <c r="CN125" s="335">
        <v>0.44</v>
      </c>
      <c r="CO125" s="335">
        <v>0.38</v>
      </c>
      <c r="CP125" s="335">
        <v>0.33</v>
      </c>
      <c r="CQ125" s="335">
        <v>0.5</v>
      </c>
      <c r="CR125" s="335">
        <v>0.54</v>
      </c>
      <c r="CS125" s="330">
        <v>48</v>
      </c>
      <c r="CT125" s="330">
        <v>8</v>
      </c>
      <c r="CU125" s="329">
        <v>0.13</v>
      </c>
      <c r="CV125" s="329">
        <v>0.7</v>
      </c>
      <c r="CW125" s="329">
        <v>0.16</v>
      </c>
      <c r="CX125" s="329">
        <v>0.01</v>
      </c>
      <c r="CY125" s="329">
        <v>0.54</v>
      </c>
      <c r="CZ125" s="329">
        <v>0.28000000000000003</v>
      </c>
      <c r="DA125" s="329">
        <v>0.61</v>
      </c>
      <c r="DB125" s="329">
        <v>0.41</v>
      </c>
      <c r="DC125" s="329">
        <v>0.51</v>
      </c>
      <c r="DD125" s="329">
        <v>0.62</v>
      </c>
      <c r="DE125" s="329">
        <v>0.45</v>
      </c>
      <c r="DF125" s="329">
        <v>0.56999999999999995</v>
      </c>
      <c r="DG125" s="329">
        <v>0.46</v>
      </c>
      <c r="DH125" s="329">
        <v>0.4</v>
      </c>
      <c r="DI125" s="329">
        <v>0.56999999999999995</v>
      </c>
      <c r="DJ125" s="329">
        <v>0.52</v>
      </c>
      <c r="DK125" s="329">
        <v>0.4</v>
      </c>
      <c r="DL125" s="329">
        <v>0.3</v>
      </c>
      <c r="DM125" s="329">
        <v>0.54</v>
      </c>
      <c r="DN125" s="329">
        <v>0.52</v>
      </c>
      <c r="DO125" s="329">
        <v>0.46</v>
      </c>
      <c r="DP125" s="329">
        <v>0.5</v>
      </c>
      <c r="DQ125" s="329">
        <v>0.59</v>
      </c>
      <c r="DR125" s="329">
        <v>0.25</v>
      </c>
      <c r="DS125" s="329">
        <v>0.38</v>
      </c>
      <c r="DT125" s="329">
        <v>0.6</v>
      </c>
      <c r="DU125" s="329">
        <v>0.6</v>
      </c>
      <c r="DV125" s="329">
        <v>0.62</v>
      </c>
      <c r="DW125" s="329">
        <v>0.35</v>
      </c>
      <c r="DX125" s="313">
        <v>48</v>
      </c>
      <c r="DY125" s="313">
        <v>8</v>
      </c>
      <c r="DZ125" s="333">
        <v>0.17</v>
      </c>
      <c r="EA125" s="333">
        <v>0.62</v>
      </c>
      <c r="EB125" s="333">
        <v>0.21</v>
      </c>
      <c r="EC125" s="333">
        <v>0</v>
      </c>
      <c r="ED125" s="333">
        <v>0.47</v>
      </c>
      <c r="EE125" s="333">
        <v>0.44</v>
      </c>
      <c r="EF125" s="333">
        <v>0.44</v>
      </c>
      <c r="EG125" s="333">
        <v>0.45</v>
      </c>
      <c r="EH125" s="333">
        <v>0.49</v>
      </c>
      <c r="EI125" s="333">
        <v>0.5</v>
      </c>
      <c r="EJ125" s="333">
        <v>0.64</v>
      </c>
      <c r="EK125" s="333">
        <v>0.28999999999999998</v>
      </c>
      <c r="EL125" s="333">
        <v>0.46</v>
      </c>
      <c r="EM125" s="333">
        <v>0.78</v>
      </c>
      <c r="EN125" s="333">
        <v>0.52</v>
      </c>
      <c r="EO125" s="333">
        <v>0.6</v>
      </c>
      <c r="EP125" s="333">
        <v>0.39</v>
      </c>
      <c r="EQ125" s="333">
        <v>0.31</v>
      </c>
      <c r="ER125" s="333">
        <v>0.62</v>
      </c>
      <c r="ES125" s="333">
        <v>0.52</v>
      </c>
      <c r="ET125" s="333">
        <v>0.34</v>
      </c>
      <c r="EU125" s="333">
        <v>0.56000000000000005</v>
      </c>
      <c r="EV125" s="333">
        <v>0.34</v>
      </c>
      <c r="EW125" s="333">
        <v>0.35</v>
      </c>
      <c r="EX125" s="333">
        <v>0.56999999999999995</v>
      </c>
      <c r="EY125" s="333">
        <v>0.61</v>
      </c>
      <c r="EZ125" s="333">
        <v>0.44</v>
      </c>
      <c r="FA125" s="333">
        <v>0.57999999999999996</v>
      </c>
      <c r="FB125" s="314">
        <v>49</v>
      </c>
      <c r="FC125" s="314" t="s">
        <v>874</v>
      </c>
      <c r="FD125" s="314">
        <v>9</v>
      </c>
      <c r="FE125" s="314" t="s">
        <v>874</v>
      </c>
      <c r="FF125" s="334">
        <v>0.14000000000000001</v>
      </c>
      <c r="FG125" s="334">
        <v>0.6</v>
      </c>
      <c r="FH125" s="334">
        <v>0.25</v>
      </c>
      <c r="FI125" s="334">
        <v>0</v>
      </c>
      <c r="FJ125" s="334">
        <v>0.47</v>
      </c>
      <c r="FK125" s="334">
        <v>0.66</v>
      </c>
      <c r="FL125" s="334">
        <v>0.5</v>
      </c>
      <c r="FM125" s="334">
        <v>0.4</v>
      </c>
      <c r="FN125" s="334">
        <v>0.28000000000000003</v>
      </c>
      <c r="FO125" s="334">
        <v>0.32</v>
      </c>
      <c r="FP125" s="334">
        <v>0.41</v>
      </c>
      <c r="FQ125" s="334">
        <v>0.45</v>
      </c>
      <c r="FR125" s="334">
        <v>0.62</v>
      </c>
      <c r="FS125" s="334">
        <v>0.48</v>
      </c>
      <c r="FT125" s="334">
        <v>0.56999999999999995</v>
      </c>
      <c r="FU125" s="334">
        <v>0.37</v>
      </c>
      <c r="FV125" s="334">
        <v>0.57999999999999996</v>
      </c>
      <c r="FW125" s="334">
        <v>0.57999999999999996</v>
      </c>
      <c r="FX125" s="334">
        <v>0.56000000000000005</v>
      </c>
      <c r="FY125" s="334">
        <v>0.31</v>
      </c>
      <c r="FZ125" s="334">
        <v>0.52</v>
      </c>
      <c r="GA125" s="334">
        <v>0.62</v>
      </c>
      <c r="GB125" s="334">
        <v>0.54</v>
      </c>
      <c r="GC125" s="334">
        <v>0.49</v>
      </c>
      <c r="GD125" s="334">
        <v>0.57999999999999996</v>
      </c>
      <c r="GE125" s="334">
        <v>0.53</v>
      </c>
      <c r="GF125" s="334">
        <v>0.54</v>
      </c>
      <c r="GG125" s="334">
        <v>0.48</v>
      </c>
      <c r="GH125" s="334">
        <v>0.56000000000000005</v>
      </c>
      <c r="GI125" s="334">
        <v>0.33</v>
      </c>
      <c r="GJ125" s="311">
        <v>50</v>
      </c>
      <c r="GK125" s="311" t="s">
        <v>874</v>
      </c>
      <c r="GL125" s="311">
        <v>9</v>
      </c>
      <c r="GM125" s="311" t="s">
        <v>874</v>
      </c>
      <c r="GN125" s="329">
        <v>0.18</v>
      </c>
      <c r="GO125" s="329">
        <v>0.53</v>
      </c>
      <c r="GP125" s="329">
        <v>0.28000000000000003</v>
      </c>
      <c r="GQ125" s="329">
        <v>0.01</v>
      </c>
      <c r="GR125" s="329">
        <v>0.45</v>
      </c>
      <c r="GS125" s="329">
        <v>0.52</v>
      </c>
      <c r="GT125" s="329">
        <v>0.63</v>
      </c>
      <c r="GU125" s="329">
        <v>0.2</v>
      </c>
      <c r="GV125" s="329">
        <v>0.59</v>
      </c>
      <c r="GW125" s="329">
        <v>0.53</v>
      </c>
      <c r="GX125" s="329">
        <v>0.46</v>
      </c>
      <c r="GY125" s="311" t="s">
        <v>283</v>
      </c>
      <c r="GZ125" s="329">
        <v>0.35</v>
      </c>
      <c r="HA125" s="329">
        <v>0.71</v>
      </c>
      <c r="HB125" s="329">
        <v>0.48</v>
      </c>
      <c r="HC125" s="329">
        <v>0.54</v>
      </c>
      <c r="HD125" s="329">
        <v>0.52</v>
      </c>
      <c r="HE125" s="329">
        <v>0.52</v>
      </c>
      <c r="HF125" s="329">
        <v>0.51</v>
      </c>
      <c r="HG125" s="329">
        <v>0.63</v>
      </c>
      <c r="HH125" s="329">
        <v>0.37</v>
      </c>
      <c r="HI125" s="329">
        <v>0.49</v>
      </c>
      <c r="HJ125" s="329">
        <v>0.55000000000000004</v>
      </c>
      <c r="HK125" s="329">
        <v>0.53</v>
      </c>
      <c r="HL125" s="329">
        <v>0.42</v>
      </c>
      <c r="HM125" s="329">
        <v>0.47</v>
      </c>
      <c r="HN125" s="329">
        <v>0.49</v>
      </c>
      <c r="HO125" s="329">
        <v>0.43</v>
      </c>
      <c r="HP125" s="311" t="s">
        <v>283</v>
      </c>
      <c r="HQ125" s="329">
        <v>0.41</v>
      </c>
      <c r="HR125" s="426">
        <v>50</v>
      </c>
      <c r="HS125" s="426" t="s">
        <v>874</v>
      </c>
      <c r="HT125" s="426">
        <v>9</v>
      </c>
      <c r="HU125" s="426" t="s">
        <v>874</v>
      </c>
      <c r="HV125" s="430">
        <v>0.17</v>
      </c>
      <c r="HW125" s="430">
        <v>0.52</v>
      </c>
      <c r="HX125" s="430">
        <v>0.3</v>
      </c>
      <c r="HY125" s="430">
        <v>0.01</v>
      </c>
      <c r="HZ125" s="430">
        <v>0.4</v>
      </c>
      <c r="IA125" s="430">
        <v>0.57999999999999996</v>
      </c>
      <c r="IB125" s="430">
        <v>0.34</v>
      </c>
      <c r="IC125" s="430">
        <v>0.49</v>
      </c>
      <c r="ID125" s="430">
        <v>0.6</v>
      </c>
      <c r="IE125" s="430">
        <v>0.34</v>
      </c>
      <c r="IF125" s="430">
        <v>0.44</v>
      </c>
      <c r="IG125" s="430">
        <v>0.53</v>
      </c>
      <c r="IH125" s="430">
        <v>0.5</v>
      </c>
      <c r="II125" s="430">
        <v>0.25</v>
      </c>
      <c r="IJ125" s="430">
        <v>0.28999999999999998</v>
      </c>
      <c r="IK125" s="430">
        <v>0.62</v>
      </c>
      <c r="IL125" s="430">
        <v>0.39</v>
      </c>
      <c r="IM125" s="430">
        <v>0.52</v>
      </c>
      <c r="IN125" s="430">
        <v>0.49</v>
      </c>
      <c r="IO125" s="430">
        <v>0.55000000000000004</v>
      </c>
      <c r="IP125" s="430">
        <v>0.5</v>
      </c>
      <c r="IQ125" s="430">
        <v>0.72</v>
      </c>
      <c r="IR125" s="430">
        <v>0.6</v>
      </c>
      <c r="IS125" s="430">
        <v>0.47</v>
      </c>
      <c r="IT125" s="430">
        <v>0.45</v>
      </c>
      <c r="IU125" s="426" t="s">
        <v>283</v>
      </c>
      <c r="IV125" s="430">
        <v>0.63</v>
      </c>
      <c r="IW125" s="430">
        <v>0.43</v>
      </c>
      <c r="IX125" s="430">
        <v>0.46</v>
      </c>
      <c r="IY125" s="430">
        <v>0.56000000000000005</v>
      </c>
      <c r="IZ125" s="466">
        <v>50</v>
      </c>
      <c r="JA125" s="466" t="s">
        <v>874</v>
      </c>
      <c r="JB125" s="466">
        <v>9</v>
      </c>
      <c r="JC125" s="466" t="s">
        <v>874</v>
      </c>
      <c r="JD125" s="480">
        <v>0.16</v>
      </c>
      <c r="JE125" s="480">
        <v>0.54</v>
      </c>
      <c r="JF125" s="480">
        <v>0.28000000000000003</v>
      </c>
      <c r="JG125" s="480">
        <v>0.02</v>
      </c>
      <c r="JH125" s="480">
        <v>0.53</v>
      </c>
      <c r="JI125" s="480">
        <v>0.52</v>
      </c>
      <c r="JJ125" s="480">
        <v>0.42</v>
      </c>
      <c r="JK125" s="480">
        <v>0.48</v>
      </c>
      <c r="JL125" s="480">
        <v>0.49</v>
      </c>
      <c r="JM125" s="480">
        <v>0.49</v>
      </c>
      <c r="JN125" s="480">
        <v>0.47</v>
      </c>
      <c r="JO125" s="480">
        <v>0.51</v>
      </c>
      <c r="JP125" s="480">
        <v>0.56000000000000005</v>
      </c>
      <c r="JQ125" s="480">
        <v>0.34</v>
      </c>
      <c r="JR125" s="480">
        <v>0.61</v>
      </c>
      <c r="JS125" s="480">
        <v>0.54</v>
      </c>
      <c r="JT125" s="480">
        <v>0.45</v>
      </c>
      <c r="JU125" s="480">
        <v>0.56000000000000005</v>
      </c>
      <c r="JV125" s="480">
        <v>0.52</v>
      </c>
      <c r="JW125" s="480">
        <v>0.46</v>
      </c>
      <c r="JX125" s="480">
        <v>0.38</v>
      </c>
      <c r="JY125" s="480">
        <v>0.51</v>
      </c>
      <c r="JZ125" s="480">
        <v>0.48</v>
      </c>
      <c r="KA125" s="480">
        <v>0.64</v>
      </c>
      <c r="KB125" s="480">
        <v>0.44</v>
      </c>
      <c r="KC125" s="480">
        <v>0.65</v>
      </c>
      <c r="KD125" s="480">
        <v>0.45</v>
      </c>
      <c r="KE125" s="480">
        <v>0.53</v>
      </c>
      <c r="KF125" s="480">
        <v>0.43</v>
      </c>
      <c r="KG125" s="480">
        <v>0.56000000000000005</v>
      </c>
    </row>
    <row r="126" spans="1:293" ht="24.95" customHeight="1" x14ac:dyDescent="0.2">
      <c r="A126" s="814" t="s">
        <v>930</v>
      </c>
      <c r="B126" s="1" t="s">
        <v>219</v>
      </c>
      <c r="C126" s="2">
        <v>1</v>
      </c>
      <c r="D126" s="12"/>
      <c r="E126" s="12"/>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12"/>
      <c r="AI126" s="12"/>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12"/>
      <c r="BN126" s="12"/>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12"/>
      <c r="CT126" s="12"/>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35"/>
      <c r="DY126" s="35"/>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247"/>
      <c r="FC126" s="247"/>
      <c r="FD126" s="247"/>
      <c r="FE126" s="247"/>
      <c r="FF126" s="264"/>
      <c r="FG126" s="264"/>
      <c r="FH126" s="264"/>
      <c r="FI126" s="264"/>
      <c r="FJ126" s="264"/>
      <c r="FK126" s="264"/>
      <c r="FL126" s="264"/>
      <c r="FM126" s="264"/>
      <c r="FN126" s="264"/>
      <c r="FO126" s="264"/>
      <c r="FP126" s="264"/>
      <c r="FQ126" s="264"/>
      <c r="FR126" s="264"/>
      <c r="FS126" s="264"/>
      <c r="FT126" s="264"/>
      <c r="FU126" s="264"/>
      <c r="FV126" s="264"/>
      <c r="FW126" s="264"/>
      <c r="FX126" s="264"/>
      <c r="FY126" s="264"/>
      <c r="FZ126" s="264"/>
      <c r="GA126" s="264"/>
      <c r="GB126" s="264"/>
      <c r="GC126" s="264"/>
      <c r="GD126" s="264"/>
      <c r="GE126" s="264"/>
      <c r="GF126" s="264"/>
      <c r="GG126" s="264"/>
      <c r="GH126" s="264"/>
      <c r="GI126" s="264"/>
      <c r="GJ126" s="311">
        <v>49</v>
      </c>
      <c r="GK126" s="311" t="s">
        <v>874</v>
      </c>
      <c r="GL126" s="311">
        <v>9</v>
      </c>
      <c r="GM126" s="311" t="s">
        <v>874</v>
      </c>
      <c r="GN126" s="329">
        <v>0.16</v>
      </c>
      <c r="GO126" s="329">
        <v>0.65</v>
      </c>
      <c r="GP126" s="329">
        <v>0.19</v>
      </c>
      <c r="GQ126" s="329">
        <v>0</v>
      </c>
      <c r="GR126" s="329">
        <v>0.59</v>
      </c>
      <c r="GS126" s="329">
        <v>0.65</v>
      </c>
      <c r="GT126" s="329">
        <v>0.65</v>
      </c>
      <c r="GU126" s="329">
        <v>0.33</v>
      </c>
      <c r="GV126" s="329">
        <v>0.61</v>
      </c>
      <c r="GW126" s="329">
        <v>0.49</v>
      </c>
      <c r="GX126" s="329">
        <v>0.5</v>
      </c>
      <c r="GY126" s="311" t="s">
        <v>283</v>
      </c>
      <c r="GZ126" s="329">
        <v>0.53</v>
      </c>
      <c r="HA126" s="329">
        <v>0.8</v>
      </c>
      <c r="HB126" s="329">
        <v>0.52</v>
      </c>
      <c r="HC126" s="329">
        <v>0.44</v>
      </c>
      <c r="HD126" s="329">
        <v>0.54</v>
      </c>
      <c r="HE126" s="329">
        <v>0.49</v>
      </c>
      <c r="HF126" s="329">
        <v>0.5</v>
      </c>
      <c r="HG126" s="329">
        <v>0.69</v>
      </c>
      <c r="HH126" s="329">
        <v>0.37</v>
      </c>
      <c r="HI126" s="329">
        <v>0.56999999999999995</v>
      </c>
      <c r="HJ126" s="329">
        <v>0.6</v>
      </c>
      <c r="HK126" s="329">
        <v>0.6</v>
      </c>
      <c r="HL126" s="329">
        <v>0.44</v>
      </c>
      <c r="HM126" s="329">
        <v>0.48</v>
      </c>
      <c r="HN126" s="329">
        <v>0.54</v>
      </c>
      <c r="HO126" s="329">
        <v>0.52</v>
      </c>
      <c r="HP126" s="311" t="s">
        <v>283</v>
      </c>
      <c r="HQ126" s="329">
        <v>0.37</v>
      </c>
      <c r="HR126" s="426">
        <v>52</v>
      </c>
      <c r="HS126" s="426" t="s">
        <v>874</v>
      </c>
      <c r="HT126" s="426">
        <v>8</v>
      </c>
      <c r="HU126" s="426" t="s">
        <v>874</v>
      </c>
      <c r="HV126" s="430">
        <v>0.08</v>
      </c>
      <c r="HW126" s="430">
        <v>0.57999999999999996</v>
      </c>
      <c r="HX126" s="430">
        <v>0.32</v>
      </c>
      <c r="HY126" s="430">
        <v>0.01</v>
      </c>
      <c r="HZ126" s="430">
        <v>0.41</v>
      </c>
      <c r="IA126" s="430">
        <v>0.5</v>
      </c>
      <c r="IB126" s="430">
        <v>0.37</v>
      </c>
      <c r="IC126" s="430">
        <v>0.46</v>
      </c>
      <c r="ID126" s="430">
        <v>0.65</v>
      </c>
      <c r="IE126" s="430">
        <v>0.37</v>
      </c>
      <c r="IF126" s="430">
        <v>0.35</v>
      </c>
      <c r="IG126" s="430">
        <v>0.6</v>
      </c>
      <c r="IH126" s="430">
        <v>0.48</v>
      </c>
      <c r="II126" s="430">
        <v>0.27</v>
      </c>
      <c r="IJ126" s="430">
        <v>0.21</v>
      </c>
      <c r="IK126" s="430">
        <v>0.57999999999999996</v>
      </c>
      <c r="IL126" s="430">
        <v>0.28000000000000003</v>
      </c>
      <c r="IM126" s="430">
        <v>0.56999999999999995</v>
      </c>
      <c r="IN126" s="430">
        <v>0.46</v>
      </c>
      <c r="IO126" s="430">
        <v>0.47</v>
      </c>
      <c r="IP126" s="430">
        <v>0.47</v>
      </c>
      <c r="IQ126" s="430">
        <v>0.67</v>
      </c>
      <c r="IR126" s="430">
        <v>0.63</v>
      </c>
      <c r="IS126" s="430">
        <v>0.46</v>
      </c>
      <c r="IT126" s="430">
        <v>0.44</v>
      </c>
      <c r="IU126" s="426" t="s">
        <v>283</v>
      </c>
      <c r="IV126" s="430">
        <v>0.53</v>
      </c>
      <c r="IW126" s="430">
        <v>0.41</v>
      </c>
      <c r="IX126" s="430">
        <v>0.42</v>
      </c>
      <c r="IY126" s="430">
        <v>0.48</v>
      </c>
      <c r="IZ126" s="466">
        <v>49</v>
      </c>
      <c r="JA126" s="466" t="s">
        <v>874</v>
      </c>
      <c r="JB126" s="466">
        <v>9</v>
      </c>
      <c r="JC126" s="466" t="s">
        <v>874</v>
      </c>
      <c r="JD126" s="480">
        <v>0.17</v>
      </c>
      <c r="JE126" s="480">
        <v>0.57999999999999996</v>
      </c>
      <c r="JF126" s="480">
        <v>0.25</v>
      </c>
      <c r="JG126" s="480">
        <v>0</v>
      </c>
      <c r="JH126" s="480">
        <v>0.57999999999999996</v>
      </c>
      <c r="JI126" s="480">
        <v>0.49</v>
      </c>
      <c r="JJ126" s="480">
        <v>0.48</v>
      </c>
      <c r="JK126" s="480">
        <v>0.48</v>
      </c>
      <c r="JL126" s="480">
        <v>0.51</v>
      </c>
      <c r="JM126" s="480">
        <v>0.5</v>
      </c>
      <c r="JN126" s="480">
        <v>0.48</v>
      </c>
      <c r="JO126" s="480">
        <v>0.49</v>
      </c>
      <c r="JP126" s="480">
        <v>0.61</v>
      </c>
      <c r="JQ126" s="480">
        <v>0.31</v>
      </c>
      <c r="JR126" s="480">
        <v>0.56999999999999995</v>
      </c>
      <c r="JS126" s="480">
        <v>0.56000000000000005</v>
      </c>
      <c r="JT126" s="480">
        <v>0.4</v>
      </c>
      <c r="JU126" s="480">
        <v>0.56999999999999995</v>
      </c>
      <c r="JV126" s="480">
        <v>0.48</v>
      </c>
      <c r="JW126" s="480">
        <v>0.5</v>
      </c>
      <c r="JX126" s="480">
        <v>0.44</v>
      </c>
      <c r="JY126" s="480">
        <v>0.48</v>
      </c>
      <c r="JZ126" s="480">
        <v>0.46</v>
      </c>
      <c r="KA126" s="480">
        <v>0.63</v>
      </c>
      <c r="KB126" s="480">
        <v>0.56000000000000005</v>
      </c>
      <c r="KC126" s="480">
        <v>0.72</v>
      </c>
      <c r="KD126" s="480">
        <v>0.37</v>
      </c>
      <c r="KE126" s="480">
        <v>0.5</v>
      </c>
      <c r="KF126" s="480">
        <v>0.42</v>
      </c>
      <c r="KG126" s="480">
        <v>0.63</v>
      </c>
    </row>
    <row r="127" spans="1:293" ht="24.95" customHeight="1" x14ac:dyDescent="0.2">
      <c r="A127" s="815" t="s">
        <v>90</v>
      </c>
      <c r="B127" s="1" t="s">
        <v>219</v>
      </c>
      <c r="C127" s="311">
        <v>1</v>
      </c>
      <c r="D127" s="330">
        <v>57</v>
      </c>
      <c r="E127" s="330">
        <v>8</v>
      </c>
      <c r="F127" s="335">
        <v>0.02</v>
      </c>
      <c r="G127" s="335">
        <v>0.37</v>
      </c>
      <c r="H127" s="335">
        <v>0.59</v>
      </c>
      <c r="I127" s="335">
        <v>0.01</v>
      </c>
      <c r="J127" s="335">
        <v>0.25</v>
      </c>
      <c r="K127" s="335">
        <v>0.28999999999999998</v>
      </c>
      <c r="L127" s="335">
        <v>0.65</v>
      </c>
      <c r="M127" s="335">
        <v>0.19</v>
      </c>
      <c r="N127" s="335">
        <v>0.26</v>
      </c>
      <c r="O127" s="335">
        <v>0.72</v>
      </c>
      <c r="P127" s="335">
        <v>0.36</v>
      </c>
      <c r="Q127" s="335">
        <v>0.33</v>
      </c>
      <c r="R127" s="335">
        <v>0.41</v>
      </c>
      <c r="S127" s="335">
        <v>0.56000000000000005</v>
      </c>
      <c r="T127" s="335">
        <v>0.34</v>
      </c>
      <c r="U127" s="335">
        <v>0.42</v>
      </c>
      <c r="V127" s="335">
        <v>0.05</v>
      </c>
      <c r="W127" s="335">
        <v>0.12</v>
      </c>
      <c r="X127" s="335">
        <v>0.43</v>
      </c>
      <c r="Y127" s="335">
        <v>0.47</v>
      </c>
      <c r="Z127" s="330" t="s">
        <v>283</v>
      </c>
      <c r="AA127" s="335">
        <v>0.1</v>
      </c>
      <c r="AB127" s="335">
        <v>0.38</v>
      </c>
      <c r="AC127" s="335">
        <v>0.23</v>
      </c>
      <c r="AD127" s="335">
        <v>0.44</v>
      </c>
      <c r="AE127" s="335">
        <v>0.38</v>
      </c>
      <c r="AF127" s="335">
        <v>0.44</v>
      </c>
      <c r="AG127" s="335">
        <v>0.54</v>
      </c>
      <c r="AH127" s="330">
        <v>56</v>
      </c>
      <c r="AI127" s="330">
        <v>7</v>
      </c>
      <c r="AJ127" s="333">
        <v>0.02</v>
      </c>
      <c r="AK127" s="333">
        <v>0.42</v>
      </c>
      <c r="AL127" s="333">
        <v>0.55000000000000004</v>
      </c>
      <c r="AM127" s="333">
        <v>0.01</v>
      </c>
      <c r="AN127" s="333">
        <v>0.23</v>
      </c>
      <c r="AO127" s="333">
        <v>0.41</v>
      </c>
      <c r="AP127" s="333">
        <v>0.47</v>
      </c>
      <c r="AQ127" s="333">
        <v>0.34</v>
      </c>
      <c r="AR127" s="333">
        <v>0.56000000000000005</v>
      </c>
      <c r="AS127" s="333">
        <v>0.39</v>
      </c>
      <c r="AT127" s="333">
        <v>0.43</v>
      </c>
      <c r="AU127" s="333">
        <v>0.42</v>
      </c>
      <c r="AV127" s="333">
        <v>0.54</v>
      </c>
      <c r="AW127" s="333">
        <v>0.42</v>
      </c>
      <c r="AX127" s="333">
        <v>0.44</v>
      </c>
      <c r="AY127" s="333">
        <v>0.23</v>
      </c>
      <c r="AZ127" s="333">
        <v>0.17</v>
      </c>
      <c r="BA127" s="333">
        <v>0.42</v>
      </c>
      <c r="BB127" s="333">
        <v>0.56000000000000005</v>
      </c>
      <c r="BC127" s="333">
        <v>0.57999999999999996</v>
      </c>
      <c r="BD127" s="333">
        <v>0.39</v>
      </c>
      <c r="BE127" s="333">
        <v>0.43</v>
      </c>
      <c r="BF127" s="333">
        <v>0.57999999999999996</v>
      </c>
      <c r="BG127" s="333">
        <v>0.43</v>
      </c>
      <c r="BH127" s="333">
        <v>0.33</v>
      </c>
      <c r="BI127" s="333">
        <v>0.33</v>
      </c>
      <c r="BJ127" s="333">
        <v>0.28000000000000003</v>
      </c>
      <c r="BK127" s="333">
        <v>0.37</v>
      </c>
      <c r="BL127" s="333">
        <v>0.42</v>
      </c>
      <c r="BM127" s="330">
        <v>53</v>
      </c>
      <c r="BN127" s="330">
        <v>8</v>
      </c>
      <c r="BO127" s="335">
        <v>0.06</v>
      </c>
      <c r="BP127" s="335">
        <v>0.57999999999999996</v>
      </c>
      <c r="BQ127" s="335">
        <v>0.36</v>
      </c>
      <c r="BR127" s="335">
        <v>0.01</v>
      </c>
      <c r="BS127" s="335">
        <v>0.28999999999999998</v>
      </c>
      <c r="BT127" s="335">
        <v>0.51</v>
      </c>
      <c r="BU127" s="335">
        <v>0.66</v>
      </c>
      <c r="BV127" s="335">
        <v>0.31</v>
      </c>
      <c r="BW127" s="335">
        <v>0.65</v>
      </c>
      <c r="BX127" s="335">
        <v>0.31</v>
      </c>
      <c r="BY127" s="335">
        <v>0.42</v>
      </c>
      <c r="BZ127" s="335">
        <v>0.5</v>
      </c>
      <c r="CA127" s="335">
        <v>0.48</v>
      </c>
      <c r="CB127" s="335">
        <v>0.28000000000000003</v>
      </c>
      <c r="CC127" s="335">
        <v>0.13</v>
      </c>
      <c r="CD127" s="335">
        <v>0.41</v>
      </c>
      <c r="CE127" s="335">
        <v>0.28000000000000003</v>
      </c>
      <c r="CF127" s="335">
        <v>0.65</v>
      </c>
      <c r="CG127" s="335">
        <v>0.54</v>
      </c>
      <c r="CH127" s="335">
        <v>0.37</v>
      </c>
      <c r="CI127" s="335">
        <v>0.52</v>
      </c>
      <c r="CJ127" s="335">
        <v>0.23</v>
      </c>
      <c r="CK127" s="335">
        <v>0.64</v>
      </c>
      <c r="CL127" s="335">
        <v>0.25</v>
      </c>
      <c r="CM127" s="335">
        <v>0.42</v>
      </c>
      <c r="CN127" s="335">
        <v>0.35</v>
      </c>
      <c r="CO127" s="335">
        <v>0.39</v>
      </c>
      <c r="CP127" s="335">
        <v>0.3</v>
      </c>
      <c r="CQ127" s="335">
        <v>0.42</v>
      </c>
      <c r="CR127" s="335">
        <v>0.56000000000000005</v>
      </c>
      <c r="CS127" s="330">
        <v>52</v>
      </c>
      <c r="CT127" s="330">
        <v>9</v>
      </c>
      <c r="CU127" s="329">
        <v>0.08</v>
      </c>
      <c r="CV127" s="329">
        <v>0.57999999999999996</v>
      </c>
      <c r="CW127" s="329">
        <v>0.31</v>
      </c>
      <c r="CX127" s="329">
        <v>0.02</v>
      </c>
      <c r="CY127" s="329">
        <v>0.48</v>
      </c>
      <c r="CZ127" s="329">
        <v>0.25</v>
      </c>
      <c r="DA127" s="329">
        <v>0.57999999999999996</v>
      </c>
      <c r="DB127" s="329">
        <v>0.33</v>
      </c>
      <c r="DC127" s="329">
        <v>0.38</v>
      </c>
      <c r="DD127" s="329">
        <v>0.6</v>
      </c>
      <c r="DE127" s="329">
        <v>0.47</v>
      </c>
      <c r="DF127" s="329">
        <v>0.51</v>
      </c>
      <c r="DG127" s="329">
        <v>0.36</v>
      </c>
      <c r="DH127" s="329">
        <v>0.32</v>
      </c>
      <c r="DI127" s="329">
        <v>0.46</v>
      </c>
      <c r="DJ127" s="329">
        <v>0.4</v>
      </c>
      <c r="DK127" s="329">
        <v>0.39</v>
      </c>
      <c r="DL127" s="329">
        <v>0.23</v>
      </c>
      <c r="DM127" s="329">
        <v>0.48</v>
      </c>
      <c r="DN127" s="329">
        <v>0.45</v>
      </c>
      <c r="DO127" s="329">
        <v>0.37</v>
      </c>
      <c r="DP127" s="329">
        <v>0.4</v>
      </c>
      <c r="DQ127" s="329">
        <v>0.53</v>
      </c>
      <c r="DR127" s="329">
        <v>0.16</v>
      </c>
      <c r="DS127" s="329">
        <v>0.37</v>
      </c>
      <c r="DT127" s="329">
        <v>0.56000000000000005</v>
      </c>
      <c r="DU127" s="329">
        <v>0.52</v>
      </c>
      <c r="DV127" s="329">
        <v>0.55000000000000004</v>
      </c>
      <c r="DW127" s="329">
        <v>0.27</v>
      </c>
      <c r="DX127" s="313">
        <v>51</v>
      </c>
      <c r="DY127" s="313">
        <v>8</v>
      </c>
      <c r="DZ127" s="333">
        <v>0.14000000000000001</v>
      </c>
      <c r="EA127" s="333">
        <v>0.53</v>
      </c>
      <c r="EB127" s="333">
        <v>0.32</v>
      </c>
      <c r="EC127" s="333">
        <v>0.01</v>
      </c>
      <c r="ED127" s="333">
        <v>0.5</v>
      </c>
      <c r="EE127" s="333">
        <v>0.46</v>
      </c>
      <c r="EF127" s="333">
        <v>0.49</v>
      </c>
      <c r="EG127" s="333">
        <v>0.31</v>
      </c>
      <c r="EH127" s="333">
        <v>0.37</v>
      </c>
      <c r="EI127" s="333">
        <v>0.41</v>
      </c>
      <c r="EJ127" s="333">
        <v>0.56000000000000005</v>
      </c>
      <c r="EK127" s="333">
        <v>0.28999999999999998</v>
      </c>
      <c r="EL127" s="333">
        <v>0.44</v>
      </c>
      <c r="EM127" s="333">
        <v>0.67</v>
      </c>
      <c r="EN127" s="333">
        <v>0.42</v>
      </c>
      <c r="EO127" s="333">
        <v>0.49</v>
      </c>
      <c r="EP127" s="333">
        <v>0.35</v>
      </c>
      <c r="EQ127" s="333">
        <v>0.21</v>
      </c>
      <c r="ER127" s="333">
        <v>0.57999999999999996</v>
      </c>
      <c r="ES127" s="333">
        <v>0.39</v>
      </c>
      <c r="ET127" s="333">
        <v>0.27</v>
      </c>
      <c r="EU127" s="333">
        <v>0.62</v>
      </c>
      <c r="EV127" s="333">
        <v>0.33</v>
      </c>
      <c r="EW127" s="333">
        <v>0.3</v>
      </c>
      <c r="EX127" s="333">
        <v>0.57999999999999996</v>
      </c>
      <c r="EY127" s="333">
        <v>0.59</v>
      </c>
      <c r="EZ127" s="333">
        <v>0.26</v>
      </c>
      <c r="FA127" s="333">
        <v>0.61</v>
      </c>
      <c r="FB127" s="314">
        <v>50</v>
      </c>
      <c r="FC127" s="314" t="s">
        <v>874</v>
      </c>
      <c r="FD127" s="314">
        <v>9</v>
      </c>
      <c r="FE127" s="314" t="s">
        <v>874</v>
      </c>
      <c r="FF127" s="334">
        <v>0.13</v>
      </c>
      <c r="FG127" s="334">
        <v>0.63</v>
      </c>
      <c r="FH127" s="334">
        <v>0.23</v>
      </c>
      <c r="FI127" s="334">
        <v>0.02</v>
      </c>
      <c r="FJ127" s="334">
        <v>0.54</v>
      </c>
      <c r="FK127" s="334">
        <v>0.7</v>
      </c>
      <c r="FL127" s="334">
        <v>0.51</v>
      </c>
      <c r="FM127" s="334">
        <v>0.45</v>
      </c>
      <c r="FN127" s="334">
        <v>0.25</v>
      </c>
      <c r="FO127" s="334">
        <v>0.32</v>
      </c>
      <c r="FP127" s="334">
        <v>0.45</v>
      </c>
      <c r="FQ127" s="334">
        <v>0.36</v>
      </c>
      <c r="FR127" s="334">
        <v>0.56000000000000005</v>
      </c>
      <c r="FS127" s="334">
        <v>0.52</v>
      </c>
      <c r="FT127" s="334">
        <v>0.5</v>
      </c>
      <c r="FU127" s="334">
        <v>0.4</v>
      </c>
      <c r="FV127" s="334">
        <v>0.56000000000000005</v>
      </c>
      <c r="FW127" s="334">
        <v>0.56000000000000005</v>
      </c>
      <c r="FX127" s="334">
        <v>0.5</v>
      </c>
      <c r="FY127" s="334">
        <v>0.34</v>
      </c>
      <c r="FZ127" s="334">
        <v>0.36</v>
      </c>
      <c r="GA127" s="334">
        <v>0.47</v>
      </c>
      <c r="GB127" s="334">
        <v>0.55000000000000004</v>
      </c>
      <c r="GC127" s="334">
        <v>0.48</v>
      </c>
      <c r="GD127" s="334">
        <v>0.57999999999999996</v>
      </c>
      <c r="GE127" s="334">
        <v>0.55000000000000004</v>
      </c>
      <c r="GF127" s="334">
        <v>0.5</v>
      </c>
      <c r="GG127" s="334">
        <v>0.48</v>
      </c>
      <c r="GH127" s="334">
        <v>0.55000000000000004</v>
      </c>
      <c r="GI127" s="334">
        <v>0.31</v>
      </c>
      <c r="GJ127" s="311">
        <v>50</v>
      </c>
      <c r="GK127" s="311" t="s">
        <v>874</v>
      </c>
      <c r="GL127" s="311">
        <v>8</v>
      </c>
      <c r="GM127" s="311" t="s">
        <v>874</v>
      </c>
      <c r="GN127" s="329">
        <v>0.16</v>
      </c>
      <c r="GO127" s="329">
        <v>0.57999999999999996</v>
      </c>
      <c r="GP127" s="329">
        <v>0.25</v>
      </c>
      <c r="GQ127" s="329">
        <v>0.01</v>
      </c>
      <c r="GR127" s="329">
        <v>0.45</v>
      </c>
      <c r="GS127" s="329">
        <v>0.53</v>
      </c>
      <c r="GT127" s="329">
        <v>0.64</v>
      </c>
      <c r="GU127" s="329">
        <v>0.22</v>
      </c>
      <c r="GV127" s="329">
        <v>0.56000000000000005</v>
      </c>
      <c r="GW127" s="329">
        <v>0.45</v>
      </c>
      <c r="GX127" s="329">
        <v>0.51</v>
      </c>
      <c r="GY127" s="311" t="s">
        <v>283</v>
      </c>
      <c r="GZ127" s="329">
        <v>0.34</v>
      </c>
      <c r="HA127" s="329">
        <v>0.7</v>
      </c>
      <c r="HB127" s="329">
        <v>0.5</v>
      </c>
      <c r="HC127" s="329">
        <v>0.47</v>
      </c>
      <c r="HD127" s="329">
        <v>0.51</v>
      </c>
      <c r="HE127" s="329">
        <v>0.52</v>
      </c>
      <c r="HF127" s="329">
        <v>0.49</v>
      </c>
      <c r="HG127" s="329">
        <v>0.64</v>
      </c>
      <c r="HH127" s="329">
        <v>0.42</v>
      </c>
      <c r="HI127" s="329">
        <v>0.57999999999999996</v>
      </c>
      <c r="HJ127" s="329">
        <v>0.61</v>
      </c>
      <c r="HK127" s="329">
        <v>0.52</v>
      </c>
      <c r="HL127" s="329">
        <v>0.46</v>
      </c>
      <c r="HM127" s="329">
        <v>0.52</v>
      </c>
      <c r="HN127" s="329">
        <v>0.53</v>
      </c>
      <c r="HO127" s="329">
        <v>0.45</v>
      </c>
      <c r="HP127" s="311" t="s">
        <v>283</v>
      </c>
      <c r="HQ127" s="329">
        <v>0.47</v>
      </c>
      <c r="HR127" s="426">
        <v>51</v>
      </c>
      <c r="HS127" s="426" t="s">
        <v>874</v>
      </c>
      <c r="HT127" s="426">
        <v>8</v>
      </c>
      <c r="HU127" s="426" t="s">
        <v>874</v>
      </c>
      <c r="HV127" s="430">
        <v>0.1</v>
      </c>
      <c r="HW127" s="430">
        <v>0.64</v>
      </c>
      <c r="HX127" s="430">
        <v>0.25</v>
      </c>
      <c r="HY127" s="430">
        <v>0.01</v>
      </c>
      <c r="HZ127" s="430">
        <v>0.41</v>
      </c>
      <c r="IA127" s="430">
        <v>0.5</v>
      </c>
      <c r="IB127" s="430">
        <v>0.33</v>
      </c>
      <c r="IC127" s="430">
        <v>0.45</v>
      </c>
      <c r="ID127" s="430">
        <v>0.63</v>
      </c>
      <c r="IE127" s="430">
        <v>0.3</v>
      </c>
      <c r="IF127" s="430">
        <v>0.39</v>
      </c>
      <c r="IG127" s="430">
        <v>0.54</v>
      </c>
      <c r="IH127" s="430">
        <v>0.5</v>
      </c>
      <c r="II127" s="430">
        <v>0.31</v>
      </c>
      <c r="IJ127" s="430">
        <v>0.27</v>
      </c>
      <c r="IK127" s="430">
        <v>0.59</v>
      </c>
      <c r="IL127" s="430">
        <v>0.28999999999999998</v>
      </c>
      <c r="IM127" s="430">
        <v>0.55000000000000004</v>
      </c>
      <c r="IN127" s="430">
        <v>0.46</v>
      </c>
      <c r="IO127" s="430">
        <v>0.54</v>
      </c>
      <c r="IP127" s="430">
        <v>0.41</v>
      </c>
      <c r="IQ127" s="430">
        <v>0.65</v>
      </c>
      <c r="IR127" s="430">
        <v>0.52</v>
      </c>
      <c r="IS127" s="430">
        <v>0.51</v>
      </c>
      <c r="IT127" s="430">
        <v>0.44</v>
      </c>
      <c r="IU127" s="426" t="s">
        <v>283</v>
      </c>
      <c r="IV127" s="430">
        <v>0.66</v>
      </c>
      <c r="IW127" s="430">
        <v>0.4</v>
      </c>
      <c r="IX127" s="430">
        <v>0.56999999999999995</v>
      </c>
      <c r="IY127" s="430">
        <v>0.56000000000000005</v>
      </c>
      <c r="IZ127" s="466">
        <v>53</v>
      </c>
      <c r="JA127" s="466" t="s">
        <v>874</v>
      </c>
      <c r="JB127" s="466">
        <v>8</v>
      </c>
      <c r="JC127" s="466" t="s">
        <v>874</v>
      </c>
      <c r="JD127" s="480">
        <v>0.05</v>
      </c>
      <c r="JE127" s="480">
        <v>0.55000000000000004</v>
      </c>
      <c r="JF127" s="480">
        <v>0.4</v>
      </c>
      <c r="JG127" s="480">
        <v>0</v>
      </c>
      <c r="JH127" s="480">
        <v>0.38</v>
      </c>
      <c r="JI127" s="480">
        <v>0.42</v>
      </c>
      <c r="JJ127" s="480">
        <v>0.32</v>
      </c>
      <c r="JK127" s="480">
        <v>0.41</v>
      </c>
      <c r="JL127" s="480">
        <v>0.45</v>
      </c>
      <c r="JM127" s="480">
        <v>0.5</v>
      </c>
      <c r="JN127" s="480">
        <v>0.41</v>
      </c>
      <c r="JO127" s="480">
        <v>0.39</v>
      </c>
      <c r="JP127" s="480">
        <v>0.57999999999999996</v>
      </c>
      <c r="JQ127" s="480">
        <v>0.24</v>
      </c>
      <c r="JR127" s="480">
        <v>0.59</v>
      </c>
      <c r="JS127" s="480">
        <v>0.6</v>
      </c>
      <c r="JT127" s="480">
        <v>0.43</v>
      </c>
      <c r="JU127" s="480">
        <v>0.52</v>
      </c>
      <c r="JV127" s="480">
        <v>0.42</v>
      </c>
      <c r="JW127" s="480">
        <v>0.46</v>
      </c>
      <c r="JX127" s="480">
        <v>0.37</v>
      </c>
      <c r="JY127" s="480">
        <v>0.47</v>
      </c>
      <c r="JZ127" s="480">
        <v>0.47</v>
      </c>
      <c r="KA127" s="480">
        <v>0.68</v>
      </c>
      <c r="KB127" s="480">
        <v>0.4</v>
      </c>
      <c r="KC127" s="480">
        <v>0.69</v>
      </c>
      <c r="KD127" s="480">
        <v>0.33</v>
      </c>
      <c r="KE127" s="480">
        <v>0.51</v>
      </c>
      <c r="KF127" s="480">
        <v>0.42</v>
      </c>
      <c r="KG127" s="480">
        <v>0.51</v>
      </c>
    </row>
    <row r="128" spans="1:293" ht="24.95" customHeight="1" x14ac:dyDescent="0.2">
      <c r="A128" s="814" t="s">
        <v>50</v>
      </c>
      <c r="B128" s="1" t="s">
        <v>221</v>
      </c>
      <c r="C128" s="2">
        <v>1</v>
      </c>
      <c r="D128" s="12">
        <v>54</v>
      </c>
      <c r="E128" s="12">
        <v>7</v>
      </c>
      <c r="F128" s="66">
        <v>0.01</v>
      </c>
      <c r="G128" s="66">
        <v>0.6</v>
      </c>
      <c r="H128" s="66">
        <v>0.39</v>
      </c>
      <c r="I128" s="66">
        <v>0</v>
      </c>
      <c r="J128" s="66">
        <v>0.37</v>
      </c>
      <c r="K128" s="66">
        <v>0.21</v>
      </c>
      <c r="L128" s="66">
        <v>0.82</v>
      </c>
      <c r="M128" s="66">
        <v>0.18</v>
      </c>
      <c r="N128" s="66">
        <v>0.27</v>
      </c>
      <c r="O128" s="66">
        <v>0.68</v>
      </c>
      <c r="P128" s="66">
        <v>0.35</v>
      </c>
      <c r="Q128" s="66">
        <v>0.36</v>
      </c>
      <c r="R128" s="66">
        <v>0.54</v>
      </c>
      <c r="S128" s="66">
        <v>0.64</v>
      </c>
      <c r="T128" s="66">
        <v>0.49</v>
      </c>
      <c r="U128" s="66">
        <v>0.57999999999999996</v>
      </c>
      <c r="V128" s="66">
        <v>0.02</v>
      </c>
      <c r="W128" s="66">
        <v>0.16</v>
      </c>
      <c r="X128" s="66">
        <v>0.49</v>
      </c>
      <c r="Y128" s="66">
        <v>0.52</v>
      </c>
      <c r="Z128" s="12" t="s">
        <v>283</v>
      </c>
      <c r="AA128" s="66">
        <v>0.05</v>
      </c>
      <c r="AB128" s="66">
        <v>0.43</v>
      </c>
      <c r="AC128" s="66">
        <v>0.23</v>
      </c>
      <c r="AD128" s="66">
        <v>0.43</v>
      </c>
      <c r="AE128" s="66">
        <v>0.34</v>
      </c>
      <c r="AF128" s="66">
        <v>0.47</v>
      </c>
      <c r="AG128" s="66">
        <v>0.51</v>
      </c>
      <c r="AH128" s="12">
        <v>52</v>
      </c>
      <c r="AI128" s="12">
        <v>7</v>
      </c>
      <c r="AJ128" s="40">
        <v>0.04</v>
      </c>
      <c r="AK128" s="40">
        <v>0.62</v>
      </c>
      <c r="AL128" s="40">
        <v>0.34</v>
      </c>
      <c r="AM128" s="40">
        <v>0</v>
      </c>
      <c r="AN128" s="40">
        <v>0.27</v>
      </c>
      <c r="AO128" s="40">
        <v>0.44</v>
      </c>
      <c r="AP128" s="40">
        <v>0.59</v>
      </c>
      <c r="AQ128" s="40">
        <v>0.35</v>
      </c>
      <c r="AR128" s="40">
        <v>0.54</v>
      </c>
      <c r="AS128" s="40">
        <v>0.52</v>
      </c>
      <c r="AT128" s="40">
        <v>0.51</v>
      </c>
      <c r="AU128" s="40">
        <v>0.48</v>
      </c>
      <c r="AV128" s="40">
        <v>0.65</v>
      </c>
      <c r="AW128" s="40">
        <v>0.39</v>
      </c>
      <c r="AX128" s="40">
        <v>0.64</v>
      </c>
      <c r="AY128" s="40">
        <v>0.34</v>
      </c>
      <c r="AZ128" s="40">
        <v>0.27</v>
      </c>
      <c r="BA128" s="40">
        <v>0.48</v>
      </c>
      <c r="BB128" s="40">
        <v>0.74</v>
      </c>
      <c r="BC128" s="40">
        <v>0.61</v>
      </c>
      <c r="BD128" s="40">
        <v>0.38</v>
      </c>
      <c r="BE128" s="40">
        <v>0.44</v>
      </c>
      <c r="BF128" s="40">
        <v>0.51</v>
      </c>
      <c r="BG128" s="40">
        <v>0.54</v>
      </c>
      <c r="BH128" s="40">
        <v>0.42</v>
      </c>
      <c r="BI128" s="40">
        <v>0.39</v>
      </c>
      <c r="BJ128" s="40">
        <v>0.34</v>
      </c>
      <c r="BK128" s="40">
        <v>0.45</v>
      </c>
      <c r="BL128" s="40">
        <v>0.55000000000000004</v>
      </c>
      <c r="BM128" s="12">
        <v>52</v>
      </c>
      <c r="BN128" s="12">
        <v>8</v>
      </c>
      <c r="BO128" s="66">
        <v>0.04</v>
      </c>
      <c r="BP128" s="66">
        <v>0.59</v>
      </c>
      <c r="BQ128" s="66">
        <v>0.35</v>
      </c>
      <c r="BR128" s="66">
        <v>0.01</v>
      </c>
      <c r="BS128" s="66">
        <v>0.28000000000000003</v>
      </c>
      <c r="BT128" s="66">
        <v>0.52</v>
      </c>
      <c r="BU128" s="66">
        <v>0.66</v>
      </c>
      <c r="BV128" s="66">
        <v>0.44</v>
      </c>
      <c r="BW128" s="66">
        <v>0.6</v>
      </c>
      <c r="BX128" s="66">
        <v>0.31</v>
      </c>
      <c r="BY128" s="66">
        <v>0.4</v>
      </c>
      <c r="BZ128" s="66">
        <v>0.5</v>
      </c>
      <c r="CA128" s="66">
        <v>0.4</v>
      </c>
      <c r="CB128" s="66">
        <v>0.28000000000000003</v>
      </c>
      <c r="CC128" s="66">
        <v>0.17</v>
      </c>
      <c r="CD128" s="66">
        <v>0.43</v>
      </c>
      <c r="CE128" s="66">
        <v>0.27</v>
      </c>
      <c r="CF128" s="66">
        <v>0.48</v>
      </c>
      <c r="CG128" s="66">
        <v>0.56000000000000005</v>
      </c>
      <c r="CH128" s="66">
        <v>0.44</v>
      </c>
      <c r="CI128" s="66">
        <v>0.53</v>
      </c>
      <c r="CJ128" s="66">
        <v>0.34</v>
      </c>
      <c r="CK128" s="66">
        <v>0.66</v>
      </c>
      <c r="CL128" s="66">
        <v>0.28000000000000003</v>
      </c>
      <c r="CM128" s="66">
        <v>0.43</v>
      </c>
      <c r="CN128" s="66">
        <v>0.41</v>
      </c>
      <c r="CO128" s="66">
        <v>0.39</v>
      </c>
      <c r="CP128" s="66">
        <v>0.37</v>
      </c>
      <c r="CQ128" s="66">
        <v>0.52</v>
      </c>
      <c r="CR128" s="66">
        <v>0.56000000000000005</v>
      </c>
      <c r="CS128" s="12">
        <v>51</v>
      </c>
      <c r="CT128" s="12">
        <v>7</v>
      </c>
      <c r="CU128" s="63">
        <v>0.09</v>
      </c>
      <c r="CV128" s="63">
        <v>0.65</v>
      </c>
      <c r="CW128" s="63">
        <v>0.26</v>
      </c>
      <c r="CX128" s="63">
        <v>0</v>
      </c>
      <c r="CY128" s="63">
        <v>0.52</v>
      </c>
      <c r="CZ128" s="63">
        <v>0.26</v>
      </c>
      <c r="DA128" s="63">
        <v>0.63</v>
      </c>
      <c r="DB128" s="63">
        <v>0.25</v>
      </c>
      <c r="DC128" s="63">
        <v>0.43</v>
      </c>
      <c r="DD128" s="63">
        <v>0.71</v>
      </c>
      <c r="DE128" s="63">
        <v>0.36</v>
      </c>
      <c r="DF128" s="63">
        <v>0.5</v>
      </c>
      <c r="DG128" s="63">
        <v>0.37</v>
      </c>
      <c r="DH128" s="63">
        <v>0.31</v>
      </c>
      <c r="DI128" s="63">
        <v>0.48</v>
      </c>
      <c r="DJ128" s="63">
        <v>0.51</v>
      </c>
      <c r="DK128" s="63">
        <v>0.41</v>
      </c>
      <c r="DL128" s="63">
        <v>0.18</v>
      </c>
      <c r="DM128" s="63">
        <v>0.43</v>
      </c>
      <c r="DN128" s="63">
        <v>0.53</v>
      </c>
      <c r="DO128" s="63">
        <v>0.52</v>
      </c>
      <c r="DP128" s="63">
        <v>0.43</v>
      </c>
      <c r="DQ128" s="63">
        <v>0.55000000000000004</v>
      </c>
      <c r="DR128" s="63">
        <v>0.15</v>
      </c>
      <c r="DS128" s="63">
        <v>0.35</v>
      </c>
      <c r="DT128" s="63">
        <v>0.6</v>
      </c>
      <c r="DU128" s="63">
        <v>0.47</v>
      </c>
      <c r="DV128" s="63">
        <v>0.6</v>
      </c>
      <c r="DW128" s="63">
        <v>0.34</v>
      </c>
      <c r="DX128" s="35">
        <v>52</v>
      </c>
      <c r="DY128" s="35">
        <v>8</v>
      </c>
      <c r="DZ128" s="40">
        <v>0.1</v>
      </c>
      <c r="EA128" s="40">
        <v>0.57999999999999996</v>
      </c>
      <c r="EB128" s="40">
        <v>0.32</v>
      </c>
      <c r="EC128" s="40">
        <v>0</v>
      </c>
      <c r="ED128" s="40">
        <v>0.47</v>
      </c>
      <c r="EE128" s="40">
        <v>0.47</v>
      </c>
      <c r="EF128" s="40">
        <v>0.44</v>
      </c>
      <c r="EG128" s="40">
        <v>0.37</v>
      </c>
      <c r="EH128" s="40">
        <v>0.39</v>
      </c>
      <c r="EI128" s="40">
        <v>0.43</v>
      </c>
      <c r="EJ128" s="40">
        <v>0.55000000000000004</v>
      </c>
      <c r="EK128" s="40">
        <v>0.25</v>
      </c>
      <c r="EL128" s="40">
        <v>0.47</v>
      </c>
      <c r="EM128" s="40">
        <v>0.54</v>
      </c>
      <c r="EN128" s="40">
        <v>0.33</v>
      </c>
      <c r="EO128" s="40">
        <v>0.5</v>
      </c>
      <c r="EP128" s="40">
        <v>0.37</v>
      </c>
      <c r="EQ128" s="40">
        <v>0.35</v>
      </c>
      <c r="ER128" s="40">
        <v>0.62</v>
      </c>
      <c r="ES128" s="40">
        <v>0.43</v>
      </c>
      <c r="ET128" s="40">
        <v>0.28999999999999998</v>
      </c>
      <c r="EU128" s="40">
        <v>0.59</v>
      </c>
      <c r="EV128" s="40">
        <v>0.18</v>
      </c>
      <c r="EW128" s="40">
        <v>0.36</v>
      </c>
      <c r="EX128" s="40">
        <v>0.7</v>
      </c>
      <c r="EY128" s="40">
        <v>0.56000000000000005</v>
      </c>
      <c r="EZ128" s="40">
        <v>0.27</v>
      </c>
      <c r="FA128" s="40">
        <v>0.54</v>
      </c>
      <c r="FB128" s="247">
        <v>49</v>
      </c>
      <c r="FC128" s="247" t="s">
        <v>874</v>
      </c>
      <c r="FD128" s="247">
        <v>9</v>
      </c>
      <c r="FE128" s="247" t="s">
        <v>874</v>
      </c>
      <c r="FF128" s="264">
        <v>0.16</v>
      </c>
      <c r="FG128" s="264">
        <v>0.59</v>
      </c>
      <c r="FH128" s="264">
        <v>0.21</v>
      </c>
      <c r="FI128" s="264">
        <v>0.03</v>
      </c>
      <c r="FJ128" s="264">
        <v>0.47</v>
      </c>
      <c r="FK128" s="264">
        <v>0.7</v>
      </c>
      <c r="FL128" s="264">
        <v>0.47</v>
      </c>
      <c r="FM128" s="264">
        <v>0.44</v>
      </c>
      <c r="FN128" s="264">
        <v>0.38</v>
      </c>
      <c r="FO128" s="264">
        <v>0.38</v>
      </c>
      <c r="FP128" s="264">
        <v>0.41</v>
      </c>
      <c r="FQ128" s="264">
        <v>0.41</v>
      </c>
      <c r="FR128" s="264">
        <v>0.63</v>
      </c>
      <c r="FS128" s="264">
        <v>0.47</v>
      </c>
      <c r="FT128" s="264">
        <v>0.49</v>
      </c>
      <c r="FU128" s="264">
        <v>0.38</v>
      </c>
      <c r="FV128" s="264">
        <v>0.6</v>
      </c>
      <c r="FW128" s="264">
        <v>0.65</v>
      </c>
      <c r="FX128" s="264">
        <v>0.41</v>
      </c>
      <c r="FY128" s="264">
        <v>0.41</v>
      </c>
      <c r="FZ128" s="264">
        <v>0.41</v>
      </c>
      <c r="GA128" s="264">
        <v>0.45</v>
      </c>
      <c r="GB128" s="264">
        <v>0.52</v>
      </c>
      <c r="GC128" s="264">
        <v>0.38</v>
      </c>
      <c r="GD128" s="264">
        <v>0.63</v>
      </c>
      <c r="GE128" s="264">
        <v>0.55000000000000004</v>
      </c>
      <c r="GF128" s="264">
        <v>0.55000000000000004</v>
      </c>
      <c r="GG128" s="264">
        <v>0.46</v>
      </c>
      <c r="GH128" s="264">
        <v>0.53</v>
      </c>
      <c r="GI128" s="264">
        <v>0.3</v>
      </c>
      <c r="GJ128" s="311">
        <v>51</v>
      </c>
      <c r="GK128" s="311" t="s">
        <v>874</v>
      </c>
      <c r="GL128" s="311">
        <v>8</v>
      </c>
      <c r="GM128" s="311" t="s">
        <v>874</v>
      </c>
      <c r="GN128" s="329">
        <v>0.1</v>
      </c>
      <c r="GO128" s="329">
        <v>0.62</v>
      </c>
      <c r="GP128" s="329">
        <v>0.26</v>
      </c>
      <c r="GQ128" s="329">
        <v>0.02</v>
      </c>
      <c r="GR128" s="329">
        <v>0.4</v>
      </c>
      <c r="GS128" s="329">
        <v>0.55000000000000004</v>
      </c>
      <c r="GT128" s="329">
        <v>0.63</v>
      </c>
      <c r="GU128" s="329">
        <v>0.21</v>
      </c>
      <c r="GV128" s="329">
        <v>0.62</v>
      </c>
      <c r="GW128" s="329">
        <v>0.55000000000000004</v>
      </c>
      <c r="GX128" s="329">
        <v>0.4</v>
      </c>
      <c r="GY128" s="311" t="s">
        <v>283</v>
      </c>
      <c r="GZ128" s="329">
        <v>0.41</v>
      </c>
      <c r="HA128" s="329">
        <v>0.73</v>
      </c>
      <c r="HB128" s="329">
        <v>0.45</v>
      </c>
      <c r="HC128" s="329">
        <v>0.51</v>
      </c>
      <c r="HD128" s="329">
        <v>0.63</v>
      </c>
      <c r="HE128" s="329">
        <v>0.53</v>
      </c>
      <c r="HF128" s="329">
        <v>0.45</v>
      </c>
      <c r="HG128" s="329">
        <v>0.65</v>
      </c>
      <c r="HH128" s="329">
        <v>0.36</v>
      </c>
      <c r="HI128" s="329">
        <v>0.56999999999999995</v>
      </c>
      <c r="HJ128" s="329">
        <v>0.56000000000000005</v>
      </c>
      <c r="HK128" s="329">
        <v>0.61</v>
      </c>
      <c r="HL128" s="329">
        <v>0.45</v>
      </c>
      <c r="HM128" s="329">
        <v>0.52</v>
      </c>
      <c r="HN128" s="329">
        <v>0.39</v>
      </c>
      <c r="HO128" s="329">
        <v>0.39</v>
      </c>
      <c r="HP128" s="311" t="s">
        <v>283</v>
      </c>
      <c r="HQ128" s="329">
        <v>0.46</v>
      </c>
      <c r="HR128" s="657"/>
      <c r="HS128" s="657"/>
      <c r="HT128" s="657"/>
      <c r="HU128" s="657"/>
      <c r="HV128" s="657"/>
      <c r="HW128" s="657"/>
      <c r="HX128" s="657"/>
      <c r="HY128" s="657"/>
      <c r="HZ128" s="657"/>
      <c r="IA128" s="657"/>
      <c r="IB128" s="657"/>
      <c r="IC128" s="657"/>
      <c r="ID128" s="657"/>
      <c r="IE128" s="657"/>
      <c r="IF128" s="657"/>
      <c r="IG128" s="657"/>
      <c r="IH128" s="657"/>
      <c r="II128" s="657"/>
      <c r="IJ128" s="657"/>
      <c r="IK128" s="657"/>
      <c r="IL128" s="657"/>
      <c r="IM128" s="657"/>
      <c r="IN128" s="657"/>
      <c r="IO128" s="657"/>
      <c r="IP128" s="657"/>
      <c r="IQ128" s="657"/>
      <c r="IR128" s="657"/>
      <c r="IS128" s="657"/>
      <c r="IT128" s="657"/>
      <c r="IU128" s="657"/>
      <c r="IV128" s="657"/>
      <c r="IW128" s="657"/>
      <c r="IX128" s="657"/>
      <c r="IY128" s="657"/>
      <c r="IZ128" s="656"/>
      <c r="JA128" s="656"/>
      <c r="JB128" s="656"/>
      <c r="JC128" s="656"/>
      <c r="JD128" s="656"/>
      <c r="JE128" s="656"/>
      <c r="JF128" s="656"/>
      <c r="JG128" s="656"/>
      <c r="JH128" s="656"/>
      <c r="JI128" s="656"/>
      <c r="JJ128" s="656"/>
      <c r="JK128" s="656"/>
      <c r="JL128" s="656"/>
      <c r="JM128" s="656"/>
      <c r="JN128" s="656"/>
      <c r="JO128" s="656"/>
      <c r="JP128" s="656"/>
      <c r="JQ128" s="656"/>
      <c r="JR128" s="656"/>
      <c r="JS128" s="656"/>
      <c r="JT128" s="656"/>
      <c r="JU128" s="656"/>
      <c r="JV128" s="656"/>
      <c r="JW128" s="656"/>
      <c r="JX128" s="656"/>
      <c r="JY128" s="656"/>
      <c r="JZ128" s="656"/>
      <c r="KA128" s="656"/>
      <c r="KB128" s="656"/>
      <c r="KC128" s="656"/>
      <c r="KD128" s="656"/>
      <c r="KE128" s="656"/>
      <c r="KF128" s="656"/>
      <c r="KG128" s="656"/>
    </row>
    <row r="129" spans="1:293" ht="24.95" customHeight="1" x14ac:dyDescent="0.2">
      <c r="A129" s="814" t="s">
        <v>932</v>
      </c>
      <c r="B129" s="1" t="s">
        <v>219</v>
      </c>
      <c r="C129" s="2">
        <v>3</v>
      </c>
      <c r="D129" s="12"/>
      <c r="E129" s="12"/>
      <c r="F129" s="66"/>
      <c r="G129" s="66"/>
      <c r="H129" s="66"/>
      <c r="I129" s="66"/>
      <c r="J129" s="66"/>
      <c r="K129" s="66"/>
      <c r="L129" s="66"/>
      <c r="M129" s="66"/>
      <c r="N129" s="66"/>
      <c r="O129" s="66"/>
      <c r="P129" s="66"/>
      <c r="Q129" s="66"/>
      <c r="R129" s="66"/>
      <c r="S129" s="66"/>
      <c r="T129" s="66"/>
      <c r="U129" s="66"/>
      <c r="V129" s="66"/>
      <c r="W129" s="66"/>
      <c r="X129" s="66"/>
      <c r="Y129" s="66"/>
      <c r="Z129" s="12"/>
      <c r="AA129" s="66"/>
      <c r="AB129" s="66"/>
      <c r="AC129" s="66"/>
      <c r="AD129" s="66"/>
      <c r="AE129" s="66"/>
      <c r="AF129" s="66"/>
      <c r="AG129" s="66"/>
      <c r="AH129" s="12"/>
      <c r="AI129" s="12"/>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12"/>
      <c r="BN129" s="12"/>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12"/>
      <c r="CT129" s="12"/>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35"/>
      <c r="DY129" s="35"/>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247"/>
      <c r="FC129" s="247"/>
      <c r="FD129" s="247"/>
      <c r="FE129" s="247"/>
      <c r="FF129" s="264"/>
      <c r="FG129" s="264"/>
      <c r="FH129" s="264"/>
      <c r="FI129" s="264"/>
      <c r="FJ129" s="264"/>
      <c r="FK129" s="264"/>
      <c r="FL129" s="264"/>
      <c r="FM129" s="264"/>
      <c r="FN129" s="264"/>
      <c r="FO129" s="264"/>
      <c r="FP129" s="264"/>
      <c r="FQ129" s="264"/>
      <c r="FR129" s="264"/>
      <c r="FS129" s="264"/>
      <c r="FT129" s="264"/>
      <c r="FU129" s="264"/>
      <c r="FV129" s="264"/>
      <c r="FW129" s="264"/>
      <c r="FX129" s="264"/>
      <c r="FY129" s="264"/>
      <c r="FZ129" s="264"/>
      <c r="GA129" s="264"/>
      <c r="GB129" s="264"/>
      <c r="GC129" s="264"/>
      <c r="GD129" s="264"/>
      <c r="GE129" s="264"/>
      <c r="GF129" s="264"/>
      <c r="GG129" s="264"/>
      <c r="GH129" s="264"/>
      <c r="GI129" s="264"/>
      <c r="GJ129" s="311">
        <v>50</v>
      </c>
      <c r="GK129" s="311" t="s">
        <v>874</v>
      </c>
      <c r="GL129" s="311">
        <v>9</v>
      </c>
      <c r="GM129" s="311" t="s">
        <v>874</v>
      </c>
      <c r="GN129" s="329">
        <v>0.19</v>
      </c>
      <c r="GO129" s="329">
        <v>0.53</v>
      </c>
      <c r="GP129" s="329">
        <v>0.27</v>
      </c>
      <c r="GQ129" s="329">
        <v>0.01</v>
      </c>
      <c r="GR129" s="329">
        <v>0.53</v>
      </c>
      <c r="GS129" s="329">
        <v>0.52</v>
      </c>
      <c r="GT129" s="329">
        <v>0.67</v>
      </c>
      <c r="GU129" s="329">
        <v>0.3</v>
      </c>
      <c r="GV129" s="329">
        <v>0.59</v>
      </c>
      <c r="GW129" s="329">
        <v>0.47</v>
      </c>
      <c r="GX129" s="329">
        <v>0.48</v>
      </c>
      <c r="GY129" s="311" t="s">
        <v>283</v>
      </c>
      <c r="GZ129" s="329">
        <v>0.4</v>
      </c>
      <c r="HA129" s="329">
        <v>0.63</v>
      </c>
      <c r="HB129" s="329">
        <v>0.47</v>
      </c>
      <c r="HC129" s="329">
        <v>0.56999999999999995</v>
      </c>
      <c r="HD129" s="329">
        <v>0.63</v>
      </c>
      <c r="HE129" s="329">
        <v>0.44</v>
      </c>
      <c r="HF129" s="329">
        <v>0.48</v>
      </c>
      <c r="HG129" s="329">
        <v>0.68</v>
      </c>
      <c r="HH129" s="329">
        <v>0.4</v>
      </c>
      <c r="HI129" s="329">
        <v>0.54</v>
      </c>
      <c r="HJ129" s="329">
        <v>0.56999999999999995</v>
      </c>
      <c r="HK129" s="329">
        <v>0.54</v>
      </c>
      <c r="HL129" s="329">
        <v>0.46</v>
      </c>
      <c r="HM129" s="329">
        <v>0.52</v>
      </c>
      <c r="HN129" s="329">
        <v>0.48</v>
      </c>
      <c r="HO129" s="329">
        <v>0.5</v>
      </c>
      <c r="HP129" s="311" t="s">
        <v>283</v>
      </c>
      <c r="HQ129" s="329">
        <v>0.37</v>
      </c>
      <c r="HR129" s="658">
        <v>51</v>
      </c>
      <c r="HS129" s="658" t="s">
        <v>874</v>
      </c>
      <c r="HT129" s="658">
        <v>8</v>
      </c>
      <c r="HU129" s="658" t="s">
        <v>874</v>
      </c>
      <c r="HV129" s="659">
        <v>0.13</v>
      </c>
      <c r="HW129" s="659">
        <v>0.49</v>
      </c>
      <c r="HX129" s="659">
        <v>0.37</v>
      </c>
      <c r="HY129" s="659">
        <v>0.01</v>
      </c>
      <c r="HZ129" s="659">
        <v>0.39</v>
      </c>
      <c r="IA129" s="659">
        <v>0.52</v>
      </c>
      <c r="IB129" s="659">
        <v>0.32</v>
      </c>
      <c r="IC129" s="659">
        <v>0.48</v>
      </c>
      <c r="ID129" s="659">
        <v>0.66</v>
      </c>
      <c r="IE129" s="659">
        <v>0.34</v>
      </c>
      <c r="IF129" s="659">
        <v>0.38</v>
      </c>
      <c r="IG129" s="659">
        <v>0.49</v>
      </c>
      <c r="IH129" s="659">
        <v>0.56000000000000005</v>
      </c>
      <c r="II129" s="659">
        <v>0.34</v>
      </c>
      <c r="IJ129" s="659">
        <v>0.3</v>
      </c>
      <c r="IK129" s="659">
        <v>0.55000000000000004</v>
      </c>
      <c r="IL129" s="659">
        <v>0.35</v>
      </c>
      <c r="IM129" s="659">
        <v>0.53</v>
      </c>
      <c r="IN129" s="659">
        <v>0.47</v>
      </c>
      <c r="IO129" s="659">
        <v>0.55000000000000004</v>
      </c>
      <c r="IP129" s="659">
        <v>0.42</v>
      </c>
      <c r="IQ129" s="659">
        <v>0.63</v>
      </c>
      <c r="IR129" s="659">
        <v>0.48</v>
      </c>
      <c r="IS129" s="659">
        <v>0.56999999999999995</v>
      </c>
      <c r="IT129" s="659">
        <v>0.39</v>
      </c>
      <c r="IU129" s="658" t="s">
        <v>283</v>
      </c>
      <c r="IV129" s="659">
        <v>0.61</v>
      </c>
      <c r="IW129" s="659">
        <v>0.44</v>
      </c>
      <c r="IX129" s="659">
        <v>0.47</v>
      </c>
      <c r="IY129" s="659">
        <v>0.52</v>
      </c>
      <c r="IZ129" s="74">
        <v>52</v>
      </c>
      <c r="JA129" s="74" t="s">
        <v>874</v>
      </c>
      <c r="JB129" s="74">
        <v>9</v>
      </c>
      <c r="JC129" s="74" t="s">
        <v>874</v>
      </c>
      <c r="JD129" s="96">
        <v>0.1</v>
      </c>
      <c r="JE129" s="96">
        <v>0.53</v>
      </c>
      <c r="JF129" s="96">
        <v>0.35</v>
      </c>
      <c r="JG129" s="96">
        <v>0.02</v>
      </c>
      <c r="JH129" s="96">
        <v>0.48</v>
      </c>
      <c r="JI129" s="96">
        <v>0.42</v>
      </c>
      <c r="JJ129" s="96">
        <v>0.42</v>
      </c>
      <c r="JK129" s="96">
        <v>0.47</v>
      </c>
      <c r="JL129" s="96">
        <v>0.46</v>
      </c>
      <c r="JM129" s="96">
        <v>0.46</v>
      </c>
      <c r="JN129" s="96">
        <v>0.4</v>
      </c>
      <c r="JO129" s="96">
        <v>0.45</v>
      </c>
      <c r="JP129" s="96">
        <v>0.51</v>
      </c>
      <c r="JQ129" s="96">
        <v>0.26</v>
      </c>
      <c r="JR129" s="96">
        <v>0.56000000000000005</v>
      </c>
      <c r="JS129" s="96">
        <v>0.49</v>
      </c>
      <c r="JT129" s="96">
        <v>0.43</v>
      </c>
      <c r="JU129" s="96">
        <v>0.48</v>
      </c>
      <c r="JV129" s="96">
        <v>0.49</v>
      </c>
      <c r="JW129" s="96">
        <v>0.48</v>
      </c>
      <c r="JX129" s="96">
        <v>0.43</v>
      </c>
      <c r="JY129" s="96">
        <v>0.46</v>
      </c>
      <c r="JZ129" s="96">
        <v>0.45</v>
      </c>
      <c r="KA129" s="96">
        <v>0.59</v>
      </c>
      <c r="KB129" s="96">
        <v>0.47</v>
      </c>
      <c r="KC129" s="96">
        <v>0.63</v>
      </c>
      <c r="KD129" s="96">
        <v>0.35</v>
      </c>
      <c r="KE129" s="96">
        <v>0.49</v>
      </c>
      <c r="KF129" s="96">
        <v>0.44</v>
      </c>
      <c r="KG129" s="96">
        <v>0.48</v>
      </c>
    </row>
    <row r="130" spans="1:293" ht="24.95" customHeight="1" x14ac:dyDescent="0.2">
      <c r="A130" s="816" t="s">
        <v>286</v>
      </c>
      <c r="B130" s="1" t="s">
        <v>219</v>
      </c>
      <c r="C130" s="311">
        <v>6</v>
      </c>
      <c r="D130" s="330">
        <v>52</v>
      </c>
      <c r="E130" s="330">
        <v>8</v>
      </c>
      <c r="F130" s="335">
        <v>7.0000000000000007E-2</v>
      </c>
      <c r="G130" s="335">
        <v>0.65</v>
      </c>
      <c r="H130" s="335">
        <v>0.28000000000000003</v>
      </c>
      <c r="I130" s="335">
        <v>0</v>
      </c>
      <c r="J130" s="335">
        <v>0.42</v>
      </c>
      <c r="K130" s="335">
        <v>0.45</v>
      </c>
      <c r="L130" s="335">
        <v>0.7</v>
      </c>
      <c r="M130" s="335">
        <v>0.22</v>
      </c>
      <c r="N130" s="335">
        <v>0.33</v>
      </c>
      <c r="O130" s="335">
        <v>0.62</v>
      </c>
      <c r="P130" s="335">
        <v>0.36</v>
      </c>
      <c r="Q130" s="335">
        <v>0.43</v>
      </c>
      <c r="R130" s="335">
        <v>0.53</v>
      </c>
      <c r="S130" s="335">
        <v>0.64</v>
      </c>
      <c r="T130" s="335">
        <v>0.51</v>
      </c>
      <c r="U130" s="335">
        <v>0.65</v>
      </c>
      <c r="V130" s="335">
        <v>0.11</v>
      </c>
      <c r="W130" s="335">
        <v>0.19</v>
      </c>
      <c r="X130" s="335">
        <v>0.54</v>
      </c>
      <c r="Y130" s="335">
        <v>0.54</v>
      </c>
      <c r="Z130" s="335">
        <v>0.5</v>
      </c>
      <c r="AA130" s="335">
        <v>0.22</v>
      </c>
      <c r="AB130" s="335">
        <v>0.43</v>
      </c>
      <c r="AC130" s="335">
        <v>0.34</v>
      </c>
      <c r="AD130" s="335">
        <v>0.5</v>
      </c>
      <c r="AE130" s="335">
        <v>0.36</v>
      </c>
      <c r="AF130" s="335">
        <v>0.57999999999999996</v>
      </c>
      <c r="AG130" s="335">
        <v>0.48</v>
      </c>
      <c r="AH130" s="330">
        <v>52</v>
      </c>
      <c r="AI130" s="330">
        <v>8</v>
      </c>
      <c r="AJ130" s="333">
        <v>0.11</v>
      </c>
      <c r="AK130" s="333">
        <v>0.53</v>
      </c>
      <c r="AL130" s="333">
        <v>0.35</v>
      </c>
      <c r="AM130" s="333">
        <v>0.01</v>
      </c>
      <c r="AN130" s="333">
        <v>0.26</v>
      </c>
      <c r="AO130" s="333">
        <v>0.4</v>
      </c>
      <c r="AP130" s="333">
        <v>0.61</v>
      </c>
      <c r="AQ130" s="333">
        <v>0.36</v>
      </c>
      <c r="AR130" s="333">
        <v>0.55000000000000004</v>
      </c>
      <c r="AS130" s="333">
        <v>0.49</v>
      </c>
      <c r="AT130" s="333">
        <v>0.5</v>
      </c>
      <c r="AU130" s="333">
        <v>0.56999999999999995</v>
      </c>
      <c r="AV130" s="333">
        <v>0.6</v>
      </c>
      <c r="AW130" s="333">
        <v>0.59</v>
      </c>
      <c r="AX130" s="333">
        <v>0.6</v>
      </c>
      <c r="AY130" s="333">
        <v>0.35</v>
      </c>
      <c r="AZ130" s="333">
        <v>0.37</v>
      </c>
      <c r="BA130" s="333">
        <v>0.5</v>
      </c>
      <c r="BB130" s="333">
        <v>0.6</v>
      </c>
      <c r="BC130" s="333">
        <v>0.67</v>
      </c>
      <c r="BD130" s="333">
        <v>0.35</v>
      </c>
      <c r="BE130" s="333">
        <v>0.55000000000000004</v>
      </c>
      <c r="BF130" s="333">
        <v>0.56999999999999995</v>
      </c>
      <c r="BG130" s="333">
        <v>0.52</v>
      </c>
      <c r="BH130" s="333">
        <v>0.42</v>
      </c>
      <c r="BI130" s="333">
        <v>0.4</v>
      </c>
      <c r="BJ130" s="333">
        <v>0.37</v>
      </c>
      <c r="BK130" s="333">
        <v>0.48</v>
      </c>
      <c r="BL130" s="333">
        <v>0.37</v>
      </c>
      <c r="BM130" s="330">
        <v>50</v>
      </c>
      <c r="BN130" s="330">
        <v>8</v>
      </c>
      <c r="BO130" s="335">
        <v>0.08</v>
      </c>
      <c r="BP130" s="335">
        <v>0.71</v>
      </c>
      <c r="BQ130" s="335">
        <v>0.21</v>
      </c>
      <c r="BR130" s="335">
        <v>0</v>
      </c>
      <c r="BS130" s="335">
        <v>0.33</v>
      </c>
      <c r="BT130" s="335">
        <v>0.6</v>
      </c>
      <c r="BU130" s="335">
        <v>0.67</v>
      </c>
      <c r="BV130" s="335">
        <v>0.41</v>
      </c>
      <c r="BW130" s="335">
        <v>0.66</v>
      </c>
      <c r="BX130" s="335">
        <v>0.36</v>
      </c>
      <c r="BY130" s="335">
        <v>0.42</v>
      </c>
      <c r="BZ130" s="335">
        <v>0.5</v>
      </c>
      <c r="CA130" s="335">
        <v>0.5</v>
      </c>
      <c r="CB130" s="335">
        <v>0.43</v>
      </c>
      <c r="CC130" s="335">
        <v>0.17</v>
      </c>
      <c r="CD130" s="335">
        <v>0.39</v>
      </c>
      <c r="CE130" s="335">
        <v>0.36</v>
      </c>
      <c r="CF130" s="335">
        <v>0.68</v>
      </c>
      <c r="CG130" s="335">
        <v>0.56000000000000005</v>
      </c>
      <c r="CH130" s="335">
        <v>0.45</v>
      </c>
      <c r="CI130" s="335">
        <v>0.55000000000000004</v>
      </c>
      <c r="CJ130" s="335">
        <v>0.36</v>
      </c>
      <c r="CK130" s="335">
        <v>0.73</v>
      </c>
      <c r="CL130" s="335">
        <v>0.36</v>
      </c>
      <c r="CM130" s="335">
        <v>0.53</v>
      </c>
      <c r="CN130" s="335">
        <v>0.47</v>
      </c>
      <c r="CO130" s="335">
        <v>0.51</v>
      </c>
      <c r="CP130" s="335">
        <v>0.38</v>
      </c>
      <c r="CQ130" s="335">
        <v>0.57999999999999996</v>
      </c>
      <c r="CR130" s="335">
        <v>0.59</v>
      </c>
      <c r="CS130" s="330">
        <v>48</v>
      </c>
      <c r="CT130" s="330">
        <v>8</v>
      </c>
      <c r="CU130" s="329">
        <v>0.12</v>
      </c>
      <c r="CV130" s="329">
        <v>0.73</v>
      </c>
      <c r="CW130" s="329">
        <v>0.15</v>
      </c>
      <c r="CX130" s="329">
        <v>0.01</v>
      </c>
      <c r="CY130" s="329">
        <v>0.5</v>
      </c>
      <c r="CZ130" s="329">
        <v>0.28000000000000003</v>
      </c>
      <c r="DA130" s="329">
        <v>0.6</v>
      </c>
      <c r="DB130" s="329">
        <v>0.43</v>
      </c>
      <c r="DC130" s="329">
        <v>0.48</v>
      </c>
      <c r="DD130" s="329">
        <v>0.6</v>
      </c>
      <c r="DE130" s="329">
        <v>0.51</v>
      </c>
      <c r="DF130" s="329">
        <v>0.57999999999999996</v>
      </c>
      <c r="DG130" s="329">
        <v>0.41</v>
      </c>
      <c r="DH130" s="329">
        <v>0.4</v>
      </c>
      <c r="DI130" s="329">
        <v>0.49</v>
      </c>
      <c r="DJ130" s="329">
        <v>0.56000000000000005</v>
      </c>
      <c r="DK130" s="329">
        <v>0.43</v>
      </c>
      <c r="DL130" s="329">
        <v>0.48</v>
      </c>
      <c r="DM130" s="329">
        <v>0.52</v>
      </c>
      <c r="DN130" s="329">
        <v>0.48</v>
      </c>
      <c r="DO130" s="329">
        <v>0.43</v>
      </c>
      <c r="DP130" s="329">
        <v>0.53</v>
      </c>
      <c r="DQ130" s="329">
        <v>0.62</v>
      </c>
      <c r="DR130" s="329">
        <v>0.25</v>
      </c>
      <c r="DS130" s="329">
        <v>0.39</v>
      </c>
      <c r="DT130" s="329">
        <v>0.57999999999999996</v>
      </c>
      <c r="DU130" s="329">
        <v>0.6</v>
      </c>
      <c r="DV130" s="329">
        <v>0.6</v>
      </c>
      <c r="DW130" s="329">
        <v>0.35</v>
      </c>
      <c r="DX130" s="313">
        <v>49</v>
      </c>
      <c r="DY130" s="313">
        <v>9</v>
      </c>
      <c r="DZ130" s="333">
        <v>0.22</v>
      </c>
      <c r="EA130" s="333">
        <v>0.52</v>
      </c>
      <c r="EB130" s="333">
        <v>0.26</v>
      </c>
      <c r="EC130" s="333">
        <v>0</v>
      </c>
      <c r="ED130" s="333">
        <v>0.52</v>
      </c>
      <c r="EE130" s="333">
        <v>0.55000000000000004</v>
      </c>
      <c r="EF130" s="333">
        <v>0.56999999999999995</v>
      </c>
      <c r="EG130" s="333">
        <v>0.38</v>
      </c>
      <c r="EH130" s="333">
        <v>0.51</v>
      </c>
      <c r="EI130" s="333">
        <v>0.55000000000000004</v>
      </c>
      <c r="EJ130" s="333">
        <v>0.61</v>
      </c>
      <c r="EK130" s="333">
        <v>0.25</v>
      </c>
      <c r="EL130" s="333">
        <v>0.45</v>
      </c>
      <c r="EM130" s="333">
        <v>0.72</v>
      </c>
      <c r="EN130" s="333">
        <v>0.48</v>
      </c>
      <c r="EO130" s="333">
        <v>0.56000000000000005</v>
      </c>
      <c r="EP130" s="333">
        <v>0.4</v>
      </c>
      <c r="EQ130" s="333">
        <v>0.3</v>
      </c>
      <c r="ER130" s="333">
        <v>0.66</v>
      </c>
      <c r="ES130" s="333">
        <v>0.49</v>
      </c>
      <c r="ET130" s="333">
        <v>0.34</v>
      </c>
      <c r="EU130" s="333">
        <v>0.56000000000000005</v>
      </c>
      <c r="EV130" s="333">
        <v>0.34</v>
      </c>
      <c r="EW130" s="333">
        <v>0.4</v>
      </c>
      <c r="EX130" s="333">
        <v>0.7</v>
      </c>
      <c r="EY130" s="333">
        <v>0.54</v>
      </c>
      <c r="EZ130" s="333">
        <v>0.18</v>
      </c>
      <c r="FA130" s="333">
        <v>0.6</v>
      </c>
      <c r="FB130" s="314">
        <v>48</v>
      </c>
      <c r="FC130" s="314" t="s">
        <v>874</v>
      </c>
      <c r="FD130" s="314">
        <v>7</v>
      </c>
      <c r="FE130" s="314" t="s">
        <v>874</v>
      </c>
      <c r="FF130" s="334">
        <v>0.17</v>
      </c>
      <c r="FG130" s="334">
        <v>0.7</v>
      </c>
      <c r="FH130" s="334">
        <v>0.13</v>
      </c>
      <c r="FI130" s="334">
        <v>0</v>
      </c>
      <c r="FJ130" s="334">
        <v>0.54</v>
      </c>
      <c r="FK130" s="334">
        <v>0.7</v>
      </c>
      <c r="FL130" s="334">
        <v>0.49</v>
      </c>
      <c r="FM130" s="334">
        <v>0.49</v>
      </c>
      <c r="FN130" s="334">
        <v>0.4</v>
      </c>
      <c r="FO130" s="334">
        <v>0.37</v>
      </c>
      <c r="FP130" s="334">
        <v>0.41</v>
      </c>
      <c r="FQ130" s="334">
        <v>0.42</v>
      </c>
      <c r="FR130" s="334">
        <v>0.63</v>
      </c>
      <c r="FS130" s="334">
        <v>0.56000000000000005</v>
      </c>
      <c r="FT130" s="334">
        <v>0.54</v>
      </c>
      <c r="FU130" s="334">
        <v>0.47</v>
      </c>
      <c r="FV130" s="334">
        <v>0.67</v>
      </c>
      <c r="FW130" s="334">
        <v>0.57999999999999996</v>
      </c>
      <c r="FX130" s="334">
        <v>0.54</v>
      </c>
      <c r="FY130" s="334">
        <v>0.43</v>
      </c>
      <c r="FZ130" s="334">
        <v>0.53</v>
      </c>
      <c r="GA130" s="334">
        <v>0.61</v>
      </c>
      <c r="GB130" s="334">
        <v>0.56999999999999995</v>
      </c>
      <c r="GC130" s="334">
        <v>0.48</v>
      </c>
      <c r="GD130" s="334">
        <v>0.65</v>
      </c>
      <c r="GE130" s="334">
        <v>0.59</v>
      </c>
      <c r="GF130" s="334">
        <v>0.51</v>
      </c>
      <c r="GG130" s="334">
        <v>0.56000000000000005</v>
      </c>
      <c r="GH130" s="334">
        <v>0.61</v>
      </c>
      <c r="GI130" s="334">
        <v>0.31</v>
      </c>
      <c r="GJ130" s="311">
        <v>47</v>
      </c>
      <c r="GK130" s="311" t="s">
        <v>874</v>
      </c>
      <c r="GL130" s="311">
        <v>9</v>
      </c>
      <c r="GM130" s="311" t="s">
        <v>874</v>
      </c>
      <c r="GN130" s="329">
        <v>0.25</v>
      </c>
      <c r="GO130" s="329">
        <v>0.61</v>
      </c>
      <c r="GP130" s="329">
        <v>0.14000000000000001</v>
      </c>
      <c r="GQ130" s="329">
        <v>0</v>
      </c>
      <c r="GR130" s="329">
        <v>0.66</v>
      </c>
      <c r="GS130" s="329">
        <v>0.61</v>
      </c>
      <c r="GT130" s="329">
        <v>0.7</v>
      </c>
      <c r="GU130" s="329">
        <v>0.24</v>
      </c>
      <c r="GV130" s="329">
        <v>0.64</v>
      </c>
      <c r="GW130" s="329">
        <v>0.64</v>
      </c>
      <c r="GX130" s="329">
        <v>0.56999999999999995</v>
      </c>
      <c r="GY130" s="311" t="s">
        <v>283</v>
      </c>
      <c r="GZ130" s="329">
        <v>0.39</v>
      </c>
      <c r="HA130" s="329">
        <v>0.63</v>
      </c>
      <c r="HB130" s="329">
        <v>0.57999999999999996</v>
      </c>
      <c r="HC130" s="329">
        <v>0.56999999999999995</v>
      </c>
      <c r="HD130" s="329">
        <v>0.65</v>
      </c>
      <c r="HE130" s="329">
        <v>0.53</v>
      </c>
      <c r="HF130" s="329">
        <v>0.56999999999999995</v>
      </c>
      <c r="HG130" s="329">
        <v>0.67</v>
      </c>
      <c r="HH130" s="329">
        <v>0.44</v>
      </c>
      <c r="HI130" s="329">
        <v>0.61</v>
      </c>
      <c r="HJ130" s="329">
        <v>0.63</v>
      </c>
      <c r="HK130" s="329">
        <v>0.57999999999999996</v>
      </c>
      <c r="HL130" s="329">
        <v>0.45</v>
      </c>
      <c r="HM130" s="329">
        <v>0.56000000000000005</v>
      </c>
      <c r="HN130" s="329">
        <v>0.55000000000000004</v>
      </c>
      <c r="HO130" s="329">
        <v>0.46</v>
      </c>
      <c r="HP130" s="311" t="s">
        <v>283</v>
      </c>
      <c r="HQ130" s="329">
        <v>0.46</v>
      </c>
      <c r="HR130" s="426">
        <v>49</v>
      </c>
      <c r="HS130" s="426" t="s">
        <v>874</v>
      </c>
      <c r="HT130" s="426">
        <v>9</v>
      </c>
      <c r="HU130" s="426" t="s">
        <v>874</v>
      </c>
      <c r="HV130" s="430">
        <v>0.16</v>
      </c>
      <c r="HW130" s="430">
        <v>0.6</v>
      </c>
      <c r="HX130" s="430">
        <v>0.23</v>
      </c>
      <c r="HY130" s="430">
        <v>0.01</v>
      </c>
      <c r="HZ130" s="430">
        <v>0.41</v>
      </c>
      <c r="IA130" s="430">
        <v>0.56000000000000005</v>
      </c>
      <c r="IB130" s="430">
        <v>0.49</v>
      </c>
      <c r="IC130" s="430">
        <v>0.51</v>
      </c>
      <c r="ID130" s="430">
        <v>0.66</v>
      </c>
      <c r="IE130" s="430">
        <v>0.33</v>
      </c>
      <c r="IF130" s="430">
        <v>0.48</v>
      </c>
      <c r="IG130" s="430">
        <v>0.62</v>
      </c>
      <c r="IH130" s="430">
        <v>0.55000000000000004</v>
      </c>
      <c r="II130" s="430">
        <v>0.43</v>
      </c>
      <c r="IJ130" s="430">
        <v>0.34</v>
      </c>
      <c r="IK130" s="430">
        <v>0.63</v>
      </c>
      <c r="IL130" s="430">
        <v>0.44</v>
      </c>
      <c r="IM130" s="430">
        <v>0.62</v>
      </c>
      <c r="IN130" s="430">
        <v>0.48</v>
      </c>
      <c r="IO130" s="430">
        <v>0.59</v>
      </c>
      <c r="IP130" s="430">
        <v>0.44</v>
      </c>
      <c r="IQ130" s="430">
        <v>0.68</v>
      </c>
      <c r="IR130" s="430">
        <v>0.61</v>
      </c>
      <c r="IS130" s="430">
        <v>0.59</v>
      </c>
      <c r="IT130" s="430">
        <v>0.46</v>
      </c>
      <c r="IU130" s="426" t="s">
        <v>283</v>
      </c>
      <c r="IV130" s="430">
        <v>0.66</v>
      </c>
      <c r="IW130" s="430">
        <v>0.43</v>
      </c>
      <c r="IX130" s="430">
        <v>0.64</v>
      </c>
      <c r="IY130" s="430">
        <v>0.56000000000000005</v>
      </c>
      <c r="IZ130" s="466">
        <v>51</v>
      </c>
      <c r="JA130" s="466" t="s">
        <v>874</v>
      </c>
      <c r="JB130" s="466">
        <v>9</v>
      </c>
      <c r="JC130" s="466" t="s">
        <v>874</v>
      </c>
      <c r="JD130" s="480">
        <v>0.12</v>
      </c>
      <c r="JE130" s="480">
        <v>0.57999999999999996</v>
      </c>
      <c r="JF130" s="480">
        <v>0.28999999999999998</v>
      </c>
      <c r="JG130" s="480">
        <v>0.02</v>
      </c>
      <c r="JH130" s="480">
        <v>0.5</v>
      </c>
      <c r="JI130" s="480">
        <v>0.53</v>
      </c>
      <c r="JJ130" s="480">
        <v>0.4</v>
      </c>
      <c r="JK130" s="480">
        <v>0.45</v>
      </c>
      <c r="JL130" s="480">
        <v>0.44</v>
      </c>
      <c r="JM130" s="480">
        <v>0.52</v>
      </c>
      <c r="JN130" s="480">
        <v>0.47</v>
      </c>
      <c r="JO130" s="480">
        <v>0.43</v>
      </c>
      <c r="JP130" s="480">
        <v>0.52</v>
      </c>
      <c r="JQ130" s="480">
        <v>0.28999999999999998</v>
      </c>
      <c r="JR130" s="480">
        <v>0.61</v>
      </c>
      <c r="JS130" s="480">
        <v>0.51</v>
      </c>
      <c r="JT130" s="480">
        <v>0.48</v>
      </c>
      <c r="JU130" s="480">
        <v>0.51</v>
      </c>
      <c r="JV130" s="480">
        <v>0.51</v>
      </c>
      <c r="JW130" s="480">
        <v>0.5</v>
      </c>
      <c r="JX130" s="480">
        <v>0.42</v>
      </c>
      <c r="JY130" s="480">
        <v>0.52</v>
      </c>
      <c r="JZ130" s="480">
        <v>0.45</v>
      </c>
      <c r="KA130" s="480">
        <v>0.61</v>
      </c>
      <c r="KB130" s="480">
        <v>0.43</v>
      </c>
      <c r="KC130" s="480">
        <v>0.69</v>
      </c>
      <c r="KD130" s="480">
        <v>0.33</v>
      </c>
      <c r="KE130" s="480">
        <v>0.46</v>
      </c>
      <c r="KF130" s="480">
        <v>0.4</v>
      </c>
      <c r="KG130" s="480">
        <v>0.56000000000000005</v>
      </c>
    </row>
    <row r="131" spans="1:293" ht="24.95" customHeight="1" x14ac:dyDescent="0.2">
      <c r="A131" s="814" t="s">
        <v>934</v>
      </c>
      <c r="B131" s="1" t="s">
        <v>219</v>
      </c>
      <c r="C131" s="2">
        <v>2</v>
      </c>
      <c r="D131" s="12"/>
      <c r="E131" s="12"/>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12"/>
      <c r="AI131" s="12"/>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12"/>
      <c r="BN131" s="12"/>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12"/>
      <c r="CT131" s="12"/>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35"/>
      <c r="DY131" s="35"/>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247"/>
      <c r="FC131" s="247"/>
      <c r="FD131" s="247"/>
      <c r="FE131" s="247"/>
      <c r="FF131" s="264"/>
      <c r="FG131" s="264"/>
      <c r="FH131" s="264"/>
      <c r="FI131" s="264"/>
      <c r="FJ131" s="264"/>
      <c r="FK131" s="264"/>
      <c r="FL131" s="264"/>
      <c r="FM131" s="264"/>
      <c r="FN131" s="264"/>
      <c r="FO131" s="264"/>
      <c r="FP131" s="264"/>
      <c r="FQ131" s="264"/>
      <c r="FR131" s="264"/>
      <c r="FS131" s="264"/>
      <c r="FT131" s="264"/>
      <c r="FU131" s="264"/>
      <c r="FV131" s="264"/>
      <c r="FW131" s="264"/>
      <c r="FX131" s="264"/>
      <c r="FY131" s="264"/>
      <c r="FZ131" s="264"/>
      <c r="GA131" s="264"/>
      <c r="GB131" s="264"/>
      <c r="GC131" s="264"/>
      <c r="GD131" s="264"/>
      <c r="GE131" s="264"/>
      <c r="GF131" s="264"/>
      <c r="GG131" s="264"/>
      <c r="GH131" s="264"/>
      <c r="GI131" s="264"/>
      <c r="GJ131" s="311">
        <v>48</v>
      </c>
      <c r="GK131" s="311" t="s">
        <v>874</v>
      </c>
      <c r="GL131" s="311">
        <v>8</v>
      </c>
      <c r="GM131" s="311" t="s">
        <v>874</v>
      </c>
      <c r="GN131" s="329">
        <v>0.2</v>
      </c>
      <c r="GO131" s="329">
        <v>0.71</v>
      </c>
      <c r="GP131" s="329">
        <v>0.1</v>
      </c>
      <c r="GQ131" s="329">
        <v>0</v>
      </c>
      <c r="GR131" s="329">
        <v>0.53</v>
      </c>
      <c r="GS131" s="329">
        <v>0.55000000000000004</v>
      </c>
      <c r="GT131" s="329">
        <v>0.68</v>
      </c>
      <c r="GU131" s="329">
        <v>0.17</v>
      </c>
      <c r="GV131" s="329">
        <v>0.7</v>
      </c>
      <c r="GW131" s="329">
        <v>0.52</v>
      </c>
      <c r="GX131" s="329">
        <v>0.54</v>
      </c>
      <c r="GY131" s="311" t="s">
        <v>283</v>
      </c>
      <c r="GZ131" s="329">
        <v>0.39</v>
      </c>
      <c r="HA131" s="329">
        <v>0.71</v>
      </c>
      <c r="HB131" s="329">
        <v>0.51</v>
      </c>
      <c r="HC131" s="329">
        <v>0.62</v>
      </c>
      <c r="HD131" s="329">
        <v>0.63</v>
      </c>
      <c r="HE131" s="329">
        <v>0.43</v>
      </c>
      <c r="HF131" s="329">
        <v>0.53</v>
      </c>
      <c r="HG131" s="329">
        <v>0.71</v>
      </c>
      <c r="HH131" s="329">
        <v>0.46</v>
      </c>
      <c r="HI131" s="329">
        <v>0.62</v>
      </c>
      <c r="HJ131" s="329">
        <v>0.63</v>
      </c>
      <c r="HK131" s="329">
        <v>0.57999999999999996</v>
      </c>
      <c r="HL131" s="329">
        <v>0.44</v>
      </c>
      <c r="HM131" s="329">
        <v>0.56000000000000005</v>
      </c>
      <c r="HN131" s="329">
        <v>0.5</v>
      </c>
      <c r="HO131" s="329">
        <v>0.52</v>
      </c>
      <c r="HP131" s="311" t="s">
        <v>283</v>
      </c>
      <c r="HQ131" s="329">
        <v>0.46</v>
      </c>
      <c r="HR131" s="426">
        <v>49</v>
      </c>
      <c r="HS131" s="426" t="s">
        <v>874</v>
      </c>
      <c r="HT131" s="426">
        <v>8</v>
      </c>
      <c r="HU131" s="426" t="s">
        <v>874</v>
      </c>
      <c r="HV131" s="430">
        <v>0.13</v>
      </c>
      <c r="HW131" s="430">
        <v>0.64</v>
      </c>
      <c r="HX131" s="430">
        <v>0.23</v>
      </c>
      <c r="HY131" s="430">
        <v>0.01</v>
      </c>
      <c r="HZ131" s="430">
        <v>0.37</v>
      </c>
      <c r="IA131" s="430">
        <v>0.56999999999999995</v>
      </c>
      <c r="IB131" s="430">
        <v>0.39</v>
      </c>
      <c r="IC131" s="430">
        <v>0.56000000000000005</v>
      </c>
      <c r="ID131" s="430">
        <v>0.69</v>
      </c>
      <c r="IE131" s="430">
        <v>0.33</v>
      </c>
      <c r="IF131" s="430">
        <v>0.38</v>
      </c>
      <c r="IG131" s="430">
        <v>0.55000000000000004</v>
      </c>
      <c r="IH131" s="430">
        <v>0.56000000000000005</v>
      </c>
      <c r="II131" s="430">
        <v>0.43</v>
      </c>
      <c r="IJ131" s="430">
        <v>0.35</v>
      </c>
      <c r="IK131" s="430">
        <v>0.63</v>
      </c>
      <c r="IL131" s="430">
        <v>0.42</v>
      </c>
      <c r="IM131" s="430">
        <v>0.59</v>
      </c>
      <c r="IN131" s="430">
        <v>0.43</v>
      </c>
      <c r="IO131" s="430">
        <v>0.57999999999999996</v>
      </c>
      <c r="IP131" s="430">
        <v>0.44</v>
      </c>
      <c r="IQ131" s="430">
        <v>0.66</v>
      </c>
      <c r="IR131" s="430">
        <v>0.62</v>
      </c>
      <c r="IS131" s="430">
        <v>0.56999999999999995</v>
      </c>
      <c r="IT131" s="430">
        <v>0.46</v>
      </c>
      <c r="IU131" s="426" t="s">
        <v>283</v>
      </c>
      <c r="IV131" s="430">
        <v>0.63</v>
      </c>
      <c r="IW131" s="430">
        <v>0.42</v>
      </c>
      <c r="IX131" s="430">
        <v>0.55000000000000004</v>
      </c>
      <c r="IY131" s="430">
        <v>0.55000000000000004</v>
      </c>
      <c r="IZ131" s="466">
        <v>52</v>
      </c>
      <c r="JA131" s="466" t="s">
        <v>874</v>
      </c>
      <c r="JB131" s="466">
        <v>10</v>
      </c>
      <c r="JC131" s="466" t="s">
        <v>874</v>
      </c>
      <c r="JD131" s="480">
        <v>0.15</v>
      </c>
      <c r="JE131" s="480">
        <v>0.52</v>
      </c>
      <c r="JF131" s="480">
        <v>0.3</v>
      </c>
      <c r="JG131" s="480">
        <v>0.03</v>
      </c>
      <c r="JH131" s="480">
        <v>0.43</v>
      </c>
      <c r="JI131" s="480">
        <v>0.44</v>
      </c>
      <c r="JJ131" s="480">
        <v>0.42</v>
      </c>
      <c r="JK131" s="480">
        <v>0.46</v>
      </c>
      <c r="JL131" s="480">
        <v>0.49</v>
      </c>
      <c r="JM131" s="480">
        <v>0.54</v>
      </c>
      <c r="JN131" s="480">
        <v>0.37</v>
      </c>
      <c r="JO131" s="480">
        <v>0.5</v>
      </c>
      <c r="JP131" s="480">
        <v>0.53</v>
      </c>
      <c r="JQ131" s="480">
        <v>0.27</v>
      </c>
      <c r="JR131" s="480">
        <v>0.57999999999999996</v>
      </c>
      <c r="JS131" s="480">
        <v>0.5</v>
      </c>
      <c r="JT131" s="480">
        <v>0.37</v>
      </c>
      <c r="JU131" s="480">
        <v>0.5</v>
      </c>
      <c r="JV131" s="480">
        <v>0.49</v>
      </c>
      <c r="JW131" s="480">
        <v>0.47</v>
      </c>
      <c r="JX131" s="480">
        <v>0.39</v>
      </c>
      <c r="JY131" s="480">
        <v>0.52</v>
      </c>
      <c r="JZ131" s="480">
        <v>0.45</v>
      </c>
      <c r="KA131" s="480">
        <v>0.49</v>
      </c>
      <c r="KB131" s="480">
        <v>0.43</v>
      </c>
      <c r="KC131" s="480">
        <v>0.63</v>
      </c>
      <c r="KD131" s="480">
        <v>0.33</v>
      </c>
      <c r="KE131" s="480">
        <v>0.48</v>
      </c>
      <c r="KF131" s="480">
        <v>0.4</v>
      </c>
      <c r="KG131" s="480">
        <v>0.51</v>
      </c>
    </row>
    <row r="132" spans="1:293" ht="24.95" customHeight="1" x14ac:dyDescent="0.2">
      <c r="A132" s="815" t="s">
        <v>192</v>
      </c>
      <c r="B132" s="1" t="s">
        <v>221</v>
      </c>
      <c r="C132" s="311">
        <v>2</v>
      </c>
      <c r="D132" s="330">
        <v>49</v>
      </c>
      <c r="E132" s="330">
        <v>10</v>
      </c>
      <c r="F132" s="335">
        <v>0</v>
      </c>
      <c r="G132" s="335">
        <v>0.5</v>
      </c>
      <c r="H132" s="335">
        <v>0.5</v>
      </c>
      <c r="I132" s="335">
        <v>0</v>
      </c>
      <c r="J132" s="335">
        <v>0</v>
      </c>
      <c r="K132" s="335">
        <v>0</v>
      </c>
      <c r="L132" s="335">
        <v>0.75</v>
      </c>
      <c r="M132" s="335">
        <v>0</v>
      </c>
      <c r="N132" s="335">
        <v>0.6</v>
      </c>
      <c r="O132" s="335">
        <v>0.67</v>
      </c>
      <c r="P132" s="335">
        <v>0.38</v>
      </c>
      <c r="Q132" s="335">
        <v>0.63</v>
      </c>
      <c r="R132" s="335">
        <v>0.7</v>
      </c>
      <c r="S132" s="335">
        <v>1</v>
      </c>
      <c r="T132" s="335">
        <v>1</v>
      </c>
      <c r="U132" s="335">
        <v>1</v>
      </c>
      <c r="V132" s="335">
        <v>0</v>
      </c>
      <c r="W132" s="335">
        <v>0</v>
      </c>
      <c r="X132" s="335">
        <v>0.63</v>
      </c>
      <c r="Y132" s="335">
        <v>0.5</v>
      </c>
      <c r="Z132" s="330" t="s">
        <v>283</v>
      </c>
      <c r="AA132" s="335">
        <v>0.5</v>
      </c>
      <c r="AB132" s="335">
        <v>0.57999999999999996</v>
      </c>
      <c r="AC132" s="335">
        <v>0.5</v>
      </c>
      <c r="AD132" s="335">
        <v>0.38</v>
      </c>
      <c r="AE132" s="335">
        <v>0.25</v>
      </c>
      <c r="AF132" s="335">
        <v>0.75</v>
      </c>
      <c r="AG132" s="335">
        <v>0.83</v>
      </c>
      <c r="AH132" s="330" t="s">
        <v>224</v>
      </c>
      <c r="AI132" s="330" t="s">
        <v>224</v>
      </c>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33"/>
      <c r="BM132" s="330" t="s">
        <v>224</v>
      </c>
      <c r="BN132" s="330" t="s">
        <v>224</v>
      </c>
      <c r="BO132" s="330"/>
      <c r="BP132" s="330"/>
      <c r="BQ132" s="330"/>
      <c r="BR132" s="330"/>
      <c r="BS132" s="330"/>
      <c r="BT132" s="330"/>
      <c r="BU132" s="330"/>
      <c r="BV132" s="330"/>
      <c r="BW132" s="330"/>
      <c r="BX132" s="330"/>
      <c r="BY132" s="330"/>
      <c r="BZ132" s="330"/>
      <c r="CA132" s="330"/>
      <c r="CB132" s="330"/>
      <c r="CC132" s="330"/>
      <c r="CD132" s="330"/>
      <c r="CE132" s="330"/>
      <c r="CF132" s="330"/>
      <c r="CG132" s="330"/>
      <c r="CH132" s="330"/>
      <c r="CI132" s="330"/>
      <c r="CJ132" s="330"/>
      <c r="CK132" s="330"/>
      <c r="CL132" s="330"/>
      <c r="CM132" s="330"/>
      <c r="CN132" s="330"/>
      <c r="CO132" s="330"/>
      <c r="CP132" s="330"/>
      <c r="CQ132" s="330"/>
      <c r="CR132" s="330"/>
      <c r="CS132" s="330" t="s">
        <v>224</v>
      </c>
      <c r="CT132" s="330" t="s">
        <v>224</v>
      </c>
      <c r="CU132" s="311"/>
      <c r="CV132" s="311"/>
      <c r="CW132" s="311"/>
      <c r="CX132" s="311"/>
      <c r="CY132" s="311"/>
      <c r="CZ132" s="311"/>
      <c r="DA132" s="311"/>
      <c r="DB132" s="311"/>
      <c r="DC132" s="311"/>
      <c r="DD132" s="311"/>
      <c r="DE132" s="311"/>
      <c r="DF132" s="311"/>
      <c r="DG132" s="311"/>
      <c r="DH132" s="311"/>
      <c r="DI132" s="311"/>
      <c r="DJ132" s="311"/>
      <c r="DK132" s="311"/>
      <c r="DL132" s="311"/>
      <c r="DM132" s="311"/>
      <c r="DN132" s="311"/>
      <c r="DO132" s="311"/>
      <c r="DP132" s="311"/>
      <c r="DQ132" s="311"/>
      <c r="DR132" s="311"/>
      <c r="DS132" s="311"/>
      <c r="DT132" s="311"/>
      <c r="DU132" s="311"/>
      <c r="DV132" s="311"/>
      <c r="DW132" s="311"/>
      <c r="DX132" s="313">
        <v>45</v>
      </c>
      <c r="DY132" s="313">
        <v>8</v>
      </c>
      <c r="DZ132" s="333">
        <v>0.33</v>
      </c>
      <c r="EA132" s="333">
        <v>0.59</v>
      </c>
      <c r="EB132" s="333">
        <v>0.08</v>
      </c>
      <c r="EC132" s="333">
        <v>0</v>
      </c>
      <c r="ED132" s="333">
        <v>0.53</v>
      </c>
      <c r="EE132" s="333">
        <v>0.56999999999999995</v>
      </c>
      <c r="EF132" s="333">
        <v>0.62</v>
      </c>
      <c r="EG132" s="333">
        <v>0.5</v>
      </c>
      <c r="EH132" s="333">
        <v>0.5</v>
      </c>
      <c r="EI132" s="333">
        <v>0.54</v>
      </c>
      <c r="EJ132" s="333">
        <v>0.63</v>
      </c>
      <c r="EK132" s="333">
        <v>0.44</v>
      </c>
      <c r="EL132" s="333">
        <v>0.55000000000000004</v>
      </c>
      <c r="EM132" s="333">
        <v>0.66</v>
      </c>
      <c r="EN132" s="333">
        <v>0.56999999999999995</v>
      </c>
      <c r="EO132" s="333">
        <v>0.61</v>
      </c>
      <c r="EP132" s="333">
        <v>0.51</v>
      </c>
      <c r="EQ132" s="333">
        <v>0.4</v>
      </c>
      <c r="ER132" s="333">
        <v>0.67</v>
      </c>
      <c r="ES132" s="333">
        <v>0.59</v>
      </c>
      <c r="ET132" s="333">
        <v>0.41</v>
      </c>
      <c r="EU132" s="333">
        <v>0.63</v>
      </c>
      <c r="EV132" s="333">
        <v>0.49</v>
      </c>
      <c r="EW132" s="333">
        <v>0.35</v>
      </c>
      <c r="EX132" s="333">
        <v>0.67</v>
      </c>
      <c r="EY132" s="333">
        <v>0.7</v>
      </c>
      <c r="EZ132" s="333">
        <v>0.31</v>
      </c>
      <c r="FA132" s="333">
        <v>0.68</v>
      </c>
      <c r="FB132" s="314">
        <v>37</v>
      </c>
      <c r="FC132" s="314" t="s">
        <v>876</v>
      </c>
      <c r="FD132" s="314">
        <v>6</v>
      </c>
      <c r="FE132" s="314" t="s">
        <v>874</v>
      </c>
      <c r="FF132" s="334">
        <v>0.56000000000000005</v>
      </c>
      <c r="FG132" s="334">
        <v>0.44</v>
      </c>
      <c r="FH132" s="334">
        <v>0</v>
      </c>
      <c r="FI132" s="334">
        <v>0</v>
      </c>
      <c r="FJ132" s="334">
        <v>0.75</v>
      </c>
      <c r="FK132" s="334">
        <v>0.82</v>
      </c>
      <c r="FL132" s="334">
        <v>0.76</v>
      </c>
      <c r="FM132" s="334">
        <v>0.88</v>
      </c>
      <c r="FN132" s="334">
        <v>0.56000000000000005</v>
      </c>
      <c r="FO132" s="334">
        <v>0.6</v>
      </c>
      <c r="FP132" s="334">
        <v>0.7</v>
      </c>
      <c r="FQ132" s="334">
        <v>0.47</v>
      </c>
      <c r="FR132" s="334">
        <v>0.69</v>
      </c>
      <c r="FS132" s="334">
        <v>0.75</v>
      </c>
      <c r="FT132" s="334">
        <v>0.47</v>
      </c>
      <c r="FU132" s="334">
        <v>0.57999999999999996</v>
      </c>
      <c r="FV132" s="334">
        <v>0.82</v>
      </c>
      <c r="FW132" s="334">
        <v>0.76</v>
      </c>
      <c r="FX132" s="334">
        <v>0.82</v>
      </c>
      <c r="FY132" s="334">
        <v>0.75</v>
      </c>
      <c r="FZ132" s="334">
        <v>0.56999999999999995</v>
      </c>
      <c r="GA132" s="334">
        <v>0.5</v>
      </c>
      <c r="GB132" s="334">
        <v>0.75</v>
      </c>
      <c r="GC132" s="334">
        <v>0.62</v>
      </c>
      <c r="GD132" s="334">
        <v>0.69</v>
      </c>
      <c r="GE132" s="334">
        <v>0.71</v>
      </c>
      <c r="GF132" s="334">
        <v>0.67</v>
      </c>
      <c r="GG132" s="334">
        <v>0.76</v>
      </c>
      <c r="GH132" s="334">
        <v>0.62</v>
      </c>
      <c r="GI132" s="334">
        <v>0.65</v>
      </c>
      <c r="GJ132" s="655"/>
      <c r="GK132" s="655"/>
      <c r="GL132" s="655"/>
      <c r="GM132" s="655"/>
      <c r="GN132" s="655"/>
      <c r="GO132" s="655"/>
      <c r="GP132" s="655"/>
      <c r="GQ132" s="655"/>
      <c r="GR132" s="655"/>
      <c r="GS132" s="655"/>
      <c r="GT132" s="655"/>
      <c r="GU132" s="655"/>
      <c r="GV132" s="655"/>
      <c r="GW132" s="655"/>
      <c r="GX132" s="655"/>
      <c r="GY132" s="655"/>
      <c r="GZ132" s="655"/>
      <c r="HA132" s="655"/>
      <c r="HB132" s="655"/>
      <c r="HC132" s="655"/>
      <c r="HD132" s="655"/>
      <c r="HE132" s="655"/>
      <c r="HF132" s="655"/>
      <c r="HG132" s="655"/>
      <c r="HH132" s="655"/>
      <c r="HI132" s="655"/>
      <c r="HJ132" s="655"/>
      <c r="HK132" s="655"/>
      <c r="HL132" s="655"/>
      <c r="HM132" s="655"/>
      <c r="HN132" s="655"/>
      <c r="HO132" s="655"/>
      <c r="HP132" s="655"/>
      <c r="HQ132" s="655"/>
      <c r="HR132" s="657"/>
      <c r="HS132" s="657"/>
      <c r="HT132" s="657"/>
      <c r="HU132" s="657"/>
      <c r="HV132" s="657"/>
      <c r="HW132" s="657"/>
      <c r="HX132" s="657"/>
      <c r="HY132" s="657"/>
      <c r="HZ132" s="657"/>
      <c r="IA132" s="657"/>
      <c r="IB132" s="657"/>
      <c r="IC132" s="657"/>
      <c r="ID132" s="657"/>
      <c r="IE132" s="657"/>
      <c r="IF132" s="657"/>
      <c r="IG132" s="657"/>
      <c r="IH132" s="657"/>
      <c r="II132" s="657"/>
      <c r="IJ132" s="657"/>
      <c r="IK132" s="657"/>
      <c r="IL132" s="657"/>
      <c r="IM132" s="657"/>
      <c r="IN132" s="657"/>
      <c r="IO132" s="657"/>
      <c r="IP132" s="657"/>
      <c r="IQ132" s="657"/>
      <c r="IR132" s="657"/>
      <c r="IS132" s="657"/>
      <c r="IT132" s="657"/>
      <c r="IU132" s="657"/>
      <c r="IV132" s="657"/>
      <c r="IW132" s="657"/>
      <c r="IX132" s="657"/>
      <c r="IY132" s="657"/>
      <c r="IZ132" s="466">
        <v>51</v>
      </c>
      <c r="JA132" s="466" t="s">
        <v>874</v>
      </c>
      <c r="JB132" s="466">
        <v>16</v>
      </c>
      <c r="JC132" s="466" t="s">
        <v>875</v>
      </c>
      <c r="JD132" s="480">
        <v>0.5</v>
      </c>
      <c r="JE132" s="480">
        <v>0</v>
      </c>
      <c r="JF132" s="480">
        <v>0.5</v>
      </c>
      <c r="JG132" s="480">
        <v>0</v>
      </c>
      <c r="JH132" s="480">
        <v>0.33</v>
      </c>
      <c r="JI132" s="480">
        <v>0.4</v>
      </c>
      <c r="JJ132" s="480">
        <v>0.5</v>
      </c>
      <c r="JK132" s="480">
        <v>0.5</v>
      </c>
      <c r="JL132" s="480">
        <v>0.4</v>
      </c>
      <c r="JM132" s="480">
        <v>0.4</v>
      </c>
      <c r="JN132" s="480">
        <v>0.5</v>
      </c>
      <c r="JO132" s="480">
        <v>0.5</v>
      </c>
      <c r="JP132" s="480">
        <v>0.6</v>
      </c>
      <c r="JQ132" s="480">
        <v>0.33</v>
      </c>
      <c r="JR132" s="480">
        <v>0.6</v>
      </c>
      <c r="JS132" s="480">
        <v>1</v>
      </c>
      <c r="JT132" s="480">
        <v>0.5</v>
      </c>
      <c r="JU132" s="480">
        <v>1</v>
      </c>
      <c r="JV132" s="480">
        <v>0.4</v>
      </c>
      <c r="JW132" s="480">
        <v>0.43</v>
      </c>
      <c r="JX132" s="480">
        <v>0.5</v>
      </c>
      <c r="JY132" s="480">
        <v>0.4</v>
      </c>
      <c r="JZ132" s="480">
        <v>0</v>
      </c>
      <c r="KA132" s="480">
        <v>1</v>
      </c>
      <c r="KB132" s="480">
        <v>0.25</v>
      </c>
      <c r="KC132" s="480">
        <v>1</v>
      </c>
      <c r="KD132" s="480">
        <v>0.25</v>
      </c>
      <c r="KE132" s="480">
        <v>0</v>
      </c>
      <c r="KF132" s="480">
        <v>1</v>
      </c>
      <c r="KG132" s="480">
        <v>1</v>
      </c>
    </row>
    <row r="133" spans="1:293" ht="24.95" customHeight="1" x14ac:dyDescent="0.2">
      <c r="A133" s="814" t="s">
        <v>231</v>
      </c>
      <c r="B133" s="1" t="s">
        <v>221</v>
      </c>
      <c r="C133" s="2">
        <v>4</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t="s">
        <v>224</v>
      </c>
      <c r="AI133" s="12" t="s">
        <v>224</v>
      </c>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12">
        <v>56</v>
      </c>
      <c r="BN133" s="12">
        <v>4</v>
      </c>
      <c r="BO133" s="66">
        <v>0</v>
      </c>
      <c r="BP133" s="66">
        <v>0.5</v>
      </c>
      <c r="BQ133" s="66">
        <v>0.5</v>
      </c>
      <c r="BR133" s="66">
        <v>0</v>
      </c>
      <c r="BS133" s="66">
        <v>0</v>
      </c>
      <c r="BT133" s="66">
        <v>1</v>
      </c>
      <c r="BU133" s="66">
        <v>1</v>
      </c>
      <c r="BV133" s="66">
        <v>0</v>
      </c>
      <c r="BW133" s="66">
        <v>1</v>
      </c>
      <c r="BX133" s="66">
        <v>0.33</v>
      </c>
      <c r="BY133" s="66">
        <v>0</v>
      </c>
      <c r="BZ133" s="66">
        <v>0.5</v>
      </c>
      <c r="CA133" s="66">
        <v>1</v>
      </c>
      <c r="CB133" s="66">
        <v>0.33</v>
      </c>
      <c r="CC133" s="66">
        <v>0.2</v>
      </c>
      <c r="CD133" s="66">
        <v>0.5</v>
      </c>
      <c r="CE133" s="66">
        <v>0</v>
      </c>
      <c r="CF133" s="66">
        <v>0.25</v>
      </c>
      <c r="CG133" s="66">
        <v>0.4</v>
      </c>
      <c r="CH133" s="66">
        <v>0.2</v>
      </c>
      <c r="CI133" s="66">
        <v>0.71</v>
      </c>
      <c r="CJ133" s="66">
        <v>0</v>
      </c>
      <c r="CK133" s="66">
        <v>1</v>
      </c>
      <c r="CL133" s="66">
        <v>0</v>
      </c>
      <c r="CM133" s="66">
        <v>0.28999999999999998</v>
      </c>
      <c r="CN133" s="66">
        <v>0.2</v>
      </c>
      <c r="CO133" s="66">
        <v>1</v>
      </c>
      <c r="CP133" s="66">
        <v>0.18</v>
      </c>
      <c r="CQ133" s="66">
        <v>0.43</v>
      </c>
      <c r="CR133" s="66">
        <v>0</v>
      </c>
      <c r="CS133" s="12" t="s">
        <v>224</v>
      </c>
      <c r="CT133" s="12" t="s">
        <v>224</v>
      </c>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35"/>
      <c r="DY133" s="35"/>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652"/>
      <c r="FC133" s="652"/>
      <c r="FD133" s="652"/>
      <c r="FE133" s="652"/>
      <c r="FF133" s="652"/>
      <c r="FG133" s="652"/>
      <c r="FH133" s="652"/>
      <c r="FI133" s="652"/>
      <c r="FJ133" s="652"/>
      <c r="FK133" s="652"/>
      <c r="FL133" s="652"/>
      <c r="FM133" s="652"/>
      <c r="FN133" s="652"/>
      <c r="FO133" s="652"/>
      <c r="FP133" s="652"/>
      <c r="FQ133" s="652"/>
      <c r="FR133" s="652"/>
      <c r="FS133" s="652"/>
      <c r="FT133" s="652"/>
      <c r="FU133" s="652"/>
      <c r="FV133" s="652"/>
      <c r="FW133" s="652"/>
      <c r="FX133" s="652"/>
      <c r="FY133" s="652"/>
      <c r="FZ133" s="652"/>
      <c r="GA133" s="652"/>
      <c r="GB133" s="652"/>
      <c r="GC133" s="652"/>
      <c r="GD133" s="652"/>
      <c r="GE133" s="652"/>
      <c r="GF133" s="652"/>
      <c r="GG133" s="652"/>
      <c r="GH133" s="652"/>
      <c r="GI133" s="652"/>
      <c r="IZ133" s="656"/>
      <c r="JA133" s="656"/>
      <c r="JB133" s="656"/>
      <c r="JC133" s="656"/>
      <c r="JD133" s="656"/>
      <c r="JE133" s="656"/>
      <c r="JF133" s="656"/>
      <c r="JG133" s="656"/>
      <c r="JH133" s="656"/>
      <c r="JI133" s="656"/>
      <c r="JJ133" s="656"/>
      <c r="JK133" s="656"/>
      <c r="JL133" s="656"/>
      <c r="JM133" s="656"/>
      <c r="JN133" s="656"/>
      <c r="JO133" s="656"/>
      <c r="JP133" s="656"/>
      <c r="JQ133" s="656"/>
      <c r="JR133" s="656"/>
      <c r="JS133" s="656"/>
      <c r="JT133" s="656"/>
      <c r="JU133" s="656"/>
      <c r="JV133" s="656"/>
      <c r="JW133" s="656"/>
      <c r="JX133" s="656"/>
      <c r="JY133" s="656"/>
      <c r="JZ133" s="656"/>
      <c r="KA133" s="656"/>
      <c r="KB133" s="656"/>
      <c r="KC133" s="656"/>
      <c r="KD133" s="656"/>
      <c r="KE133" s="656"/>
      <c r="KF133" s="656"/>
      <c r="KG133" s="656"/>
    </row>
    <row r="134" spans="1:293" ht="24.95" customHeight="1" x14ac:dyDescent="0.2">
      <c r="A134" s="814" t="s">
        <v>1098</v>
      </c>
      <c r="B134" s="1" t="s">
        <v>221</v>
      </c>
      <c r="C134" s="2">
        <v>5</v>
      </c>
      <c r="D134" s="12">
        <v>55</v>
      </c>
      <c r="E134" s="12">
        <v>7</v>
      </c>
      <c r="F134" s="66">
        <v>0.02</v>
      </c>
      <c r="G134" s="66">
        <v>0.53</v>
      </c>
      <c r="H134" s="66">
        <v>0.44</v>
      </c>
      <c r="I134" s="66">
        <v>0</v>
      </c>
      <c r="J134" s="66">
        <v>0.28000000000000003</v>
      </c>
      <c r="K134" s="66">
        <v>0.26</v>
      </c>
      <c r="L134" s="66">
        <v>0.75</v>
      </c>
      <c r="M134" s="66">
        <v>0.25</v>
      </c>
      <c r="N134" s="66">
        <v>0.25</v>
      </c>
      <c r="O134" s="66">
        <v>0.66</v>
      </c>
      <c r="P134" s="66">
        <v>0.34</v>
      </c>
      <c r="Q134" s="66">
        <v>0.33</v>
      </c>
      <c r="R134" s="66">
        <v>0.48</v>
      </c>
      <c r="S134" s="66">
        <v>0.56000000000000005</v>
      </c>
      <c r="T134" s="66">
        <v>0.55000000000000004</v>
      </c>
      <c r="U134" s="66">
        <v>0.57999999999999996</v>
      </c>
      <c r="V134" s="66">
        <v>0.04</v>
      </c>
      <c r="W134" s="66">
        <v>0.11</v>
      </c>
      <c r="X134" s="66">
        <v>0.49</v>
      </c>
      <c r="Y134" s="66">
        <v>0.46</v>
      </c>
      <c r="Z134" s="12" t="s">
        <v>283</v>
      </c>
      <c r="AA134" s="66">
        <v>0.04</v>
      </c>
      <c r="AB134" s="66">
        <v>0.54</v>
      </c>
      <c r="AC134" s="66">
        <v>0.22</v>
      </c>
      <c r="AD134" s="66">
        <v>0.38</v>
      </c>
      <c r="AE134" s="66">
        <v>0.34</v>
      </c>
      <c r="AF134" s="66">
        <v>0.45</v>
      </c>
      <c r="AG134" s="66">
        <v>0.45</v>
      </c>
      <c r="AH134" s="12">
        <v>54</v>
      </c>
      <c r="AI134" s="12">
        <v>8</v>
      </c>
      <c r="AJ134" s="40">
        <v>0.09</v>
      </c>
      <c r="AK134" s="40">
        <v>0.51</v>
      </c>
      <c r="AL134" s="40">
        <v>0.4</v>
      </c>
      <c r="AM134" s="40">
        <v>0</v>
      </c>
      <c r="AN134" s="40">
        <v>0.18</v>
      </c>
      <c r="AO134" s="40">
        <v>0.41</v>
      </c>
      <c r="AP134" s="40">
        <v>0.48</v>
      </c>
      <c r="AQ134" s="40">
        <v>0.4</v>
      </c>
      <c r="AR134" s="40">
        <v>0.44</v>
      </c>
      <c r="AS134" s="40">
        <v>0.5</v>
      </c>
      <c r="AT134" s="40">
        <v>0.6</v>
      </c>
      <c r="AU134" s="40">
        <v>0.36</v>
      </c>
      <c r="AV134" s="40">
        <v>0.55000000000000004</v>
      </c>
      <c r="AW134" s="40">
        <v>0.48</v>
      </c>
      <c r="AX134" s="40">
        <v>0.48</v>
      </c>
      <c r="AY134" s="40">
        <v>0.27</v>
      </c>
      <c r="AZ134" s="40">
        <v>0.22</v>
      </c>
      <c r="BA134" s="40">
        <v>0.42</v>
      </c>
      <c r="BB134" s="40">
        <v>0.67</v>
      </c>
      <c r="BC134" s="40">
        <v>0.66</v>
      </c>
      <c r="BD134" s="40">
        <v>0.39</v>
      </c>
      <c r="BE134" s="40">
        <v>0.45</v>
      </c>
      <c r="BF134" s="40">
        <v>0.41</v>
      </c>
      <c r="BG134" s="40">
        <v>0.46</v>
      </c>
      <c r="BH134" s="40">
        <v>0.45</v>
      </c>
      <c r="BI134" s="40">
        <v>0.35</v>
      </c>
      <c r="BJ134" s="40">
        <v>0.28999999999999998</v>
      </c>
      <c r="BK134" s="40">
        <v>0.46</v>
      </c>
      <c r="BL134" s="40">
        <v>0.45</v>
      </c>
      <c r="BM134" s="12">
        <v>52</v>
      </c>
      <c r="BN134" s="12">
        <v>8</v>
      </c>
      <c r="BO134" s="66">
        <v>0.05</v>
      </c>
      <c r="BP134" s="66">
        <v>0.62</v>
      </c>
      <c r="BQ134" s="66">
        <v>0.33</v>
      </c>
      <c r="BR134" s="66">
        <v>0</v>
      </c>
      <c r="BS134" s="66">
        <v>0.33</v>
      </c>
      <c r="BT134" s="66">
        <v>0.56000000000000005</v>
      </c>
      <c r="BU134" s="66">
        <v>0.71</v>
      </c>
      <c r="BV134" s="66">
        <v>0.3</v>
      </c>
      <c r="BW134" s="66">
        <v>0.57999999999999996</v>
      </c>
      <c r="BX134" s="66">
        <v>0.34</v>
      </c>
      <c r="BY134" s="66">
        <v>0.49</v>
      </c>
      <c r="BZ134" s="66">
        <v>0.45</v>
      </c>
      <c r="CA134" s="66">
        <v>0.52</v>
      </c>
      <c r="CB134" s="66">
        <v>0.33</v>
      </c>
      <c r="CC134" s="66">
        <v>0.18</v>
      </c>
      <c r="CD134" s="66">
        <v>0.41</v>
      </c>
      <c r="CE134" s="66">
        <v>0.42</v>
      </c>
      <c r="CF134" s="66">
        <v>0.56000000000000005</v>
      </c>
      <c r="CG134" s="66">
        <v>0.61</v>
      </c>
      <c r="CH134" s="66">
        <v>0.42</v>
      </c>
      <c r="CI134" s="66">
        <v>0.44</v>
      </c>
      <c r="CJ134" s="66">
        <v>0.33</v>
      </c>
      <c r="CK134" s="66">
        <v>0.59</v>
      </c>
      <c r="CL134" s="66">
        <v>0.26</v>
      </c>
      <c r="CM134" s="66">
        <v>0.5</v>
      </c>
      <c r="CN134" s="66">
        <v>0.42</v>
      </c>
      <c r="CO134" s="66">
        <v>0.4</v>
      </c>
      <c r="CP134" s="66">
        <v>0.39</v>
      </c>
      <c r="CQ134" s="66">
        <v>0.49</v>
      </c>
      <c r="CR134" s="66">
        <v>0.56000000000000005</v>
      </c>
      <c r="CS134" s="12">
        <v>51</v>
      </c>
      <c r="CT134" s="12">
        <v>8</v>
      </c>
      <c r="CU134" s="63">
        <v>0.1</v>
      </c>
      <c r="CV134" s="63">
        <v>0.56999999999999995</v>
      </c>
      <c r="CW134" s="63">
        <v>0.33</v>
      </c>
      <c r="CX134" s="63">
        <v>0</v>
      </c>
      <c r="CY134" s="63">
        <v>0.48</v>
      </c>
      <c r="CZ134" s="63">
        <v>0.32</v>
      </c>
      <c r="DA134" s="63">
        <v>0.64</v>
      </c>
      <c r="DB134" s="63">
        <v>0.36</v>
      </c>
      <c r="DC134" s="63">
        <v>0.5</v>
      </c>
      <c r="DD134" s="63">
        <v>0.61</v>
      </c>
      <c r="DE134" s="63">
        <v>0.33</v>
      </c>
      <c r="DF134" s="63">
        <v>0.49</v>
      </c>
      <c r="DG134" s="63">
        <v>0.5</v>
      </c>
      <c r="DH134" s="63">
        <v>0.3</v>
      </c>
      <c r="DI134" s="63">
        <v>0.46</v>
      </c>
      <c r="DJ134" s="63">
        <v>0.48</v>
      </c>
      <c r="DK134" s="63">
        <v>0.28999999999999998</v>
      </c>
      <c r="DL134" s="63">
        <v>0.28000000000000003</v>
      </c>
      <c r="DM134" s="63">
        <v>0.54</v>
      </c>
      <c r="DN134" s="63">
        <v>0.54</v>
      </c>
      <c r="DO134" s="63">
        <v>0.44</v>
      </c>
      <c r="DP134" s="63">
        <v>0.38</v>
      </c>
      <c r="DQ134" s="63">
        <v>0.49</v>
      </c>
      <c r="DR134" s="63">
        <v>0.2</v>
      </c>
      <c r="DS134" s="63">
        <v>0.41</v>
      </c>
      <c r="DT134" s="63">
        <v>0.57999999999999996</v>
      </c>
      <c r="DU134" s="63">
        <v>0.41</v>
      </c>
      <c r="DV134" s="63">
        <v>0.59</v>
      </c>
      <c r="DW134" s="63">
        <v>0.35</v>
      </c>
      <c r="DX134" s="35">
        <v>53</v>
      </c>
      <c r="DY134" s="35">
        <v>9</v>
      </c>
      <c r="DZ134" s="40">
        <v>0.13</v>
      </c>
      <c r="EA134" s="40">
        <v>0.44</v>
      </c>
      <c r="EB134" s="40">
        <v>0.42</v>
      </c>
      <c r="EC134" s="40">
        <v>0.02</v>
      </c>
      <c r="ED134" s="40">
        <v>0.54</v>
      </c>
      <c r="EE134" s="40">
        <v>0.44</v>
      </c>
      <c r="EF134" s="40">
        <v>0.41</v>
      </c>
      <c r="EG134" s="40">
        <v>0.3</v>
      </c>
      <c r="EH134" s="40">
        <v>0.3</v>
      </c>
      <c r="EI134" s="40">
        <v>0.45</v>
      </c>
      <c r="EJ134" s="40">
        <v>0.54</v>
      </c>
      <c r="EK134" s="40">
        <v>0.28000000000000003</v>
      </c>
      <c r="EL134" s="40">
        <v>0.35</v>
      </c>
      <c r="EM134" s="40">
        <v>0.59</v>
      </c>
      <c r="EN134" s="40">
        <v>0.34</v>
      </c>
      <c r="EO134" s="40">
        <v>0.56999999999999995</v>
      </c>
      <c r="EP134" s="40">
        <v>0.33</v>
      </c>
      <c r="EQ134" s="40">
        <v>0.18</v>
      </c>
      <c r="ER134" s="40">
        <v>0.45</v>
      </c>
      <c r="ES134" s="40">
        <v>0.41</v>
      </c>
      <c r="ET134" s="40">
        <v>0.28999999999999998</v>
      </c>
      <c r="EU134" s="40">
        <v>0.6</v>
      </c>
      <c r="EV134" s="40">
        <v>0.27</v>
      </c>
      <c r="EW134" s="40">
        <v>0.32</v>
      </c>
      <c r="EX134" s="40">
        <v>0.7</v>
      </c>
      <c r="EY134" s="40">
        <v>0.5</v>
      </c>
      <c r="EZ134" s="40">
        <v>0.14000000000000001</v>
      </c>
      <c r="FA134" s="40">
        <v>0.56999999999999995</v>
      </c>
      <c r="FB134" s="653">
        <v>50</v>
      </c>
      <c r="FC134" s="653" t="s">
        <v>874</v>
      </c>
      <c r="FD134" s="653">
        <v>8</v>
      </c>
      <c r="FE134" s="653" t="s">
        <v>874</v>
      </c>
      <c r="FF134" s="654">
        <v>0.14000000000000001</v>
      </c>
      <c r="FG134" s="654">
        <v>0.6</v>
      </c>
      <c r="FH134" s="654">
        <v>0.26</v>
      </c>
      <c r="FI134" s="654">
        <v>0</v>
      </c>
      <c r="FJ134" s="654">
        <v>0.48</v>
      </c>
      <c r="FK134" s="654">
        <v>0.68</v>
      </c>
      <c r="FL134" s="654">
        <v>0.45</v>
      </c>
      <c r="FM134" s="654">
        <v>0.42</v>
      </c>
      <c r="FN134" s="654">
        <v>0.37</v>
      </c>
      <c r="FO134" s="654">
        <v>0.39</v>
      </c>
      <c r="FP134" s="654">
        <v>0.43</v>
      </c>
      <c r="FQ134" s="654">
        <v>0.48</v>
      </c>
      <c r="FR134" s="654">
        <v>0.56000000000000005</v>
      </c>
      <c r="FS134" s="654">
        <v>0.45</v>
      </c>
      <c r="FT134" s="654">
        <v>0.49</v>
      </c>
      <c r="FU134" s="654">
        <v>0.28999999999999998</v>
      </c>
      <c r="FV134" s="654">
        <v>0.7</v>
      </c>
      <c r="FW134" s="654">
        <v>0.51</v>
      </c>
      <c r="FX134" s="654">
        <v>0.42</v>
      </c>
      <c r="FY134" s="654">
        <v>0.36</v>
      </c>
      <c r="FZ134" s="654">
        <v>0.35</v>
      </c>
      <c r="GA134" s="654">
        <v>0.43</v>
      </c>
      <c r="GB134" s="654">
        <v>0.53</v>
      </c>
      <c r="GC134" s="654">
        <v>0.48</v>
      </c>
      <c r="GD134" s="654">
        <v>0.55000000000000004</v>
      </c>
      <c r="GE134" s="654">
        <v>0.56000000000000005</v>
      </c>
      <c r="GF134" s="654">
        <v>0.5</v>
      </c>
      <c r="GG134" s="654">
        <v>0.47</v>
      </c>
      <c r="GH134" s="654">
        <v>0.51</v>
      </c>
      <c r="GI134" s="654">
        <v>0.31</v>
      </c>
      <c r="GJ134" s="74">
        <v>50</v>
      </c>
      <c r="GK134" s="74" t="s">
        <v>874</v>
      </c>
      <c r="GL134" s="74">
        <v>9</v>
      </c>
      <c r="GM134" s="74" t="s">
        <v>874</v>
      </c>
      <c r="GN134" s="96">
        <v>0.15</v>
      </c>
      <c r="GO134" s="96">
        <v>0.56999999999999995</v>
      </c>
      <c r="GP134" s="96">
        <v>0.28000000000000003</v>
      </c>
      <c r="GQ134" s="96">
        <v>0</v>
      </c>
      <c r="GR134" s="96">
        <v>0.49</v>
      </c>
      <c r="GS134" s="96">
        <v>0.49</v>
      </c>
      <c r="GT134" s="96">
        <v>0.61</v>
      </c>
      <c r="GU134" s="96">
        <v>0.28999999999999998</v>
      </c>
      <c r="GV134" s="96">
        <v>0.48</v>
      </c>
      <c r="GW134" s="96">
        <v>0.52</v>
      </c>
      <c r="GX134" s="96">
        <v>0.45</v>
      </c>
      <c r="GY134" s="74" t="s">
        <v>283</v>
      </c>
      <c r="GZ134" s="96">
        <v>0.35</v>
      </c>
      <c r="HA134" s="96">
        <v>0.65</v>
      </c>
      <c r="HB134" s="96">
        <v>0.5</v>
      </c>
      <c r="HC134" s="96">
        <v>0.48</v>
      </c>
      <c r="HD134" s="96">
        <v>0.6</v>
      </c>
      <c r="HE134" s="96">
        <v>0.52</v>
      </c>
      <c r="HF134" s="96">
        <v>0.55000000000000004</v>
      </c>
      <c r="HG134" s="96">
        <v>0.66</v>
      </c>
      <c r="HH134" s="96">
        <v>0.39</v>
      </c>
      <c r="HI134" s="96">
        <v>0.5</v>
      </c>
      <c r="HJ134" s="96">
        <v>0.61</v>
      </c>
      <c r="HK134" s="96">
        <v>0.48</v>
      </c>
      <c r="HL134" s="96">
        <v>0.44</v>
      </c>
      <c r="HM134" s="96">
        <v>0.49</v>
      </c>
      <c r="HN134" s="96">
        <v>0.53</v>
      </c>
      <c r="HO134" s="96">
        <v>0.44</v>
      </c>
      <c r="HP134" s="74" t="s">
        <v>283</v>
      </c>
      <c r="HQ134" s="96">
        <v>0.48</v>
      </c>
      <c r="HR134" s="658">
        <v>54</v>
      </c>
      <c r="HS134" s="658" t="s">
        <v>874</v>
      </c>
      <c r="HT134" s="658">
        <v>9</v>
      </c>
      <c r="HU134" s="658" t="s">
        <v>874</v>
      </c>
      <c r="HV134" s="659">
        <v>7.0000000000000007E-2</v>
      </c>
      <c r="HW134" s="659">
        <v>0.54</v>
      </c>
      <c r="HX134" s="659">
        <v>0.37</v>
      </c>
      <c r="HY134" s="659">
        <v>0.02</v>
      </c>
      <c r="HZ134" s="659">
        <v>0.36</v>
      </c>
      <c r="IA134" s="659">
        <v>0.45</v>
      </c>
      <c r="IB134" s="659">
        <v>0.27</v>
      </c>
      <c r="IC134" s="659">
        <v>0.46</v>
      </c>
      <c r="ID134" s="659">
        <v>0.64</v>
      </c>
      <c r="IE134" s="659">
        <v>0.35</v>
      </c>
      <c r="IF134" s="659">
        <v>0.38</v>
      </c>
      <c r="IG134" s="659">
        <v>0.6</v>
      </c>
      <c r="IH134" s="659">
        <v>0.53</v>
      </c>
      <c r="II134" s="659">
        <v>0.19</v>
      </c>
      <c r="IJ134" s="659">
        <v>0.22</v>
      </c>
      <c r="IK134" s="659">
        <v>0.56999999999999995</v>
      </c>
      <c r="IL134" s="659">
        <v>0.27</v>
      </c>
      <c r="IM134" s="659">
        <v>0.5</v>
      </c>
      <c r="IN134" s="659">
        <v>0.32</v>
      </c>
      <c r="IO134" s="659">
        <v>0.56999999999999995</v>
      </c>
      <c r="IP134" s="659">
        <v>0.28000000000000003</v>
      </c>
      <c r="IQ134" s="659">
        <v>0.66</v>
      </c>
      <c r="IR134" s="659">
        <v>0.56000000000000005</v>
      </c>
      <c r="IS134" s="659">
        <v>0.48</v>
      </c>
      <c r="IT134" s="659">
        <v>0.37</v>
      </c>
      <c r="IU134" s="658" t="s">
        <v>283</v>
      </c>
      <c r="IV134" s="659">
        <v>0.54</v>
      </c>
      <c r="IW134" s="659">
        <v>0.3</v>
      </c>
      <c r="IX134" s="659">
        <v>0.48</v>
      </c>
      <c r="IY134" s="659">
        <v>0.42</v>
      </c>
      <c r="IZ134" s="74">
        <v>49</v>
      </c>
      <c r="JA134" s="74" t="s">
        <v>874</v>
      </c>
      <c r="JB134" s="74">
        <v>9</v>
      </c>
      <c r="JC134" s="74" t="s">
        <v>874</v>
      </c>
      <c r="JD134" s="96">
        <v>0.11</v>
      </c>
      <c r="JE134" s="96">
        <v>0.7</v>
      </c>
      <c r="JF134" s="96">
        <v>0.17</v>
      </c>
      <c r="JG134" s="96">
        <v>0.02</v>
      </c>
      <c r="JH134" s="96">
        <v>0.63</v>
      </c>
      <c r="JI134" s="96">
        <v>0.45</v>
      </c>
      <c r="JJ134" s="96">
        <v>0.5</v>
      </c>
      <c r="JK134" s="96">
        <v>0.51</v>
      </c>
      <c r="JL134" s="96">
        <v>0.52</v>
      </c>
      <c r="JM134" s="96">
        <v>0.6</v>
      </c>
      <c r="JN134" s="96">
        <v>0.55000000000000004</v>
      </c>
      <c r="JO134" s="96">
        <v>0.52</v>
      </c>
      <c r="JP134" s="96">
        <v>0.6</v>
      </c>
      <c r="JQ134" s="96">
        <v>0.27</v>
      </c>
      <c r="JR134" s="96">
        <v>0.63</v>
      </c>
      <c r="JS134" s="96">
        <v>0.51</v>
      </c>
      <c r="JT134" s="96">
        <v>0.46</v>
      </c>
      <c r="JU134" s="96">
        <v>0.56000000000000005</v>
      </c>
      <c r="JV134" s="96">
        <v>0.51</v>
      </c>
      <c r="JW134" s="96">
        <v>0.46</v>
      </c>
      <c r="JX134" s="96">
        <v>0.47</v>
      </c>
      <c r="JY134" s="96">
        <v>0.56000000000000005</v>
      </c>
      <c r="JZ134" s="96">
        <v>0.48</v>
      </c>
      <c r="KA134" s="96">
        <v>0.71</v>
      </c>
      <c r="KB134" s="96">
        <v>0.54</v>
      </c>
      <c r="KC134" s="96">
        <v>0.76</v>
      </c>
      <c r="KD134" s="96">
        <v>0.35</v>
      </c>
      <c r="KE134" s="96">
        <v>0.52</v>
      </c>
      <c r="KF134" s="96">
        <v>0.44</v>
      </c>
      <c r="KG134" s="96">
        <v>0.6</v>
      </c>
    </row>
    <row r="135" spans="1:293" ht="24.95" customHeight="1" x14ac:dyDescent="0.2">
      <c r="A135" s="814" t="s">
        <v>215</v>
      </c>
      <c r="B135" s="1" t="s">
        <v>221</v>
      </c>
      <c r="C135" s="2">
        <v>6</v>
      </c>
      <c r="D135" s="12">
        <v>51</v>
      </c>
      <c r="E135" s="12">
        <v>0</v>
      </c>
      <c r="F135" s="66">
        <v>0</v>
      </c>
      <c r="G135" s="66">
        <v>1</v>
      </c>
      <c r="H135" s="66">
        <v>0</v>
      </c>
      <c r="I135" s="66">
        <v>0</v>
      </c>
      <c r="J135" s="66">
        <v>1</v>
      </c>
      <c r="K135" s="66">
        <v>1</v>
      </c>
      <c r="L135" s="66">
        <v>1</v>
      </c>
      <c r="M135" s="66">
        <v>0</v>
      </c>
      <c r="N135" s="66">
        <v>0.4</v>
      </c>
      <c r="O135" s="66">
        <v>0.5</v>
      </c>
      <c r="P135" s="66">
        <v>0.5</v>
      </c>
      <c r="Q135" s="66">
        <v>0.5</v>
      </c>
      <c r="R135" s="66">
        <v>0.6</v>
      </c>
      <c r="S135" s="66">
        <v>0.5</v>
      </c>
      <c r="T135" s="66">
        <v>0</v>
      </c>
      <c r="U135" s="66">
        <v>0</v>
      </c>
      <c r="V135" s="66">
        <v>0</v>
      </c>
      <c r="W135" s="66">
        <v>0</v>
      </c>
      <c r="X135" s="66">
        <v>0.5</v>
      </c>
      <c r="Y135" s="66">
        <v>0</v>
      </c>
      <c r="Z135" s="12" t="s">
        <v>283</v>
      </c>
      <c r="AA135" s="66">
        <v>0</v>
      </c>
      <c r="AB135" s="66">
        <v>0.5</v>
      </c>
      <c r="AC135" s="66">
        <v>1</v>
      </c>
      <c r="AD135" s="66">
        <v>0.25</v>
      </c>
      <c r="AE135" s="66">
        <v>0.5</v>
      </c>
      <c r="AF135" s="66">
        <v>0.5</v>
      </c>
      <c r="AG135" s="66">
        <v>0.67</v>
      </c>
      <c r="AH135" s="12" t="s">
        <v>226</v>
      </c>
      <c r="AI135" s="12" t="s">
        <v>226</v>
      </c>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12" t="s">
        <v>224</v>
      </c>
      <c r="BN135" s="12" t="s">
        <v>224</v>
      </c>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t="s">
        <v>224</v>
      </c>
      <c r="CT135" s="12" t="s">
        <v>224</v>
      </c>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35"/>
      <c r="DY135" s="35"/>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247">
        <v>37</v>
      </c>
      <c r="FC135" s="247" t="s">
        <v>876</v>
      </c>
      <c r="FD135" s="247">
        <v>0</v>
      </c>
      <c r="FE135" s="247" t="s">
        <v>876</v>
      </c>
      <c r="FF135" s="264">
        <v>1</v>
      </c>
      <c r="FG135" s="264">
        <v>0</v>
      </c>
      <c r="FH135" s="264">
        <v>0</v>
      </c>
      <c r="FI135" s="264">
        <v>0</v>
      </c>
      <c r="FJ135" s="264">
        <v>1</v>
      </c>
      <c r="FK135" s="264">
        <v>1</v>
      </c>
      <c r="FL135" s="264">
        <v>0.67</v>
      </c>
      <c r="FM135" s="247" t="s">
        <v>283</v>
      </c>
      <c r="FN135" s="264">
        <v>0</v>
      </c>
      <c r="FO135" s="264">
        <v>1</v>
      </c>
      <c r="FP135" s="264">
        <v>0.67</v>
      </c>
      <c r="FQ135" s="264">
        <v>1</v>
      </c>
      <c r="FR135" s="264">
        <v>0.33</v>
      </c>
      <c r="FS135" s="247" t="s">
        <v>283</v>
      </c>
      <c r="FT135" s="264">
        <v>0.67</v>
      </c>
      <c r="FU135" s="264">
        <v>0.5</v>
      </c>
      <c r="FV135" s="264">
        <v>1</v>
      </c>
      <c r="FW135" s="264">
        <v>0</v>
      </c>
      <c r="FX135" s="264">
        <v>1</v>
      </c>
      <c r="FY135" s="264">
        <v>1</v>
      </c>
      <c r="FZ135" s="264">
        <v>1</v>
      </c>
      <c r="GA135" s="264">
        <v>0</v>
      </c>
      <c r="GB135" s="264">
        <v>1</v>
      </c>
      <c r="GC135" s="264">
        <v>1</v>
      </c>
      <c r="GD135" s="264">
        <v>0.33</v>
      </c>
      <c r="GE135" s="264">
        <v>0.5</v>
      </c>
      <c r="GF135" s="264">
        <v>0</v>
      </c>
      <c r="GG135" s="264">
        <v>1</v>
      </c>
      <c r="GH135" s="264">
        <v>1</v>
      </c>
      <c r="GI135" s="264">
        <v>0.5</v>
      </c>
      <c r="GJ135" s="655"/>
      <c r="GK135" s="655"/>
      <c r="GL135" s="655"/>
      <c r="GM135" s="655"/>
      <c r="GN135" s="655"/>
      <c r="GO135" s="655"/>
      <c r="GP135" s="655"/>
      <c r="GQ135" s="655"/>
      <c r="GR135" s="655"/>
      <c r="GS135" s="655"/>
      <c r="GT135" s="655"/>
      <c r="GU135" s="655"/>
      <c r="GV135" s="655"/>
      <c r="GW135" s="655"/>
      <c r="GX135" s="655"/>
      <c r="GY135" s="655"/>
      <c r="GZ135" s="655"/>
      <c r="HA135" s="655"/>
      <c r="HB135" s="655"/>
      <c r="HC135" s="655"/>
      <c r="HD135" s="655"/>
      <c r="HE135" s="655"/>
      <c r="HF135" s="655"/>
      <c r="HG135" s="655"/>
      <c r="HH135" s="655"/>
      <c r="HI135" s="655"/>
      <c r="HJ135" s="655"/>
      <c r="HK135" s="655"/>
      <c r="HL135" s="655"/>
      <c r="HM135" s="655"/>
      <c r="HN135" s="655"/>
      <c r="HO135" s="655"/>
      <c r="HP135" s="655"/>
      <c r="HQ135" s="655"/>
      <c r="HR135" s="657"/>
      <c r="HS135" s="657"/>
      <c r="HT135" s="657"/>
      <c r="HU135" s="657"/>
      <c r="HV135" s="657"/>
      <c r="HW135" s="657"/>
      <c r="HX135" s="657"/>
      <c r="HY135" s="657"/>
      <c r="HZ135" s="657"/>
      <c r="IA135" s="657"/>
      <c r="IB135" s="657"/>
      <c r="IC135" s="657"/>
      <c r="ID135" s="657"/>
      <c r="IE135" s="657"/>
      <c r="IF135" s="657"/>
      <c r="IG135" s="657"/>
      <c r="IH135" s="657"/>
      <c r="II135" s="657"/>
      <c r="IJ135" s="657"/>
      <c r="IK135" s="657"/>
      <c r="IL135" s="657"/>
      <c r="IM135" s="657"/>
      <c r="IN135" s="657"/>
      <c r="IO135" s="657"/>
      <c r="IP135" s="657"/>
      <c r="IQ135" s="657"/>
      <c r="IR135" s="657"/>
      <c r="IS135" s="657"/>
      <c r="IT135" s="657"/>
      <c r="IU135" s="657"/>
      <c r="IV135" s="657"/>
      <c r="IW135" s="657"/>
      <c r="IX135" s="657"/>
      <c r="IY135" s="657"/>
      <c r="IZ135" s="656"/>
      <c r="JA135" s="656"/>
      <c r="JB135" s="656"/>
      <c r="JC135" s="656"/>
      <c r="JD135" s="656"/>
      <c r="JE135" s="656"/>
      <c r="JF135" s="656"/>
      <c r="JG135" s="656"/>
      <c r="JH135" s="656"/>
      <c r="JI135" s="656"/>
      <c r="JJ135" s="656"/>
      <c r="JK135" s="656"/>
      <c r="JL135" s="656"/>
      <c r="JM135" s="656"/>
      <c r="JN135" s="656"/>
      <c r="JO135" s="656"/>
      <c r="JP135" s="656"/>
      <c r="JQ135" s="656"/>
      <c r="JR135" s="656"/>
      <c r="JS135" s="656"/>
      <c r="JT135" s="656"/>
      <c r="JU135" s="656"/>
      <c r="JV135" s="656"/>
      <c r="JW135" s="656"/>
      <c r="JX135" s="656"/>
      <c r="JY135" s="656"/>
      <c r="JZ135" s="656"/>
      <c r="KA135" s="656"/>
      <c r="KB135" s="656"/>
      <c r="KC135" s="656"/>
      <c r="KD135" s="656"/>
      <c r="KE135" s="656"/>
      <c r="KF135" s="656"/>
      <c r="KG135" s="656"/>
    </row>
    <row r="136" spans="1:293" ht="24.95" customHeight="1" x14ac:dyDescent="0.2">
      <c r="A136" s="814" t="s">
        <v>120</v>
      </c>
      <c r="B136" s="1" t="s">
        <v>221</v>
      </c>
      <c r="C136" s="2">
        <v>4</v>
      </c>
      <c r="D136" s="12">
        <v>58</v>
      </c>
      <c r="E136" s="12">
        <v>5</v>
      </c>
      <c r="F136" s="66">
        <v>0</v>
      </c>
      <c r="G136" s="66">
        <v>0.38</v>
      </c>
      <c r="H136" s="66">
        <v>0.63</v>
      </c>
      <c r="I136" s="66">
        <v>0</v>
      </c>
      <c r="J136" s="66">
        <v>0.26</v>
      </c>
      <c r="K136" s="66">
        <v>0.27</v>
      </c>
      <c r="L136" s="66">
        <v>0.55000000000000004</v>
      </c>
      <c r="M136" s="66">
        <v>7.0000000000000007E-2</v>
      </c>
      <c r="N136" s="66">
        <v>0.1</v>
      </c>
      <c r="O136" s="66">
        <v>0.57999999999999996</v>
      </c>
      <c r="P136" s="66">
        <v>0.23</v>
      </c>
      <c r="Q136" s="66">
        <v>0.41</v>
      </c>
      <c r="R136" s="66">
        <v>0.56000000000000005</v>
      </c>
      <c r="S136" s="66">
        <v>0.56999999999999995</v>
      </c>
      <c r="T136" s="66">
        <v>0.3</v>
      </c>
      <c r="U136" s="66">
        <v>0.54</v>
      </c>
      <c r="V136" s="66">
        <v>0.13</v>
      </c>
      <c r="W136" s="66">
        <v>0.04</v>
      </c>
      <c r="X136" s="66">
        <v>0.31</v>
      </c>
      <c r="Y136" s="66">
        <v>0.49</v>
      </c>
      <c r="Z136" s="66">
        <v>0</v>
      </c>
      <c r="AA136" s="66">
        <v>0</v>
      </c>
      <c r="AB136" s="66">
        <v>0.25</v>
      </c>
      <c r="AC136" s="66">
        <v>0.34</v>
      </c>
      <c r="AD136" s="66">
        <v>0.28000000000000003</v>
      </c>
      <c r="AE136" s="66">
        <v>0.4</v>
      </c>
      <c r="AF136" s="66">
        <v>0.6</v>
      </c>
      <c r="AG136" s="66">
        <v>0.37</v>
      </c>
      <c r="AH136" s="12">
        <v>57</v>
      </c>
      <c r="AI136" s="12">
        <v>6</v>
      </c>
      <c r="AJ136" s="40">
        <v>0</v>
      </c>
      <c r="AK136" s="40">
        <v>0.45</v>
      </c>
      <c r="AL136" s="40">
        <v>0.55000000000000004</v>
      </c>
      <c r="AM136" s="40">
        <v>0</v>
      </c>
      <c r="AN136" s="40">
        <v>0.17</v>
      </c>
      <c r="AO136" s="40">
        <v>0.25</v>
      </c>
      <c r="AP136" s="40">
        <v>0.52</v>
      </c>
      <c r="AQ136" s="40">
        <v>0.35</v>
      </c>
      <c r="AR136" s="40">
        <v>0.38</v>
      </c>
      <c r="AS136" s="40">
        <v>0.46</v>
      </c>
      <c r="AT136" s="40">
        <v>0.42</v>
      </c>
      <c r="AU136" s="40">
        <v>0.28999999999999998</v>
      </c>
      <c r="AV136" s="40">
        <v>0.5</v>
      </c>
      <c r="AW136" s="40">
        <v>0.25</v>
      </c>
      <c r="AX136" s="40">
        <v>0.4</v>
      </c>
      <c r="AY136" s="40">
        <v>0.31</v>
      </c>
      <c r="AZ136" s="40">
        <v>0.28000000000000003</v>
      </c>
      <c r="BA136" s="40">
        <v>0.34</v>
      </c>
      <c r="BB136" s="40">
        <v>0.64</v>
      </c>
      <c r="BC136" s="40">
        <v>0.61</v>
      </c>
      <c r="BD136" s="40">
        <v>0.31</v>
      </c>
      <c r="BE136" s="40">
        <v>0.36</v>
      </c>
      <c r="BF136" s="40">
        <v>0.36</v>
      </c>
      <c r="BG136" s="40">
        <v>0.49</v>
      </c>
      <c r="BH136" s="40">
        <v>0.36</v>
      </c>
      <c r="BI136" s="40">
        <v>0.32</v>
      </c>
      <c r="BJ136" s="40">
        <v>0.27</v>
      </c>
      <c r="BK136" s="40">
        <v>0.34</v>
      </c>
      <c r="BL136" s="40">
        <v>0.5</v>
      </c>
      <c r="BM136" s="12">
        <v>57</v>
      </c>
      <c r="BN136" s="12">
        <v>6</v>
      </c>
      <c r="BO136" s="66">
        <v>0</v>
      </c>
      <c r="BP136" s="66">
        <v>0.45</v>
      </c>
      <c r="BQ136" s="66">
        <v>0.55000000000000004</v>
      </c>
      <c r="BR136" s="66">
        <v>0</v>
      </c>
      <c r="BS136" s="66">
        <v>0.47</v>
      </c>
      <c r="BT136" s="66">
        <v>0.33</v>
      </c>
      <c r="BU136" s="66">
        <v>0.5</v>
      </c>
      <c r="BV136" s="66">
        <v>0.14000000000000001</v>
      </c>
      <c r="BW136" s="66">
        <v>0.53</v>
      </c>
      <c r="BX136" s="66">
        <v>0.52</v>
      </c>
      <c r="BY136" s="66">
        <v>0.42</v>
      </c>
      <c r="BZ136" s="66">
        <v>0.44</v>
      </c>
      <c r="CA136" s="66">
        <v>0.35</v>
      </c>
      <c r="CB136" s="66">
        <v>0.27</v>
      </c>
      <c r="CC136" s="66">
        <v>0.11</v>
      </c>
      <c r="CD136" s="66">
        <v>0.15</v>
      </c>
      <c r="CE136" s="66">
        <v>0.25</v>
      </c>
      <c r="CF136" s="66">
        <v>0.55000000000000004</v>
      </c>
      <c r="CG136" s="66">
        <v>0.64</v>
      </c>
      <c r="CH136" s="66">
        <v>0.46</v>
      </c>
      <c r="CI136" s="66">
        <v>0.41</v>
      </c>
      <c r="CJ136" s="66">
        <v>0</v>
      </c>
      <c r="CK136" s="66">
        <v>0.64</v>
      </c>
      <c r="CL136" s="66">
        <v>0.11</v>
      </c>
      <c r="CM136" s="66">
        <v>0.23</v>
      </c>
      <c r="CN136" s="66">
        <v>0.22</v>
      </c>
      <c r="CO136" s="66">
        <v>0.27</v>
      </c>
      <c r="CP136" s="66">
        <v>0.16</v>
      </c>
      <c r="CQ136" s="66">
        <v>0.34</v>
      </c>
      <c r="CR136" s="66">
        <v>0.54</v>
      </c>
      <c r="CS136" s="12">
        <v>51</v>
      </c>
      <c r="CT136" s="12">
        <v>7</v>
      </c>
      <c r="CU136" s="63">
        <v>0</v>
      </c>
      <c r="CV136" s="63">
        <v>0.69</v>
      </c>
      <c r="CW136" s="63">
        <v>0.31</v>
      </c>
      <c r="CX136" s="63">
        <v>0</v>
      </c>
      <c r="CY136" s="63">
        <v>0.53</v>
      </c>
      <c r="CZ136" s="63">
        <v>0.21</v>
      </c>
      <c r="DA136" s="63">
        <v>0.65</v>
      </c>
      <c r="DB136" s="63">
        <v>0.35</v>
      </c>
      <c r="DC136" s="63">
        <v>0.5</v>
      </c>
      <c r="DD136" s="63">
        <v>0.61</v>
      </c>
      <c r="DE136" s="63">
        <v>0.22</v>
      </c>
      <c r="DF136" s="63">
        <v>0.53</v>
      </c>
      <c r="DG136" s="63">
        <v>0.48</v>
      </c>
      <c r="DH136" s="63">
        <v>0.28999999999999998</v>
      </c>
      <c r="DI136" s="63">
        <v>0.4</v>
      </c>
      <c r="DJ136" s="63">
        <v>0.44</v>
      </c>
      <c r="DK136" s="63">
        <v>0.25</v>
      </c>
      <c r="DL136" s="63">
        <v>0</v>
      </c>
      <c r="DM136" s="63">
        <v>0.42</v>
      </c>
      <c r="DN136" s="63">
        <v>0.48</v>
      </c>
      <c r="DO136" s="63">
        <v>0.33</v>
      </c>
      <c r="DP136" s="63">
        <v>0.59</v>
      </c>
      <c r="DQ136" s="63">
        <v>0.48</v>
      </c>
      <c r="DR136" s="63">
        <v>0.17</v>
      </c>
      <c r="DS136" s="63">
        <v>0.5</v>
      </c>
      <c r="DT136" s="63">
        <v>0.55000000000000004</v>
      </c>
      <c r="DU136" s="63">
        <v>0.3</v>
      </c>
      <c r="DV136" s="63">
        <v>0.61</v>
      </c>
      <c r="DW136" s="63">
        <v>0.42</v>
      </c>
      <c r="DX136" s="35">
        <v>55</v>
      </c>
      <c r="DY136" s="35">
        <v>7</v>
      </c>
      <c r="DZ136" s="40">
        <v>0</v>
      </c>
      <c r="EA136" s="40">
        <v>0.5</v>
      </c>
      <c r="EB136" s="40">
        <v>0.5</v>
      </c>
      <c r="EC136" s="40">
        <v>0</v>
      </c>
      <c r="ED136" s="40">
        <v>0.67</v>
      </c>
      <c r="EE136" s="40">
        <v>0.38</v>
      </c>
      <c r="EF136" s="40">
        <v>0.39</v>
      </c>
      <c r="EG136" s="40">
        <v>0.33</v>
      </c>
      <c r="EH136" s="40">
        <v>0.37</v>
      </c>
      <c r="EI136" s="40">
        <v>0.5</v>
      </c>
      <c r="EJ136" s="40">
        <v>0.33</v>
      </c>
      <c r="EK136" s="40">
        <v>0.17</v>
      </c>
      <c r="EL136" s="40">
        <v>0.4</v>
      </c>
      <c r="EM136" s="40">
        <v>0.62</v>
      </c>
      <c r="EN136" s="40">
        <v>0.17</v>
      </c>
      <c r="EO136" s="40">
        <v>0.59</v>
      </c>
      <c r="EP136" s="40">
        <v>0.32</v>
      </c>
      <c r="EQ136" s="40">
        <v>0.1</v>
      </c>
      <c r="ER136" s="40">
        <v>0.45</v>
      </c>
      <c r="ES136" s="40">
        <v>0.25</v>
      </c>
      <c r="ET136" s="40">
        <v>0.24</v>
      </c>
      <c r="EU136" s="40">
        <v>0.57999999999999996</v>
      </c>
      <c r="EV136" s="40">
        <v>0.13</v>
      </c>
      <c r="EW136" s="40">
        <v>0.5</v>
      </c>
      <c r="EX136" s="40">
        <v>0.8</v>
      </c>
      <c r="EY136" s="40">
        <v>0.28999999999999998</v>
      </c>
      <c r="EZ136" s="40">
        <v>0</v>
      </c>
      <c r="FA136" s="40">
        <v>0.48</v>
      </c>
      <c r="FB136" s="247">
        <v>51</v>
      </c>
      <c r="FC136" s="247" t="s">
        <v>874</v>
      </c>
      <c r="FD136" s="247">
        <v>8</v>
      </c>
      <c r="FE136" s="247" t="s">
        <v>874</v>
      </c>
      <c r="FF136" s="264">
        <v>0.09</v>
      </c>
      <c r="FG136" s="264">
        <v>0.64</v>
      </c>
      <c r="FH136" s="264">
        <v>0.27</v>
      </c>
      <c r="FI136" s="264">
        <v>0</v>
      </c>
      <c r="FJ136" s="264">
        <v>0.55000000000000004</v>
      </c>
      <c r="FK136" s="264">
        <v>0.67</v>
      </c>
      <c r="FL136" s="264">
        <v>0.5</v>
      </c>
      <c r="FM136" s="264">
        <v>0.33</v>
      </c>
      <c r="FN136" s="264">
        <v>0.16</v>
      </c>
      <c r="FO136" s="264">
        <v>0.39</v>
      </c>
      <c r="FP136" s="264">
        <v>0.36</v>
      </c>
      <c r="FQ136" s="264">
        <v>0.44</v>
      </c>
      <c r="FR136" s="264">
        <v>0.42</v>
      </c>
      <c r="FS136" s="264">
        <v>0.47</v>
      </c>
      <c r="FT136" s="264">
        <v>0.57999999999999996</v>
      </c>
      <c r="FU136" s="264">
        <v>0.42</v>
      </c>
      <c r="FV136" s="264">
        <v>0.57999999999999996</v>
      </c>
      <c r="FW136" s="264">
        <v>0.42</v>
      </c>
      <c r="FX136" s="264">
        <v>0.5</v>
      </c>
      <c r="FY136" s="264">
        <v>0.3</v>
      </c>
      <c r="FZ136" s="264">
        <v>0.35</v>
      </c>
      <c r="GA136" s="264">
        <v>0.42</v>
      </c>
      <c r="GB136" s="264">
        <v>0.53</v>
      </c>
      <c r="GC136" s="264">
        <v>0.32</v>
      </c>
      <c r="GD136" s="264">
        <v>0.53</v>
      </c>
      <c r="GE136" s="264">
        <v>0.52</v>
      </c>
      <c r="GF136" s="264">
        <v>0.47</v>
      </c>
      <c r="GG136" s="264">
        <v>0.53</v>
      </c>
      <c r="GH136" s="264">
        <v>0.68</v>
      </c>
      <c r="GI136" s="264">
        <v>0.25</v>
      </c>
      <c r="GJ136" s="74">
        <v>58</v>
      </c>
      <c r="GK136" s="74" t="s">
        <v>874</v>
      </c>
      <c r="GL136" s="74">
        <v>9</v>
      </c>
      <c r="GM136" s="74" t="s">
        <v>874</v>
      </c>
      <c r="GN136" s="96">
        <v>0</v>
      </c>
      <c r="GO136" s="96">
        <v>0.47</v>
      </c>
      <c r="GP136" s="96">
        <v>0.41</v>
      </c>
      <c r="GQ136" s="96">
        <v>0.12</v>
      </c>
      <c r="GR136" s="96">
        <v>0.4</v>
      </c>
      <c r="GS136" s="96">
        <v>0.5</v>
      </c>
      <c r="GT136" s="96">
        <v>0.45</v>
      </c>
      <c r="GU136" s="96">
        <v>0.27</v>
      </c>
      <c r="GV136" s="96">
        <v>0.42</v>
      </c>
      <c r="GW136" s="96">
        <v>0.33</v>
      </c>
      <c r="GX136" s="96">
        <v>0.39</v>
      </c>
      <c r="GY136" s="74" t="s">
        <v>283</v>
      </c>
      <c r="GZ136" s="96">
        <v>0.11</v>
      </c>
      <c r="HA136" s="96">
        <v>0.56000000000000005</v>
      </c>
      <c r="HB136" s="96">
        <v>0.33</v>
      </c>
      <c r="HC136" s="96">
        <v>0.33</v>
      </c>
      <c r="HD136" s="96">
        <v>0.49</v>
      </c>
      <c r="HE136" s="96">
        <v>0.23</v>
      </c>
      <c r="HF136" s="96">
        <v>0.33</v>
      </c>
      <c r="HG136" s="96">
        <v>0.57999999999999996</v>
      </c>
      <c r="HH136" s="96">
        <v>0.22</v>
      </c>
      <c r="HI136" s="96">
        <v>0.43</v>
      </c>
      <c r="HJ136" s="96">
        <v>0.41</v>
      </c>
      <c r="HK136" s="96">
        <v>0.24</v>
      </c>
      <c r="HL136" s="96">
        <v>0.28999999999999998</v>
      </c>
      <c r="HM136" s="96">
        <v>0.3</v>
      </c>
      <c r="HN136" s="96">
        <v>0.19</v>
      </c>
      <c r="HO136" s="96">
        <v>0.21</v>
      </c>
      <c r="HP136" s="74" t="s">
        <v>283</v>
      </c>
      <c r="HQ136" s="96">
        <v>0.27</v>
      </c>
      <c r="HR136" s="658">
        <v>52</v>
      </c>
      <c r="HS136" s="658" t="s">
        <v>874</v>
      </c>
      <c r="HT136" s="658">
        <v>9</v>
      </c>
      <c r="HU136" s="658" t="s">
        <v>874</v>
      </c>
      <c r="HV136" s="659">
        <v>0.09</v>
      </c>
      <c r="HW136" s="659">
        <v>0.55000000000000004</v>
      </c>
      <c r="HX136" s="659">
        <v>0.36</v>
      </c>
      <c r="HY136" s="659">
        <v>0</v>
      </c>
      <c r="HZ136" s="659">
        <v>0.6</v>
      </c>
      <c r="IA136" s="659">
        <v>0.53</v>
      </c>
      <c r="IB136" s="659">
        <v>0.3</v>
      </c>
      <c r="IC136" s="659">
        <v>0.52</v>
      </c>
      <c r="ID136" s="659">
        <v>0.61</v>
      </c>
      <c r="IE136" s="659">
        <v>0.28999999999999998</v>
      </c>
      <c r="IF136" s="659">
        <v>0.3</v>
      </c>
      <c r="IG136" s="659">
        <v>0.37</v>
      </c>
      <c r="IH136" s="659">
        <v>0.5</v>
      </c>
      <c r="II136" s="659">
        <v>0.46</v>
      </c>
      <c r="IJ136" s="659">
        <v>0.3</v>
      </c>
      <c r="IK136" s="659">
        <v>0.56000000000000005</v>
      </c>
      <c r="IL136" s="659">
        <v>0.33</v>
      </c>
      <c r="IM136" s="659">
        <v>0.52</v>
      </c>
      <c r="IN136" s="659">
        <v>0.43</v>
      </c>
      <c r="IO136" s="659">
        <v>0.53</v>
      </c>
      <c r="IP136" s="659">
        <v>0.33</v>
      </c>
      <c r="IQ136" s="659">
        <v>0.6</v>
      </c>
      <c r="IR136" s="659">
        <v>0.47</v>
      </c>
      <c r="IS136" s="659">
        <v>0.63</v>
      </c>
      <c r="IT136" s="659">
        <v>0.37</v>
      </c>
      <c r="IU136" s="658" t="s">
        <v>283</v>
      </c>
      <c r="IV136" s="659">
        <v>0.56000000000000005</v>
      </c>
      <c r="IW136" s="659">
        <v>0.39</v>
      </c>
      <c r="IX136" s="659">
        <v>0.56000000000000005</v>
      </c>
      <c r="IY136" s="659">
        <v>0.43</v>
      </c>
      <c r="IZ136" s="74">
        <v>58</v>
      </c>
      <c r="JA136" s="74" t="s">
        <v>874</v>
      </c>
      <c r="JB136" s="74">
        <v>8</v>
      </c>
      <c r="JC136" s="74" t="s">
        <v>874</v>
      </c>
      <c r="JD136" s="96">
        <v>0.03</v>
      </c>
      <c r="JE136" s="96">
        <v>0.3</v>
      </c>
      <c r="JF136" s="96">
        <v>0.64</v>
      </c>
      <c r="JG136" s="96">
        <v>0.03</v>
      </c>
      <c r="JH136" s="96">
        <v>0.35</v>
      </c>
      <c r="JI136" s="96">
        <v>0.34</v>
      </c>
      <c r="JJ136" s="96">
        <v>0.28999999999999998</v>
      </c>
      <c r="JK136" s="96">
        <v>0.38</v>
      </c>
      <c r="JL136" s="96">
        <v>0.49</v>
      </c>
      <c r="JM136" s="96">
        <v>0.39</v>
      </c>
      <c r="JN136" s="96">
        <v>0.27</v>
      </c>
      <c r="JO136" s="96">
        <v>0.3</v>
      </c>
      <c r="JP136" s="96">
        <v>0.3</v>
      </c>
      <c r="JQ136" s="96">
        <v>0.17</v>
      </c>
      <c r="JR136" s="96">
        <v>0.34</v>
      </c>
      <c r="JS136" s="96">
        <v>0.38</v>
      </c>
      <c r="JT136" s="96">
        <v>0.44</v>
      </c>
      <c r="JU136" s="96">
        <v>0.48</v>
      </c>
      <c r="JV136" s="96">
        <v>0.42</v>
      </c>
      <c r="JW136" s="96">
        <v>0.37</v>
      </c>
      <c r="JX136" s="96">
        <v>0.38</v>
      </c>
      <c r="JY136" s="96">
        <v>0.31</v>
      </c>
      <c r="JZ136" s="96">
        <v>0.25</v>
      </c>
      <c r="KA136" s="96">
        <v>0.61</v>
      </c>
      <c r="KB136" s="96">
        <v>0.32</v>
      </c>
      <c r="KC136" s="96">
        <v>0.54</v>
      </c>
      <c r="KD136" s="96">
        <v>0.19</v>
      </c>
      <c r="KE136" s="96">
        <v>0.36</v>
      </c>
      <c r="KF136" s="96">
        <v>0.25</v>
      </c>
      <c r="KG136" s="96">
        <v>0.4</v>
      </c>
    </row>
    <row r="137" spans="1:293" ht="24.95" customHeight="1" x14ac:dyDescent="0.2">
      <c r="A137" s="814" t="s">
        <v>52</v>
      </c>
      <c r="B137" s="1" t="s">
        <v>221</v>
      </c>
      <c r="C137" s="2">
        <v>6</v>
      </c>
      <c r="D137" s="12">
        <v>55</v>
      </c>
      <c r="E137" s="12">
        <v>7</v>
      </c>
      <c r="F137" s="66">
        <v>0</v>
      </c>
      <c r="G137" s="66">
        <v>0.59</v>
      </c>
      <c r="H137" s="66">
        <v>0.39</v>
      </c>
      <c r="I137" s="66">
        <v>0.01</v>
      </c>
      <c r="J137" s="66">
        <v>0.4</v>
      </c>
      <c r="K137" s="66">
        <v>0.33</v>
      </c>
      <c r="L137" s="66">
        <v>0.7</v>
      </c>
      <c r="M137" s="66">
        <v>0.26</v>
      </c>
      <c r="N137" s="66">
        <v>0.28000000000000003</v>
      </c>
      <c r="O137" s="66">
        <v>0.67</v>
      </c>
      <c r="P137" s="66">
        <v>0.33</v>
      </c>
      <c r="Q137" s="66">
        <v>0.43</v>
      </c>
      <c r="R137" s="66">
        <v>0.49</v>
      </c>
      <c r="S137" s="66">
        <v>0.57999999999999996</v>
      </c>
      <c r="T137" s="66">
        <v>0.56000000000000005</v>
      </c>
      <c r="U137" s="66">
        <v>0.6</v>
      </c>
      <c r="V137" s="66">
        <v>0.05</v>
      </c>
      <c r="W137" s="66">
        <v>0.1</v>
      </c>
      <c r="X137" s="66">
        <v>0.48</v>
      </c>
      <c r="Y137" s="66">
        <v>0.47</v>
      </c>
      <c r="Z137" s="66">
        <v>0.33</v>
      </c>
      <c r="AA137" s="66">
        <v>0.08</v>
      </c>
      <c r="AB137" s="66">
        <v>0.5</v>
      </c>
      <c r="AC137" s="66">
        <v>0.22</v>
      </c>
      <c r="AD137" s="66">
        <v>0.45</v>
      </c>
      <c r="AE137" s="66">
        <v>0.34</v>
      </c>
      <c r="AF137" s="66">
        <v>0.55000000000000004</v>
      </c>
      <c r="AG137" s="66">
        <v>0.56999999999999995</v>
      </c>
      <c r="AH137" s="12">
        <v>55</v>
      </c>
      <c r="AI137" s="12">
        <v>8</v>
      </c>
      <c r="AJ137" s="40">
        <v>7.0000000000000007E-2</v>
      </c>
      <c r="AK137" s="40">
        <v>0.43</v>
      </c>
      <c r="AL137" s="40">
        <v>0.5</v>
      </c>
      <c r="AM137" s="40">
        <v>0</v>
      </c>
      <c r="AN137" s="40">
        <v>0.2</v>
      </c>
      <c r="AO137" s="40">
        <v>0.48</v>
      </c>
      <c r="AP137" s="40">
        <v>0.53</v>
      </c>
      <c r="AQ137" s="40">
        <v>0.3</v>
      </c>
      <c r="AR137" s="40">
        <v>0.56000000000000005</v>
      </c>
      <c r="AS137" s="40">
        <v>0.5</v>
      </c>
      <c r="AT137" s="40">
        <v>0.48</v>
      </c>
      <c r="AU137" s="40">
        <v>0.42</v>
      </c>
      <c r="AV137" s="40">
        <v>0.44</v>
      </c>
      <c r="AW137" s="40">
        <v>0.43</v>
      </c>
      <c r="AX137" s="40">
        <v>0.46</v>
      </c>
      <c r="AY137" s="40">
        <v>0.27</v>
      </c>
      <c r="AZ137" s="40">
        <v>0.28000000000000003</v>
      </c>
      <c r="BA137" s="40">
        <v>0.44</v>
      </c>
      <c r="BB137" s="40">
        <v>0.64</v>
      </c>
      <c r="BC137" s="40">
        <v>0.54</v>
      </c>
      <c r="BD137" s="40">
        <v>0.36</v>
      </c>
      <c r="BE137" s="40">
        <v>0.5</v>
      </c>
      <c r="BF137" s="40">
        <v>0.56000000000000005</v>
      </c>
      <c r="BG137" s="40">
        <v>0.4</v>
      </c>
      <c r="BH137" s="40">
        <v>0.42</v>
      </c>
      <c r="BI137" s="40">
        <v>0.4</v>
      </c>
      <c r="BJ137" s="40">
        <v>0.3</v>
      </c>
      <c r="BK137" s="40">
        <v>0.34</v>
      </c>
      <c r="BL137" s="40">
        <v>0.47</v>
      </c>
      <c r="BM137" s="12">
        <v>54</v>
      </c>
      <c r="BN137" s="12">
        <v>9</v>
      </c>
      <c r="BO137" s="66">
        <v>0.08</v>
      </c>
      <c r="BP137" s="66">
        <v>0.55000000000000004</v>
      </c>
      <c r="BQ137" s="66">
        <v>0.33</v>
      </c>
      <c r="BR137" s="66">
        <v>0.04</v>
      </c>
      <c r="BS137" s="66">
        <v>0.32</v>
      </c>
      <c r="BT137" s="66">
        <v>0.5</v>
      </c>
      <c r="BU137" s="66">
        <v>0.56999999999999995</v>
      </c>
      <c r="BV137" s="66">
        <v>0.12</v>
      </c>
      <c r="BW137" s="66">
        <v>0.54</v>
      </c>
      <c r="BX137" s="66">
        <v>0.25</v>
      </c>
      <c r="BY137" s="66">
        <v>0.49</v>
      </c>
      <c r="BZ137" s="66">
        <v>0.5</v>
      </c>
      <c r="CA137" s="66">
        <v>0.47</v>
      </c>
      <c r="CB137" s="66">
        <v>0.18</v>
      </c>
      <c r="CC137" s="66">
        <v>0.21</v>
      </c>
      <c r="CD137" s="66">
        <v>0.33</v>
      </c>
      <c r="CE137" s="66">
        <v>0.31</v>
      </c>
      <c r="CF137" s="66">
        <v>0.56999999999999995</v>
      </c>
      <c r="CG137" s="66">
        <v>0.53</v>
      </c>
      <c r="CH137" s="66">
        <v>0.44</v>
      </c>
      <c r="CI137" s="66">
        <v>0.55000000000000004</v>
      </c>
      <c r="CJ137" s="66">
        <v>0.32</v>
      </c>
      <c r="CK137" s="66">
        <v>0.56000000000000005</v>
      </c>
      <c r="CL137" s="66">
        <v>0.25</v>
      </c>
      <c r="CM137" s="66">
        <v>0.34</v>
      </c>
      <c r="CN137" s="66">
        <v>0.34</v>
      </c>
      <c r="CO137" s="66">
        <v>0.3</v>
      </c>
      <c r="CP137" s="66">
        <v>0.33</v>
      </c>
      <c r="CQ137" s="66">
        <v>0.53</v>
      </c>
      <c r="CR137" s="66">
        <v>0.52</v>
      </c>
      <c r="CS137" s="12">
        <v>52</v>
      </c>
      <c r="CT137" s="12">
        <v>9</v>
      </c>
      <c r="CU137" s="63">
        <v>0.12</v>
      </c>
      <c r="CV137" s="63">
        <v>0.55000000000000004</v>
      </c>
      <c r="CW137" s="63">
        <v>0.32</v>
      </c>
      <c r="CX137" s="63">
        <v>0.02</v>
      </c>
      <c r="CY137" s="63">
        <v>0.5</v>
      </c>
      <c r="CZ137" s="63">
        <v>0.27</v>
      </c>
      <c r="DA137" s="63">
        <v>0.5</v>
      </c>
      <c r="DB137" s="63">
        <v>0.3</v>
      </c>
      <c r="DC137" s="63">
        <v>0.48</v>
      </c>
      <c r="DD137" s="63">
        <v>0.55000000000000004</v>
      </c>
      <c r="DE137" s="63">
        <v>0.41</v>
      </c>
      <c r="DF137" s="63">
        <v>0.48</v>
      </c>
      <c r="DG137" s="63">
        <v>0.38</v>
      </c>
      <c r="DH137" s="63">
        <v>0.32</v>
      </c>
      <c r="DI137" s="63">
        <v>0.63</v>
      </c>
      <c r="DJ137" s="63">
        <v>0.46</v>
      </c>
      <c r="DK137" s="63">
        <v>0.34</v>
      </c>
      <c r="DL137" s="63">
        <v>0.41</v>
      </c>
      <c r="DM137" s="63">
        <v>0.55000000000000004</v>
      </c>
      <c r="DN137" s="63">
        <v>0.47</v>
      </c>
      <c r="DO137" s="63">
        <v>0.27</v>
      </c>
      <c r="DP137" s="63">
        <v>0.45</v>
      </c>
      <c r="DQ137" s="63">
        <v>0.52</v>
      </c>
      <c r="DR137" s="63">
        <v>0.2</v>
      </c>
      <c r="DS137" s="63">
        <v>0.38</v>
      </c>
      <c r="DT137" s="63">
        <v>0.49</v>
      </c>
      <c r="DU137" s="63">
        <v>0.42</v>
      </c>
      <c r="DV137" s="63">
        <v>0.5</v>
      </c>
      <c r="DW137" s="63">
        <v>0.26</v>
      </c>
      <c r="DX137" s="35">
        <v>52</v>
      </c>
      <c r="DY137" s="35">
        <v>9</v>
      </c>
      <c r="DZ137" s="40">
        <v>0.12</v>
      </c>
      <c r="EA137" s="40">
        <v>0.51</v>
      </c>
      <c r="EB137" s="40">
        <v>0.38</v>
      </c>
      <c r="EC137" s="40">
        <v>0</v>
      </c>
      <c r="ED137" s="40">
        <v>0.47</v>
      </c>
      <c r="EE137" s="40">
        <v>0.48</v>
      </c>
      <c r="EF137" s="40">
        <v>0.35</v>
      </c>
      <c r="EG137" s="40">
        <v>0.35</v>
      </c>
      <c r="EH137" s="40">
        <v>0.43</v>
      </c>
      <c r="EI137" s="40">
        <v>0.43</v>
      </c>
      <c r="EJ137" s="40">
        <v>0.55000000000000004</v>
      </c>
      <c r="EK137" s="40">
        <v>0.3</v>
      </c>
      <c r="EL137" s="40">
        <v>0.43</v>
      </c>
      <c r="EM137" s="40">
        <v>0.64</v>
      </c>
      <c r="EN137" s="40">
        <v>0.36</v>
      </c>
      <c r="EO137" s="40">
        <v>0.47</v>
      </c>
      <c r="EP137" s="40">
        <v>0.36</v>
      </c>
      <c r="EQ137" s="40">
        <v>0.26</v>
      </c>
      <c r="ER137" s="40">
        <v>0.51</v>
      </c>
      <c r="ES137" s="40">
        <v>0.52</v>
      </c>
      <c r="ET137" s="40">
        <v>0.26</v>
      </c>
      <c r="EU137" s="40">
        <v>0.52</v>
      </c>
      <c r="EV137" s="40">
        <v>0.49</v>
      </c>
      <c r="EW137" s="40">
        <v>0.31</v>
      </c>
      <c r="EX137" s="40">
        <v>0.59</v>
      </c>
      <c r="EY137" s="40">
        <v>0.54</v>
      </c>
      <c r="EZ137" s="40">
        <v>0.2</v>
      </c>
      <c r="FA137" s="40">
        <v>0.52</v>
      </c>
      <c r="FB137" s="247">
        <v>52</v>
      </c>
      <c r="FC137" s="247" t="s">
        <v>874</v>
      </c>
      <c r="FD137" s="247">
        <v>8</v>
      </c>
      <c r="FE137" s="247" t="s">
        <v>874</v>
      </c>
      <c r="FF137" s="264">
        <v>0.04</v>
      </c>
      <c r="FG137" s="264">
        <v>0.63</v>
      </c>
      <c r="FH137" s="264">
        <v>0.31</v>
      </c>
      <c r="FI137" s="264">
        <v>0.02</v>
      </c>
      <c r="FJ137" s="264">
        <v>0.37</v>
      </c>
      <c r="FK137" s="264">
        <v>0.6</v>
      </c>
      <c r="FL137" s="264">
        <v>0.44</v>
      </c>
      <c r="FM137" s="264">
        <v>0.37</v>
      </c>
      <c r="FN137" s="264">
        <v>0.18</v>
      </c>
      <c r="FO137" s="264">
        <v>0.3</v>
      </c>
      <c r="FP137" s="264">
        <v>0.34</v>
      </c>
      <c r="FQ137" s="264">
        <v>0.35</v>
      </c>
      <c r="FR137" s="264">
        <v>0.55000000000000004</v>
      </c>
      <c r="FS137" s="264">
        <v>0.56000000000000005</v>
      </c>
      <c r="FT137" s="264">
        <v>0.53</v>
      </c>
      <c r="FU137" s="264">
        <v>0.38</v>
      </c>
      <c r="FV137" s="264">
        <v>0.72</v>
      </c>
      <c r="FW137" s="264">
        <v>0.59</v>
      </c>
      <c r="FX137" s="264">
        <v>0.45</v>
      </c>
      <c r="FY137" s="264">
        <v>0.34</v>
      </c>
      <c r="FZ137" s="264">
        <v>0.45</v>
      </c>
      <c r="GA137" s="264">
        <v>0.43</v>
      </c>
      <c r="GB137" s="264">
        <v>0.66</v>
      </c>
      <c r="GC137" s="264">
        <v>0.38</v>
      </c>
      <c r="GD137" s="264">
        <v>0.55000000000000004</v>
      </c>
      <c r="GE137" s="264">
        <v>0.5</v>
      </c>
      <c r="GF137" s="264">
        <v>0.39</v>
      </c>
      <c r="GG137" s="264">
        <v>0.41</v>
      </c>
      <c r="GH137" s="264">
        <v>0.44</v>
      </c>
      <c r="GI137" s="264">
        <v>0.28999999999999998</v>
      </c>
      <c r="GJ137" s="311">
        <v>54</v>
      </c>
      <c r="GK137" s="311" t="s">
        <v>874</v>
      </c>
      <c r="GL137" s="311">
        <v>9</v>
      </c>
      <c r="GM137" s="311" t="s">
        <v>874</v>
      </c>
      <c r="GN137" s="329">
        <v>0.06</v>
      </c>
      <c r="GO137" s="329">
        <v>0.53</v>
      </c>
      <c r="GP137" s="329">
        <v>0.39</v>
      </c>
      <c r="GQ137" s="329">
        <v>0.02</v>
      </c>
      <c r="GR137" s="329">
        <v>0.38</v>
      </c>
      <c r="GS137" s="329">
        <v>0.53</v>
      </c>
      <c r="GT137" s="329">
        <v>0.49</v>
      </c>
      <c r="GU137" s="329">
        <v>0.14000000000000001</v>
      </c>
      <c r="GV137" s="329">
        <v>0.5</v>
      </c>
      <c r="GW137" s="329">
        <v>0.45</v>
      </c>
      <c r="GX137" s="329">
        <v>0.39</v>
      </c>
      <c r="GY137" s="311" t="s">
        <v>283</v>
      </c>
      <c r="GZ137" s="329">
        <v>0.17</v>
      </c>
      <c r="HA137" s="329">
        <v>0.53</v>
      </c>
      <c r="HB137" s="329">
        <v>0.39</v>
      </c>
      <c r="HC137" s="329">
        <v>0.39</v>
      </c>
      <c r="HD137" s="329">
        <v>0.55000000000000004</v>
      </c>
      <c r="HE137" s="329">
        <v>0.43</v>
      </c>
      <c r="HF137" s="329">
        <v>0.45</v>
      </c>
      <c r="HG137" s="329">
        <v>0.66</v>
      </c>
      <c r="HH137" s="329">
        <v>0.34</v>
      </c>
      <c r="HI137" s="329">
        <v>0.45</v>
      </c>
      <c r="HJ137" s="329">
        <v>0.51</v>
      </c>
      <c r="HK137" s="329">
        <v>0.43</v>
      </c>
      <c r="HL137" s="329">
        <v>0.39</v>
      </c>
      <c r="HM137" s="329">
        <v>0.41</v>
      </c>
      <c r="HN137" s="329">
        <v>0.45</v>
      </c>
      <c r="HO137" s="329">
        <v>0.37</v>
      </c>
      <c r="HP137" s="311" t="s">
        <v>283</v>
      </c>
      <c r="HQ137" s="329">
        <v>0.31</v>
      </c>
      <c r="HR137" s="426">
        <v>54</v>
      </c>
      <c r="HS137" s="426" t="s">
        <v>874</v>
      </c>
      <c r="HT137" s="426">
        <v>10</v>
      </c>
      <c r="HU137" s="426" t="s">
        <v>874</v>
      </c>
      <c r="HV137" s="430">
        <v>0.15</v>
      </c>
      <c r="HW137" s="430">
        <v>0.37</v>
      </c>
      <c r="HX137" s="430">
        <v>0.49</v>
      </c>
      <c r="HY137" s="430">
        <v>0</v>
      </c>
      <c r="HZ137" s="430">
        <v>0.31</v>
      </c>
      <c r="IA137" s="430">
        <v>0.45</v>
      </c>
      <c r="IB137" s="430">
        <v>0.35</v>
      </c>
      <c r="IC137" s="430">
        <v>0.41</v>
      </c>
      <c r="ID137" s="430">
        <v>0.6</v>
      </c>
      <c r="IE137" s="430">
        <v>0.27</v>
      </c>
      <c r="IF137" s="430">
        <v>0.31</v>
      </c>
      <c r="IG137" s="430">
        <v>0.51</v>
      </c>
      <c r="IH137" s="430">
        <v>0.46</v>
      </c>
      <c r="II137" s="430">
        <v>0.25</v>
      </c>
      <c r="IJ137" s="430">
        <v>0.24</v>
      </c>
      <c r="IK137" s="430">
        <v>0.56000000000000005</v>
      </c>
      <c r="IL137" s="430">
        <v>0.28999999999999998</v>
      </c>
      <c r="IM137" s="430">
        <v>0.53</v>
      </c>
      <c r="IN137" s="430">
        <v>0.39</v>
      </c>
      <c r="IO137" s="430">
        <v>0.49</v>
      </c>
      <c r="IP137" s="430">
        <v>0.48</v>
      </c>
      <c r="IQ137" s="430">
        <v>0.59</v>
      </c>
      <c r="IR137" s="430">
        <v>0.59</v>
      </c>
      <c r="IS137" s="430">
        <v>0.47</v>
      </c>
      <c r="IT137" s="430">
        <v>0.34</v>
      </c>
      <c r="IU137" s="426" t="s">
        <v>283</v>
      </c>
      <c r="IV137" s="430">
        <v>0.61</v>
      </c>
      <c r="IW137" s="430">
        <v>0.4</v>
      </c>
      <c r="IX137" s="430">
        <v>0.45</v>
      </c>
      <c r="IY137" s="430">
        <v>0.48</v>
      </c>
      <c r="IZ137" s="466">
        <v>56</v>
      </c>
      <c r="JA137" s="466" t="s">
        <v>874</v>
      </c>
      <c r="JB137" s="466">
        <v>8</v>
      </c>
      <c r="JC137" s="466" t="s">
        <v>874</v>
      </c>
      <c r="JD137" s="480">
        <v>0.02</v>
      </c>
      <c r="JE137" s="480">
        <v>0.47</v>
      </c>
      <c r="JF137" s="480">
        <v>0.47</v>
      </c>
      <c r="JG137" s="480">
        <v>0.05</v>
      </c>
      <c r="JH137" s="480">
        <v>0.41</v>
      </c>
      <c r="JI137" s="480">
        <v>0.38</v>
      </c>
      <c r="JJ137" s="480">
        <v>0.33</v>
      </c>
      <c r="JK137" s="480">
        <v>0.43</v>
      </c>
      <c r="JL137" s="480">
        <v>0.41</v>
      </c>
      <c r="JM137" s="480">
        <v>0.35</v>
      </c>
      <c r="JN137" s="480">
        <v>0.28000000000000003</v>
      </c>
      <c r="JO137" s="480">
        <v>0.39</v>
      </c>
      <c r="JP137" s="480">
        <v>0.48</v>
      </c>
      <c r="JQ137" s="480">
        <v>0.14000000000000001</v>
      </c>
      <c r="JR137" s="480">
        <v>0.57999999999999996</v>
      </c>
      <c r="JS137" s="480">
        <v>0.57999999999999996</v>
      </c>
      <c r="JT137" s="480">
        <v>0.38</v>
      </c>
      <c r="JU137" s="480">
        <v>0.4</v>
      </c>
      <c r="JV137" s="480">
        <v>0.38</v>
      </c>
      <c r="JW137" s="480">
        <v>0.46</v>
      </c>
      <c r="JX137" s="480">
        <v>0.31</v>
      </c>
      <c r="JY137" s="480">
        <v>0.39</v>
      </c>
      <c r="JZ137" s="480">
        <v>0.44</v>
      </c>
      <c r="KA137" s="480">
        <v>0.59</v>
      </c>
      <c r="KB137" s="480">
        <v>0.27</v>
      </c>
      <c r="KC137" s="480">
        <v>0.59</v>
      </c>
      <c r="KD137" s="480">
        <v>0.31</v>
      </c>
      <c r="KE137" s="480">
        <v>0.52</v>
      </c>
      <c r="KF137" s="480">
        <v>0.35</v>
      </c>
      <c r="KG137" s="480">
        <v>0.4</v>
      </c>
    </row>
    <row r="138" spans="1:293" ht="24.95" customHeight="1" x14ac:dyDescent="0.2">
      <c r="A138" s="814" t="s">
        <v>40</v>
      </c>
      <c r="B138" s="1" t="s">
        <v>221</v>
      </c>
      <c r="C138" s="2">
        <v>2</v>
      </c>
      <c r="D138" s="12">
        <v>52</v>
      </c>
      <c r="E138" s="12">
        <v>7</v>
      </c>
      <c r="F138" s="66">
        <v>0.06</v>
      </c>
      <c r="G138" s="66">
        <v>0.62</v>
      </c>
      <c r="H138" s="66">
        <v>0.32</v>
      </c>
      <c r="I138" s="66">
        <v>0</v>
      </c>
      <c r="J138" s="66">
        <v>0.43</v>
      </c>
      <c r="K138" s="66">
        <v>0.37</v>
      </c>
      <c r="L138" s="66">
        <v>0.82</v>
      </c>
      <c r="M138" s="66">
        <v>0.11</v>
      </c>
      <c r="N138" s="66">
        <v>0.33</v>
      </c>
      <c r="O138" s="66">
        <v>0.73</v>
      </c>
      <c r="P138" s="66">
        <v>0.39</v>
      </c>
      <c r="Q138" s="66">
        <v>0.41</v>
      </c>
      <c r="R138" s="66">
        <v>0.56999999999999995</v>
      </c>
      <c r="S138" s="66">
        <v>0.56000000000000005</v>
      </c>
      <c r="T138" s="66">
        <v>0.57999999999999996</v>
      </c>
      <c r="U138" s="66">
        <v>0.63</v>
      </c>
      <c r="V138" s="66">
        <v>0.14000000000000001</v>
      </c>
      <c r="W138" s="66">
        <v>0.27</v>
      </c>
      <c r="X138" s="66">
        <v>0.53</v>
      </c>
      <c r="Y138" s="66">
        <v>0.55000000000000004</v>
      </c>
      <c r="Z138" s="12" t="s">
        <v>283</v>
      </c>
      <c r="AA138" s="66">
        <v>0.08</v>
      </c>
      <c r="AB138" s="66">
        <v>0.51</v>
      </c>
      <c r="AC138" s="66">
        <v>0.3</v>
      </c>
      <c r="AD138" s="66">
        <v>0.5</v>
      </c>
      <c r="AE138" s="66">
        <v>0.4</v>
      </c>
      <c r="AF138" s="66">
        <v>0.45</v>
      </c>
      <c r="AG138" s="66">
        <v>0.61</v>
      </c>
      <c r="AH138" s="12">
        <v>51</v>
      </c>
      <c r="AI138" s="12">
        <v>8</v>
      </c>
      <c r="AJ138" s="40">
        <v>0.13</v>
      </c>
      <c r="AK138" s="40">
        <v>0.53</v>
      </c>
      <c r="AL138" s="40">
        <v>0.34</v>
      </c>
      <c r="AM138" s="40">
        <v>0</v>
      </c>
      <c r="AN138" s="40">
        <v>0.34</v>
      </c>
      <c r="AO138" s="40">
        <v>0.42</v>
      </c>
      <c r="AP138" s="40">
        <v>0.56000000000000005</v>
      </c>
      <c r="AQ138" s="40">
        <v>0.38</v>
      </c>
      <c r="AR138" s="40">
        <v>0.61</v>
      </c>
      <c r="AS138" s="40">
        <v>0.49</v>
      </c>
      <c r="AT138" s="40">
        <v>0.51</v>
      </c>
      <c r="AU138" s="40">
        <v>0.61</v>
      </c>
      <c r="AV138" s="40">
        <v>0.63</v>
      </c>
      <c r="AW138" s="40">
        <v>0.42</v>
      </c>
      <c r="AX138" s="40">
        <v>0.67</v>
      </c>
      <c r="AY138" s="40">
        <v>0.32</v>
      </c>
      <c r="AZ138" s="40">
        <v>0.3</v>
      </c>
      <c r="BA138" s="40">
        <v>0.51</v>
      </c>
      <c r="BB138" s="40">
        <v>0.65</v>
      </c>
      <c r="BC138" s="40">
        <v>0.67</v>
      </c>
      <c r="BD138" s="40">
        <v>0.4</v>
      </c>
      <c r="BE138" s="40">
        <v>0.55000000000000004</v>
      </c>
      <c r="BF138" s="40">
        <v>0.67</v>
      </c>
      <c r="BG138" s="40">
        <v>0.5</v>
      </c>
      <c r="BH138" s="40">
        <v>0.47</v>
      </c>
      <c r="BI138" s="40">
        <v>0.39</v>
      </c>
      <c r="BJ138" s="40">
        <v>0.39</v>
      </c>
      <c r="BK138" s="40">
        <v>0.42</v>
      </c>
      <c r="BL138" s="40">
        <v>0.55000000000000004</v>
      </c>
      <c r="BM138" s="12">
        <v>49</v>
      </c>
      <c r="BN138" s="12">
        <v>7</v>
      </c>
      <c r="BO138" s="66">
        <v>0.11</v>
      </c>
      <c r="BP138" s="66">
        <v>0.7</v>
      </c>
      <c r="BQ138" s="66">
        <v>0.18</v>
      </c>
      <c r="BR138" s="66">
        <v>0</v>
      </c>
      <c r="BS138" s="66">
        <v>0.37</v>
      </c>
      <c r="BT138" s="66">
        <v>0.76</v>
      </c>
      <c r="BU138" s="66">
        <v>0.7</v>
      </c>
      <c r="BV138" s="66">
        <v>0.52</v>
      </c>
      <c r="BW138" s="66">
        <v>0.75</v>
      </c>
      <c r="BX138" s="66">
        <v>0.38</v>
      </c>
      <c r="BY138" s="66">
        <v>0.43</v>
      </c>
      <c r="BZ138" s="66">
        <v>0.59</v>
      </c>
      <c r="CA138" s="66">
        <v>0.52</v>
      </c>
      <c r="CB138" s="66">
        <v>0.41</v>
      </c>
      <c r="CC138" s="66">
        <v>0.12</v>
      </c>
      <c r="CD138" s="66">
        <v>0.47</v>
      </c>
      <c r="CE138" s="66">
        <v>0.48</v>
      </c>
      <c r="CF138" s="66">
        <v>0.6</v>
      </c>
      <c r="CG138" s="66">
        <v>0.52</v>
      </c>
      <c r="CH138" s="66">
        <v>0.39</v>
      </c>
      <c r="CI138" s="66">
        <v>0.56999999999999995</v>
      </c>
      <c r="CJ138" s="66">
        <v>0.45</v>
      </c>
      <c r="CK138" s="66">
        <v>0.65</v>
      </c>
      <c r="CL138" s="66">
        <v>0.31</v>
      </c>
      <c r="CM138" s="66">
        <v>0.51</v>
      </c>
      <c r="CN138" s="66">
        <v>0.56000000000000005</v>
      </c>
      <c r="CO138" s="66">
        <v>0.49</v>
      </c>
      <c r="CP138" s="66">
        <v>0.33</v>
      </c>
      <c r="CQ138" s="66">
        <v>0.63</v>
      </c>
      <c r="CR138" s="66">
        <v>0.55000000000000004</v>
      </c>
      <c r="CS138" s="12">
        <v>49</v>
      </c>
      <c r="CT138" s="12">
        <v>9</v>
      </c>
      <c r="CU138" s="63">
        <v>0.16</v>
      </c>
      <c r="CV138" s="63">
        <v>0.64</v>
      </c>
      <c r="CW138" s="63">
        <v>0.19</v>
      </c>
      <c r="CX138" s="63">
        <v>0</v>
      </c>
      <c r="CY138" s="63">
        <v>0.55000000000000004</v>
      </c>
      <c r="CZ138" s="63">
        <v>0.31</v>
      </c>
      <c r="DA138" s="63">
        <v>0.56000000000000005</v>
      </c>
      <c r="DB138" s="63">
        <v>0.36</v>
      </c>
      <c r="DC138" s="63">
        <v>0.45</v>
      </c>
      <c r="DD138" s="63">
        <v>0.61</v>
      </c>
      <c r="DE138" s="63">
        <v>0.46</v>
      </c>
      <c r="DF138" s="63">
        <v>0.54</v>
      </c>
      <c r="DG138" s="63">
        <v>0.43</v>
      </c>
      <c r="DH138" s="63">
        <v>0.39</v>
      </c>
      <c r="DI138" s="63">
        <v>0.5</v>
      </c>
      <c r="DJ138" s="63">
        <v>0.6</v>
      </c>
      <c r="DK138" s="63">
        <v>0.36</v>
      </c>
      <c r="DL138" s="63">
        <v>0.34</v>
      </c>
      <c r="DM138" s="63">
        <v>0.55000000000000004</v>
      </c>
      <c r="DN138" s="63">
        <v>0.54</v>
      </c>
      <c r="DO138" s="63">
        <v>0.56000000000000005</v>
      </c>
      <c r="DP138" s="63">
        <v>0.44</v>
      </c>
      <c r="DQ138" s="63">
        <v>0.61</v>
      </c>
      <c r="DR138" s="63">
        <v>0.23</v>
      </c>
      <c r="DS138" s="63">
        <v>0.38</v>
      </c>
      <c r="DT138" s="63">
        <v>0.53</v>
      </c>
      <c r="DU138" s="63">
        <v>0.53</v>
      </c>
      <c r="DV138" s="63">
        <v>0.62</v>
      </c>
      <c r="DW138" s="63">
        <v>0.33</v>
      </c>
      <c r="DX138" s="35">
        <v>50</v>
      </c>
      <c r="DY138" s="35">
        <v>8</v>
      </c>
      <c r="DZ138" s="40">
        <v>0.18</v>
      </c>
      <c r="EA138" s="40">
        <v>0.56999999999999995</v>
      </c>
      <c r="EB138" s="40">
        <v>0.24</v>
      </c>
      <c r="EC138" s="40">
        <v>0</v>
      </c>
      <c r="ED138" s="40">
        <v>0.41</v>
      </c>
      <c r="EE138" s="40">
        <v>0.48</v>
      </c>
      <c r="EF138" s="40">
        <v>0.56000000000000005</v>
      </c>
      <c r="EG138" s="40">
        <v>0.28999999999999998</v>
      </c>
      <c r="EH138" s="40">
        <v>0.42</v>
      </c>
      <c r="EI138" s="40">
        <v>0.54</v>
      </c>
      <c r="EJ138" s="40">
        <v>0.59</v>
      </c>
      <c r="EK138" s="40">
        <v>0.34</v>
      </c>
      <c r="EL138" s="40">
        <v>0.48</v>
      </c>
      <c r="EM138" s="40">
        <v>0.71</v>
      </c>
      <c r="EN138" s="40">
        <v>0.47</v>
      </c>
      <c r="EO138" s="40">
        <v>0.61</v>
      </c>
      <c r="EP138" s="40">
        <v>0.42</v>
      </c>
      <c r="EQ138" s="40">
        <v>0.24</v>
      </c>
      <c r="ER138" s="40">
        <v>0.64</v>
      </c>
      <c r="ES138" s="40">
        <v>0.43</v>
      </c>
      <c r="ET138" s="40">
        <v>0.34</v>
      </c>
      <c r="EU138" s="40">
        <v>0.64</v>
      </c>
      <c r="EV138" s="40">
        <v>0.33</v>
      </c>
      <c r="EW138" s="40">
        <v>0.38</v>
      </c>
      <c r="EX138" s="40">
        <v>0.75</v>
      </c>
      <c r="EY138" s="40">
        <v>0.56000000000000005</v>
      </c>
      <c r="EZ138" s="40">
        <v>0.35</v>
      </c>
      <c r="FA138" s="40">
        <v>0.66</v>
      </c>
      <c r="FB138" s="247">
        <v>49</v>
      </c>
      <c r="FC138" s="247" t="s">
        <v>874</v>
      </c>
      <c r="FD138" s="247">
        <v>8</v>
      </c>
      <c r="FE138" s="247" t="s">
        <v>874</v>
      </c>
      <c r="FF138" s="264">
        <v>0.12</v>
      </c>
      <c r="FG138" s="264">
        <v>0.65</v>
      </c>
      <c r="FH138" s="264">
        <v>0.22</v>
      </c>
      <c r="FI138" s="264">
        <v>0</v>
      </c>
      <c r="FJ138" s="264">
        <v>0.45</v>
      </c>
      <c r="FK138" s="264">
        <v>0.72</v>
      </c>
      <c r="FL138" s="264">
        <v>0.55000000000000004</v>
      </c>
      <c r="FM138" s="264">
        <v>0.28999999999999998</v>
      </c>
      <c r="FN138" s="264">
        <v>0.28000000000000003</v>
      </c>
      <c r="FO138" s="264">
        <v>0.31</v>
      </c>
      <c r="FP138" s="264">
        <v>0.46</v>
      </c>
      <c r="FQ138" s="264">
        <v>0.39</v>
      </c>
      <c r="FR138" s="264">
        <v>0.65</v>
      </c>
      <c r="FS138" s="264">
        <v>0.57999999999999996</v>
      </c>
      <c r="FT138" s="264">
        <v>0.46</v>
      </c>
      <c r="FU138" s="264">
        <v>0.26</v>
      </c>
      <c r="FV138" s="264">
        <v>0.68</v>
      </c>
      <c r="FW138" s="264">
        <v>0.61</v>
      </c>
      <c r="FX138" s="264">
        <v>0.56000000000000005</v>
      </c>
      <c r="FY138" s="264">
        <v>0.4</v>
      </c>
      <c r="FZ138" s="264">
        <v>0.47</v>
      </c>
      <c r="GA138" s="264">
        <v>0.55000000000000004</v>
      </c>
      <c r="GB138" s="264">
        <v>0.59</v>
      </c>
      <c r="GC138" s="264">
        <v>0.48</v>
      </c>
      <c r="GD138" s="264">
        <v>0.64</v>
      </c>
      <c r="GE138" s="264">
        <v>0.54</v>
      </c>
      <c r="GF138" s="264">
        <v>0.46</v>
      </c>
      <c r="GG138" s="264">
        <v>0.39</v>
      </c>
      <c r="GH138" s="264">
        <v>0.62</v>
      </c>
      <c r="GI138" s="264">
        <v>0.32</v>
      </c>
      <c r="GJ138" s="311">
        <v>48</v>
      </c>
      <c r="GK138" s="311" t="s">
        <v>874</v>
      </c>
      <c r="GL138" s="311">
        <v>8</v>
      </c>
      <c r="GM138" s="311" t="s">
        <v>874</v>
      </c>
      <c r="GN138" s="329">
        <v>0.19</v>
      </c>
      <c r="GO138" s="329">
        <v>0.63</v>
      </c>
      <c r="GP138" s="329">
        <v>0.17</v>
      </c>
      <c r="GQ138" s="329">
        <v>0.01</v>
      </c>
      <c r="GR138" s="329">
        <v>0.52</v>
      </c>
      <c r="GS138" s="329">
        <v>0.49</v>
      </c>
      <c r="GT138" s="329">
        <v>0.68</v>
      </c>
      <c r="GU138" s="329">
        <v>0.28999999999999998</v>
      </c>
      <c r="GV138" s="329">
        <v>0.57999999999999996</v>
      </c>
      <c r="GW138" s="329">
        <v>0.42</v>
      </c>
      <c r="GX138" s="329">
        <v>0.56000000000000005</v>
      </c>
      <c r="GY138" s="311" t="s">
        <v>283</v>
      </c>
      <c r="GZ138" s="329">
        <v>0.35</v>
      </c>
      <c r="HA138" s="329">
        <v>0.67</v>
      </c>
      <c r="HB138" s="329">
        <v>0.52</v>
      </c>
      <c r="HC138" s="329">
        <v>0.56000000000000005</v>
      </c>
      <c r="HD138" s="329">
        <v>0.62</v>
      </c>
      <c r="HE138" s="329">
        <v>0.53</v>
      </c>
      <c r="HF138" s="329">
        <v>0.52</v>
      </c>
      <c r="HG138" s="329">
        <v>0.65</v>
      </c>
      <c r="HH138" s="329">
        <v>0.43</v>
      </c>
      <c r="HI138" s="329">
        <v>0.6</v>
      </c>
      <c r="HJ138" s="329">
        <v>0.62</v>
      </c>
      <c r="HK138" s="329">
        <v>0.56000000000000005</v>
      </c>
      <c r="HL138" s="329">
        <v>0.56999999999999995</v>
      </c>
      <c r="HM138" s="329">
        <v>0.53</v>
      </c>
      <c r="HN138" s="329">
        <v>0.53</v>
      </c>
      <c r="HO138" s="329">
        <v>0.56000000000000005</v>
      </c>
      <c r="HP138" s="311" t="s">
        <v>283</v>
      </c>
      <c r="HQ138" s="329">
        <v>0.46</v>
      </c>
      <c r="HR138" s="426">
        <v>52</v>
      </c>
      <c r="HS138" s="426" t="s">
        <v>874</v>
      </c>
      <c r="HT138" s="426">
        <v>8</v>
      </c>
      <c r="HU138" s="426" t="s">
        <v>874</v>
      </c>
      <c r="HV138" s="430">
        <v>0.08</v>
      </c>
      <c r="HW138" s="430">
        <v>0.61</v>
      </c>
      <c r="HX138" s="430">
        <v>0.31</v>
      </c>
      <c r="HY138" s="430">
        <v>0</v>
      </c>
      <c r="HZ138" s="430">
        <v>0.35</v>
      </c>
      <c r="IA138" s="430">
        <v>0.54</v>
      </c>
      <c r="IB138" s="430">
        <v>0.37</v>
      </c>
      <c r="IC138" s="430">
        <v>0.5</v>
      </c>
      <c r="ID138" s="430">
        <v>0.64</v>
      </c>
      <c r="IE138" s="430">
        <v>0.27</v>
      </c>
      <c r="IF138" s="430">
        <v>0.41</v>
      </c>
      <c r="IG138" s="430">
        <v>0.6</v>
      </c>
      <c r="IH138" s="430">
        <v>0.5</v>
      </c>
      <c r="II138" s="430">
        <v>0.17</v>
      </c>
      <c r="IJ138" s="430">
        <v>0.25</v>
      </c>
      <c r="IK138" s="430">
        <v>0.57999999999999996</v>
      </c>
      <c r="IL138" s="430">
        <v>0.31</v>
      </c>
      <c r="IM138" s="430">
        <v>0.54</v>
      </c>
      <c r="IN138" s="430">
        <v>0.38</v>
      </c>
      <c r="IO138" s="430">
        <v>0.53</v>
      </c>
      <c r="IP138" s="430">
        <v>0.38</v>
      </c>
      <c r="IQ138" s="430">
        <v>0.64</v>
      </c>
      <c r="IR138" s="430">
        <v>0.53</v>
      </c>
      <c r="IS138" s="430">
        <v>0.47</v>
      </c>
      <c r="IT138" s="430">
        <v>0.38</v>
      </c>
      <c r="IU138" s="426" t="s">
        <v>283</v>
      </c>
      <c r="IV138" s="430">
        <v>0.67</v>
      </c>
      <c r="IW138" s="430">
        <v>0.47</v>
      </c>
      <c r="IX138" s="430">
        <v>0.56999999999999995</v>
      </c>
      <c r="IY138" s="430">
        <v>0.54</v>
      </c>
      <c r="IZ138" s="466">
        <v>53</v>
      </c>
      <c r="JA138" s="466" t="s">
        <v>874</v>
      </c>
      <c r="JB138" s="466">
        <v>8</v>
      </c>
      <c r="JC138" s="466" t="s">
        <v>874</v>
      </c>
      <c r="JD138" s="480">
        <v>0.06</v>
      </c>
      <c r="JE138" s="480">
        <v>0.5</v>
      </c>
      <c r="JF138" s="480">
        <v>0.41</v>
      </c>
      <c r="JG138" s="480">
        <v>0.03</v>
      </c>
      <c r="JH138" s="480">
        <v>0.53</v>
      </c>
      <c r="JI138" s="480">
        <v>0.48</v>
      </c>
      <c r="JJ138" s="480">
        <v>0.39</v>
      </c>
      <c r="JK138" s="480">
        <v>0.4</v>
      </c>
      <c r="JL138" s="480">
        <v>0.47</v>
      </c>
      <c r="JM138" s="480">
        <v>0.42</v>
      </c>
      <c r="JN138" s="480">
        <v>0.38</v>
      </c>
      <c r="JO138" s="480">
        <v>0.4</v>
      </c>
      <c r="JP138" s="480">
        <v>0.62</v>
      </c>
      <c r="JQ138" s="480">
        <v>0.22</v>
      </c>
      <c r="JR138" s="480">
        <v>0.53</v>
      </c>
      <c r="JS138" s="480">
        <v>0.5</v>
      </c>
      <c r="JT138" s="480">
        <v>0.52</v>
      </c>
      <c r="JU138" s="480">
        <v>0.5</v>
      </c>
      <c r="JV138" s="480">
        <v>0.43</v>
      </c>
      <c r="JW138" s="480">
        <v>0.44</v>
      </c>
      <c r="JX138" s="480">
        <v>0.37</v>
      </c>
      <c r="JY138" s="480">
        <v>0.45</v>
      </c>
      <c r="JZ138" s="480">
        <v>0.41</v>
      </c>
      <c r="KA138" s="480">
        <v>0.42</v>
      </c>
      <c r="KB138" s="480">
        <v>0.44</v>
      </c>
      <c r="KC138" s="480">
        <v>0.66</v>
      </c>
      <c r="KD138" s="480">
        <v>0.31</v>
      </c>
      <c r="KE138" s="480">
        <v>0.38</v>
      </c>
      <c r="KF138" s="480">
        <v>0.47</v>
      </c>
      <c r="KG138" s="480">
        <v>0.43</v>
      </c>
    </row>
    <row r="139" spans="1:293" ht="24.95" customHeight="1" x14ac:dyDescent="0.2">
      <c r="A139" s="814" t="s">
        <v>227</v>
      </c>
      <c r="B139" s="1" t="s">
        <v>221</v>
      </c>
      <c r="C139" s="2">
        <v>2</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v>43</v>
      </c>
      <c r="AI139" s="12">
        <v>8</v>
      </c>
      <c r="AJ139" s="40">
        <v>0.33</v>
      </c>
      <c r="AK139" s="40">
        <v>0.61</v>
      </c>
      <c r="AL139" s="40">
        <v>0.06</v>
      </c>
      <c r="AM139" s="40">
        <v>0</v>
      </c>
      <c r="AN139" s="40">
        <v>0.59</v>
      </c>
      <c r="AO139" s="40">
        <v>0.5</v>
      </c>
      <c r="AP139" s="40">
        <v>0.67</v>
      </c>
      <c r="AQ139" s="40">
        <v>0.57999999999999996</v>
      </c>
      <c r="AR139" s="40">
        <v>0.65</v>
      </c>
      <c r="AS139" s="40">
        <v>0.75</v>
      </c>
      <c r="AT139" s="40">
        <v>0.66</v>
      </c>
      <c r="AU139" s="40">
        <v>0.71</v>
      </c>
      <c r="AV139" s="40">
        <v>0.79</v>
      </c>
      <c r="AW139" s="40">
        <v>0.56000000000000005</v>
      </c>
      <c r="AX139" s="40">
        <v>0.7</v>
      </c>
      <c r="AY139" s="40">
        <v>0.52</v>
      </c>
      <c r="AZ139" s="40">
        <v>0.4</v>
      </c>
      <c r="BA139" s="40">
        <v>0.51</v>
      </c>
      <c r="BB139" s="40">
        <v>0.76</v>
      </c>
      <c r="BC139" s="40">
        <v>0.76</v>
      </c>
      <c r="BD139" s="40">
        <v>0.62</v>
      </c>
      <c r="BE139" s="40">
        <v>0.71</v>
      </c>
      <c r="BF139" s="40">
        <v>0.28999999999999998</v>
      </c>
      <c r="BG139" s="40">
        <v>0.73</v>
      </c>
      <c r="BH139" s="40">
        <v>0.59</v>
      </c>
      <c r="BI139" s="40">
        <v>0.51</v>
      </c>
      <c r="BJ139" s="40">
        <v>0.59</v>
      </c>
      <c r="BK139" s="40">
        <v>0.73</v>
      </c>
      <c r="BL139" s="40">
        <v>0.5</v>
      </c>
      <c r="BM139" s="12" t="s">
        <v>224</v>
      </c>
      <c r="BN139" s="12" t="s">
        <v>224</v>
      </c>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t="s">
        <v>224</v>
      </c>
      <c r="CT139" s="12" t="s">
        <v>224</v>
      </c>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35"/>
      <c r="DY139" s="35"/>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652"/>
      <c r="FC139" s="652"/>
      <c r="FD139" s="652"/>
      <c r="FE139" s="652"/>
      <c r="FF139" s="652"/>
      <c r="FG139" s="652"/>
      <c r="FH139" s="652"/>
      <c r="FI139" s="652"/>
      <c r="FJ139" s="652"/>
      <c r="FK139" s="652"/>
      <c r="FL139" s="652"/>
      <c r="FM139" s="652"/>
      <c r="FN139" s="652"/>
      <c r="FO139" s="652"/>
      <c r="FP139" s="652"/>
      <c r="FQ139" s="652"/>
      <c r="FR139" s="652"/>
      <c r="FS139" s="652"/>
      <c r="FT139" s="652"/>
      <c r="FU139" s="652"/>
      <c r="FV139" s="652"/>
      <c r="FW139" s="652"/>
      <c r="FX139" s="652"/>
      <c r="FY139" s="652"/>
      <c r="FZ139" s="652"/>
      <c r="GA139" s="652"/>
      <c r="GB139" s="652"/>
      <c r="GC139" s="652"/>
      <c r="GD139" s="652"/>
      <c r="GE139" s="652"/>
      <c r="GF139" s="652"/>
      <c r="GG139" s="652"/>
      <c r="GH139" s="652"/>
      <c r="GI139" s="652"/>
      <c r="GJ139" s="311">
        <v>43</v>
      </c>
      <c r="GK139" s="311" t="s">
        <v>876</v>
      </c>
      <c r="GL139" s="311">
        <v>0</v>
      </c>
      <c r="GM139" s="311" t="s">
        <v>876</v>
      </c>
      <c r="GN139" s="329">
        <v>0</v>
      </c>
      <c r="GO139" s="329">
        <v>1</v>
      </c>
      <c r="GP139" s="329">
        <v>0</v>
      </c>
      <c r="GQ139" s="329">
        <v>0</v>
      </c>
      <c r="GR139" s="329">
        <v>1</v>
      </c>
      <c r="GS139" s="329">
        <v>1</v>
      </c>
      <c r="GT139" s="329">
        <v>1</v>
      </c>
      <c r="GU139" s="311" t="s">
        <v>283</v>
      </c>
      <c r="GV139" s="329">
        <v>0.5</v>
      </c>
      <c r="GW139" s="329">
        <v>1</v>
      </c>
      <c r="GX139" s="329">
        <v>0.67</v>
      </c>
      <c r="GY139" s="311" t="s">
        <v>283</v>
      </c>
      <c r="GZ139" s="329">
        <v>1</v>
      </c>
      <c r="HA139" s="329">
        <v>1</v>
      </c>
      <c r="HB139" s="329">
        <v>0.6</v>
      </c>
      <c r="HC139" s="329">
        <v>1</v>
      </c>
      <c r="HD139" s="329">
        <v>0.33</v>
      </c>
      <c r="HE139" s="329">
        <v>0.33</v>
      </c>
      <c r="HF139" s="329">
        <v>0.33</v>
      </c>
      <c r="HG139" s="329">
        <v>0.67</v>
      </c>
      <c r="HH139" s="329">
        <v>1</v>
      </c>
      <c r="HI139" s="329">
        <v>1</v>
      </c>
      <c r="HJ139" s="329">
        <v>0.67</v>
      </c>
      <c r="HK139" s="329">
        <v>1</v>
      </c>
      <c r="HL139" s="329">
        <v>1</v>
      </c>
      <c r="HM139" s="329">
        <v>0</v>
      </c>
      <c r="HN139" s="329">
        <v>1</v>
      </c>
      <c r="HO139" s="329">
        <v>1</v>
      </c>
      <c r="HP139" s="311" t="s">
        <v>283</v>
      </c>
      <c r="HQ139" s="329">
        <v>0.5</v>
      </c>
      <c r="HR139" s="426">
        <v>40</v>
      </c>
      <c r="HS139" s="426" t="s">
        <v>876</v>
      </c>
      <c r="HT139" s="426">
        <v>5</v>
      </c>
      <c r="HU139" s="426" t="s">
        <v>876</v>
      </c>
      <c r="HV139" s="430">
        <v>0.77</v>
      </c>
      <c r="HW139" s="430">
        <v>0.23</v>
      </c>
      <c r="HX139" s="430">
        <v>0</v>
      </c>
      <c r="HY139" s="430">
        <v>0</v>
      </c>
      <c r="HZ139" s="430">
        <v>0.69</v>
      </c>
      <c r="IA139" s="430">
        <v>0.71</v>
      </c>
      <c r="IB139" s="430">
        <v>0.5</v>
      </c>
      <c r="IC139" s="430">
        <v>0.78</v>
      </c>
      <c r="ID139" s="430">
        <v>0.76</v>
      </c>
      <c r="IE139" s="430">
        <v>0.61</v>
      </c>
      <c r="IF139" s="430">
        <v>0.69</v>
      </c>
      <c r="IG139" s="430">
        <v>0.73</v>
      </c>
      <c r="IH139" s="430">
        <v>0.6</v>
      </c>
      <c r="II139" s="430">
        <v>0.25</v>
      </c>
      <c r="IJ139" s="430">
        <v>0.56000000000000005</v>
      </c>
      <c r="IK139" s="430">
        <v>0.76</v>
      </c>
      <c r="IL139" s="430">
        <v>0.56999999999999995</v>
      </c>
      <c r="IM139" s="430">
        <v>0.86</v>
      </c>
      <c r="IN139" s="430">
        <v>0.69</v>
      </c>
      <c r="IO139" s="430">
        <v>0.62</v>
      </c>
      <c r="IP139" s="430">
        <v>0.72</v>
      </c>
      <c r="IQ139" s="430">
        <v>0.62</v>
      </c>
      <c r="IR139" s="430">
        <v>0.85</v>
      </c>
      <c r="IS139" s="430">
        <v>0.78</v>
      </c>
      <c r="IT139" s="430">
        <v>0.75</v>
      </c>
      <c r="IU139" s="426" t="s">
        <v>283</v>
      </c>
      <c r="IV139" s="430">
        <v>0.57999999999999996</v>
      </c>
      <c r="IW139" s="430">
        <v>0.65</v>
      </c>
      <c r="IX139" s="430">
        <v>0.65</v>
      </c>
      <c r="IY139" s="430">
        <v>0.65</v>
      </c>
      <c r="IZ139" s="647"/>
      <c r="JA139" s="647"/>
      <c r="JB139" s="647"/>
      <c r="JC139" s="647"/>
      <c r="JD139" s="648"/>
      <c r="JE139" s="648"/>
      <c r="JF139" s="648"/>
      <c r="JG139" s="648"/>
      <c r="JH139" s="648"/>
      <c r="JI139" s="648"/>
      <c r="JJ139" s="648"/>
      <c r="JK139" s="648"/>
      <c r="JL139" s="648"/>
      <c r="JM139" s="648"/>
      <c r="JN139" s="648"/>
      <c r="JO139" s="648"/>
      <c r="JP139" s="648"/>
      <c r="JQ139" s="648"/>
      <c r="JR139" s="648"/>
      <c r="JS139" s="648"/>
      <c r="JT139" s="648"/>
      <c r="JU139" s="648"/>
      <c r="JV139" s="648"/>
      <c r="JW139" s="648"/>
      <c r="JX139" s="648"/>
      <c r="JY139" s="648"/>
      <c r="JZ139" s="647"/>
      <c r="KA139" s="648"/>
      <c r="KB139" s="648"/>
      <c r="KC139" s="648"/>
      <c r="KD139" s="648"/>
      <c r="KE139" s="648"/>
      <c r="KF139" s="648"/>
      <c r="KG139" s="648"/>
    </row>
    <row r="140" spans="1:293" ht="24.95" customHeight="1" x14ac:dyDescent="0.2">
      <c r="A140" s="814" t="s">
        <v>936</v>
      </c>
      <c r="B140" s="1" t="s">
        <v>221</v>
      </c>
      <c r="C140" s="2">
        <v>4</v>
      </c>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35"/>
      <c r="DY140" s="35"/>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GJ140" s="311">
        <v>45</v>
      </c>
      <c r="GK140" s="311" t="s">
        <v>874</v>
      </c>
      <c r="GL140" s="311">
        <v>8</v>
      </c>
      <c r="GM140" s="311" t="s">
        <v>874</v>
      </c>
      <c r="GN140" s="329">
        <v>0.4</v>
      </c>
      <c r="GO140" s="329">
        <v>0.47</v>
      </c>
      <c r="GP140" s="329">
        <v>0.13</v>
      </c>
      <c r="GQ140" s="329">
        <v>0</v>
      </c>
      <c r="GR140" s="329">
        <v>0.6</v>
      </c>
      <c r="GS140" s="329">
        <v>0.61</v>
      </c>
      <c r="GT140" s="329">
        <v>0.71</v>
      </c>
      <c r="GU140" s="329">
        <v>0.78</v>
      </c>
      <c r="GV140" s="329">
        <v>0.66</v>
      </c>
      <c r="GW140" s="329">
        <v>0.67</v>
      </c>
      <c r="GX140" s="329">
        <v>0.56999999999999995</v>
      </c>
      <c r="GY140" s="311" t="s">
        <v>283</v>
      </c>
      <c r="GZ140" s="329">
        <v>0.56999999999999995</v>
      </c>
      <c r="HA140" s="329">
        <v>0.75</v>
      </c>
      <c r="HB140" s="329">
        <v>0.59</v>
      </c>
      <c r="HC140" s="329">
        <v>0.6</v>
      </c>
      <c r="HD140" s="329">
        <v>0.6</v>
      </c>
      <c r="HE140" s="329">
        <v>0.56999999999999995</v>
      </c>
      <c r="HF140" s="329">
        <v>0.43</v>
      </c>
      <c r="HG140" s="329">
        <v>0.8</v>
      </c>
      <c r="HH140" s="329">
        <v>0.63</v>
      </c>
      <c r="HI140" s="329">
        <v>0.57999999999999996</v>
      </c>
      <c r="HJ140" s="329">
        <v>0.71</v>
      </c>
      <c r="HK140" s="329">
        <v>0.61</v>
      </c>
      <c r="HL140" s="329">
        <v>0.45</v>
      </c>
      <c r="HM140" s="329">
        <v>0.53</v>
      </c>
      <c r="HN140" s="329">
        <v>0.48</v>
      </c>
      <c r="HO140" s="329">
        <v>0.44</v>
      </c>
      <c r="HP140" s="311" t="s">
        <v>283</v>
      </c>
      <c r="HQ140" s="329">
        <v>0.62</v>
      </c>
      <c r="HR140" s="426">
        <v>40</v>
      </c>
      <c r="HS140" s="426" t="s">
        <v>876</v>
      </c>
      <c r="HT140" s="426">
        <v>6</v>
      </c>
      <c r="HU140" s="426" t="s">
        <v>874</v>
      </c>
      <c r="HV140" s="430">
        <v>0.54</v>
      </c>
      <c r="HW140" s="430">
        <v>0.46</v>
      </c>
      <c r="HX140" s="430">
        <v>0</v>
      </c>
      <c r="HY140" s="430">
        <v>0</v>
      </c>
      <c r="HZ140" s="430">
        <v>0.43</v>
      </c>
      <c r="IA140" s="430">
        <v>0.79</v>
      </c>
      <c r="IB140" s="430">
        <v>0.45</v>
      </c>
      <c r="IC140" s="430">
        <v>0.71</v>
      </c>
      <c r="ID140" s="430">
        <v>0.88</v>
      </c>
      <c r="IE140" s="430">
        <v>0.67</v>
      </c>
      <c r="IF140" s="430">
        <v>0.73</v>
      </c>
      <c r="IG140" s="430">
        <v>0.54</v>
      </c>
      <c r="IH140" s="430">
        <v>0.62</v>
      </c>
      <c r="II140" s="430">
        <v>0.43</v>
      </c>
      <c r="IJ140" s="430">
        <v>0.42</v>
      </c>
      <c r="IK140" s="430">
        <v>0.68</v>
      </c>
      <c r="IL140" s="430">
        <v>0.67</v>
      </c>
      <c r="IM140" s="430">
        <v>0.71</v>
      </c>
      <c r="IN140" s="430">
        <v>0.68</v>
      </c>
      <c r="IO140" s="430">
        <v>0.71</v>
      </c>
      <c r="IP140" s="430">
        <v>0.65</v>
      </c>
      <c r="IQ140" s="430">
        <v>0.76</v>
      </c>
      <c r="IR140" s="430">
        <v>0.84</v>
      </c>
      <c r="IS140" s="430">
        <v>0.7</v>
      </c>
      <c r="IT140" s="430">
        <v>0.7</v>
      </c>
      <c r="IU140" s="426" t="s">
        <v>283</v>
      </c>
      <c r="IV140" s="430">
        <v>0.84</v>
      </c>
      <c r="IW140" s="430">
        <v>0.65</v>
      </c>
      <c r="IX140" s="430">
        <v>0.79</v>
      </c>
      <c r="IY140" s="430">
        <v>0.63</v>
      </c>
      <c r="IZ140" s="426"/>
      <c r="JA140" s="426"/>
      <c r="JB140" s="426"/>
      <c r="JC140" s="426"/>
      <c r="JD140" s="430"/>
      <c r="JE140" s="430"/>
      <c r="JF140" s="430"/>
      <c r="JG140" s="430"/>
      <c r="JH140" s="430"/>
      <c r="JI140" s="430"/>
      <c r="JJ140" s="430"/>
      <c r="JK140" s="430"/>
      <c r="JL140" s="430"/>
      <c r="JM140" s="430"/>
      <c r="JN140" s="430"/>
      <c r="JO140" s="430"/>
      <c r="JP140" s="430"/>
      <c r="JQ140" s="430"/>
      <c r="JR140" s="430"/>
      <c r="JS140" s="430"/>
      <c r="JT140" s="430"/>
      <c r="JU140" s="430"/>
      <c r="JV140" s="430"/>
      <c r="JW140" s="430"/>
      <c r="JX140" s="430"/>
      <c r="JY140" s="430"/>
      <c r="JZ140" s="426"/>
      <c r="KA140" s="430"/>
      <c r="KB140" s="430"/>
      <c r="KC140" s="430"/>
      <c r="KD140" s="430"/>
      <c r="KE140" s="430"/>
      <c r="KF140" s="430"/>
      <c r="KG140" s="430"/>
    </row>
    <row r="141" spans="1:293" ht="24.95" customHeight="1" x14ac:dyDescent="0.2">
      <c r="A141" s="815" t="s">
        <v>155</v>
      </c>
      <c r="B141" s="1" t="s">
        <v>221</v>
      </c>
      <c r="C141" s="311">
        <v>5</v>
      </c>
      <c r="D141" s="330">
        <v>53</v>
      </c>
      <c r="E141" s="330">
        <v>4</v>
      </c>
      <c r="F141" s="335">
        <v>0</v>
      </c>
      <c r="G141" s="335">
        <v>0.67</v>
      </c>
      <c r="H141" s="335">
        <v>0.33</v>
      </c>
      <c r="I141" s="335">
        <v>0</v>
      </c>
      <c r="J141" s="335">
        <v>0.33</v>
      </c>
      <c r="K141" s="335">
        <v>0.33</v>
      </c>
      <c r="L141" s="335">
        <v>1</v>
      </c>
      <c r="M141" s="335">
        <v>0</v>
      </c>
      <c r="N141" s="335">
        <v>0.2</v>
      </c>
      <c r="O141" s="335">
        <v>0.89</v>
      </c>
      <c r="P141" s="335">
        <v>0.5</v>
      </c>
      <c r="Q141" s="335">
        <v>0.42</v>
      </c>
      <c r="R141" s="335">
        <v>0.67</v>
      </c>
      <c r="S141" s="335">
        <v>0.67</v>
      </c>
      <c r="T141" s="335">
        <v>0.67</v>
      </c>
      <c r="U141" s="335">
        <v>1</v>
      </c>
      <c r="V141" s="335">
        <v>0</v>
      </c>
      <c r="W141" s="335">
        <v>0.33</v>
      </c>
      <c r="X141" s="335">
        <v>0.5</v>
      </c>
      <c r="Y141" s="335">
        <v>0.33</v>
      </c>
      <c r="Z141" s="330" t="s">
        <v>283</v>
      </c>
      <c r="AA141" s="335">
        <v>0</v>
      </c>
      <c r="AB141" s="335">
        <v>0.44</v>
      </c>
      <c r="AC141" s="335">
        <v>0</v>
      </c>
      <c r="AD141" s="335">
        <v>0.39</v>
      </c>
      <c r="AE141" s="335">
        <v>0.17</v>
      </c>
      <c r="AF141" s="335">
        <v>0.33</v>
      </c>
      <c r="AG141" s="335">
        <v>0.56000000000000005</v>
      </c>
      <c r="AH141" s="330">
        <v>56</v>
      </c>
      <c r="AI141" s="330">
        <v>8</v>
      </c>
      <c r="AJ141" s="333">
        <v>0</v>
      </c>
      <c r="AK141" s="333">
        <v>0.57999999999999996</v>
      </c>
      <c r="AL141" s="333">
        <v>0.42</v>
      </c>
      <c r="AM141" s="333">
        <v>0</v>
      </c>
      <c r="AN141" s="333">
        <v>0.2</v>
      </c>
      <c r="AO141" s="333">
        <v>0.47</v>
      </c>
      <c r="AP141" s="333">
        <v>0.59</v>
      </c>
      <c r="AQ141" s="333">
        <v>0.3</v>
      </c>
      <c r="AR141" s="333">
        <v>0.28999999999999998</v>
      </c>
      <c r="AS141" s="333">
        <v>0.26</v>
      </c>
      <c r="AT141" s="333">
        <v>0.32</v>
      </c>
      <c r="AU141" s="333">
        <v>0.26</v>
      </c>
      <c r="AV141" s="333">
        <v>0.52</v>
      </c>
      <c r="AW141" s="333">
        <v>0.67</v>
      </c>
      <c r="AX141" s="333">
        <v>0.67</v>
      </c>
      <c r="AY141" s="333">
        <v>0.28999999999999998</v>
      </c>
      <c r="AZ141" s="333">
        <v>0</v>
      </c>
      <c r="BA141" s="333">
        <v>0.39</v>
      </c>
      <c r="BB141" s="333">
        <v>0.43</v>
      </c>
      <c r="BC141" s="333">
        <v>0.57999999999999996</v>
      </c>
      <c r="BD141" s="333">
        <v>0.41</v>
      </c>
      <c r="BE141" s="333">
        <v>0.44</v>
      </c>
      <c r="BF141" s="333">
        <v>0.6</v>
      </c>
      <c r="BG141" s="333">
        <v>0.48</v>
      </c>
      <c r="BH141" s="333">
        <v>0.47</v>
      </c>
      <c r="BI141" s="333">
        <v>0.34</v>
      </c>
      <c r="BJ141" s="333">
        <v>0.3</v>
      </c>
      <c r="BK141" s="333">
        <v>0.31</v>
      </c>
      <c r="BL141" s="333">
        <v>0.5</v>
      </c>
      <c r="BM141" s="330">
        <v>51</v>
      </c>
      <c r="BN141" s="330">
        <v>5</v>
      </c>
      <c r="BO141" s="335">
        <v>0</v>
      </c>
      <c r="BP141" s="335">
        <v>1</v>
      </c>
      <c r="BQ141" s="335">
        <v>0</v>
      </c>
      <c r="BR141" s="335">
        <v>0</v>
      </c>
      <c r="BS141" s="335">
        <v>0.33</v>
      </c>
      <c r="BT141" s="330" t="s">
        <v>283</v>
      </c>
      <c r="BU141" s="330" t="s">
        <v>283</v>
      </c>
      <c r="BV141" s="335">
        <v>1</v>
      </c>
      <c r="BW141" s="335">
        <v>0.33</v>
      </c>
      <c r="BX141" s="335">
        <v>0.43</v>
      </c>
      <c r="BY141" s="335">
        <v>0.33</v>
      </c>
      <c r="BZ141" s="335">
        <v>0.33</v>
      </c>
      <c r="CA141" s="335">
        <v>0.25</v>
      </c>
      <c r="CB141" s="335">
        <v>0.33</v>
      </c>
      <c r="CC141" s="335">
        <v>0.5</v>
      </c>
      <c r="CD141" s="335">
        <v>0.2</v>
      </c>
      <c r="CE141" s="335">
        <v>0.6</v>
      </c>
      <c r="CF141" s="335">
        <v>0.5</v>
      </c>
      <c r="CG141" s="335">
        <v>0.5</v>
      </c>
      <c r="CH141" s="335">
        <v>0.71</v>
      </c>
      <c r="CI141" s="335">
        <v>0.33</v>
      </c>
      <c r="CJ141" s="335">
        <v>1</v>
      </c>
      <c r="CK141" s="335">
        <v>0.67</v>
      </c>
      <c r="CL141" s="335">
        <v>0.2</v>
      </c>
      <c r="CM141" s="335">
        <v>0.25</v>
      </c>
      <c r="CN141" s="335">
        <v>0.71</v>
      </c>
      <c r="CO141" s="335">
        <v>0.67</v>
      </c>
      <c r="CP141" s="335">
        <v>0</v>
      </c>
      <c r="CQ141" s="335">
        <v>0.9</v>
      </c>
      <c r="CR141" s="335">
        <v>0.33</v>
      </c>
      <c r="CS141" s="330">
        <v>45</v>
      </c>
      <c r="CT141" s="330">
        <v>9</v>
      </c>
      <c r="CU141" s="329">
        <v>0.4</v>
      </c>
      <c r="CV141" s="329">
        <v>0.4</v>
      </c>
      <c r="CW141" s="329">
        <v>0.2</v>
      </c>
      <c r="CX141" s="329">
        <v>0</v>
      </c>
      <c r="CY141" s="329">
        <v>0.44</v>
      </c>
      <c r="CZ141" s="329">
        <v>0.43</v>
      </c>
      <c r="DA141" s="329">
        <v>0.56999999999999995</v>
      </c>
      <c r="DB141" s="329">
        <v>0.33</v>
      </c>
      <c r="DC141" s="329">
        <v>0.38</v>
      </c>
      <c r="DD141" s="329">
        <v>0.67</v>
      </c>
      <c r="DE141" s="329">
        <v>0.83</v>
      </c>
      <c r="DF141" s="329">
        <v>0.54</v>
      </c>
      <c r="DG141" s="329">
        <v>0.4</v>
      </c>
      <c r="DH141" s="329">
        <v>0.47</v>
      </c>
      <c r="DI141" s="329">
        <v>0.86</v>
      </c>
      <c r="DJ141" s="329">
        <v>0.67</v>
      </c>
      <c r="DK141" s="329">
        <v>0.43</v>
      </c>
      <c r="DL141" s="329">
        <v>1</v>
      </c>
      <c r="DM141" s="329">
        <v>0.64</v>
      </c>
      <c r="DN141" s="329">
        <v>0.6</v>
      </c>
      <c r="DO141" s="329">
        <v>0.43</v>
      </c>
      <c r="DP141" s="329">
        <v>0.23</v>
      </c>
      <c r="DQ141" s="329">
        <v>0.41</v>
      </c>
      <c r="DR141" s="329">
        <v>0.7</v>
      </c>
      <c r="DS141" s="329">
        <v>0.75</v>
      </c>
      <c r="DT141" s="329">
        <v>0.75</v>
      </c>
      <c r="DU141" s="329">
        <v>0.5</v>
      </c>
      <c r="DV141" s="329">
        <v>0.56999999999999995</v>
      </c>
      <c r="DW141" s="329">
        <v>0.36</v>
      </c>
      <c r="DX141" s="313">
        <v>51</v>
      </c>
      <c r="DY141" s="313">
        <v>5</v>
      </c>
      <c r="DZ141" s="333">
        <v>0</v>
      </c>
      <c r="EA141" s="333">
        <v>0.67</v>
      </c>
      <c r="EB141" s="333">
        <v>0.33</v>
      </c>
      <c r="EC141" s="333">
        <v>0</v>
      </c>
      <c r="ED141" s="333">
        <v>0.67</v>
      </c>
      <c r="EE141" s="333">
        <v>0.5</v>
      </c>
      <c r="EF141" s="333">
        <v>0.5</v>
      </c>
      <c r="EG141" s="333">
        <v>0</v>
      </c>
      <c r="EH141" s="333">
        <v>0.17</v>
      </c>
      <c r="EI141" s="333">
        <v>0.4</v>
      </c>
      <c r="EJ141" s="333">
        <v>0.6</v>
      </c>
      <c r="EK141" s="333">
        <v>0</v>
      </c>
      <c r="EL141" s="333">
        <v>0.4</v>
      </c>
      <c r="EM141" s="333">
        <v>0.25</v>
      </c>
      <c r="EN141" s="333">
        <v>0.33</v>
      </c>
      <c r="EO141" s="333">
        <v>0.44</v>
      </c>
      <c r="EP141" s="333">
        <v>0.6</v>
      </c>
      <c r="EQ141" s="333">
        <v>0</v>
      </c>
      <c r="ER141" s="333">
        <v>0.6</v>
      </c>
      <c r="ES141" s="333">
        <v>0.5</v>
      </c>
      <c r="ET141" s="333">
        <v>0.13</v>
      </c>
      <c r="EU141" s="333">
        <v>0.5</v>
      </c>
      <c r="EV141" s="333">
        <v>0</v>
      </c>
      <c r="EW141" s="333">
        <v>0.5</v>
      </c>
      <c r="EX141" s="333">
        <v>1</v>
      </c>
      <c r="EY141" s="333">
        <v>0.5</v>
      </c>
      <c r="EZ141" s="333">
        <v>1</v>
      </c>
      <c r="FA141" s="333">
        <v>0.88</v>
      </c>
      <c r="FB141" s="653">
        <v>52</v>
      </c>
      <c r="FC141" s="653" t="s">
        <v>874</v>
      </c>
      <c r="FD141" s="653">
        <v>5</v>
      </c>
      <c r="FE141" s="653" t="s">
        <v>876</v>
      </c>
      <c r="FF141" s="654">
        <v>0</v>
      </c>
      <c r="FG141" s="654">
        <v>0.67</v>
      </c>
      <c r="FH141" s="654">
        <v>0.33</v>
      </c>
      <c r="FI141" s="654">
        <v>0</v>
      </c>
      <c r="FJ141" s="654">
        <v>0.25</v>
      </c>
      <c r="FK141" s="654">
        <v>0.75</v>
      </c>
      <c r="FL141" s="654">
        <v>0.45</v>
      </c>
      <c r="FM141" s="654">
        <v>0.8</v>
      </c>
      <c r="FN141" s="654">
        <v>0.22</v>
      </c>
      <c r="FO141" s="654">
        <v>0.5</v>
      </c>
      <c r="FP141" s="654">
        <v>0.36</v>
      </c>
      <c r="FQ141" s="654">
        <v>0.27</v>
      </c>
      <c r="FR141" s="654">
        <v>0.47</v>
      </c>
      <c r="FS141" s="654">
        <v>0.64</v>
      </c>
      <c r="FT141" s="654">
        <v>0.45</v>
      </c>
      <c r="FU141" s="654">
        <v>0.33</v>
      </c>
      <c r="FV141" s="654">
        <v>0.5</v>
      </c>
      <c r="FW141" s="654">
        <v>0.46</v>
      </c>
      <c r="FX141" s="654">
        <v>0.75</v>
      </c>
      <c r="FY141" s="654">
        <v>0.47</v>
      </c>
      <c r="FZ141" s="654">
        <v>0.22</v>
      </c>
      <c r="GA141" s="654">
        <v>0.22</v>
      </c>
      <c r="GB141" s="654">
        <v>0.36</v>
      </c>
      <c r="GC141" s="654">
        <v>0.25</v>
      </c>
      <c r="GD141" s="654">
        <v>0.71</v>
      </c>
      <c r="GE141" s="654">
        <v>0.36</v>
      </c>
      <c r="GF141" s="654">
        <v>0.25</v>
      </c>
      <c r="GG141" s="654">
        <v>0.5</v>
      </c>
      <c r="GH141" s="654">
        <v>0.63</v>
      </c>
      <c r="GI141" s="654">
        <v>0.28999999999999998</v>
      </c>
      <c r="GJ141" s="311">
        <v>52</v>
      </c>
      <c r="GK141" s="311" t="s">
        <v>874</v>
      </c>
      <c r="GL141" s="311">
        <v>4</v>
      </c>
      <c r="GM141" s="311" t="s">
        <v>876</v>
      </c>
      <c r="GN141" s="329">
        <v>0</v>
      </c>
      <c r="GO141" s="329">
        <v>1</v>
      </c>
      <c r="GP141" s="329">
        <v>0</v>
      </c>
      <c r="GQ141" s="329">
        <v>0</v>
      </c>
      <c r="GR141" s="329">
        <v>0</v>
      </c>
      <c r="GS141" s="329">
        <v>0.28999999999999998</v>
      </c>
      <c r="GT141" s="329">
        <v>0.56000000000000005</v>
      </c>
      <c r="GU141" s="329">
        <v>0</v>
      </c>
      <c r="GV141" s="329">
        <v>0.44</v>
      </c>
      <c r="GW141" s="329">
        <v>0.33</v>
      </c>
      <c r="GX141" s="329">
        <v>0.25</v>
      </c>
      <c r="GY141" s="311" t="s">
        <v>283</v>
      </c>
      <c r="GZ141" s="329">
        <v>0.5</v>
      </c>
      <c r="HA141" s="329">
        <v>0</v>
      </c>
      <c r="HB141" s="329">
        <v>0.4</v>
      </c>
      <c r="HC141" s="329">
        <v>0.6</v>
      </c>
      <c r="HD141" s="329">
        <v>0.5</v>
      </c>
      <c r="HE141" s="329">
        <v>0.5</v>
      </c>
      <c r="HF141" s="329">
        <v>0.44</v>
      </c>
      <c r="HG141" s="329">
        <v>0.86</v>
      </c>
      <c r="HH141" s="329">
        <v>0.67</v>
      </c>
      <c r="HI141" s="329">
        <v>0.67</v>
      </c>
      <c r="HJ141" s="329">
        <v>0.56999999999999995</v>
      </c>
      <c r="HK141" s="329">
        <v>0.75</v>
      </c>
      <c r="HL141" s="329">
        <v>0.17</v>
      </c>
      <c r="HM141" s="329">
        <v>0.42</v>
      </c>
      <c r="HN141" s="329">
        <v>0.4</v>
      </c>
      <c r="HO141" s="329">
        <v>0.44</v>
      </c>
      <c r="HP141" s="311" t="s">
        <v>283</v>
      </c>
      <c r="HQ141" s="329">
        <v>0.5</v>
      </c>
      <c r="HR141" s="426">
        <v>55</v>
      </c>
      <c r="HS141" s="426" t="s">
        <v>874</v>
      </c>
      <c r="HT141" s="426">
        <v>8</v>
      </c>
      <c r="HU141" s="426" t="s">
        <v>874</v>
      </c>
      <c r="HV141" s="430">
        <v>0</v>
      </c>
      <c r="HW141" s="430">
        <v>0.5</v>
      </c>
      <c r="HX141" s="430">
        <v>0.5</v>
      </c>
      <c r="HY141" s="430">
        <v>0</v>
      </c>
      <c r="HZ141" s="430">
        <v>0.71</v>
      </c>
      <c r="IA141" s="430">
        <v>0.38</v>
      </c>
      <c r="IB141" s="430">
        <v>0.67</v>
      </c>
      <c r="IC141" s="430">
        <v>0.38</v>
      </c>
      <c r="ID141" s="430">
        <v>0.69</v>
      </c>
      <c r="IE141" s="430">
        <v>0.22</v>
      </c>
      <c r="IF141" s="430">
        <v>0.25</v>
      </c>
      <c r="IG141" s="430">
        <v>0.33</v>
      </c>
      <c r="IH141" s="430">
        <v>0.56000000000000005</v>
      </c>
      <c r="II141" s="430">
        <v>0</v>
      </c>
      <c r="IJ141" s="430">
        <v>0.11</v>
      </c>
      <c r="IK141" s="430">
        <v>0.67</v>
      </c>
      <c r="IL141" s="430">
        <v>0.5</v>
      </c>
      <c r="IM141" s="430">
        <v>0.73</v>
      </c>
      <c r="IN141" s="430">
        <v>0.14000000000000001</v>
      </c>
      <c r="IO141" s="430">
        <v>0.56000000000000005</v>
      </c>
      <c r="IP141" s="430">
        <v>0</v>
      </c>
      <c r="IQ141" s="430">
        <v>0.67</v>
      </c>
      <c r="IR141" s="430">
        <v>0.25</v>
      </c>
      <c r="IS141" s="430">
        <v>0.5</v>
      </c>
      <c r="IT141" s="430">
        <v>0.25</v>
      </c>
      <c r="IU141" s="426" t="s">
        <v>283</v>
      </c>
      <c r="IV141" s="430">
        <v>0.38</v>
      </c>
      <c r="IW141" s="430">
        <v>0.43</v>
      </c>
      <c r="IX141" s="430">
        <v>0.14000000000000001</v>
      </c>
      <c r="IY141" s="430">
        <v>0.36</v>
      </c>
      <c r="IZ141" s="660">
        <v>49</v>
      </c>
      <c r="JA141" s="660" t="s">
        <v>874</v>
      </c>
      <c r="JB141" s="660">
        <v>9</v>
      </c>
      <c r="JC141" s="660" t="s">
        <v>874</v>
      </c>
      <c r="JD141" s="661">
        <v>0.14000000000000001</v>
      </c>
      <c r="JE141" s="661">
        <v>0.56999999999999995</v>
      </c>
      <c r="JF141" s="661">
        <v>0.28999999999999998</v>
      </c>
      <c r="JG141" s="661">
        <v>0</v>
      </c>
      <c r="JH141" s="661">
        <v>0.5</v>
      </c>
      <c r="JI141" s="661">
        <v>0.41</v>
      </c>
      <c r="JJ141" s="661">
        <v>0.63</v>
      </c>
      <c r="JK141" s="661">
        <v>0.6</v>
      </c>
      <c r="JL141" s="661">
        <v>0.38</v>
      </c>
      <c r="JM141" s="661">
        <v>0.56000000000000005</v>
      </c>
      <c r="JN141" s="661">
        <v>0.56999999999999995</v>
      </c>
      <c r="JO141" s="661">
        <v>0.5</v>
      </c>
      <c r="JP141" s="661">
        <v>0.57999999999999996</v>
      </c>
      <c r="JQ141" s="661">
        <v>0.5</v>
      </c>
      <c r="JR141" s="661">
        <v>0.46</v>
      </c>
      <c r="JS141" s="661">
        <v>0.2</v>
      </c>
      <c r="JT141" s="661">
        <v>0.5</v>
      </c>
      <c r="JU141" s="661">
        <v>0.4</v>
      </c>
      <c r="JV141" s="661">
        <v>0.59</v>
      </c>
      <c r="JW141" s="661">
        <v>0.52</v>
      </c>
      <c r="JX141" s="661">
        <v>0.43</v>
      </c>
      <c r="JY141" s="661">
        <v>0.54</v>
      </c>
      <c r="JZ141" s="661">
        <v>0.6</v>
      </c>
      <c r="KA141" s="661">
        <v>0.33</v>
      </c>
      <c r="KB141" s="661">
        <v>0.77</v>
      </c>
      <c r="KC141" s="661">
        <v>0.88</v>
      </c>
      <c r="KD141" s="661">
        <v>0.38</v>
      </c>
      <c r="KE141" s="661">
        <v>0.67</v>
      </c>
      <c r="KF141" s="661">
        <v>0.27</v>
      </c>
      <c r="KG141" s="661">
        <v>0.36</v>
      </c>
    </row>
    <row r="142" spans="1:293" ht="24.95" customHeight="1" x14ac:dyDescent="0.2">
      <c r="A142" s="814" t="s">
        <v>233</v>
      </c>
      <c r="B142" s="1" t="s">
        <v>221</v>
      </c>
      <c r="C142" s="2">
        <v>2</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t="s">
        <v>224</v>
      </c>
      <c r="AI142" s="12" t="s">
        <v>224</v>
      </c>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12" t="s">
        <v>224</v>
      </c>
      <c r="BN142" s="12" t="s">
        <v>224</v>
      </c>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v>49</v>
      </c>
      <c r="CT142" s="12">
        <v>6</v>
      </c>
      <c r="CU142" s="63">
        <v>0.17</v>
      </c>
      <c r="CV142" s="63">
        <v>0.83</v>
      </c>
      <c r="CW142" s="63">
        <v>0</v>
      </c>
      <c r="CX142" s="63">
        <v>0</v>
      </c>
      <c r="CY142" s="63">
        <v>0.33</v>
      </c>
      <c r="CZ142" s="63">
        <v>0.26</v>
      </c>
      <c r="DA142" s="63">
        <v>0.56000000000000005</v>
      </c>
      <c r="DB142" s="63">
        <v>0.18</v>
      </c>
      <c r="DC142" s="63">
        <v>0.56000000000000005</v>
      </c>
      <c r="DD142" s="63">
        <v>0.75</v>
      </c>
      <c r="DE142" s="63">
        <v>0.44</v>
      </c>
      <c r="DF142" s="63">
        <v>0.6</v>
      </c>
      <c r="DG142" s="63">
        <v>0.6</v>
      </c>
      <c r="DH142" s="63">
        <v>0.39</v>
      </c>
      <c r="DI142" s="63">
        <v>1</v>
      </c>
      <c r="DJ142" s="63">
        <v>0.76</v>
      </c>
      <c r="DK142" s="63">
        <v>0.36</v>
      </c>
      <c r="DL142" s="63">
        <v>0</v>
      </c>
      <c r="DM142" s="63">
        <v>0.35</v>
      </c>
      <c r="DN142" s="63">
        <v>0.22</v>
      </c>
      <c r="DO142" s="63">
        <v>0.2</v>
      </c>
      <c r="DP142" s="63">
        <v>0.67</v>
      </c>
      <c r="DQ142" s="63">
        <v>0.48</v>
      </c>
      <c r="DR142" s="63">
        <v>0.14000000000000001</v>
      </c>
      <c r="DS142" s="63">
        <v>0.62</v>
      </c>
      <c r="DT142" s="63">
        <v>0.64</v>
      </c>
      <c r="DU142" s="63">
        <v>0.33</v>
      </c>
      <c r="DV142" s="63">
        <v>0.89</v>
      </c>
      <c r="DW142" s="63">
        <v>0.17</v>
      </c>
      <c r="DX142" s="35">
        <v>50</v>
      </c>
      <c r="DY142" s="35">
        <v>7</v>
      </c>
      <c r="DZ142" s="40">
        <v>0</v>
      </c>
      <c r="EA142" s="40">
        <v>0.67</v>
      </c>
      <c r="EB142" s="40">
        <v>0.33</v>
      </c>
      <c r="EC142" s="40">
        <v>0</v>
      </c>
      <c r="ED142" s="40">
        <v>0.75</v>
      </c>
      <c r="EE142" s="40">
        <v>0.88</v>
      </c>
      <c r="EF142" s="40">
        <v>0.2</v>
      </c>
      <c r="EG142" s="40">
        <v>0</v>
      </c>
      <c r="EH142" s="40">
        <v>0</v>
      </c>
      <c r="EI142" s="40">
        <v>0.33</v>
      </c>
      <c r="EJ142" s="40">
        <v>0.5</v>
      </c>
      <c r="EK142" s="40">
        <v>0.33</v>
      </c>
      <c r="EL142" s="40">
        <v>0.6</v>
      </c>
      <c r="EM142" s="40">
        <v>0.5</v>
      </c>
      <c r="EN142" s="40">
        <v>0.5</v>
      </c>
      <c r="EO142" s="40">
        <v>0.33</v>
      </c>
      <c r="EP142" s="40">
        <v>0.14000000000000001</v>
      </c>
      <c r="EQ142" s="40">
        <v>0.5</v>
      </c>
      <c r="ER142" s="40">
        <v>0.56999999999999995</v>
      </c>
      <c r="ES142" s="40">
        <v>0.25</v>
      </c>
      <c r="ET142" s="40">
        <v>0.22</v>
      </c>
      <c r="EU142" s="40">
        <v>1</v>
      </c>
      <c r="EV142" s="35" t="s">
        <v>283</v>
      </c>
      <c r="EW142" s="40">
        <v>0.67</v>
      </c>
      <c r="EX142" s="40">
        <v>0.5</v>
      </c>
      <c r="EY142" s="40">
        <v>0.73</v>
      </c>
      <c r="EZ142" s="40">
        <v>1</v>
      </c>
      <c r="FA142" s="40">
        <v>0.56999999999999995</v>
      </c>
      <c r="FB142" s="247">
        <v>47</v>
      </c>
      <c r="FC142" s="247" t="s">
        <v>874</v>
      </c>
      <c r="FD142" s="247">
        <v>11</v>
      </c>
      <c r="FE142" s="247" t="s">
        <v>874</v>
      </c>
      <c r="FF142" s="264">
        <v>0.43</v>
      </c>
      <c r="FG142" s="264">
        <v>0.28999999999999998</v>
      </c>
      <c r="FH142" s="264">
        <v>0.28999999999999998</v>
      </c>
      <c r="FI142" s="264">
        <v>0</v>
      </c>
      <c r="FJ142" s="264">
        <v>0.53</v>
      </c>
      <c r="FK142" s="264">
        <v>0.54</v>
      </c>
      <c r="FL142" s="264">
        <v>0.56999999999999995</v>
      </c>
      <c r="FM142" s="264">
        <v>0.38</v>
      </c>
      <c r="FN142" s="264">
        <v>0.53</v>
      </c>
      <c r="FO142" s="264">
        <v>0.24</v>
      </c>
      <c r="FP142" s="264">
        <v>0.47</v>
      </c>
      <c r="FQ142" s="264">
        <v>0.41</v>
      </c>
      <c r="FR142" s="264">
        <v>0.56999999999999995</v>
      </c>
      <c r="FS142" s="264">
        <v>0.65</v>
      </c>
      <c r="FT142" s="264">
        <v>0.44</v>
      </c>
      <c r="FU142" s="264">
        <v>0.67</v>
      </c>
      <c r="FV142" s="264">
        <v>0.48</v>
      </c>
      <c r="FW142" s="264">
        <v>0.66</v>
      </c>
      <c r="FX142" s="264">
        <v>0.53</v>
      </c>
      <c r="FY142" s="264">
        <v>0.48</v>
      </c>
      <c r="FZ142" s="264">
        <v>0.35</v>
      </c>
      <c r="GA142" s="264">
        <v>0.59</v>
      </c>
      <c r="GB142" s="264">
        <v>0.26</v>
      </c>
      <c r="GC142" s="264">
        <v>0.43</v>
      </c>
      <c r="GD142" s="264">
        <v>0.64</v>
      </c>
      <c r="GE142" s="264">
        <v>0.57999999999999996</v>
      </c>
      <c r="GF142" s="264">
        <v>0.52</v>
      </c>
      <c r="GG142" s="264">
        <v>0.42</v>
      </c>
      <c r="GH142" s="264">
        <v>0.59</v>
      </c>
      <c r="GI142" s="264">
        <v>0.48</v>
      </c>
      <c r="GJ142" s="311">
        <v>50</v>
      </c>
      <c r="GK142" s="311" t="s">
        <v>874</v>
      </c>
      <c r="GL142" s="311">
        <v>7</v>
      </c>
      <c r="GM142" s="311" t="s">
        <v>874</v>
      </c>
      <c r="GN142" s="329">
        <v>0.05</v>
      </c>
      <c r="GO142" s="329">
        <v>0.81</v>
      </c>
      <c r="GP142" s="329">
        <v>0.14000000000000001</v>
      </c>
      <c r="GQ142" s="329">
        <v>0</v>
      </c>
      <c r="GR142" s="329">
        <v>0.55000000000000004</v>
      </c>
      <c r="GS142" s="329">
        <v>0.62</v>
      </c>
      <c r="GT142" s="329">
        <v>0.56000000000000005</v>
      </c>
      <c r="GU142" s="329">
        <v>0.33</v>
      </c>
      <c r="GV142" s="329">
        <v>0.55000000000000004</v>
      </c>
      <c r="GW142" s="329">
        <v>0.63</v>
      </c>
      <c r="GX142" s="329">
        <v>0.54</v>
      </c>
      <c r="GY142" s="311" t="s">
        <v>283</v>
      </c>
      <c r="GZ142" s="329">
        <v>0.4</v>
      </c>
      <c r="HA142" s="329">
        <v>0.82</v>
      </c>
      <c r="HB142" s="329">
        <v>0.51</v>
      </c>
      <c r="HC142" s="329">
        <v>0.59</v>
      </c>
      <c r="HD142" s="329">
        <v>0.56000000000000005</v>
      </c>
      <c r="HE142" s="329">
        <v>0.41</v>
      </c>
      <c r="HF142" s="329">
        <v>0.44</v>
      </c>
      <c r="HG142" s="329">
        <v>0.65</v>
      </c>
      <c r="HH142" s="329">
        <v>0.42</v>
      </c>
      <c r="HI142" s="329">
        <v>0.44</v>
      </c>
      <c r="HJ142" s="329">
        <v>0.61</v>
      </c>
      <c r="HK142" s="329">
        <v>0.61</v>
      </c>
      <c r="HL142" s="329">
        <v>0.4</v>
      </c>
      <c r="HM142" s="329">
        <v>0.62</v>
      </c>
      <c r="HN142" s="329">
        <v>0.52</v>
      </c>
      <c r="HO142" s="329">
        <v>0.38</v>
      </c>
      <c r="HP142" s="311" t="s">
        <v>283</v>
      </c>
      <c r="HQ142" s="329">
        <v>0.53</v>
      </c>
      <c r="HR142" s="426">
        <v>46</v>
      </c>
      <c r="HS142" s="426" t="s">
        <v>874</v>
      </c>
      <c r="HT142" s="426">
        <v>10</v>
      </c>
      <c r="HU142" s="426" t="s">
        <v>874</v>
      </c>
      <c r="HV142" s="430">
        <v>0.32</v>
      </c>
      <c r="HW142" s="430">
        <v>0.42</v>
      </c>
      <c r="HX142" s="430">
        <v>0.26</v>
      </c>
      <c r="HY142" s="430">
        <v>0</v>
      </c>
      <c r="HZ142" s="430">
        <v>0.44</v>
      </c>
      <c r="IA142" s="430">
        <v>0.64</v>
      </c>
      <c r="IB142" s="430">
        <v>0.39</v>
      </c>
      <c r="IC142" s="430">
        <v>0.56000000000000005</v>
      </c>
      <c r="ID142" s="430">
        <v>0.73</v>
      </c>
      <c r="IE142" s="430">
        <v>0.41</v>
      </c>
      <c r="IF142" s="430">
        <v>0.47</v>
      </c>
      <c r="IG142" s="430">
        <v>0.72</v>
      </c>
      <c r="IH142" s="430">
        <v>0.64</v>
      </c>
      <c r="II142" s="430">
        <v>0.64</v>
      </c>
      <c r="IJ142" s="430">
        <v>0.48</v>
      </c>
      <c r="IK142" s="430">
        <v>0.61</v>
      </c>
      <c r="IL142" s="430">
        <v>0.24</v>
      </c>
      <c r="IM142" s="430">
        <v>0.67</v>
      </c>
      <c r="IN142" s="430">
        <v>0.66</v>
      </c>
      <c r="IO142" s="430">
        <v>0.62</v>
      </c>
      <c r="IP142" s="430">
        <v>0.48</v>
      </c>
      <c r="IQ142" s="430">
        <v>0.73</v>
      </c>
      <c r="IR142" s="430">
        <v>0.54</v>
      </c>
      <c r="IS142" s="430">
        <v>0.7</v>
      </c>
      <c r="IT142" s="430">
        <v>0.56999999999999995</v>
      </c>
      <c r="IU142" s="426" t="s">
        <v>283</v>
      </c>
      <c r="IV142" s="430">
        <v>0.84</v>
      </c>
      <c r="IW142" s="430">
        <v>0.56000000000000005</v>
      </c>
      <c r="IX142" s="430">
        <v>0.42</v>
      </c>
      <c r="IY142" s="430">
        <v>0.62</v>
      </c>
      <c r="IZ142" s="466">
        <v>44</v>
      </c>
      <c r="JA142" s="466" t="s">
        <v>876</v>
      </c>
      <c r="JB142" s="466">
        <v>7</v>
      </c>
      <c r="JC142" s="466" t="s">
        <v>874</v>
      </c>
      <c r="JD142" s="480">
        <v>0.17</v>
      </c>
      <c r="JE142" s="480">
        <v>0.75</v>
      </c>
      <c r="JF142" s="480">
        <v>0.08</v>
      </c>
      <c r="JG142" s="480">
        <v>0</v>
      </c>
      <c r="JH142" s="480">
        <v>0.57999999999999996</v>
      </c>
      <c r="JI142" s="480">
        <v>0.51</v>
      </c>
      <c r="JJ142" s="480">
        <v>0.59</v>
      </c>
      <c r="JK142" s="480">
        <v>0.48</v>
      </c>
      <c r="JL142" s="480">
        <v>0.56999999999999995</v>
      </c>
      <c r="JM142" s="480">
        <v>0.78</v>
      </c>
      <c r="JN142" s="480">
        <v>0.62</v>
      </c>
      <c r="JO142" s="480">
        <v>0.69</v>
      </c>
      <c r="JP142" s="480">
        <v>0.63</v>
      </c>
      <c r="JQ142" s="480">
        <v>0.31</v>
      </c>
      <c r="JR142" s="480">
        <v>0.63</v>
      </c>
      <c r="JS142" s="480">
        <v>0.5</v>
      </c>
      <c r="JT142" s="480">
        <v>0.5</v>
      </c>
      <c r="JU142" s="480">
        <v>0.5</v>
      </c>
      <c r="JV142" s="480">
        <v>0.77</v>
      </c>
      <c r="JW142" s="480">
        <v>0.48</v>
      </c>
      <c r="JX142" s="480">
        <v>0.48</v>
      </c>
      <c r="JY142" s="480">
        <v>0.56999999999999995</v>
      </c>
      <c r="JZ142" s="480">
        <v>0.86</v>
      </c>
      <c r="KA142" s="480">
        <v>0.6</v>
      </c>
      <c r="KB142" s="480">
        <v>0.55000000000000004</v>
      </c>
      <c r="KC142" s="480">
        <v>0.63</v>
      </c>
      <c r="KD142" s="480">
        <v>0.65</v>
      </c>
      <c r="KE142" s="480">
        <v>0.71</v>
      </c>
      <c r="KF142" s="480">
        <v>0.53</v>
      </c>
      <c r="KG142" s="480">
        <v>0.81</v>
      </c>
    </row>
    <row r="143" spans="1:293" ht="24.95" customHeight="1" x14ac:dyDescent="0.2">
      <c r="A143" s="814" t="s">
        <v>144</v>
      </c>
      <c r="B143" s="1" t="s">
        <v>221</v>
      </c>
      <c r="C143" s="2">
        <v>2</v>
      </c>
      <c r="D143" s="12">
        <v>51</v>
      </c>
      <c r="E143" s="12">
        <v>8</v>
      </c>
      <c r="F143" s="66">
        <v>0.1</v>
      </c>
      <c r="G143" s="66">
        <v>0.67</v>
      </c>
      <c r="H143" s="66">
        <v>0.24</v>
      </c>
      <c r="I143" s="66">
        <v>0</v>
      </c>
      <c r="J143" s="66">
        <v>0.53</v>
      </c>
      <c r="K143" s="66">
        <v>0.5</v>
      </c>
      <c r="L143" s="66">
        <v>0.81</v>
      </c>
      <c r="M143" s="66">
        <v>0.38</v>
      </c>
      <c r="N143" s="66">
        <v>0.32</v>
      </c>
      <c r="O143" s="66">
        <v>0.71</v>
      </c>
      <c r="P143" s="66">
        <v>0.43</v>
      </c>
      <c r="Q143" s="66">
        <v>0.59</v>
      </c>
      <c r="R143" s="66">
        <v>0.62</v>
      </c>
      <c r="S143" s="66">
        <v>0.65</v>
      </c>
      <c r="T143" s="66">
        <v>0.61</v>
      </c>
      <c r="U143" s="66">
        <v>0.6</v>
      </c>
      <c r="V143" s="66">
        <v>0.09</v>
      </c>
      <c r="W143" s="66">
        <v>0.39</v>
      </c>
      <c r="X143" s="66">
        <v>0.55000000000000004</v>
      </c>
      <c r="Y143" s="66">
        <v>0.61</v>
      </c>
      <c r="Z143" s="66">
        <v>1</v>
      </c>
      <c r="AA143" s="66">
        <v>0.08</v>
      </c>
      <c r="AB143" s="66">
        <v>0.55000000000000004</v>
      </c>
      <c r="AC143" s="66">
        <v>0.22</v>
      </c>
      <c r="AD143" s="66">
        <v>0.49</v>
      </c>
      <c r="AE143" s="66">
        <v>0.57999999999999996</v>
      </c>
      <c r="AF143" s="66">
        <v>0.57999999999999996</v>
      </c>
      <c r="AG143" s="66">
        <v>0.4</v>
      </c>
      <c r="AH143" s="12">
        <v>55</v>
      </c>
      <c r="AI143" s="12">
        <v>8</v>
      </c>
      <c r="AJ143" s="40">
        <v>0.05</v>
      </c>
      <c r="AK143" s="40">
        <v>0.38</v>
      </c>
      <c r="AL143" s="40">
        <v>0.56000000000000005</v>
      </c>
      <c r="AM143" s="40">
        <v>0</v>
      </c>
      <c r="AN143" s="40">
        <v>0.21</v>
      </c>
      <c r="AO143" s="40">
        <v>0.34</v>
      </c>
      <c r="AP143" s="40">
        <v>0.53</v>
      </c>
      <c r="AQ143" s="40">
        <v>0.3</v>
      </c>
      <c r="AR143" s="40">
        <v>0.57999999999999996</v>
      </c>
      <c r="AS143" s="40">
        <v>0.48</v>
      </c>
      <c r="AT143" s="40">
        <v>0.44</v>
      </c>
      <c r="AU143" s="40">
        <v>0.49</v>
      </c>
      <c r="AV143" s="40">
        <v>0.54</v>
      </c>
      <c r="AW143" s="40">
        <v>0.44</v>
      </c>
      <c r="AX143" s="40">
        <v>0.53</v>
      </c>
      <c r="AY143" s="40">
        <v>0.27</v>
      </c>
      <c r="AZ143" s="40">
        <v>0.24</v>
      </c>
      <c r="BA143" s="40">
        <v>0.45</v>
      </c>
      <c r="BB143" s="40">
        <v>0.61</v>
      </c>
      <c r="BC143" s="40">
        <v>0.64</v>
      </c>
      <c r="BD143" s="40">
        <v>0.45</v>
      </c>
      <c r="BE143" s="40">
        <v>0.55000000000000004</v>
      </c>
      <c r="BF143" s="40">
        <v>0.6</v>
      </c>
      <c r="BG143" s="40">
        <v>0.43</v>
      </c>
      <c r="BH143" s="40">
        <v>0.39</v>
      </c>
      <c r="BI143" s="40">
        <v>0.36</v>
      </c>
      <c r="BJ143" s="40">
        <v>0.26</v>
      </c>
      <c r="BK143" s="40">
        <v>0.36</v>
      </c>
      <c r="BL143" s="40">
        <v>0.42</v>
      </c>
      <c r="BM143" s="12">
        <v>52</v>
      </c>
      <c r="BN143" s="12">
        <v>10</v>
      </c>
      <c r="BO143" s="66">
        <v>0.12</v>
      </c>
      <c r="BP143" s="66">
        <v>0.49</v>
      </c>
      <c r="BQ143" s="66">
        <v>0.33</v>
      </c>
      <c r="BR143" s="66">
        <v>0.06</v>
      </c>
      <c r="BS143" s="66">
        <v>0.3</v>
      </c>
      <c r="BT143" s="66">
        <v>0.62</v>
      </c>
      <c r="BU143" s="66">
        <v>0.59</v>
      </c>
      <c r="BV143" s="66">
        <v>0.47</v>
      </c>
      <c r="BW143" s="66">
        <v>0.55000000000000004</v>
      </c>
      <c r="BX143" s="66">
        <v>0.39</v>
      </c>
      <c r="BY143" s="66">
        <v>0.4</v>
      </c>
      <c r="BZ143" s="66">
        <v>0.55000000000000004</v>
      </c>
      <c r="CA143" s="66">
        <v>0.4</v>
      </c>
      <c r="CB143" s="66">
        <v>0.33</v>
      </c>
      <c r="CC143" s="66">
        <v>0.2</v>
      </c>
      <c r="CD143" s="66">
        <v>0.4</v>
      </c>
      <c r="CE143" s="66">
        <v>0.32</v>
      </c>
      <c r="CF143" s="66">
        <v>0.72</v>
      </c>
      <c r="CG143" s="66">
        <v>0.57999999999999996</v>
      </c>
      <c r="CH143" s="66">
        <v>0.45</v>
      </c>
      <c r="CI143" s="66">
        <v>0.57999999999999996</v>
      </c>
      <c r="CJ143" s="66">
        <v>0.28999999999999998</v>
      </c>
      <c r="CK143" s="66">
        <v>0.66</v>
      </c>
      <c r="CL143" s="66">
        <v>0.27</v>
      </c>
      <c r="CM143" s="66">
        <v>0.38</v>
      </c>
      <c r="CN143" s="66">
        <v>0.38</v>
      </c>
      <c r="CO143" s="66">
        <v>0.46</v>
      </c>
      <c r="CP143" s="66">
        <v>0.27</v>
      </c>
      <c r="CQ143" s="66">
        <v>0.49</v>
      </c>
      <c r="CR143" s="66">
        <v>0.5</v>
      </c>
      <c r="CS143" s="12">
        <v>52</v>
      </c>
      <c r="CT143" s="12">
        <v>8</v>
      </c>
      <c r="CU143" s="63">
        <v>0.09</v>
      </c>
      <c r="CV143" s="63">
        <v>0.61</v>
      </c>
      <c r="CW143" s="63">
        <v>0.27</v>
      </c>
      <c r="CX143" s="63">
        <v>0.02</v>
      </c>
      <c r="CY143" s="63">
        <v>0.49</v>
      </c>
      <c r="CZ143" s="63">
        <v>0.25</v>
      </c>
      <c r="DA143" s="63">
        <v>0.56999999999999995</v>
      </c>
      <c r="DB143" s="63">
        <v>0.27</v>
      </c>
      <c r="DC143" s="63">
        <v>0.38</v>
      </c>
      <c r="DD143" s="63">
        <v>0.57999999999999996</v>
      </c>
      <c r="DE143" s="63">
        <v>0.48</v>
      </c>
      <c r="DF143" s="63">
        <v>0.48</v>
      </c>
      <c r="DG143" s="63">
        <v>0.42</v>
      </c>
      <c r="DH143" s="63">
        <v>0.43</v>
      </c>
      <c r="DI143" s="63">
        <v>0.47</v>
      </c>
      <c r="DJ143" s="63">
        <v>0.49</v>
      </c>
      <c r="DK143" s="63">
        <v>0.27</v>
      </c>
      <c r="DL143" s="63">
        <v>0.44</v>
      </c>
      <c r="DM143" s="63">
        <v>0.55000000000000004</v>
      </c>
      <c r="DN143" s="63">
        <v>0.4</v>
      </c>
      <c r="DO143" s="63">
        <v>0.38</v>
      </c>
      <c r="DP143" s="63">
        <v>0.39</v>
      </c>
      <c r="DQ143" s="63">
        <v>0.54</v>
      </c>
      <c r="DR143" s="63">
        <v>0.17</v>
      </c>
      <c r="DS143" s="63">
        <v>0.34</v>
      </c>
      <c r="DT143" s="63">
        <v>0.52</v>
      </c>
      <c r="DU143" s="63">
        <v>0.54</v>
      </c>
      <c r="DV143" s="63">
        <v>0.57999999999999996</v>
      </c>
      <c r="DW143" s="63">
        <v>0.34</v>
      </c>
      <c r="DX143" s="35">
        <v>53</v>
      </c>
      <c r="DY143" s="35">
        <v>10</v>
      </c>
      <c r="DZ143" s="40">
        <v>0.11</v>
      </c>
      <c r="EA143" s="40">
        <v>0.45</v>
      </c>
      <c r="EB143" s="40">
        <v>0.41</v>
      </c>
      <c r="EC143" s="40">
        <v>0.04</v>
      </c>
      <c r="ED143" s="40">
        <v>0.39</v>
      </c>
      <c r="EE143" s="40">
        <v>0.47</v>
      </c>
      <c r="EF143" s="40">
        <v>0.45</v>
      </c>
      <c r="EG143" s="40">
        <v>0.23</v>
      </c>
      <c r="EH143" s="40">
        <v>0.35</v>
      </c>
      <c r="EI143" s="40">
        <v>0.35</v>
      </c>
      <c r="EJ143" s="40">
        <v>0.57999999999999996</v>
      </c>
      <c r="EK143" s="40">
        <v>0.3</v>
      </c>
      <c r="EL143" s="40">
        <v>0.34</v>
      </c>
      <c r="EM143" s="40">
        <v>0.61</v>
      </c>
      <c r="EN143" s="40">
        <v>0.37</v>
      </c>
      <c r="EO143" s="40">
        <v>0.54</v>
      </c>
      <c r="EP143" s="40">
        <v>0.31</v>
      </c>
      <c r="EQ143" s="40">
        <v>0.31</v>
      </c>
      <c r="ER143" s="40">
        <v>0.54</v>
      </c>
      <c r="ES143" s="40">
        <v>0.34</v>
      </c>
      <c r="ET143" s="40">
        <v>0.28000000000000003</v>
      </c>
      <c r="EU143" s="40">
        <v>0.51</v>
      </c>
      <c r="EV143" s="40">
        <v>0.18</v>
      </c>
      <c r="EW143" s="40">
        <v>0.3</v>
      </c>
      <c r="EX143" s="40">
        <v>0.59</v>
      </c>
      <c r="EY143" s="40">
        <v>0.45</v>
      </c>
      <c r="EZ143" s="40">
        <v>0.06</v>
      </c>
      <c r="FA143" s="40">
        <v>0.53</v>
      </c>
      <c r="FB143" s="247">
        <v>53</v>
      </c>
      <c r="FC143" s="247" t="s">
        <v>874</v>
      </c>
      <c r="FD143" s="247">
        <v>8</v>
      </c>
      <c r="FE143" s="247" t="s">
        <v>874</v>
      </c>
      <c r="FF143" s="264">
        <v>0.05</v>
      </c>
      <c r="FG143" s="264">
        <v>0.54</v>
      </c>
      <c r="FH143" s="264">
        <v>0.41</v>
      </c>
      <c r="FI143" s="264">
        <v>0</v>
      </c>
      <c r="FJ143" s="264">
        <v>0.39</v>
      </c>
      <c r="FK143" s="264">
        <v>0.7</v>
      </c>
      <c r="FL143" s="264">
        <v>0.41</v>
      </c>
      <c r="FM143" s="264">
        <v>0.27</v>
      </c>
      <c r="FN143" s="264">
        <v>0.2</v>
      </c>
      <c r="FO143" s="264">
        <v>0.28000000000000003</v>
      </c>
      <c r="FP143" s="264">
        <v>0.38</v>
      </c>
      <c r="FQ143" s="264">
        <v>0.36</v>
      </c>
      <c r="FR143" s="264">
        <v>0.55000000000000004</v>
      </c>
      <c r="FS143" s="264">
        <v>0.5</v>
      </c>
      <c r="FT143" s="264">
        <v>0.47</v>
      </c>
      <c r="FU143" s="264">
        <v>0.3</v>
      </c>
      <c r="FV143" s="264">
        <v>0.48</v>
      </c>
      <c r="FW143" s="264">
        <v>0.52</v>
      </c>
      <c r="FX143" s="264">
        <v>0.31</v>
      </c>
      <c r="FY143" s="264">
        <v>0.31</v>
      </c>
      <c r="FZ143" s="264">
        <v>0.33</v>
      </c>
      <c r="GA143" s="264">
        <v>0.38</v>
      </c>
      <c r="GB143" s="264">
        <v>0.55000000000000004</v>
      </c>
      <c r="GC143" s="264">
        <v>0.38</v>
      </c>
      <c r="GD143" s="264">
        <v>0.55000000000000004</v>
      </c>
      <c r="GE143" s="264">
        <v>0.51</v>
      </c>
      <c r="GF143" s="264">
        <v>0.49</v>
      </c>
      <c r="GG143" s="264">
        <v>0.35</v>
      </c>
      <c r="GH143" s="264">
        <v>0.46</v>
      </c>
      <c r="GI143" s="264">
        <v>0.23</v>
      </c>
      <c r="GJ143" s="311">
        <v>51</v>
      </c>
      <c r="GK143" s="311" t="s">
        <v>874</v>
      </c>
      <c r="GL143" s="311">
        <v>10</v>
      </c>
      <c r="GM143" s="311" t="s">
        <v>874</v>
      </c>
      <c r="GN143" s="329">
        <v>0.14000000000000001</v>
      </c>
      <c r="GO143" s="329">
        <v>0.57999999999999996</v>
      </c>
      <c r="GP143" s="329">
        <v>0.27</v>
      </c>
      <c r="GQ143" s="329">
        <v>0.01</v>
      </c>
      <c r="GR143" s="329">
        <v>0.55000000000000004</v>
      </c>
      <c r="GS143" s="329">
        <v>0.49</v>
      </c>
      <c r="GT143" s="329">
        <v>0.62</v>
      </c>
      <c r="GU143" s="329">
        <v>0.25</v>
      </c>
      <c r="GV143" s="329">
        <v>0.56000000000000005</v>
      </c>
      <c r="GW143" s="329">
        <v>0.46</v>
      </c>
      <c r="GX143" s="329">
        <v>0.49</v>
      </c>
      <c r="GY143" s="311" t="s">
        <v>283</v>
      </c>
      <c r="GZ143" s="329">
        <v>0.34</v>
      </c>
      <c r="HA143" s="329">
        <v>0.7</v>
      </c>
      <c r="HB143" s="329">
        <v>0.49</v>
      </c>
      <c r="HC143" s="329">
        <v>0.54</v>
      </c>
      <c r="HD143" s="329">
        <v>0.56000000000000005</v>
      </c>
      <c r="HE143" s="329">
        <v>0.39</v>
      </c>
      <c r="HF143" s="329">
        <v>0.48</v>
      </c>
      <c r="HG143" s="329">
        <v>0.62</v>
      </c>
      <c r="HH143" s="329">
        <v>0.38</v>
      </c>
      <c r="HI143" s="329">
        <v>0.56999999999999995</v>
      </c>
      <c r="HJ143" s="329">
        <v>0.59</v>
      </c>
      <c r="HK143" s="329">
        <v>0.54</v>
      </c>
      <c r="HL143" s="329">
        <v>0.38</v>
      </c>
      <c r="HM143" s="329">
        <v>0.48</v>
      </c>
      <c r="HN143" s="329">
        <v>0.47</v>
      </c>
      <c r="HO143" s="329">
        <v>0.47</v>
      </c>
      <c r="HP143" s="311" t="s">
        <v>283</v>
      </c>
      <c r="HQ143" s="329">
        <v>0.43</v>
      </c>
      <c r="HR143" s="426">
        <v>52</v>
      </c>
      <c r="HS143" s="426" t="s">
        <v>874</v>
      </c>
      <c r="HT143" s="426">
        <v>9</v>
      </c>
      <c r="HU143" s="426" t="s">
        <v>874</v>
      </c>
      <c r="HV143" s="430">
        <v>0.08</v>
      </c>
      <c r="HW143" s="430">
        <v>0.54</v>
      </c>
      <c r="HX143" s="430">
        <v>0.37</v>
      </c>
      <c r="HY143" s="430">
        <v>0.01</v>
      </c>
      <c r="HZ143" s="430">
        <v>0.36</v>
      </c>
      <c r="IA143" s="430">
        <v>0.5</v>
      </c>
      <c r="IB143" s="430">
        <v>0.39</v>
      </c>
      <c r="IC143" s="430">
        <v>0.45</v>
      </c>
      <c r="ID143" s="430">
        <v>0.62</v>
      </c>
      <c r="IE143" s="430">
        <v>0.28999999999999998</v>
      </c>
      <c r="IF143" s="430">
        <v>0.39</v>
      </c>
      <c r="IG143" s="430">
        <v>0.57999999999999996</v>
      </c>
      <c r="IH143" s="430">
        <v>0.53</v>
      </c>
      <c r="II143" s="430">
        <v>0.27</v>
      </c>
      <c r="IJ143" s="430">
        <v>0.27</v>
      </c>
      <c r="IK143" s="430">
        <v>0.56999999999999995</v>
      </c>
      <c r="IL143" s="430">
        <v>0.28000000000000003</v>
      </c>
      <c r="IM143" s="430">
        <v>0.55000000000000004</v>
      </c>
      <c r="IN143" s="430">
        <v>0.42</v>
      </c>
      <c r="IO143" s="430">
        <v>0.53</v>
      </c>
      <c r="IP143" s="430">
        <v>0.39</v>
      </c>
      <c r="IQ143" s="430">
        <v>0.63</v>
      </c>
      <c r="IR143" s="430">
        <v>0.56000000000000005</v>
      </c>
      <c r="IS143" s="430">
        <v>0.51</v>
      </c>
      <c r="IT143" s="430">
        <v>0.42</v>
      </c>
      <c r="IU143" s="426" t="s">
        <v>283</v>
      </c>
      <c r="IV143" s="430">
        <v>0.59</v>
      </c>
      <c r="IW143" s="430">
        <v>0.41</v>
      </c>
      <c r="IX143" s="430">
        <v>0.35</v>
      </c>
      <c r="IY143" s="430">
        <v>0.51</v>
      </c>
      <c r="IZ143" s="466">
        <v>53</v>
      </c>
      <c r="JA143" s="466" t="s">
        <v>874</v>
      </c>
      <c r="JB143" s="466">
        <v>9</v>
      </c>
      <c r="JC143" s="466" t="s">
        <v>874</v>
      </c>
      <c r="JD143" s="480">
        <v>0.1</v>
      </c>
      <c r="JE143" s="480">
        <v>0.5</v>
      </c>
      <c r="JF143" s="480">
        <v>0.39</v>
      </c>
      <c r="JG143" s="480">
        <v>0.01</v>
      </c>
      <c r="JH143" s="480">
        <v>0.49</v>
      </c>
      <c r="JI143" s="480">
        <v>0.38</v>
      </c>
      <c r="JJ143" s="480">
        <v>0.41</v>
      </c>
      <c r="JK143" s="480">
        <v>0.48</v>
      </c>
      <c r="JL143" s="480">
        <v>0.49</v>
      </c>
      <c r="JM143" s="480">
        <v>0.42</v>
      </c>
      <c r="JN143" s="480">
        <v>0.41</v>
      </c>
      <c r="JO143" s="480">
        <v>0.42</v>
      </c>
      <c r="JP143" s="480">
        <v>0.55000000000000004</v>
      </c>
      <c r="JQ143" s="480">
        <v>0.25</v>
      </c>
      <c r="JR143" s="480">
        <v>0.55000000000000004</v>
      </c>
      <c r="JS143" s="480">
        <v>0.52</v>
      </c>
      <c r="JT143" s="480">
        <v>0.36</v>
      </c>
      <c r="JU143" s="480">
        <v>0.45</v>
      </c>
      <c r="JV143" s="480">
        <v>0.43</v>
      </c>
      <c r="JW143" s="480">
        <v>0.47</v>
      </c>
      <c r="JX143" s="480">
        <v>0.48</v>
      </c>
      <c r="JY143" s="480">
        <v>0.43</v>
      </c>
      <c r="JZ143" s="480">
        <v>0.39</v>
      </c>
      <c r="KA143" s="480">
        <v>0.64</v>
      </c>
      <c r="KB143" s="480">
        <v>0.43</v>
      </c>
      <c r="KC143" s="480">
        <v>0.67</v>
      </c>
      <c r="KD143" s="480">
        <v>0.34</v>
      </c>
      <c r="KE143" s="480">
        <v>0.48</v>
      </c>
      <c r="KF143" s="480">
        <v>0.36</v>
      </c>
      <c r="KG143" s="480">
        <v>0.53</v>
      </c>
    </row>
    <row r="144" spans="1:293" ht="24.95" customHeight="1" x14ac:dyDescent="0.2">
      <c r="A144" s="814" t="s">
        <v>209</v>
      </c>
      <c r="B144" s="1" t="s">
        <v>221</v>
      </c>
      <c r="C144" s="2">
        <v>1</v>
      </c>
      <c r="D144" s="12">
        <v>53</v>
      </c>
      <c r="E144" s="12">
        <v>4</v>
      </c>
      <c r="F144" s="66">
        <v>0</v>
      </c>
      <c r="G144" s="66">
        <v>0.71</v>
      </c>
      <c r="H144" s="66">
        <v>0.28999999999999998</v>
      </c>
      <c r="I144" s="66">
        <v>0</v>
      </c>
      <c r="J144" s="66">
        <v>0.32</v>
      </c>
      <c r="K144" s="66">
        <v>0.27</v>
      </c>
      <c r="L144" s="66">
        <v>0.65</v>
      </c>
      <c r="M144" s="66">
        <v>0.25</v>
      </c>
      <c r="N144" s="66">
        <v>0.16</v>
      </c>
      <c r="O144" s="66">
        <v>0.69</v>
      </c>
      <c r="P144" s="66">
        <v>0.4</v>
      </c>
      <c r="Q144" s="66">
        <v>0.35</v>
      </c>
      <c r="R144" s="66">
        <v>0.54</v>
      </c>
      <c r="S144" s="66">
        <v>0.42</v>
      </c>
      <c r="T144" s="66">
        <v>0.56999999999999995</v>
      </c>
      <c r="U144" s="66">
        <v>0.48</v>
      </c>
      <c r="V144" s="66">
        <v>0.1</v>
      </c>
      <c r="W144" s="66">
        <v>0</v>
      </c>
      <c r="X144" s="66">
        <v>0.57999999999999996</v>
      </c>
      <c r="Y144" s="66">
        <v>0.63</v>
      </c>
      <c r="Z144" s="12" t="s">
        <v>283</v>
      </c>
      <c r="AA144" s="66">
        <v>0</v>
      </c>
      <c r="AB144" s="66">
        <v>0.39</v>
      </c>
      <c r="AC144" s="66">
        <v>0.38</v>
      </c>
      <c r="AD144" s="66">
        <v>0.66</v>
      </c>
      <c r="AE144" s="66">
        <v>0.51</v>
      </c>
      <c r="AF144" s="66">
        <v>0.72</v>
      </c>
      <c r="AG144" s="66">
        <v>0.44</v>
      </c>
      <c r="AH144" s="12">
        <v>54</v>
      </c>
      <c r="AI144" s="12">
        <v>6</v>
      </c>
      <c r="AJ144" s="40">
        <v>0</v>
      </c>
      <c r="AK144" s="40">
        <v>0.71</v>
      </c>
      <c r="AL144" s="40">
        <v>0.28999999999999998</v>
      </c>
      <c r="AM144" s="40">
        <v>0</v>
      </c>
      <c r="AN144" s="40">
        <v>0.17</v>
      </c>
      <c r="AO144" s="40">
        <v>0.44</v>
      </c>
      <c r="AP144" s="40">
        <v>0.7</v>
      </c>
      <c r="AQ144" s="40">
        <v>0.41</v>
      </c>
      <c r="AR144" s="40">
        <v>0.59</v>
      </c>
      <c r="AS144" s="40">
        <v>0.44</v>
      </c>
      <c r="AT144" s="40">
        <v>0.5</v>
      </c>
      <c r="AU144" s="40">
        <v>0.56000000000000005</v>
      </c>
      <c r="AV144" s="40">
        <v>0.49</v>
      </c>
      <c r="AW144" s="40">
        <v>0.27</v>
      </c>
      <c r="AX144" s="40">
        <v>0.6</v>
      </c>
      <c r="AY144" s="40">
        <v>0.25</v>
      </c>
      <c r="AZ144" s="40">
        <v>0.15</v>
      </c>
      <c r="BA144" s="40">
        <v>0.35</v>
      </c>
      <c r="BB144" s="40">
        <v>0.68</v>
      </c>
      <c r="BC144" s="40">
        <v>0.76</v>
      </c>
      <c r="BD144" s="40">
        <v>0.43</v>
      </c>
      <c r="BE144" s="40">
        <v>0.75</v>
      </c>
      <c r="BF144" s="40">
        <v>0.5</v>
      </c>
      <c r="BG144" s="40">
        <v>0.44</v>
      </c>
      <c r="BH144" s="40">
        <v>0.45</v>
      </c>
      <c r="BI144" s="40">
        <v>0.36</v>
      </c>
      <c r="BJ144" s="40">
        <v>0.28999999999999998</v>
      </c>
      <c r="BK144" s="40">
        <v>0.46</v>
      </c>
      <c r="BL144" s="40">
        <v>0.5</v>
      </c>
      <c r="BM144" s="12">
        <v>51</v>
      </c>
      <c r="BN144" s="12">
        <v>9</v>
      </c>
      <c r="BO144" s="66">
        <v>0.25</v>
      </c>
      <c r="BP144" s="66">
        <v>0.38</v>
      </c>
      <c r="BQ144" s="66">
        <v>0.38</v>
      </c>
      <c r="BR144" s="66">
        <v>0</v>
      </c>
      <c r="BS144" s="66">
        <v>0.4</v>
      </c>
      <c r="BT144" s="66">
        <v>0.33</v>
      </c>
      <c r="BU144" s="66">
        <v>0.38</v>
      </c>
      <c r="BV144" s="66">
        <v>0</v>
      </c>
      <c r="BW144" s="66">
        <v>0.75</v>
      </c>
      <c r="BX144" s="66">
        <v>0.27</v>
      </c>
      <c r="BY144" s="66">
        <v>0.64</v>
      </c>
      <c r="BZ144" s="66">
        <v>0.48</v>
      </c>
      <c r="CA144" s="66">
        <v>0.33</v>
      </c>
      <c r="CB144" s="66">
        <v>0.5</v>
      </c>
      <c r="CC144" s="66">
        <v>0.18</v>
      </c>
      <c r="CD144" s="66">
        <v>0.46</v>
      </c>
      <c r="CE144" s="66">
        <v>0.5</v>
      </c>
      <c r="CF144" s="66">
        <v>1</v>
      </c>
      <c r="CG144" s="66">
        <v>0.67</v>
      </c>
      <c r="CH144" s="66">
        <v>0.3</v>
      </c>
      <c r="CI144" s="66">
        <v>0.56000000000000005</v>
      </c>
      <c r="CJ144" s="66">
        <v>0.67</v>
      </c>
      <c r="CK144" s="66">
        <v>0.78</v>
      </c>
      <c r="CL144" s="66">
        <v>0.54</v>
      </c>
      <c r="CM144" s="66">
        <v>0.6</v>
      </c>
      <c r="CN144" s="66">
        <v>0.36</v>
      </c>
      <c r="CO144" s="66">
        <v>0.23</v>
      </c>
      <c r="CP144" s="66">
        <v>0.38</v>
      </c>
      <c r="CQ144" s="66">
        <v>0.56000000000000005</v>
      </c>
      <c r="CR144" s="66">
        <v>0.38</v>
      </c>
      <c r="CS144" s="12">
        <v>52</v>
      </c>
      <c r="CT144" s="12">
        <v>6</v>
      </c>
      <c r="CU144" s="63">
        <v>0.11</v>
      </c>
      <c r="CV144" s="63">
        <v>0.61</v>
      </c>
      <c r="CW144" s="63">
        <v>0.28000000000000003</v>
      </c>
      <c r="CX144" s="63">
        <v>0</v>
      </c>
      <c r="CY144" s="63">
        <v>0.64</v>
      </c>
      <c r="CZ144" s="63">
        <v>0.24</v>
      </c>
      <c r="DA144" s="63">
        <v>0.51</v>
      </c>
      <c r="DB144" s="63">
        <v>0.24</v>
      </c>
      <c r="DC144" s="63">
        <v>0.39</v>
      </c>
      <c r="DD144" s="63">
        <v>0.59</v>
      </c>
      <c r="DE144" s="63">
        <v>0.4</v>
      </c>
      <c r="DF144" s="63">
        <v>0.59</v>
      </c>
      <c r="DG144" s="63">
        <v>0.36</v>
      </c>
      <c r="DH144" s="63">
        <v>0.54</v>
      </c>
      <c r="DI144" s="63">
        <v>0.5</v>
      </c>
      <c r="DJ144" s="63">
        <v>0.43</v>
      </c>
      <c r="DK144" s="63">
        <v>0.38</v>
      </c>
      <c r="DL144" s="63">
        <v>0.2</v>
      </c>
      <c r="DM144" s="63">
        <v>0.37</v>
      </c>
      <c r="DN144" s="63">
        <v>0.6</v>
      </c>
      <c r="DO144" s="63">
        <v>0.28999999999999998</v>
      </c>
      <c r="DP144" s="63">
        <v>0.65</v>
      </c>
      <c r="DQ144" s="63">
        <v>0.42</v>
      </c>
      <c r="DR144" s="63">
        <v>0.18</v>
      </c>
      <c r="DS144" s="63">
        <v>0.19</v>
      </c>
      <c r="DT144" s="63">
        <v>0.57999999999999996</v>
      </c>
      <c r="DU144" s="63">
        <v>0.6</v>
      </c>
      <c r="DV144" s="63">
        <v>0.66</v>
      </c>
      <c r="DW144" s="63">
        <v>0.23</v>
      </c>
      <c r="DX144" s="35">
        <v>52</v>
      </c>
      <c r="DY144" s="35">
        <v>8</v>
      </c>
      <c r="DZ144" s="40">
        <v>0.08</v>
      </c>
      <c r="EA144" s="40">
        <v>0.6</v>
      </c>
      <c r="EB144" s="40">
        <v>0.32</v>
      </c>
      <c r="EC144" s="40">
        <v>0</v>
      </c>
      <c r="ED144" s="40">
        <v>0.49</v>
      </c>
      <c r="EE144" s="40">
        <v>0.45</v>
      </c>
      <c r="EF144" s="40">
        <v>0.61</v>
      </c>
      <c r="EG144" s="40">
        <v>0.33</v>
      </c>
      <c r="EH144" s="40">
        <v>0.24</v>
      </c>
      <c r="EI144" s="40">
        <v>0.37</v>
      </c>
      <c r="EJ144" s="40">
        <v>0.53</v>
      </c>
      <c r="EK144" s="40">
        <v>0.31</v>
      </c>
      <c r="EL144" s="40">
        <v>0.38</v>
      </c>
      <c r="EM144" s="40">
        <v>0.68</v>
      </c>
      <c r="EN144" s="40">
        <v>0.32</v>
      </c>
      <c r="EO144" s="40">
        <v>0.49</v>
      </c>
      <c r="EP144" s="40">
        <v>0.39</v>
      </c>
      <c r="EQ144" s="40">
        <v>0.16</v>
      </c>
      <c r="ER144" s="40">
        <v>0.6</v>
      </c>
      <c r="ES144" s="40">
        <v>0.4</v>
      </c>
      <c r="ET144" s="40">
        <v>0.28999999999999998</v>
      </c>
      <c r="EU144" s="40">
        <v>0.6</v>
      </c>
      <c r="EV144" s="40">
        <v>0.64</v>
      </c>
      <c r="EW144" s="40">
        <v>0.3</v>
      </c>
      <c r="EX144" s="40">
        <v>0.71</v>
      </c>
      <c r="EY144" s="40">
        <v>0.46</v>
      </c>
      <c r="EZ144" s="40">
        <v>0.08</v>
      </c>
      <c r="FA144" s="40">
        <v>0.56999999999999995</v>
      </c>
      <c r="FB144" s="247">
        <v>47</v>
      </c>
      <c r="FC144" s="247" t="s">
        <v>874</v>
      </c>
      <c r="FD144" s="247">
        <v>7</v>
      </c>
      <c r="FE144" s="247" t="s">
        <v>874</v>
      </c>
      <c r="FF144" s="264">
        <v>0.21</v>
      </c>
      <c r="FG144" s="264">
        <v>0.67</v>
      </c>
      <c r="FH144" s="264">
        <v>0.13</v>
      </c>
      <c r="FI144" s="264">
        <v>0</v>
      </c>
      <c r="FJ144" s="264">
        <v>0.51</v>
      </c>
      <c r="FK144" s="264">
        <v>0.69</v>
      </c>
      <c r="FL144" s="264">
        <v>0.49</v>
      </c>
      <c r="FM144" s="264">
        <v>0.36</v>
      </c>
      <c r="FN144" s="264">
        <v>0.32</v>
      </c>
      <c r="FO144" s="264">
        <v>0.38</v>
      </c>
      <c r="FP144" s="264">
        <v>0.38</v>
      </c>
      <c r="FQ144" s="264">
        <v>0.57999999999999996</v>
      </c>
      <c r="FR144" s="264">
        <v>0.57999999999999996</v>
      </c>
      <c r="FS144" s="264">
        <v>0.56000000000000005</v>
      </c>
      <c r="FT144" s="264">
        <v>0.57999999999999996</v>
      </c>
      <c r="FU144" s="264">
        <v>0.41</v>
      </c>
      <c r="FV144" s="264">
        <v>0.72</v>
      </c>
      <c r="FW144" s="264">
        <v>0.61</v>
      </c>
      <c r="FX144" s="264">
        <v>0.51</v>
      </c>
      <c r="FY144" s="264">
        <v>0.47</v>
      </c>
      <c r="FZ144" s="264">
        <v>0.51</v>
      </c>
      <c r="GA144" s="264">
        <v>0.47</v>
      </c>
      <c r="GB144" s="264">
        <v>0.65</v>
      </c>
      <c r="GC144" s="264">
        <v>0.5</v>
      </c>
      <c r="GD144" s="264">
        <v>0.7</v>
      </c>
      <c r="GE144" s="264">
        <v>0.46</v>
      </c>
      <c r="GF144" s="264">
        <v>0.5</v>
      </c>
      <c r="GG144" s="264">
        <v>0.62</v>
      </c>
      <c r="GH144" s="264">
        <v>0.62</v>
      </c>
      <c r="GI144" s="264">
        <v>0.28000000000000003</v>
      </c>
      <c r="GJ144" s="311">
        <v>53</v>
      </c>
      <c r="GK144" s="311" t="s">
        <v>874</v>
      </c>
      <c r="GL144" s="311">
        <v>9</v>
      </c>
      <c r="GM144" s="311" t="s">
        <v>874</v>
      </c>
      <c r="GN144" s="329">
        <v>0.1</v>
      </c>
      <c r="GO144" s="329">
        <v>0.45</v>
      </c>
      <c r="GP144" s="329">
        <v>0.45</v>
      </c>
      <c r="GQ144" s="329">
        <v>0</v>
      </c>
      <c r="GR144" s="329">
        <v>0.37</v>
      </c>
      <c r="GS144" s="329">
        <v>0.52</v>
      </c>
      <c r="GT144" s="329">
        <v>0.68</v>
      </c>
      <c r="GU144" s="329">
        <v>0.06</v>
      </c>
      <c r="GV144" s="329">
        <v>0.56999999999999995</v>
      </c>
      <c r="GW144" s="329">
        <v>0.3</v>
      </c>
      <c r="GX144" s="329">
        <v>0.42</v>
      </c>
      <c r="GY144" s="311" t="s">
        <v>283</v>
      </c>
      <c r="GZ144" s="329">
        <v>0.35</v>
      </c>
      <c r="HA144" s="329">
        <v>0.71</v>
      </c>
      <c r="HB144" s="329">
        <v>0.46</v>
      </c>
      <c r="HC144" s="329">
        <v>0.49</v>
      </c>
      <c r="HD144" s="329">
        <v>0.45</v>
      </c>
      <c r="HE144" s="329">
        <v>0.42</v>
      </c>
      <c r="HF144" s="329">
        <v>0.47</v>
      </c>
      <c r="HG144" s="329">
        <v>0.66</v>
      </c>
      <c r="HH144" s="329">
        <v>0.37</v>
      </c>
      <c r="HI144" s="329">
        <v>0.63</v>
      </c>
      <c r="HJ144" s="329">
        <v>0.56000000000000005</v>
      </c>
      <c r="HK144" s="329">
        <v>0.49</v>
      </c>
      <c r="HL144" s="329">
        <v>0.42</v>
      </c>
      <c r="HM144" s="329">
        <v>0.38</v>
      </c>
      <c r="HN144" s="329">
        <v>0.51</v>
      </c>
      <c r="HO144" s="329">
        <v>0.32</v>
      </c>
      <c r="HP144" s="311" t="s">
        <v>283</v>
      </c>
      <c r="HQ144" s="329">
        <v>0.19</v>
      </c>
      <c r="HR144" s="426">
        <v>52</v>
      </c>
      <c r="HS144" s="426" t="s">
        <v>874</v>
      </c>
      <c r="HT144" s="426">
        <v>8</v>
      </c>
      <c r="HU144" s="426" t="s">
        <v>874</v>
      </c>
      <c r="HV144" s="430">
        <v>0.06</v>
      </c>
      <c r="HW144" s="430">
        <v>0.53</v>
      </c>
      <c r="HX144" s="430">
        <v>0.4</v>
      </c>
      <c r="HY144" s="430">
        <v>0</v>
      </c>
      <c r="HZ144" s="430">
        <v>0.35</v>
      </c>
      <c r="IA144" s="430">
        <v>0.5</v>
      </c>
      <c r="IB144" s="430">
        <v>0.37</v>
      </c>
      <c r="IC144" s="430">
        <v>0.47</v>
      </c>
      <c r="ID144" s="430">
        <v>0.61</v>
      </c>
      <c r="IE144" s="430">
        <v>0.28000000000000003</v>
      </c>
      <c r="IF144" s="430">
        <v>0.42</v>
      </c>
      <c r="IG144" s="430">
        <v>0.57999999999999996</v>
      </c>
      <c r="IH144" s="430">
        <v>0.55000000000000004</v>
      </c>
      <c r="II144" s="430">
        <v>0.35</v>
      </c>
      <c r="IJ144" s="430">
        <v>0.18</v>
      </c>
      <c r="IK144" s="430">
        <v>0.63</v>
      </c>
      <c r="IL144" s="430">
        <v>0.36</v>
      </c>
      <c r="IM144" s="430">
        <v>0.59</v>
      </c>
      <c r="IN144" s="430">
        <v>0.4</v>
      </c>
      <c r="IO144" s="430">
        <v>0.53</v>
      </c>
      <c r="IP144" s="430">
        <v>0.24</v>
      </c>
      <c r="IQ144" s="430">
        <v>0.76</v>
      </c>
      <c r="IR144" s="430">
        <v>0.56000000000000005</v>
      </c>
      <c r="IS144" s="430">
        <v>0.45</v>
      </c>
      <c r="IT144" s="430">
        <v>0.44</v>
      </c>
      <c r="IU144" s="426" t="s">
        <v>283</v>
      </c>
      <c r="IV144" s="430">
        <v>0.56000000000000005</v>
      </c>
      <c r="IW144" s="430">
        <v>0.39</v>
      </c>
      <c r="IX144" s="430">
        <v>0.46</v>
      </c>
      <c r="IY144" s="430">
        <v>0.44</v>
      </c>
      <c r="IZ144" s="466">
        <v>52</v>
      </c>
      <c r="JA144" s="466" t="s">
        <v>874</v>
      </c>
      <c r="JB144" s="466">
        <v>8</v>
      </c>
      <c r="JC144" s="466" t="s">
        <v>874</v>
      </c>
      <c r="JD144" s="480">
        <v>0.04</v>
      </c>
      <c r="JE144" s="480">
        <v>0.56999999999999995</v>
      </c>
      <c r="JF144" s="480">
        <v>0.37</v>
      </c>
      <c r="JG144" s="480">
        <v>0.02</v>
      </c>
      <c r="JH144" s="480">
        <v>0.53</v>
      </c>
      <c r="JI144" s="480">
        <v>0.4</v>
      </c>
      <c r="JJ144" s="480">
        <v>0.49</v>
      </c>
      <c r="JK144" s="480">
        <v>0.44</v>
      </c>
      <c r="JL144" s="480">
        <v>0.57999999999999996</v>
      </c>
      <c r="JM144" s="480">
        <v>0.52</v>
      </c>
      <c r="JN144" s="480">
        <v>0.33</v>
      </c>
      <c r="JO144" s="480">
        <v>0.44</v>
      </c>
      <c r="JP144" s="480">
        <v>0.49</v>
      </c>
      <c r="JQ144" s="480">
        <v>0.22</v>
      </c>
      <c r="JR144" s="480">
        <v>0.65</v>
      </c>
      <c r="JS144" s="480">
        <v>0.55000000000000004</v>
      </c>
      <c r="JT144" s="480">
        <v>0.34</v>
      </c>
      <c r="JU144" s="480">
        <v>0.56000000000000005</v>
      </c>
      <c r="JV144" s="480">
        <v>0.48</v>
      </c>
      <c r="JW144" s="480">
        <v>0.42</v>
      </c>
      <c r="JX144" s="480">
        <v>0.43</v>
      </c>
      <c r="JY144" s="480">
        <v>0.44</v>
      </c>
      <c r="JZ144" s="480">
        <v>0.41</v>
      </c>
      <c r="KA144" s="480">
        <v>0.46</v>
      </c>
      <c r="KB144" s="480">
        <v>0.31</v>
      </c>
      <c r="KC144" s="480">
        <v>0.64</v>
      </c>
      <c r="KD144" s="480">
        <v>0.34</v>
      </c>
      <c r="KE144" s="480">
        <v>0.48</v>
      </c>
      <c r="KF144" s="480">
        <v>0.43</v>
      </c>
      <c r="KG144" s="480">
        <v>0.47</v>
      </c>
    </row>
    <row r="145" spans="1:293" ht="24.95" customHeight="1" x14ac:dyDescent="0.2">
      <c r="A145" s="814" t="s">
        <v>67</v>
      </c>
      <c r="B145" s="1" t="s">
        <v>221</v>
      </c>
      <c r="C145" s="2">
        <v>1</v>
      </c>
      <c r="D145" s="12">
        <v>54</v>
      </c>
      <c r="E145" s="12">
        <v>8</v>
      </c>
      <c r="F145" s="66">
        <v>0.06</v>
      </c>
      <c r="G145" s="66">
        <v>0.48</v>
      </c>
      <c r="H145" s="66">
        <v>0.45</v>
      </c>
      <c r="I145" s="66">
        <v>0.02</v>
      </c>
      <c r="J145" s="66">
        <v>0.45</v>
      </c>
      <c r="K145" s="66">
        <v>0.32</v>
      </c>
      <c r="L145" s="66">
        <v>0.71</v>
      </c>
      <c r="M145" s="66">
        <v>0.2</v>
      </c>
      <c r="N145" s="66">
        <v>0.31</v>
      </c>
      <c r="O145" s="66">
        <v>0.6</v>
      </c>
      <c r="P145" s="66">
        <v>0.33</v>
      </c>
      <c r="Q145" s="66">
        <v>0.44</v>
      </c>
      <c r="R145" s="66">
        <v>0.53</v>
      </c>
      <c r="S145" s="66">
        <v>0.61</v>
      </c>
      <c r="T145" s="66">
        <v>0.39</v>
      </c>
      <c r="U145" s="66">
        <v>0.6</v>
      </c>
      <c r="V145" s="66">
        <v>7.0000000000000007E-2</v>
      </c>
      <c r="W145" s="66">
        <v>0.2</v>
      </c>
      <c r="X145" s="66">
        <v>0.45</v>
      </c>
      <c r="Y145" s="66">
        <v>0.52</v>
      </c>
      <c r="Z145" s="66">
        <v>1</v>
      </c>
      <c r="AA145" s="66">
        <v>0.1</v>
      </c>
      <c r="AB145" s="66">
        <v>0.45</v>
      </c>
      <c r="AC145" s="66">
        <v>0.24</v>
      </c>
      <c r="AD145" s="66">
        <v>0.48</v>
      </c>
      <c r="AE145" s="66">
        <v>0.33</v>
      </c>
      <c r="AF145" s="66">
        <v>0.48</v>
      </c>
      <c r="AG145" s="66">
        <v>0.56999999999999995</v>
      </c>
      <c r="AH145" s="12">
        <v>55</v>
      </c>
      <c r="AI145" s="12">
        <v>9</v>
      </c>
      <c r="AJ145" s="40">
        <v>7.0000000000000007E-2</v>
      </c>
      <c r="AK145" s="40">
        <v>0.38</v>
      </c>
      <c r="AL145" s="40">
        <v>0.52</v>
      </c>
      <c r="AM145" s="40">
        <v>0.02</v>
      </c>
      <c r="AN145" s="40">
        <v>0.24</v>
      </c>
      <c r="AO145" s="40">
        <v>0.41</v>
      </c>
      <c r="AP145" s="40">
        <v>0.45</v>
      </c>
      <c r="AQ145" s="40">
        <v>0.3</v>
      </c>
      <c r="AR145" s="40">
        <v>0.5</v>
      </c>
      <c r="AS145" s="40">
        <v>0.47</v>
      </c>
      <c r="AT145" s="40">
        <v>0.49</v>
      </c>
      <c r="AU145" s="40">
        <v>0.45</v>
      </c>
      <c r="AV145" s="40">
        <v>0.56999999999999995</v>
      </c>
      <c r="AW145" s="40">
        <v>0.43</v>
      </c>
      <c r="AX145" s="40">
        <v>0.46</v>
      </c>
      <c r="AY145" s="40">
        <v>0.25</v>
      </c>
      <c r="AZ145" s="40">
        <v>0.24</v>
      </c>
      <c r="BA145" s="40">
        <v>0.44</v>
      </c>
      <c r="BB145" s="40">
        <v>0.55000000000000004</v>
      </c>
      <c r="BC145" s="40">
        <v>0.52</v>
      </c>
      <c r="BD145" s="40">
        <v>0.35</v>
      </c>
      <c r="BE145" s="40">
        <v>0.46</v>
      </c>
      <c r="BF145" s="40">
        <v>0.56000000000000005</v>
      </c>
      <c r="BG145" s="40">
        <v>0.42</v>
      </c>
      <c r="BH145" s="40">
        <v>0.38</v>
      </c>
      <c r="BI145" s="40">
        <v>0.33</v>
      </c>
      <c r="BJ145" s="40">
        <v>0.28000000000000003</v>
      </c>
      <c r="BK145" s="40">
        <v>0.38</v>
      </c>
      <c r="BL145" s="40">
        <v>0.44</v>
      </c>
      <c r="BM145" s="12">
        <v>52</v>
      </c>
      <c r="BN145" s="12">
        <v>8</v>
      </c>
      <c r="BO145" s="66">
        <v>7.0000000000000007E-2</v>
      </c>
      <c r="BP145" s="66">
        <v>0.57999999999999996</v>
      </c>
      <c r="BQ145" s="66">
        <v>0.33</v>
      </c>
      <c r="BR145" s="66">
        <v>0.02</v>
      </c>
      <c r="BS145" s="66">
        <v>0.26</v>
      </c>
      <c r="BT145" s="66">
        <v>0.55000000000000004</v>
      </c>
      <c r="BU145" s="66">
        <v>0.6</v>
      </c>
      <c r="BV145" s="66">
        <v>0.3</v>
      </c>
      <c r="BW145" s="66">
        <v>0.67</v>
      </c>
      <c r="BX145" s="66">
        <v>0.27</v>
      </c>
      <c r="BY145" s="66">
        <v>0.41</v>
      </c>
      <c r="BZ145" s="66">
        <v>0.5</v>
      </c>
      <c r="CA145" s="66">
        <v>0.47</v>
      </c>
      <c r="CB145" s="66">
        <v>0.36</v>
      </c>
      <c r="CC145" s="66">
        <v>0.17</v>
      </c>
      <c r="CD145" s="66">
        <v>0.35</v>
      </c>
      <c r="CE145" s="66">
        <v>0.32</v>
      </c>
      <c r="CF145" s="66">
        <v>0.69</v>
      </c>
      <c r="CG145" s="66">
        <v>0.56000000000000005</v>
      </c>
      <c r="CH145" s="66">
        <v>0.41</v>
      </c>
      <c r="CI145" s="66">
        <v>0.56000000000000005</v>
      </c>
      <c r="CJ145" s="66">
        <v>0.31</v>
      </c>
      <c r="CK145" s="66">
        <v>0.66</v>
      </c>
      <c r="CL145" s="66">
        <v>0.27</v>
      </c>
      <c r="CM145" s="66">
        <v>0.38</v>
      </c>
      <c r="CN145" s="66">
        <v>0.43</v>
      </c>
      <c r="CO145" s="66">
        <v>0.35</v>
      </c>
      <c r="CP145" s="66">
        <v>0.31</v>
      </c>
      <c r="CQ145" s="66">
        <v>0.55000000000000004</v>
      </c>
      <c r="CR145" s="66">
        <v>0.54</v>
      </c>
      <c r="CS145" s="12">
        <v>52</v>
      </c>
      <c r="CT145" s="12">
        <v>9</v>
      </c>
      <c r="CU145" s="63">
        <v>7.0000000000000007E-2</v>
      </c>
      <c r="CV145" s="63">
        <v>0.61</v>
      </c>
      <c r="CW145" s="63">
        <v>0.31</v>
      </c>
      <c r="CX145" s="63">
        <v>0.02</v>
      </c>
      <c r="CY145" s="63">
        <v>0.49</v>
      </c>
      <c r="CZ145" s="63">
        <v>0.23</v>
      </c>
      <c r="DA145" s="63">
        <v>0.53</v>
      </c>
      <c r="DB145" s="63">
        <v>0.32</v>
      </c>
      <c r="DC145" s="63">
        <v>0.44</v>
      </c>
      <c r="DD145" s="63">
        <v>0.55000000000000004</v>
      </c>
      <c r="DE145" s="63">
        <v>0.45</v>
      </c>
      <c r="DF145" s="63">
        <v>0.48</v>
      </c>
      <c r="DG145" s="63">
        <v>0.46</v>
      </c>
      <c r="DH145" s="63">
        <v>0.38</v>
      </c>
      <c r="DI145" s="63">
        <v>0.48</v>
      </c>
      <c r="DJ145" s="63">
        <v>0.49</v>
      </c>
      <c r="DK145" s="63">
        <v>0.32</v>
      </c>
      <c r="DL145" s="63">
        <v>0.32</v>
      </c>
      <c r="DM145" s="63">
        <v>0.52</v>
      </c>
      <c r="DN145" s="63">
        <v>0.47</v>
      </c>
      <c r="DO145" s="63">
        <v>0.38</v>
      </c>
      <c r="DP145" s="63">
        <v>0.38</v>
      </c>
      <c r="DQ145" s="63">
        <v>0.52</v>
      </c>
      <c r="DR145" s="63">
        <v>0.17</v>
      </c>
      <c r="DS145" s="63">
        <v>0.35</v>
      </c>
      <c r="DT145" s="63">
        <v>0.53</v>
      </c>
      <c r="DU145" s="63">
        <v>0.3</v>
      </c>
      <c r="DV145" s="63">
        <v>0.54</v>
      </c>
      <c r="DW145" s="63">
        <v>0.34</v>
      </c>
      <c r="DX145" s="35">
        <v>52</v>
      </c>
      <c r="DY145" s="35">
        <v>9</v>
      </c>
      <c r="DZ145" s="40">
        <v>0.09</v>
      </c>
      <c r="EA145" s="40">
        <v>0.56000000000000005</v>
      </c>
      <c r="EB145" s="40">
        <v>0.36</v>
      </c>
      <c r="EC145" s="40">
        <v>0</v>
      </c>
      <c r="ED145" s="40">
        <v>0.42</v>
      </c>
      <c r="EE145" s="40">
        <v>0.42</v>
      </c>
      <c r="EF145" s="40">
        <v>0.45</v>
      </c>
      <c r="EG145" s="40">
        <v>0.4</v>
      </c>
      <c r="EH145" s="40">
        <v>0.36</v>
      </c>
      <c r="EI145" s="40">
        <v>0.42</v>
      </c>
      <c r="EJ145" s="40">
        <v>0.57999999999999996</v>
      </c>
      <c r="EK145" s="40">
        <v>0.2</v>
      </c>
      <c r="EL145" s="40">
        <v>0.41</v>
      </c>
      <c r="EM145" s="40">
        <v>0.57999999999999996</v>
      </c>
      <c r="EN145" s="40">
        <v>0.38</v>
      </c>
      <c r="EO145" s="40">
        <v>0.53</v>
      </c>
      <c r="EP145" s="40">
        <v>0.28999999999999998</v>
      </c>
      <c r="EQ145" s="40">
        <v>0.19</v>
      </c>
      <c r="ER145" s="40">
        <v>0.59</v>
      </c>
      <c r="ES145" s="40">
        <v>0.46</v>
      </c>
      <c r="ET145" s="40">
        <v>0.28000000000000003</v>
      </c>
      <c r="EU145" s="40">
        <v>0.53</v>
      </c>
      <c r="EV145" s="40">
        <v>0.38</v>
      </c>
      <c r="EW145" s="40">
        <v>0.28999999999999998</v>
      </c>
      <c r="EX145" s="40">
        <v>0.68</v>
      </c>
      <c r="EY145" s="40">
        <v>0.56000000000000005</v>
      </c>
      <c r="EZ145" s="40">
        <v>0.11</v>
      </c>
      <c r="FA145" s="40">
        <v>0.56999999999999995</v>
      </c>
      <c r="FB145" s="247">
        <v>53</v>
      </c>
      <c r="FC145" s="247" t="s">
        <v>874</v>
      </c>
      <c r="FD145" s="247">
        <v>9</v>
      </c>
      <c r="FE145" s="247" t="s">
        <v>874</v>
      </c>
      <c r="FF145" s="264">
        <v>0.05</v>
      </c>
      <c r="FG145" s="264">
        <v>0.57999999999999996</v>
      </c>
      <c r="FH145" s="264">
        <v>0.33</v>
      </c>
      <c r="FI145" s="264">
        <v>0.04</v>
      </c>
      <c r="FJ145" s="264">
        <v>0.39</v>
      </c>
      <c r="FK145" s="264">
        <v>0.61</v>
      </c>
      <c r="FL145" s="264">
        <v>0.44</v>
      </c>
      <c r="FM145" s="264">
        <v>0.38</v>
      </c>
      <c r="FN145" s="264">
        <v>0.19</v>
      </c>
      <c r="FO145" s="264">
        <v>0.27</v>
      </c>
      <c r="FP145" s="264">
        <v>0.34</v>
      </c>
      <c r="FQ145" s="264">
        <v>0.39</v>
      </c>
      <c r="FR145" s="264">
        <v>0.56000000000000005</v>
      </c>
      <c r="FS145" s="264">
        <v>0.47</v>
      </c>
      <c r="FT145" s="264">
        <v>0.45</v>
      </c>
      <c r="FU145" s="264">
        <v>0.34</v>
      </c>
      <c r="FV145" s="264">
        <v>0.5</v>
      </c>
      <c r="FW145" s="264">
        <v>0.53</v>
      </c>
      <c r="FX145" s="264">
        <v>0.36</v>
      </c>
      <c r="FY145" s="264">
        <v>0.3</v>
      </c>
      <c r="FZ145" s="264">
        <v>0.42</v>
      </c>
      <c r="GA145" s="264">
        <v>0.46</v>
      </c>
      <c r="GB145" s="264">
        <v>0.43</v>
      </c>
      <c r="GC145" s="264">
        <v>0.35</v>
      </c>
      <c r="GD145" s="264">
        <v>0.56999999999999995</v>
      </c>
      <c r="GE145" s="264">
        <v>0.52</v>
      </c>
      <c r="GF145" s="264">
        <v>0.43</v>
      </c>
      <c r="GG145" s="264">
        <v>0.36</v>
      </c>
      <c r="GH145" s="264">
        <v>0.52</v>
      </c>
      <c r="GI145" s="264">
        <v>0.24</v>
      </c>
      <c r="GJ145" s="311">
        <v>54</v>
      </c>
      <c r="GK145" s="311" t="s">
        <v>874</v>
      </c>
      <c r="GL145" s="311">
        <v>10</v>
      </c>
      <c r="GM145" s="311" t="s">
        <v>874</v>
      </c>
      <c r="GN145" s="329">
        <v>0.13</v>
      </c>
      <c r="GO145" s="329">
        <v>0.41</v>
      </c>
      <c r="GP145" s="329">
        <v>0.45</v>
      </c>
      <c r="GQ145" s="329">
        <v>0.01</v>
      </c>
      <c r="GR145" s="329">
        <v>0.41</v>
      </c>
      <c r="GS145" s="329">
        <v>0.45</v>
      </c>
      <c r="GT145" s="329">
        <v>0.59</v>
      </c>
      <c r="GU145" s="329">
        <v>0.19</v>
      </c>
      <c r="GV145" s="329">
        <v>0.48</v>
      </c>
      <c r="GW145" s="329">
        <v>0.44</v>
      </c>
      <c r="GX145" s="329">
        <v>0.42</v>
      </c>
      <c r="GY145" s="311" t="s">
        <v>283</v>
      </c>
      <c r="GZ145" s="329">
        <v>0.24</v>
      </c>
      <c r="HA145" s="329">
        <v>0.68</v>
      </c>
      <c r="HB145" s="329">
        <v>0.4</v>
      </c>
      <c r="HC145" s="329">
        <v>0.48</v>
      </c>
      <c r="HD145" s="329">
        <v>0.48</v>
      </c>
      <c r="HE145" s="329">
        <v>0.42</v>
      </c>
      <c r="HF145" s="329">
        <v>0.41</v>
      </c>
      <c r="HG145" s="329">
        <v>0.54</v>
      </c>
      <c r="HH145" s="329">
        <v>0.31</v>
      </c>
      <c r="HI145" s="329">
        <v>0.55000000000000004</v>
      </c>
      <c r="HJ145" s="329">
        <v>0.51</v>
      </c>
      <c r="HK145" s="329">
        <v>0.49</v>
      </c>
      <c r="HL145" s="329">
        <v>0.4</v>
      </c>
      <c r="HM145" s="329">
        <v>0.45</v>
      </c>
      <c r="HN145" s="329">
        <v>0.43</v>
      </c>
      <c r="HO145" s="329">
        <v>0.33</v>
      </c>
      <c r="HP145" s="311" t="s">
        <v>283</v>
      </c>
      <c r="HQ145" s="329">
        <v>0.32</v>
      </c>
      <c r="HR145" s="426">
        <v>55</v>
      </c>
      <c r="HS145" s="426" t="s">
        <v>874</v>
      </c>
      <c r="HT145" s="426">
        <v>9</v>
      </c>
      <c r="HU145" s="426" t="s">
        <v>874</v>
      </c>
      <c r="HV145" s="430">
        <v>0.04</v>
      </c>
      <c r="HW145" s="430">
        <v>0.48</v>
      </c>
      <c r="HX145" s="430">
        <v>0.43</v>
      </c>
      <c r="HY145" s="430">
        <v>0.04</v>
      </c>
      <c r="HZ145" s="430">
        <v>0.27</v>
      </c>
      <c r="IA145" s="430">
        <v>0.39</v>
      </c>
      <c r="IB145" s="430">
        <v>0.24</v>
      </c>
      <c r="IC145" s="430">
        <v>0.46</v>
      </c>
      <c r="ID145" s="430">
        <v>0.56999999999999995</v>
      </c>
      <c r="IE145" s="430">
        <v>0.27</v>
      </c>
      <c r="IF145" s="430">
        <v>0.35</v>
      </c>
      <c r="IG145" s="430">
        <v>0.52</v>
      </c>
      <c r="IH145" s="430">
        <v>0.46</v>
      </c>
      <c r="II145" s="430">
        <v>0.26</v>
      </c>
      <c r="IJ145" s="430">
        <v>0.21</v>
      </c>
      <c r="IK145" s="430">
        <v>0.5</v>
      </c>
      <c r="IL145" s="430">
        <v>0.18</v>
      </c>
      <c r="IM145" s="430">
        <v>0.44</v>
      </c>
      <c r="IN145" s="430">
        <v>0.4</v>
      </c>
      <c r="IO145" s="430">
        <v>0.48</v>
      </c>
      <c r="IP145" s="430">
        <v>0.41</v>
      </c>
      <c r="IQ145" s="430">
        <v>0.6</v>
      </c>
      <c r="IR145" s="430">
        <v>0.49</v>
      </c>
      <c r="IS145" s="430">
        <v>0.46</v>
      </c>
      <c r="IT145" s="430">
        <v>0.41</v>
      </c>
      <c r="IU145" s="426" t="s">
        <v>283</v>
      </c>
      <c r="IV145" s="430">
        <v>0.56000000000000005</v>
      </c>
      <c r="IW145" s="430">
        <v>0.4</v>
      </c>
      <c r="IX145" s="430">
        <v>0.45</v>
      </c>
      <c r="IY145" s="430">
        <v>0.46</v>
      </c>
      <c r="IZ145" s="466">
        <v>53</v>
      </c>
      <c r="JA145" s="466" t="s">
        <v>874</v>
      </c>
      <c r="JB145" s="466">
        <v>11</v>
      </c>
      <c r="JC145" s="466" t="s">
        <v>874</v>
      </c>
      <c r="JD145" s="480">
        <v>0.15</v>
      </c>
      <c r="JE145" s="480">
        <v>0.43</v>
      </c>
      <c r="JF145" s="480">
        <v>0.42</v>
      </c>
      <c r="JG145" s="480">
        <v>0.01</v>
      </c>
      <c r="JH145" s="480">
        <v>0.48</v>
      </c>
      <c r="JI145" s="480">
        <v>0.4</v>
      </c>
      <c r="JJ145" s="480">
        <v>0.39</v>
      </c>
      <c r="JK145" s="480">
        <v>0.45</v>
      </c>
      <c r="JL145" s="480">
        <v>0.45</v>
      </c>
      <c r="JM145" s="480">
        <v>0.44</v>
      </c>
      <c r="JN145" s="480">
        <v>0.39</v>
      </c>
      <c r="JO145" s="480">
        <v>0.46</v>
      </c>
      <c r="JP145" s="480">
        <v>0.49</v>
      </c>
      <c r="JQ145" s="480">
        <v>0.24</v>
      </c>
      <c r="JR145" s="480">
        <v>0.57999999999999996</v>
      </c>
      <c r="JS145" s="480">
        <v>0.54</v>
      </c>
      <c r="JT145" s="480">
        <v>0.44</v>
      </c>
      <c r="JU145" s="480">
        <v>0.49</v>
      </c>
      <c r="JV145" s="480">
        <v>0.43</v>
      </c>
      <c r="JW145" s="480">
        <v>0.43</v>
      </c>
      <c r="JX145" s="480">
        <v>0.4</v>
      </c>
      <c r="JY145" s="480">
        <v>0.42</v>
      </c>
      <c r="JZ145" s="480">
        <v>0.38</v>
      </c>
      <c r="KA145" s="480">
        <v>0.65</v>
      </c>
      <c r="KB145" s="480">
        <v>0.41</v>
      </c>
      <c r="KC145" s="480">
        <v>0.64</v>
      </c>
      <c r="KD145" s="480">
        <v>0.31</v>
      </c>
      <c r="KE145" s="480">
        <v>0.39</v>
      </c>
      <c r="KF145" s="480">
        <v>0.45</v>
      </c>
      <c r="KG145" s="480">
        <v>0.49</v>
      </c>
    </row>
    <row r="146" spans="1:293" ht="24.95" customHeight="1" x14ac:dyDescent="0.2">
      <c r="A146" s="814" t="s">
        <v>892</v>
      </c>
      <c r="B146" s="1" t="s">
        <v>221</v>
      </c>
      <c r="C146" s="2">
        <v>6</v>
      </c>
      <c r="D146" s="12"/>
      <c r="E146" s="12"/>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12"/>
      <c r="AI146" s="12"/>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12"/>
      <c r="BN146" s="12"/>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12"/>
      <c r="CT146" s="12"/>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35"/>
      <c r="DY146" s="35"/>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247"/>
      <c r="FC146" s="247"/>
      <c r="FD146" s="247"/>
      <c r="FE146" s="247"/>
      <c r="FF146" s="264"/>
      <c r="FG146" s="264"/>
      <c r="FH146" s="264"/>
      <c r="FI146" s="264"/>
      <c r="FJ146" s="264"/>
      <c r="FK146" s="264"/>
      <c r="FL146" s="264"/>
      <c r="FM146" s="264"/>
      <c r="FN146" s="264"/>
      <c r="FO146" s="264"/>
      <c r="FP146" s="264"/>
      <c r="FQ146" s="264"/>
      <c r="FR146" s="264"/>
      <c r="FS146" s="264"/>
      <c r="FT146" s="264"/>
      <c r="FU146" s="264"/>
      <c r="FV146" s="264"/>
      <c r="FW146" s="264"/>
      <c r="FX146" s="264"/>
      <c r="FY146" s="264"/>
      <c r="FZ146" s="264"/>
      <c r="GA146" s="264"/>
      <c r="GB146" s="264"/>
      <c r="GC146" s="264"/>
      <c r="GD146" s="264"/>
      <c r="GE146" s="264"/>
      <c r="GF146" s="264"/>
      <c r="GG146" s="264"/>
      <c r="GH146" s="264"/>
      <c r="GI146" s="264"/>
      <c r="GJ146" s="311">
        <v>47</v>
      </c>
      <c r="GK146" s="311" t="s">
        <v>874</v>
      </c>
      <c r="GL146" s="311">
        <v>7</v>
      </c>
      <c r="GM146" s="311" t="s">
        <v>874</v>
      </c>
      <c r="GN146" s="329">
        <v>0.14000000000000001</v>
      </c>
      <c r="GO146" s="329">
        <v>0.86</v>
      </c>
      <c r="GP146" s="329">
        <v>0</v>
      </c>
      <c r="GQ146" s="329">
        <v>0</v>
      </c>
      <c r="GR146" s="329">
        <v>0.33</v>
      </c>
      <c r="GS146" s="329">
        <v>0.75</v>
      </c>
      <c r="GT146" s="329">
        <v>0.73</v>
      </c>
      <c r="GU146" s="329">
        <v>0</v>
      </c>
      <c r="GV146" s="329">
        <v>0.52</v>
      </c>
      <c r="GW146" s="329">
        <v>0.38</v>
      </c>
      <c r="GX146" s="329">
        <v>0.64</v>
      </c>
      <c r="GY146" s="311" t="s">
        <v>283</v>
      </c>
      <c r="GZ146" s="329">
        <v>0.45</v>
      </c>
      <c r="HA146" s="329">
        <v>0.67</v>
      </c>
      <c r="HB146" s="329">
        <v>0.68</v>
      </c>
      <c r="HC146" s="329">
        <v>0.38</v>
      </c>
      <c r="HD146" s="329">
        <v>0.68</v>
      </c>
      <c r="HE146" s="329">
        <v>0.63</v>
      </c>
      <c r="HF146" s="329">
        <v>0.48</v>
      </c>
      <c r="HG146" s="329">
        <v>0.75</v>
      </c>
      <c r="HH146" s="329">
        <v>0.57999999999999996</v>
      </c>
      <c r="HI146" s="329">
        <v>0.46</v>
      </c>
      <c r="HJ146" s="329">
        <v>0.78</v>
      </c>
      <c r="HK146" s="329">
        <v>0.43</v>
      </c>
      <c r="HL146" s="329">
        <v>0.27</v>
      </c>
      <c r="HM146" s="329">
        <v>0.88</v>
      </c>
      <c r="HN146" s="329">
        <v>0.41</v>
      </c>
      <c r="HO146" s="329">
        <v>0.6</v>
      </c>
      <c r="HP146" s="311" t="s">
        <v>283</v>
      </c>
      <c r="HQ146" s="329">
        <v>0.53</v>
      </c>
      <c r="HR146" s="426">
        <v>40</v>
      </c>
      <c r="HS146" s="426" t="s">
        <v>876</v>
      </c>
      <c r="HT146" s="426">
        <v>9</v>
      </c>
      <c r="HU146" s="426" t="s">
        <v>874</v>
      </c>
      <c r="HV146" s="430">
        <v>0.67</v>
      </c>
      <c r="HW146" s="430">
        <v>0.33</v>
      </c>
      <c r="HX146" s="430">
        <v>0</v>
      </c>
      <c r="HY146" s="430">
        <v>0</v>
      </c>
      <c r="HZ146" s="430">
        <v>0.54</v>
      </c>
      <c r="IA146" s="430">
        <v>0.65</v>
      </c>
      <c r="IB146" s="430">
        <v>0.71</v>
      </c>
      <c r="IC146" s="430">
        <v>0.81</v>
      </c>
      <c r="ID146" s="430">
        <v>0.56000000000000005</v>
      </c>
      <c r="IE146" s="430">
        <v>0.55000000000000004</v>
      </c>
      <c r="IF146" s="430">
        <v>0.82</v>
      </c>
      <c r="IG146" s="430">
        <v>0.31</v>
      </c>
      <c r="IH146" s="430">
        <v>0.57999999999999996</v>
      </c>
      <c r="II146" s="430">
        <v>1</v>
      </c>
      <c r="IJ146" s="430">
        <v>0.47</v>
      </c>
      <c r="IK146" s="430">
        <v>0.87</v>
      </c>
      <c r="IL146" s="430">
        <v>0.55000000000000004</v>
      </c>
      <c r="IM146" s="430">
        <v>0.76</v>
      </c>
      <c r="IN146" s="430">
        <v>0.71</v>
      </c>
      <c r="IO146" s="430">
        <v>0.62</v>
      </c>
      <c r="IP146" s="430">
        <v>0.44</v>
      </c>
      <c r="IQ146" s="430">
        <v>0.67</v>
      </c>
      <c r="IR146" s="430">
        <v>0.71</v>
      </c>
      <c r="IS146" s="430">
        <v>1</v>
      </c>
      <c r="IT146" s="430">
        <v>0.79</v>
      </c>
      <c r="IU146" s="426" t="s">
        <v>283</v>
      </c>
      <c r="IV146" s="430">
        <v>0.75</v>
      </c>
      <c r="IW146" s="430">
        <v>0.64</v>
      </c>
      <c r="IX146" s="430">
        <v>0.75</v>
      </c>
      <c r="IY146" s="430">
        <v>0.8</v>
      </c>
      <c r="IZ146" s="466">
        <v>39</v>
      </c>
      <c r="JA146" s="466" t="s">
        <v>876</v>
      </c>
      <c r="JB146" s="466">
        <v>10</v>
      </c>
      <c r="JC146" s="466" t="s">
        <v>874</v>
      </c>
      <c r="JD146" s="480">
        <v>0.5</v>
      </c>
      <c r="JE146" s="480">
        <v>0.5</v>
      </c>
      <c r="JF146" s="480">
        <v>0</v>
      </c>
      <c r="JG146" s="480">
        <v>0</v>
      </c>
      <c r="JH146" s="480">
        <v>0.67</v>
      </c>
      <c r="JI146" s="480">
        <v>0.67</v>
      </c>
      <c r="JJ146" s="480">
        <v>0.67</v>
      </c>
      <c r="JK146" s="480">
        <v>0.82</v>
      </c>
      <c r="JL146" s="480">
        <v>0.86</v>
      </c>
      <c r="JM146" s="480">
        <v>0.77</v>
      </c>
      <c r="JN146" s="480">
        <v>0.5</v>
      </c>
      <c r="JO146" s="480">
        <v>0.64</v>
      </c>
      <c r="JP146" s="480">
        <v>0.67</v>
      </c>
      <c r="JQ146" s="480">
        <v>0.78</v>
      </c>
      <c r="JR146" s="480">
        <v>0.82</v>
      </c>
      <c r="JS146" s="480">
        <v>1</v>
      </c>
      <c r="JT146" s="480">
        <v>0.56999999999999995</v>
      </c>
      <c r="JU146" s="480">
        <v>0.5</v>
      </c>
      <c r="JV146" s="480">
        <v>0.69</v>
      </c>
      <c r="JW146" s="480">
        <v>0.64</v>
      </c>
      <c r="JX146" s="480">
        <v>0.67</v>
      </c>
      <c r="JY146" s="480">
        <v>0.86</v>
      </c>
      <c r="JZ146" s="480">
        <v>0.78</v>
      </c>
      <c r="KA146" s="480">
        <v>0.67</v>
      </c>
      <c r="KB146" s="480">
        <v>0.83</v>
      </c>
      <c r="KC146" s="480">
        <v>1</v>
      </c>
      <c r="KD146" s="480">
        <v>0.86</v>
      </c>
      <c r="KE146" s="480">
        <v>0.64</v>
      </c>
      <c r="KF146" s="480">
        <v>0.43</v>
      </c>
      <c r="KG146" s="480">
        <v>1</v>
      </c>
    </row>
    <row r="147" spans="1:293" ht="24.95" customHeight="1" x14ac:dyDescent="0.2">
      <c r="A147" s="815" t="s">
        <v>31</v>
      </c>
      <c r="B147" s="1" t="s">
        <v>221</v>
      </c>
      <c r="C147" s="311">
        <v>6</v>
      </c>
      <c r="D147" s="330">
        <v>56</v>
      </c>
      <c r="E147" s="330">
        <v>7</v>
      </c>
      <c r="F147" s="335">
        <v>0</v>
      </c>
      <c r="G147" s="335">
        <v>0.36</v>
      </c>
      <c r="H147" s="335">
        <v>0.64</v>
      </c>
      <c r="I147" s="335">
        <v>0</v>
      </c>
      <c r="J147" s="335">
        <v>0.38</v>
      </c>
      <c r="K147" s="335">
        <v>0.33</v>
      </c>
      <c r="L147" s="335">
        <v>0.67</v>
      </c>
      <c r="M147" s="335">
        <v>0.17</v>
      </c>
      <c r="N147" s="335">
        <v>0.27</v>
      </c>
      <c r="O147" s="335">
        <v>0.69</v>
      </c>
      <c r="P147" s="335">
        <v>0.3</v>
      </c>
      <c r="Q147" s="335">
        <v>0.42</v>
      </c>
      <c r="R147" s="335">
        <v>0.53</v>
      </c>
      <c r="S147" s="335">
        <v>0.48</v>
      </c>
      <c r="T147" s="335">
        <v>0.42</v>
      </c>
      <c r="U147" s="335">
        <v>0.17</v>
      </c>
      <c r="V147" s="335">
        <v>0</v>
      </c>
      <c r="W147" s="335">
        <v>0.13</v>
      </c>
      <c r="X147" s="335">
        <v>0.52</v>
      </c>
      <c r="Y147" s="335">
        <v>0.56000000000000005</v>
      </c>
      <c r="Z147" s="330" t="s">
        <v>283</v>
      </c>
      <c r="AA147" s="335">
        <v>0.08</v>
      </c>
      <c r="AB147" s="335">
        <v>0.46</v>
      </c>
      <c r="AC147" s="335">
        <v>0.04</v>
      </c>
      <c r="AD147" s="335">
        <v>0.45</v>
      </c>
      <c r="AE147" s="335">
        <v>0.4</v>
      </c>
      <c r="AF147" s="335">
        <v>0.48</v>
      </c>
      <c r="AG147" s="335">
        <v>0.56000000000000005</v>
      </c>
      <c r="AH147" s="330">
        <v>46</v>
      </c>
      <c r="AI147" s="330">
        <v>8</v>
      </c>
      <c r="AJ147" s="333">
        <v>0.33</v>
      </c>
      <c r="AK147" s="333">
        <v>0.5</v>
      </c>
      <c r="AL147" s="333">
        <v>0.17</v>
      </c>
      <c r="AM147" s="333">
        <v>0</v>
      </c>
      <c r="AN147" s="333">
        <v>0.5</v>
      </c>
      <c r="AO147" s="333">
        <v>0.45</v>
      </c>
      <c r="AP147" s="333">
        <v>0.71</v>
      </c>
      <c r="AQ147" s="333">
        <v>0.59</v>
      </c>
      <c r="AR147" s="333">
        <v>0.8</v>
      </c>
      <c r="AS147" s="333">
        <v>0.59</v>
      </c>
      <c r="AT147" s="333">
        <v>0.71</v>
      </c>
      <c r="AU147" s="333">
        <v>0.56999999999999995</v>
      </c>
      <c r="AV147" s="333">
        <v>0.65</v>
      </c>
      <c r="AW147" s="333">
        <v>0.55000000000000004</v>
      </c>
      <c r="AX147" s="333">
        <v>0.42</v>
      </c>
      <c r="AY147" s="333">
        <v>0.31</v>
      </c>
      <c r="AZ147" s="333">
        <v>0.5</v>
      </c>
      <c r="BA147" s="333">
        <v>0.41</v>
      </c>
      <c r="BB147" s="333">
        <v>0.89</v>
      </c>
      <c r="BC147" s="333">
        <v>0.75</v>
      </c>
      <c r="BD147" s="333">
        <v>0.46</v>
      </c>
      <c r="BE147" s="333">
        <v>1</v>
      </c>
      <c r="BF147" s="333">
        <v>0.6</v>
      </c>
      <c r="BG147" s="333">
        <v>0.67</v>
      </c>
      <c r="BH147" s="333">
        <v>0.55000000000000004</v>
      </c>
      <c r="BI147" s="333">
        <v>0.5</v>
      </c>
      <c r="BJ147" s="333">
        <v>0.67</v>
      </c>
      <c r="BK147" s="333">
        <v>0.64</v>
      </c>
      <c r="BL147" s="333">
        <v>0.17</v>
      </c>
      <c r="BM147" s="330">
        <v>49</v>
      </c>
      <c r="BN147" s="330">
        <v>13</v>
      </c>
      <c r="BO147" s="335">
        <v>0.13</v>
      </c>
      <c r="BP147" s="335">
        <v>0.63</v>
      </c>
      <c r="BQ147" s="335">
        <v>0.25</v>
      </c>
      <c r="BR147" s="335">
        <v>0</v>
      </c>
      <c r="BS147" s="335">
        <v>0.67</v>
      </c>
      <c r="BT147" s="335">
        <v>1</v>
      </c>
      <c r="BU147" s="335">
        <v>0.43</v>
      </c>
      <c r="BV147" s="335">
        <v>0</v>
      </c>
      <c r="BW147" s="335">
        <v>0.67</v>
      </c>
      <c r="BX147" s="335">
        <v>0.44</v>
      </c>
      <c r="BY147" s="335">
        <v>0.47</v>
      </c>
      <c r="BZ147" s="335">
        <v>0.48</v>
      </c>
      <c r="CA147" s="335">
        <v>0.46</v>
      </c>
      <c r="CB147" s="335">
        <v>0.31</v>
      </c>
      <c r="CC147" s="335">
        <v>0.27</v>
      </c>
      <c r="CD147" s="335">
        <v>0.6</v>
      </c>
      <c r="CE147" s="335">
        <v>0.47</v>
      </c>
      <c r="CF147" s="335">
        <v>0.89</v>
      </c>
      <c r="CG147" s="335">
        <v>0.45</v>
      </c>
      <c r="CH147" s="335">
        <v>0.38</v>
      </c>
      <c r="CI147" s="335">
        <v>0.52</v>
      </c>
      <c r="CJ147" s="335">
        <v>0.43</v>
      </c>
      <c r="CK147" s="335">
        <v>0.63</v>
      </c>
      <c r="CL147" s="335">
        <v>0.21</v>
      </c>
      <c r="CM147" s="335">
        <v>0.28999999999999998</v>
      </c>
      <c r="CN147" s="335">
        <v>0.52</v>
      </c>
      <c r="CO147" s="335">
        <v>0.64</v>
      </c>
      <c r="CP147" s="335">
        <v>0.46</v>
      </c>
      <c r="CQ147" s="335">
        <v>0.68</v>
      </c>
      <c r="CR147" s="335">
        <v>0.56999999999999995</v>
      </c>
      <c r="CS147" s="330">
        <v>47</v>
      </c>
      <c r="CT147" s="330">
        <v>4</v>
      </c>
      <c r="CU147" s="329">
        <v>0</v>
      </c>
      <c r="CV147" s="329">
        <v>1</v>
      </c>
      <c r="CW147" s="329">
        <v>0</v>
      </c>
      <c r="CX147" s="329">
        <v>0</v>
      </c>
      <c r="CY147" s="329">
        <v>0.5</v>
      </c>
      <c r="CZ147" s="329">
        <v>0.45</v>
      </c>
      <c r="DA147" s="329">
        <v>0.63</v>
      </c>
      <c r="DB147" s="329">
        <v>0.2</v>
      </c>
      <c r="DC147" s="329">
        <v>0.33</v>
      </c>
      <c r="DD147" s="329">
        <v>1</v>
      </c>
      <c r="DE147" s="329">
        <v>0</v>
      </c>
      <c r="DF147" s="329">
        <v>0.67</v>
      </c>
      <c r="DG147" s="329">
        <v>0.5</v>
      </c>
      <c r="DH147" s="329">
        <v>0.6</v>
      </c>
      <c r="DI147" s="329">
        <v>0.43</v>
      </c>
      <c r="DJ147" s="329">
        <v>0.67</v>
      </c>
      <c r="DK147" s="329">
        <v>0.6</v>
      </c>
      <c r="DL147" s="329">
        <v>0</v>
      </c>
      <c r="DM147" s="329">
        <v>0.63</v>
      </c>
      <c r="DN147" s="329">
        <v>0.67</v>
      </c>
      <c r="DO147" s="329">
        <v>0.5</v>
      </c>
      <c r="DP147" s="329">
        <v>0.63</v>
      </c>
      <c r="DQ147" s="329">
        <v>0.5</v>
      </c>
      <c r="DR147" s="329">
        <v>0.1</v>
      </c>
      <c r="DS147" s="329">
        <v>0.44</v>
      </c>
      <c r="DT147" s="329">
        <v>0.75</v>
      </c>
      <c r="DU147" s="329">
        <v>0.5</v>
      </c>
      <c r="DV147" s="329">
        <v>0.38</v>
      </c>
      <c r="DW147" s="329">
        <v>0.17</v>
      </c>
      <c r="DX147" s="313">
        <v>53</v>
      </c>
      <c r="DY147" s="313">
        <v>6</v>
      </c>
      <c r="DZ147" s="333">
        <v>0</v>
      </c>
      <c r="EA147" s="333">
        <v>0.75</v>
      </c>
      <c r="EB147" s="333">
        <v>0.25</v>
      </c>
      <c r="EC147" s="333">
        <v>0</v>
      </c>
      <c r="ED147" s="333">
        <v>0.75</v>
      </c>
      <c r="EE147" s="333">
        <v>0.56000000000000005</v>
      </c>
      <c r="EF147" s="333">
        <v>0.44</v>
      </c>
      <c r="EG147" s="333">
        <v>0.5</v>
      </c>
      <c r="EH147" s="333">
        <v>0.33</v>
      </c>
      <c r="EI147" s="333">
        <v>0.33</v>
      </c>
      <c r="EJ147" s="333">
        <v>0.25</v>
      </c>
      <c r="EK147" s="333">
        <v>0.2</v>
      </c>
      <c r="EL147" s="333">
        <v>0.25</v>
      </c>
      <c r="EM147" s="333">
        <v>0</v>
      </c>
      <c r="EN147" s="333">
        <v>0.4</v>
      </c>
      <c r="EO147" s="333">
        <v>0.56000000000000005</v>
      </c>
      <c r="EP147" s="333">
        <v>0.17</v>
      </c>
      <c r="EQ147" s="333">
        <v>0</v>
      </c>
      <c r="ER147" s="333">
        <v>0.43</v>
      </c>
      <c r="ES147" s="333">
        <v>0.44</v>
      </c>
      <c r="ET147" s="333">
        <v>0.23</v>
      </c>
      <c r="EU147" s="333">
        <v>0.5</v>
      </c>
      <c r="EV147" s="333">
        <v>0</v>
      </c>
      <c r="EW147" s="333">
        <v>0.5</v>
      </c>
      <c r="EX147" s="333">
        <v>1</v>
      </c>
      <c r="EY147" s="333">
        <v>0.62</v>
      </c>
      <c r="EZ147" s="333">
        <v>0</v>
      </c>
      <c r="FA147" s="333">
        <v>0.73</v>
      </c>
      <c r="FB147" s="314">
        <v>55</v>
      </c>
      <c r="FC147" s="314" t="s">
        <v>874</v>
      </c>
      <c r="FD147" s="314">
        <v>5</v>
      </c>
      <c r="FE147" s="314" t="s">
        <v>876</v>
      </c>
      <c r="FF147" s="334">
        <v>0</v>
      </c>
      <c r="FG147" s="334">
        <v>0.6</v>
      </c>
      <c r="FH147" s="334">
        <v>0.4</v>
      </c>
      <c r="FI147" s="334">
        <v>0</v>
      </c>
      <c r="FJ147" s="334">
        <v>0.36</v>
      </c>
      <c r="FK147" s="334">
        <v>0.64</v>
      </c>
      <c r="FL147" s="334">
        <v>0.43</v>
      </c>
      <c r="FM147" s="334">
        <v>0.17</v>
      </c>
      <c r="FN147" s="334">
        <v>0.2</v>
      </c>
      <c r="FO147" s="334">
        <v>0.14000000000000001</v>
      </c>
      <c r="FP147" s="334">
        <v>0.17</v>
      </c>
      <c r="FQ147" s="334">
        <v>0.27</v>
      </c>
      <c r="FR147" s="334">
        <v>0.62</v>
      </c>
      <c r="FS147" s="334">
        <v>0.5</v>
      </c>
      <c r="FT147" s="334">
        <v>0.44</v>
      </c>
      <c r="FU147" s="334">
        <v>0.25</v>
      </c>
      <c r="FV147" s="334">
        <v>0.7</v>
      </c>
      <c r="FW147" s="334">
        <v>0.64</v>
      </c>
      <c r="FX147" s="334">
        <v>0</v>
      </c>
      <c r="FY147" s="334">
        <v>0.27</v>
      </c>
      <c r="FZ147" s="334">
        <v>0.1</v>
      </c>
      <c r="GA147" s="334">
        <v>0.56000000000000005</v>
      </c>
      <c r="GB147" s="334">
        <v>0.28999999999999998</v>
      </c>
      <c r="GC147" s="334">
        <v>0.38</v>
      </c>
      <c r="GD147" s="334">
        <v>0.59</v>
      </c>
      <c r="GE147" s="334">
        <v>0.36</v>
      </c>
      <c r="GF147" s="334">
        <v>0.56999999999999995</v>
      </c>
      <c r="GG147" s="334">
        <v>0.27</v>
      </c>
      <c r="GH147" s="334">
        <v>0.5</v>
      </c>
      <c r="GI147" s="334">
        <v>0.17</v>
      </c>
      <c r="GJ147" s="311">
        <v>49</v>
      </c>
      <c r="GK147" s="311" t="s">
        <v>874</v>
      </c>
      <c r="GL147" s="311">
        <v>8</v>
      </c>
      <c r="GM147" s="311" t="s">
        <v>874</v>
      </c>
      <c r="GN147" s="329">
        <v>0.2</v>
      </c>
      <c r="GO147" s="329">
        <v>0.4</v>
      </c>
      <c r="GP147" s="329">
        <v>0.4</v>
      </c>
      <c r="GQ147" s="329">
        <v>0</v>
      </c>
      <c r="GR147" s="329">
        <v>0.19</v>
      </c>
      <c r="GS147" s="329">
        <v>0.5</v>
      </c>
      <c r="GT147" s="329">
        <v>0.61</v>
      </c>
      <c r="GU147" s="329">
        <v>0.67</v>
      </c>
      <c r="GV147" s="329">
        <v>0.56999999999999995</v>
      </c>
      <c r="GW147" s="329">
        <v>0.22</v>
      </c>
      <c r="GX147" s="329">
        <v>0.46</v>
      </c>
      <c r="GY147" s="311" t="s">
        <v>283</v>
      </c>
      <c r="GZ147" s="329">
        <v>0.21</v>
      </c>
      <c r="HA147" s="329">
        <v>0.63</v>
      </c>
      <c r="HB147" s="329">
        <v>0.49</v>
      </c>
      <c r="HC147" s="329">
        <v>0.55000000000000004</v>
      </c>
      <c r="HD147" s="329">
        <v>0.48</v>
      </c>
      <c r="HE147" s="329">
        <v>0.53</v>
      </c>
      <c r="HF147" s="329">
        <v>0.39</v>
      </c>
      <c r="HG147" s="329">
        <v>0.69</v>
      </c>
      <c r="HH147" s="329">
        <v>0.56000000000000005</v>
      </c>
      <c r="HI147" s="329">
        <v>0.62</v>
      </c>
      <c r="HJ147" s="329">
        <v>0.67</v>
      </c>
      <c r="HK147" s="329">
        <v>0.56000000000000005</v>
      </c>
      <c r="HL147" s="329">
        <v>0.6</v>
      </c>
      <c r="HM147" s="329">
        <v>0.5</v>
      </c>
      <c r="HN147" s="329">
        <v>0.6</v>
      </c>
      <c r="HO147" s="329">
        <v>0.5</v>
      </c>
      <c r="HP147" s="311" t="s">
        <v>283</v>
      </c>
      <c r="HQ147" s="329">
        <v>0.53</v>
      </c>
      <c r="HR147" s="426">
        <v>52</v>
      </c>
      <c r="HS147" s="426" t="s">
        <v>874</v>
      </c>
      <c r="HT147" s="426">
        <v>9</v>
      </c>
      <c r="HU147" s="426" t="s">
        <v>874</v>
      </c>
      <c r="HV147" s="430">
        <v>0.14000000000000001</v>
      </c>
      <c r="HW147" s="430">
        <v>0.56999999999999995</v>
      </c>
      <c r="HX147" s="430">
        <v>0.28999999999999998</v>
      </c>
      <c r="HY147" s="430">
        <v>0</v>
      </c>
      <c r="HZ147" s="430">
        <v>0.36</v>
      </c>
      <c r="IA147" s="430">
        <v>0.53</v>
      </c>
      <c r="IB147" s="430">
        <v>0.25</v>
      </c>
      <c r="IC147" s="430">
        <v>0.54</v>
      </c>
      <c r="ID147" s="430">
        <v>0.72</v>
      </c>
      <c r="IE147" s="430">
        <v>0.24</v>
      </c>
      <c r="IF147" s="430">
        <v>0.36</v>
      </c>
      <c r="IG147" s="430">
        <v>0.56999999999999995</v>
      </c>
      <c r="IH147" s="430">
        <v>0.28999999999999998</v>
      </c>
      <c r="II147" s="430">
        <v>0</v>
      </c>
      <c r="IJ147" s="430">
        <v>0.38</v>
      </c>
      <c r="IK147" s="430">
        <v>0.72</v>
      </c>
      <c r="IL147" s="430">
        <v>0.13</v>
      </c>
      <c r="IM147" s="430">
        <v>0.69</v>
      </c>
      <c r="IN147" s="430">
        <v>0.38</v>
      </c>
      <c r="IO147" s="430">
        <v>0.53</v>
      </c>
      <c r="IP147" s="430">
        <v>0.22</v>
      </c>
      <c r="IQ147" s="430">
        <v>0.5</v>
      </c>
      <c r="IR147" s="430">
        <v>0.69</v>
      </c>
      <c r="IS147" s="430">
        <v>0.61</v>
      </c>
      <c r="IT147" s="430">
        <v>0.32</v>
      </c>
      <c r="IU147" s="426" t="s">
        <v>283</v>
      </c>
      <c r="IV147" s="430">
        <v>0.9</v>
      </c>
      <c r="IW147" s="430">
        <v>0.42</v>
      </c>
      <c r="IX147" s="430">
        <v>0.45</v>
      </c>
      <c r="IY147" s="430">
        <v>0.5</v>
      </c>
      <c r="IZ147" s="466">
        <v>48</v>
      </c>
      <c r="JA147" s="466" t="s">
        <v>874</v>
      </c>
      <c r="JB147" s="466">
        <v>10</v>
      </c>
      <c r="JC147" s="466" t="s">
        <v>874</v>
      </c>
      <c r="JD147" s="480">
        <v>0.3</v>
      </c>
      <c r="JE147" s="480">
        <v>0.4</v>
      </c>
      <c r="JF147" s="480">
        <v>0.3</v>
      </c>
      <c r="JG147" s="480">
        <v>0</v>
      </c>
      <c r="JH147" s="480">
        <v>0.63</v>
      </c>
      <c r="JI147" s="480">
        <v>0.44</v>
      </c>
      <c r="JJ147" s="480">
        <v>0.36</v>
      </c>
      <c r="JK147" s="480">
        <v>0.41</v>
      </c>
      <c r="JL147" s="480">
        <v>0.62</v>
      </c>
      <c r="JM147" s="480">
        <v>0.41</v>
      </c>
      <c r="JN147" s="480">
        <v>0.52</v>
      </c>
      <c r="JO147" s="480">
        <v>0.37</v>
      </c>
      <c r="JP147" s="480">
        <v>0.78</v>
      </c>
      <c r="JQ147" s="480">
        <v>0.19</v>
      </c>
      <c r="JR147" s="480">
        <v>0.65</v>
      </c>
      <c r="JS147" s="480">
        <v>0.57999999999999996</v>
      </c>
      <c r="JT147" s="480">
        <v>0.64</v>
      </c>
      <c r="JU147" s="480">
        <v>0.43</v>
      </c>
      <c r="JV147" s="480">
        <v>0.62</v>
      </c>
      <c r="JW147" s="480">
        <v>0.7</v>
      </c>
      <c r="JX147" s="480">
        <v>0.25</v>
      </c>
      <c r="JY147" s="480">
        <v>0.69</v>
      </c>
      <c r="JZ147" s="480">
        <v>0.57999999999999996</v>
      </c>
      <c r="KA147" s="480">
        <v>0.83</v>
      </c>
      <c r="KB147" s="480">
        <v>0.5</v>
      </c>
      <c r="KC147" s="480">
        <v>0.7</v>
      </c>
      <c r="KD147" s="480">
        <v>0.43</v>
      </c>
      <c r="KE147" s="480">
        <v>0.55000000000000004</v>
      </c>
      <c r="KF147" s="480">
        <v>0.62</v>
      </c>
      <c r="KG147" s="480">
        <v>0.68</v>
      </c>
    </row>
    <row r="148" spans="1:293" ht="24.95" customHeight="1" x14ac:dyDescent="0.2">
      <c r="A148" s="814" t="s">
        <v>54</v>
      </c>
      <c r="B148" s="1" t="s">
        <v>221</v>
      </c>
      <c r="C148" s="2">
        <v>6</v>
      </c>
      <c r="D148" s="12">
        <v>59</v>
      </c>
      <c r="E148" s="12">
        <v>6</v>
      </c>
      <c r="F148" s="66">
        <v>0</v>
      </c>
      <c r="G148" s="66">
        <v>0.25</v>
      </c>
      <c r="H148" s="66">
        <v>0.75</v>
      </c>
      <c r="I148" s="66">
        <v>0</v>
      </c>
      <c r="J148" s="66">
        <v>0.21</v>
      </c>
      <c r="K148" s="66">
        <v>0.32</v>
      </c>
      <c r="L148" s="66">
        <v>0.68</v>
      </c>
      <c r="M148" s="66">
        <v>0.12</v>
      </c>
      <c r="N148" s="66">
        <v>0.21</v>
      </c>
      <c r="O148" s="66">
        <v>0.44</v>
      </c>
      <c r="P148" s="66">
        <v>0.26</v>
      </c>
      <c r="Q148" s="66">
        <v>0.48</v>
      </c>
      <c r="R148" s="66">
        <v>0.49</v>
      </c>
      <c r="S148" s="66">
        <v>0.44</v>
      </c>
      <c r="T148" s="66">
        <v>0.38</v>
      </c>
      <c r="U148" s="66">
        <v>0.6</v>
      </c>
      <c r="V148" s="66">
        <v>0.06</v>
      </c>
      <c r="W148" s="66">
        <v>0</v>
      </c>
      <c r="X148" s="66">
        <v>0.39</v>
      </c>
      <c r="Y148" s="66">
        <v>0.44</v>
      </c>
      <c r="Z148" s="66">
        <v>1</v>
      </c>
      <c r="AA148" s="66">
        <v>7.0000000000000007E-2</v>
      </c>
      <c r="AB148" s="66">
        <v>0.26</v>
      </c>
      <c r="AC148" s="66">
        <v>0.09</v>
      </c>
      <c r="AD148" s="66">
        <v>0.26</v>
      </c>
      <c r="AE148" s="66">
        <v>0.22</v>
      </c>
      <c r="AF148" s="66">
        <v>0.36</v>
      </c>
      <c r="AG148" s="66">
        <v>0.32</v>
      </c>
      <c r="AH148" s="12">
        <v>60</v>
      </c>
      <c r="AI148" s="12">
        <v>8</v>
      </c>
      <c r="AJ148" s="40">
        <v>0</v>
      </c>
      <c r="AK148" s="40">
        <v>0.31</v>
      </c>
      <c r="AL148" s="40">
        <v>0.6</v>
      </c>
      <c r="AM148" s="40">
        <v>0.09</v>
      </c>
      <c r="AN148" s="40">
        <v>0.19</v>
      </c>
      <c r="AO148" s="40">
        <v>0.39</v>
      </c>
      <c r="AP148" s="40">
        <v>0.37</v>
      </c>
      <c r="AQ148" s="40">
        <v>0.27</v>
      </c>
      <c r="AR148" s="40">
        <v>0.39</v>
      </c>
      <c r="AS148" s="40">
        <v>0.44</v>
      </c>
      <c r="AT148" s="40">
        <v>0.4</v>
      </c>
      <c r="AU148" s="40">
        <v>0.35</v>
      </c>
      <c r="AV148" s="40">
        <v>0.38</v>
      </c>
      <c r="AW148" s="40">
        <v>0.3</v>
      </c>
      <c r="AX148" s="40">
        <v>0.2</v>
      </c>
      <c r="AY148" s="40">
        <v>0.2</v>
      </c>
      <c r="AZ148" s="40">
        <v>0.23</v>
      </c>
      <c r="BA148" s="40">
        <v>0.4</v>
      </c>
      <c r="BB148" s="40">
        <v>0.5</v>
      </c>
      <c r="BC148" s="40">
        <v>0.6</v>
      </c>
      <c r="BD148" s="40">
        <v>0.22</v>
      </c>
      <c r="BE148" s="40">
        <v>0.24</v>
      </c>
      <c r="BF148" s="40">
        <v>0.67</v>
      </c>
      <c r="BG148" s="40">
        <v>0.23</v>
      </c>
      <c r="BH148" s="40">
        <v>0.28999999999999998</v>
      </c>
      <c r="BI148" s="40">
        <v>0.28000000000000003</v>
      </c>
      <c r="BJ148" s="40">
        <v>0.18</v>
      </c>
      <c r="BK148" s="40">
        <v>0.33</v>
      </c>
      <c r="BL148" s="40">
        <v>0</v>
      </c>
      <c r="BM148" s="12">
        <v>56</v>
      </c>
      <c r="BN148" s="12">
        <v>6</v>
      </c>
      <c r="BO148" s="66">
        <v>0</v>
      </c>
      <c r="BP148" s="66">
        <v>0.4</v>
      </c>
      <c r="BQ148" s="66">
        <v>0.6</v>
      </c>
      <c r="BR148" s="66">
        <v>0</v>
      </c>
      <c r="BS148" s="66">
        <v>0.31</v>
      </c>
      <c r="BT148" s="66">
        <v>0.2</v>
      </c>
      <c r="BU148" s="66">
        <v>0.74</v>
      </c>
      <c r="BV148" s="66">
        <v>0.13</v>
      </c>
      <c r="BW148" s="66">
        <v>0.65</v>
      </c>
      <c r="BX148" s="66">
        <v>0.25</v>
      </c>
      <c r="BY148" s="66">
        <v>0.27</v>
      </c>
      <c r="BZ148" s="66">
        <v>0.35</v>
      </c>
      <c r="CA148" s="66">
        <v>0.4</v>
      </c>
      <c r="CB148" s="66">
        <v>0.18</v>
      </c>
      <c r="CC148" s="66">
        <v>0.1</v>
      </c>
      <c r="CD148" s="66">
        <v>0.32</v>
      </c>
      <c r="CE148" s="66">
        <v>0.19</v>
      </c>
      <c r="CF148" s="66">
        <v>0.48</v>
      </c>
      <c r="CG148" s="66">
        <v>0.47</v>
      </c>
      <c r="CH148" s="66">
        <v>0.37</v>
      </c>
      <c r="CI148" s="66">
        <v>0.52</v>
      </c>
      <c r="CJ148" s="66">
        <v>0.21</v>
      </c>
      <c r="CK148" s="66">
        <v>0.57999999999999996</v>
      </c>
      <c r="CL148" s="66">
        <v>0.13</v>
      </c>
      <c r="CM148" s="66">
        <v>0.37</v>
      </c>
      <c r="CN148" s="66">
        <v>0.34</v>
      </c>
      <c r="CO148" s="66">
        <v>0.33</v>
      </c>
      <c r="CP148" s="66">
        <v>0.26</v>
      </c>
      <c r="CQ148" s="66">
        <v>0.53</v>
      </c>
      <c r="CR148" s="66">
        <v>0.52</v>
      </c>
      <c r="CS148" s="12">
        <v>58</v>
      </c>
      <c r="CT148" s="12">
        <v>9</v>
      </c>
      <c r="CU148" s="63">
        <v>7.0000000000000007E-2</v>
      </c>
      <c r="CV148" s="63">
        <v>0.33</v>
      </c>
      <c r="CW148" s="63">
        <v>0.5</v>
      </c>
      <c r="CX148" s="63">
        <v>0.1</v>
      </c>
      <c r="CY148" s="63">
        <v>0.45</v>
      </c>
      <c r="CZ148" s="63">
        <v>0.16</v>
      </c>
      <c r="DA148" s="63">
        <v>0.48</v>
      </c>
      <c r="DB148" s="63">
        <v>0.19</v>
      </c>
      <c r="DC148" s="63">
        <v>0.27</v>
      </c>
      <c r="DD148" s="63">
        <v>0.51</v>
      </c>
      <c r="DE148" s="63">
        <v>0.16</v>
      </c>
      <c r="DF148" s="63">
        <v>0.4</v>
      </c>
      <c r="DG148" s="63">
        <v>0.39</v>
      </c>
      <c r="DH148" s="63">
        <v>0.19</v>
      </c>
      <c r="DI148" s="63">
        <v>0.26</v>
      </c>
      <c r="DJ148" s="63">
        <v>0.36</v>
      </c>
      <c r="DK148" s="63">
        <v>0.26</v>
      </c>
      <c r="DL148" s="63">
        <v>0.14000000000000001</v>
      </c>
      <c r="DM148" s="63">
        <v>0.3</v>
      </c>
      <c r="DN148" s="63">
        <v>0.31</v>
      </c>
      <c r="DO148" s="63">
        <v>0.31</v>
      </c>
      <c r="DP148" s="63">
        <v>0.37</v>
      </c>
      <c r="DQ148" s="63">
        <v>0.52</v>
      </c>
      <c r="DR148" s="63">
        <v>0.08</v>
      </c>
      <c r="DS148" s="63">
        <v>0.28999999999999998</v>
      </c>
      <c r="DT148" s="63">
        <v>0.44</v>
      </c>
      <c r="DU148" s="63">
        <v>0.33</v>
      </c>
      <c r="DV148" s="63">
        <v>0.38</v>
      </c>
      <c r="DW148" s="63">
        <v>0.25</v>
      </c>
      <c r="DX148" s="35">
        <v>54</v>
      </c>
      <c r="DY148" s="35">
        <v>8</v>
      </c>
      <c r="DZ148" s="40">
        <v>0</v>
      </c>
      <c r="EA148" s="40">
        <v>0.52</v>
      </c>
      <c r="EB148" s="40">
        <v>0.44</v>
      </c>
      <c r="EC148" s="40">
        <v>0.04</v>
      </c>
      <c r="ED148" s="40">
        <v>0.38</v>
      </c>
      <c r="EE148" s="40">
        <v>0.45</v>
      </c>
      <c r="EF148" s="40">
        <v>0.28999999999999998</v>
      </c>
      <c r="EG148" s="40">
        <v>0.33</v>
      </c>
      <c r="EH148" s="40">
        <v>0.28000000000000003</v>
      </c>
      <c r="EI148" s="40">
        <v>0.37</v>
      </c>
      <c r="EJ148" s="40">
        <v>0.52</v>
      </c>
      <c r="EK148" s="40">
        <v>0.19</v>
      </c>
      <c r="EL148" s="40">
        <v>0.53</v>
      </c>
      <c r="EM148" s="40">
        <v>0.6</v>
      </c>
      <c r="EN148" s="40">
        <v>0.23</v>
      </c>
      <c r="EO148" s="40">
        <v>0.51</v>
      </c>
      <c r="EP148" s="40">
        <v>0.36</v>
      </c>
      <c r="EQ148" s="40">
        <v>0.19</v>
      </c>
      <c r="ER148" s="40">
        <v>0.48</v>
      </c>
      <c r="ES148" s="40">
        <v>0.53</v>
      </c>
      <c r="ET148" s="40">
        <v>0.34</v>
      </c>
      <c r="EU148" s="40">
        <v>0.68</v>
      </c>
      <c r="EV148" s="40">
        <v>0.28999999999999998</v>
      </c>
      <c r="EW148" s="40">
        <v>0.2</v>
      </c>
      <c r="EX148" s="40">
        <v>0.56000000000000005</v>
      </c>
      <c r="EY148" s="40">
        <v>0.45</v>
      </c>
      <c r="EZ148" s="40">
        <v>0.11</v>
      </c>
      <c r="FA148" s="40">
        <v>0.56999999999999995</v>
      </c>
      <c r="FB148" s="247">
        <v>55</v>
      </c>
      <c r="FC148" s="247" t="s">
        <v>874</v>
      </c>
      <c r="FD148" s="247">
        <v>9</v>
      </c>
      <c r="FE148" s="247" t="s">
        <v>874</v>
      </c>
      <c r="FF148" s="264">
        <v>0.1</v>
      </c>
      <c r="FG148" s="264">
        <v>0.35</v>
      </c>
      <c r="FH148" s="264">
        <v>0.52</v>
      </c>
      <c r="FI148" s="264">
        <v>0.03</v>
      </c>
      <c r="FJ148" s="264">
        <v>0.31</v>
      </c>
      <c r="FK148" s="264">
        <v>0.6</v>
      </c>
      <c r="FL148" s="264">
        <v>0.32</v>
      </c>
      <c r="FM148" s="264">
        <v>0.2</v>
      </c>
      <c r="FN148" s="264">
        <v>0.27</v>
      </c>
      <c r="FO148" s="264">
        <v>0.36</v>
      </c>
      <c r="FP148" s="264">
        <v>0.28999999999999998</v>
      </c>
      <c r="FQ148" s="264">
        <v>0.34</v>
      </c>
      <c r="FR148" s="264">
        <v>0.49</v>
      </c>
      <c r="FS148" s="264">
        <v>0.24</v>
      </c>
      <c r="FT148" s="264">
        <v>0.4</v>
      </c>
      <c r="FU148" s="264">
        <v>0.16</v>
      </c>
      <c r="FV148" s="264">
        <v>0.48</v>
      </c>
      <c r="FW148" s="264">
        <v>0.45</v>
      </c>
      <c r="FX148" s="264">
        <v>0.3</v>
      </c>
      <c r="FY148" s="264">
        <v>0.28000000000000003</v>
      </c>
      <c r="FZ148" s="264">
        <v>0.37</v>
      </c>
      <c r="GA148" s="264">
        <v>0.51</v>
      </c>
      <c r="GB148" s="264">
        <v>0.4</v>
      </c>
      <c r="GC148" s="264">
        <v>0.41</v>
      </c>
      <c r="GD148" s="264">
        <v>0.48</v>
      </c>
      <c r="GE148" s="264">
        <v>0.38</v>
      </c>
      <c r="GF148" s="264">
        <v>0.41</v>
      </c>
      <c r="GG148" s="264">
        <v>0.41</v>
      </c>
      <c r="GH148" s="264">
        <v>0.43</v>
      </c>
      <c r="GI148" s="264">
        <v>0.26</v>
      </c>
      <c r="GJ148" s="311">
        <v>57</v>
      </c>
      <c r="GK148" s="311" t="s">
        <v>874</v>
      </c>
      <c r="GL148" s="311">
        <v>7</v>
      </c>
      <c r="GM148" s="311" t="s">
        <v>874</v>
      </c>
      <c r="GN148" s="329">
        <v>0</v>
      </c>
      <c r="GO148" s="329">
        <v>0.35</v>
      </c>
      <c r="GP148" s="329">
        <v>0.62</v>
      </c>
      <c r="GQ148" s="329">
        <v>0.04</v>
      </c>
      <c r="GR148" s="329">
        <v>0.33</v>
      </c>
      <c r="GS148" s="329">
        <v>0.34</v>
      </c>
      <c r="GT148" s="329">
        <v>0.46</v>
      </c>
      <c r="GU148" s="329">
        <v>0</v>
      </c>
      <c r="GV148" s="329">
        <v>0.45</v>
      </c>
      <c r="GW148" s="329">
        <v>0.23</v>
      </c>
      <c r="GX148" s="329">
        <v>0.34</v>
      </c>
      <c r="GY148" s="311" t="s">
        <v>283</v>
      </c>
      <c r="GZ148" s="329">
        <v>0.24</v>
      </c>
      <c r="HA148" s="329">
        <v>0.67</v>
      </c>
      <c r="HB148" s="329">
        <v>0.39</v>
      </c>
      <c r="HC148" s="329">
        <v>0.39</v>
      </c>
      <c r="HD148" s="329">
        <v>0.37</v>
      </c>
      <c r="HE148" s="329">
        <v>0.36</v>
      </c>
      <c r="HF148" s="329">
        <v>0.32</v>
      </c>
      <c r="HG148" s="329">
        <v>0.71</v>
      </c>
      <c r="HH148" s="329">
        <v>0.25</v>
      </c>
      <c r="HI148" s="329">
        <v>0.39</v>
      </c>
      <c r="HJ148" s="329">
        <v>0.48</v>
      </c>
      <c r="HK148" s="329">
        <v>0.44</v>
      </c>
      <c r="HL148" s="329">
        <v>0.38</v>
      </c>
      <c r="HM148" s="329">
        <v>0.3</v>
      </c>
      <c r="HN148" s="329">
        <v>0.35</v>
      </c>
      <c r="HO148" s="329">
        <v>0.2</v>
      </c>
      <c r="HP148" s="311" t="s">
        <v>283</v>
      </c>
      <c r="HQ148" s="329">
        <v>0.28000000000000003</v>
      </c>
      <c r="HR148" s="426">
        <v>58</v>
      </c>
      <c r="HS148" s="426" t="s">
        <v>874</v>
      </c>
      <c r="HT148" s="426">
        <v>9</v>
      </c>
      <c r="HU148" s="426" t="s">
        <v>874</v>
      </c>
      <c r="HV148" s="430">
        <v>0</v>
      </c>
      <c r="HW148" s="430">
        <v>0.35</v>
      </c>
      <c r="HX148" s="430">
        <v>0.56999999999999995</v>
      </c>
      <c r="HY148" s="430">
        <v>0.09</v>
      </c>
      <c r="HZ148" s="430">
        <v>0.23</v>
      </c>
      <c r="IA148" s="430">
        <v>0.42</v>
      </c>
      <c r="IB148" s="430">
        <v>0.24</v>
      </c>
      <c r="IC148" s="430">
        <v>0.45</v>
      </c>
      <c r="ID148" s="430">
        <v>0.48</v>
      </c>
      <c r="IE148" s="430">
        <v>0.34</v>
      </c>
      <c r="IF148" s="430">
        <v>0.31</v>
      </c>
      <c r="IG148" s="430">
        <v>0.43</v>
      </c>
      <c r="IH148" s="430">
        <v>0.46</v>
      </c>
      <c r="II148" s="430">
        <v>0.2</v>
      </c>
      <c r="IJ148" s="430">
        <v>0.12</v>
      </c>
      <c r="IK148" s="430">
        <v>0.38</v>
      </c>
      <c r="IL148" s="430">
        <v>0.18</v>
      </c>
      <c r="IM148" s="430">
        <v>0.44</v>
      </c>
      <c r="IN148" s="430">
        <v>0.24</v>
      </c>
      <c r="IO148" s="430">
        <v>0.45</v>
      </c>
      <c r="IP148" s="430">
        <v>0.32</v>
      </c>
      <c r="IQ148" s="430">
        <v>0.5</v>
      </c>
      <c r="IR148" s="430">
        <v>0.49</v>
      </c>
      <c r="IS148" s="430">
        <v>0.25</v>
      </c>
      <c r="IT148" s="430">
        <v>0.33</v>
      </c>
      <c r="IU148" s="426" t="s">
        <v>283</v>
      </c>
      <c r="IV148" s="430">
        <v>0.55000000000000004</v>
      </c>
      <c r="IW148" s="430">
        <v>0.34</v>
      </c>
      <c r="IX148" s="430">
        <v>0.39</v>
      </c>
      <c r="IY148" s="430">
        <v>0.47</v>
      </c>
      <c r="IZ148" s="466">
        <v>54</v>
      </c>
      <c r="JA148" s="466" t="s">
        <v>874</v>
      </c>
      <c r="JB148" s="466">
        <v>8</v>
      </c>
      <c r="JC148" s="466" t="s">
        <v>874</v>
      </c>
      <c r="JD148" s="480">
        <v>0.05</v>
      </c>
      <c r="JE148" s="480">
        <v>0.52</v>
      </c>
      <c r="JF148" s="480">
        <v>0.43</v>
      </c>
      <c r="JG148" s="480">
        <v>0</v>
      </c>
      <c r="JH148" s="480">
        <v>0.3</v>
      </c>
      <c r="JI148" s="480">
        <v>0.36</v>
      </c>
      <c r="JJ148" s="480">
        <v>0.38</v>
      </c>
      <c r="JK148" s="480">
        <v>0.46</v>
      </c>
      <c r="JL148" s="480">
        <v>0.21</v>
      </c>
      <c r="JM148" s="480">
        <v>0.47</v>
      </c>
      <c r="JN148" s="480">
        <v>0.27</v>
      </c>
      <c r="JO148" s="480">
        <v>0.39</v>
      </c>
      <c r="JP148" s="480">
        <v>0.48</v>
      </c>
      <c r="JQ148" s="480">
        <v>0.27</v>
      </c>
      <c r="JR148" s="480">
        <v>0.48</v>
      </c>
      <c r="JS148" s="480">
        <v>0.62</v>
      </c>
      <c r="JT148" s="480">
        <v>0.35</v>
      </c>
      <c r="JU148" s="480">
        <v>0.53</v>
      </c>
      <c r="JV148" s="480">
        <v>0.31</v>
      </c>
      <c r="JW148" s="480">
        <v>0.38</v>
      </c>
      <c r="JX148" s="480">
        <v>0.34</v>
      </c>
      <c r="JY148" s="480">
        <v>0.46</v>
      </c>
      <c r="JZ148" s="480">
        <v>0.4</v>
      </c>
      <c r="KA148" s="480">
        <v>0.09</v>
      </c>
      <c r="KB148" s="480">
        <v>0.31</v>
      </c>
      <c r="KC148" s="480">
        <v>0.5</v>
      </c>
      <c r="KD148" s="480">
        <v>0.26</v>
      </c>
      <c r="KE148" s="480">
        <v>0.53</v>
      </c>
      <c r="KF148" s="480">
        <v>0.44</v>
      </c>
      <c r="KG148" s="480">
        <v>0.59</v>
      </c>
    </row>
    <row r="149" spans="1:293" ht="24.95" customHeight="1" x14ac:dyDescent="0.2">
      <c r="A149" s="814" t="s">
        <v>844</v>
      </c>
      <c r="B149" s="1" t="s">
        <v>221</v>
      </c>
      <c r="C149" s="2">
        <v>4</v>
      </c>
      <c r="D149" s="12"/>
      <c r="E149" s="12"/>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12"/>
      <c r="AI149" s="12"/>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12"/>
      <c r="BN149" s="12"/>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12"/>
      <c r="CT149" s="12"/>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35"/>
      <c r="DY149" s="35"/>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652"/>
      <c r="FC149" s="652"/>
      <c r="FD149" s="652"/>
      <c r="FE149" s="652"/>
      <c r="FF149" s="652"/>
      <c r="FG149" s="652"/>
      <c r="FH149" s="652"/>
      <c r="FI149" s="652"/>
      <c r="FJ149" s="652"/>
      <c r="FK149" s="652"/>
      <c r="FL149" s="652"/>
      <c r="FM149" s="652"/>
      <c r="FN149" s="652"/>
      <c r="FO149" s="652"/>
      <c r="FP149" s="652"/>
      <c r="FQ149" s="652"/>
      <c r="FR149" s="652"/>
      <c r="FS149" s="652"/>
      <c r="FT149" s="652"/>
      <c r="FU149" s="652"/>
      <c r="FV149" s="652"/>
      <c r="FW149" s="652"/>
      <c r="FX149" s="652"/>
      <c r="FY149" s="652"/>
      <c r="FZ149" s="652"/>
      <c r="GA149" s="652"/>
      <c r="GB149" s="652"/>
      <c r="GC149" s="652"/>
      <c r="GD149" s="652"/>
      <c r="GE149" s="652"/>
      <c r="GF149" s="652"/>
      <c r="GG149" s="652"/>
      <c r="GH149" s="652"/>
      <c r="GI149" s="652"/>
      <c r="GJ149" s="655"/>
      <c r="GK149" s="655"/>
      <c r="GL149" s="655"/>
      <c r="GM149" s="655"/>
      <c r="GN149" s="655"/>
      <c r="GO149" s="655"/>
      <c r="GP149" s="655"/>
      <c r="GQ149" s="655"/>
      <c r="GR149" s="655"/>
      <c r="GS149" s="655"/>
      <c r="GT149" s="655"/>
      <c r="GU149" s="655"/>
      <c r="GV149" s="655"/>
      <c r="GW149" s="655"/>
      <c r="GX149" s="655"/>
      <c r="GY149" s="655"/>
      <c r="GZ149" s="655"/>
      <c r="HA149" s="655"/>
      <c r="HB149" s="655"/>
      <c r="HC149" s="655"/>
      <c r="HD149" s="655"/>
      <c r="HE149" s="655"/>
      <c r="HF149" s="655"/>
      <c r="HG149" s="655"/>
      <c r="HH149" s="655"/>
      <c r="HI149" s="655"/>
      <c r="HJ149" s="655"/>
      <c r="HK149" s="655"/>
      <c r="HL149" s="655"/>
      <c r="HM149" s="655"/>
      <c r="HN149" s="655"/>
      <c r="HO149" s="655"/>
      <c r="HP149" s="655"/>
      <c r="HQ149" s="655"/>
      <c r="HR149" s="426">
        <v>50</v>
      </c>
      <c r="HS149" s="426" t="s">
        <v>874</v>
      </c>
      <c r="HT149" s="426">
        <v>8</v>
      </c>
      <c r="HU149" s="426" t="s">
        <v>874</v>
      </c>
      <c r="HV149" s="430">
        <v>0</v>
      </c>
      <c r="HW149" s="430">
        <v>0.75</v>
      </c>
      <c r="HX149" s="430">
        <v>0.25</v>
      </c>
      <c r="HY149" s="430">
        <v>0</v>
      </c>
      <c r="HZ149" s="430">
        <v>0.38</v>
      </c>
      <c r="IA149" s="430">
        <v>0.42</v>
      </c>
      <c r="IB149" s="430">
        <v>0.33</v>
      </c>
      <c r="IC149" s="430">
        <v>0.57999999999999996</v>
      </c>
      <c r="ID149" s="430">
        <v>0.74</v>
      </c>
      <c r="IE149" s="430">
        <v>0.25</v>
      </c>
      <c r="IF149" s="430">
        <v>0.56999999999999995</v>
      </c>
      <c r="IG149" s="430">
        <v>0.6</v>
      </c>
      <c r="IH149" s="430">
        <v>0.59</v>
      </c>
      <c r="II149" s="430">
        <v>0.33</v>
      </c>
      <c r="IJ149" s="430">
        <v>0.38</v>
      </c>
      <c r="IK149" s="430">
        <v>0.61</v>
      </c>
      <c r="IL149" s="430">
        <v>0.17</v>
      </c>
      <c r="IM149" s="430">
        <v>0.53</v>
      </c>
      <c r="IN149" s="430">
        <v>0.54</v>
      </c>
      <c r="IO149" s="430">
        <v>0.56999999999999995</v>
      </c>
      <c r="IP149" s="430">
        <v>0.53</v>
      </c>
      <c r="IQ149" s="430">
        <v>0.61</v>
      </c>
      <c r="IR149" s="430">
        <v>0.57999999999999996</v>
      </c>
      <c r="IS149" s="430">
        <v>0.5</v>
      </c>
      <c r="IT149" s="430">
        <v>0.48</v>
      </c>
      <c r="IU149" s="426" t="s">
        <v>283</v>
      </c>
      <c r="IV149" s="430">
        <v>0.68</v>
      </c>
      <c r="IW149" s="430">
        <v>0.25</v>
      </c>
      <c r="IX149" s="430">
        <v>0.38</v>
      </c>
      <c r="IY149" s="430">
        <v>0.52</v>
      </c>
      <c r="IZ149" s="647"/>
      <c r="JA149" s="647"/>
      <c r="JB149" s="647"/>
      <c r="JC149" s="647"/>
      <c r="JD149" s="648"/>
      <c r="JE149" s="648"/>
      <c r="JF149" s="648"/>
      <c r="JG149" s="648"/>
      <c r="JH149" s="648"/>
      <c r="JI149" s="648"/>
      <c r="JJ149" s="648"/>
      <c r="JK149" s="648"/>
      <c r="JL149" s="648"/>
      <c r="JM149" s="648"/>
      <c r="JN149" s="648"/>
      <c r="JO149" s="648"/>
      <c r="JP149" s="648"/>
      <c r="JQ149" s="648"/>
      <c r="JR149" s="648"/>
      <c r="JS149" s="648"/>
      <c r="JT149" s="648"/>
      <c r="JU149" s="648"/>
      <c r="JV149" s="648"/>
      <c r="JW149" s="648"/>
      <c r="JX149" s="648"/>
      <c r="JY149" s="648"/>
      <c r="JZ149" s="647"/>
      <c r="KA149" s="648"/>
      <c r="KB149" s="648"/>
      <c r="KC149" s="648"/>
      <c r="KD149" s="648"/>
      <c r="KE149" s="648"/>
      <c r="KF149" s="648"/>
      <c r="KG149" s="648"/>
    </row>
    <row r="150" spans="1:293" ht="24.95" customHeight="1" x14ac:dyDescent="0.2">
      <c r="A150" s="814" t="s">
        <v>142</v>
      </c>
      <c r="B150" s="1" t="s">
        <v>221</v>
      </c>
      <c r="C150" s="2">
        <v>2</v>
      </c>
      <c r="D150" s="12">
        <v>48</v>
      </c>
      <c r="E150" s="12">
        <v>8</v>
      </c>
      <c r="F150" s="66">
        <v>0.13</v>
      </c>
      <c r="G150" s="66">
        <v>0.69</v>
      </c>
      <c r="H150" s="66">
        <v>0.19</v>
      </c>
      <c r="I150" s="66">
        <v>0</v>
      </c>
      <c r="J150" s="66">
        <v>0.4</v>
      </c>
      <c r="K150" s="66">
        <v>0.45</v>
      </c>
      <c r="L150" s="66">
        <v>0.8</v>
      </c>
      <c r="M150" s="66">
        <v>0.43</v>
      </c>
      <c r="N150" s="66">
        <v>0.48</v>
      </c>
      <c r="O150" s="66">
        <v>0.82</v>
      </c>
      <c r="P150" s="66">
        <v>0.41</v>
      </c>
      <c r="Q150" s="66">
        <v>0.36</v>
      </c>
      <c r="R150" s="66">
        <v>0.64</v>
      </c>
      <c r="S150" s="66">
        <v>0.63</v>
      </c>
      <c r="T150" s="66">
        <v>0.56999999999999995</v>
      </c>
      <c r="U150" s="66">
        <v>0.78</v>
      </c>
      <c r="V150" s="66">
        <v>0.15</v>
      </c>
      <c r="W150" s="66">
        <v>0.37</v>
      </c>
      <c r="X150" s="66">
        <v>0.69</v>
      </c>
      <c r="Y150" s="66">
        <v>0.48</v>
      </c>
      <c r="Z150" s="12" t="s">
        <v>283</v>
      </c>
      <c r="AA150" s="66">
        <v>0.15</v>
      </c>
      <c r="AB150" s="66">
        <v>0.5</v>
      </c>
      <c r="AC150" s="66">
        <v>0.56000000000000005</v>
      </c>
      <c r="AD150" s="66">
        <v>0.49</v>
      </c>
      <c r="AE150" s="66">
        <v>0.45</v>
      </c>
      <c r="AF150" s="66">
        <v>0.64</v>
      </c>
      <c r="AG150" s="66">
        <v>0.62</v>
      </c>
      <c r="AH150" s="12">
        <v>52</v>
      </c>
      <c r="AI150" s="12">
        <v>7</v>
      </c>
      <c r="AJ150" s="40">
        <v>0</v>
      </c>
      <c r="AK150" s="40">
        <v>0.67</v>
      </c>
      <c r="AL150" s="40">
        <v>0.33</v>
      </c>
      <c r="AM150" s="40">
        <v>0</v>
      </c>
      <c r="AN150" s="40">
        <v>0.33</v>
      </c>
      <c r="AO150" s="40">
        <v>0.25</v>
      </c>
      <c r="AP150" s="40">
        <v>0.71</v>
      </c>
      <c r="AQ150" s="40">
        <v>0.22</v>
      </c>
      <c r="AR150" s="40">
        <v>0.36</v>
      </c>
      <c r="AS150" s="40">
        <v>0.63</v>
      </c>
      <c r="AT150" s="40">
        <v>0.33</v>
      </c>
      <c r="AU150" s="40">
        <v>0.56000000000000005</v>
      </c>
      <c r="AV150" s="40">
        <v>0.6</v>
      </c>
      <c r="AW150" s="35" t="s">
        <v>283</v>
      </c>
      <c r="AX150" s="40">
        <v>0.6</v>
      </c>
      <c r="AY150" s="40">
        <v>0.36</v>
      </c>
      <c r="AZ150" s="40">
        <v>0.13</v>
      </c>
      <c r="BA150" s="40">
        <v>0.44</v>
      </c>
      <c r="BB150" s="40">
        <v>0.68</v>
      </c>
      <c r="BC150" s="40">
        <v>0.63</v>
      </c>
      <c r="BD150" s="40">
        <v>0.5</v>
      </c>
      <c r="BE150" s="40">
        <v>0.28999999999999998</v>
      </c>
      <c r="BF150" s="40">
        <v>0.75</v>
      </c>
      <c r="BG150" s="40">
        <v>0.39</v>
      </c>
      <c r="BH150" s="40">
        <v>0.41</v>
      </c>
      <c r="BI150" s="40">
        <v>0.43</v>
      </c>
      <c r="BJ150" s="40">
        <v>0.19</v>
      </c>
      <c r="BK150" s="40">
        <v>0.39</v>
      </c>
      <c r="BL150" s="40">
        <v>0.4</v>
      </c>
      <c r="BM150" s="12">
        <v>50</v>
      </c>
      <c r="BN150" s="12">
        <v>5</v>
      </c>
      <c r="BO150" s="66">
        <v>7.0000000000000007E-2</v>
      </c>
      <c r="BP150" s="66">
        <v>0.8</v>
      </c>
      <c r="BQ150" s="66">
        <v>0.13</v>
      </c>
      <c r="BR150" s="66">
        <v>0</v>
      </c>
      <c r="BS150" s="66">
        <v>0.2</v>
      </c>
      <c r="BT150" s="66">
        <v>0.67</v>
      </c>
      <c r="BU150" s="66">
        <v>0.73</v>
      </c>
      <c r="BV150" s="66">
        <v>0.6</v>
      </c>
      <c r="BW150" s="66">
        <v>0.55000000000000004</v>
      </c>
      <c r="BX150" s="66">
        <v>0.46</v>
      </c>
      <c r="BY150" s="66">
        <v>0.52</v>
      </c>
      <c r="BZ150" s="66">
        <v>0.53</v>
      </c>
      <c r="CA150" s="66">
        <v>0.5</v>
      </c>
      <c r="CB150" s="66">
        <v>0.38</v>
      </c>
      <c r="CC150" s="66">
        <v>0.34</v>
      </c>
      <c r="CD150" s="66">
        <v>0.37</v>
      </c>
      <c r="CE150" s="66">
        <v>0.37</v>
      </c>
      <c r="CF150" s="66">
        <v>0.55000000000000004</v>
      </c>
      <c r="CG150" s="66">
        <v>0.79</v>
      </c>
      <c r="CH150" s="66">
        <v>0.42</v>
      </c>
      <c r="CI150" s="66">
        <v>0.74</v>
      </c>
      <c r="CJ150" s="66">
        <v>0.42</v>
      </c>
      <c r="CK150" s="66">
        <v>0.74</v>
      </c>
      <c r="CL150" s="66">
        <v>0.19</v>
      </c>
      <c r="CM150" s="66">
        <v>0.5</v>
      </c>
      <c r="CN150" s="66">
        <v>0.53</v>
      </c>
      <c r="CO150" s="66">
        <v>0.67</v>
      </c>
      <c r="CP150" s="66">
        <v>0.32</v>
      </c>
      <c r="CQ150" s="66">
        <v>0.45</v>
      </c>
      <c r="CR150" s="66">
        <v>0.37</v>
      </c>
      <c r="CS150" s="12">
        <v>41</v>
      </c>
      <c r="CT150" s="12">
        <v>10</v>
      </c>
      <c r="CU150" s="63">
        <v>0.45</v>
      </c>
      <c r="CV150" s="63">
        <v>0.45</v>
      </c>
      <c r="CW150" s="63">
        <v>0.09</v>
      </c>
      <c r="CX150" s="63">
        <v>0</v>
      </c>
      <c r="CY150" s="63">
        <v>0.54</v>
      </c>
      <c r="CZ150" s="63">
        <v>0.43</v>
      </c>
      <c r="DA150" s="63">
        <v>0.8</v>
      </c>
      <c r="DB150" s="63">
        <v>0.66</v>
      </c>
      <c r="DC150" s="63">
        <v>0.52</v>
      </c>
      <c r="DD150" s="63">
        <v>0.67</v>
      </c>
      <c r="DE150" s="63">
        <v>0.77</v>
      </c>
      <c r="DF150" s="63">
        <v>0.75</v>
      </c>
      <c r="DG150" s="63">
        <v>0.56000000000000005</v>
      </c>
      <c r="DH150" s="63">
        <v>0.57999999999999996</v>
      </c>
      <c r="DI150" s="63">
        <v>0.6</v>
      </c>
      <c r="DJ150" s="63">
        <v>0.77</v>
      </c>
      <c r="DK150" s="63">
        <v>0.65</v>
      </c>
      <c r="DL150" s="63">
        <v>0.56000000000000005</v>
      </c>
      <c r="DM150" s="63">
        <v>0.68</v>
      </c>
      <c r="DN150" s="63">
        <v>0.61</v>
      </c>
      <c r="DO150" s="63">
        <v>0.71</v>
      </c>
      <c r="DP150" s="63">
        <v>0.57999999999999996</v>
      </c>
      <c r="DQ150" s="63">
        <v>0.5</v>
      </c>
      <c r="DR150" s="63">
        <v>0.32</v>
      </c>
      <c r="DS150" s="63">
        <v>0.5</v>
      </c>
      <c r="DT150" s="63">
        <v>0.65</v>
      </c>
      <c r="DU150" s="63">
        <v>1</v>
      </c>
      <c r="DV150" s="63">
        <v>0.44</v>
      </c>
      <c r="DW150" s="63">
        <v>0.33</v>
      </c>
      <c r="DX150" s="35">
        <v>46</v>
      </c>
      <c r="DY150" s="35">
        <v>9</v>
      </c>
      <c r="DZ150" s="40">
        <v>0.36</v>
      </c>
      <c r="EA150" s="40">
        <v>0.5</v>
      </c>
      <c r="EB150" s="40">
        <v>0.14000000000000001</v>
      </c>
      <c r="EC150" s="40">
        <v>0</v>
      </c>
      <c r="ED150" s="40">
        <v>0.56999999999999995</v>
      </c>
      <c r="EE150" s="40">
        <v>0.5</v>
      </c>
      <c r="EF150" s="40">
        <v>0.56000000000000005</v>
      </c>
      <c r="EG150" s="40">
        <v>0.33</v>
      </c>
      <c r="EH150" s="40">
        <v>0.61</v>
      </c>
      <c r="EI150" s="40">
        <v>0.5</v>
      </c>
      <c r="EJ150" s="40">
        <v>0.6</v>
      </c>
      <c r="EK150" s="40">
        <v>0.33</v>
      </c>
      <c r="EL150" s="40">
        <v>0.6</v>
      </c>
      <c r="EM150" s="40">
        <v>0.59</v>
      </c>
      <c r="EN150" s="40">
        <v>0.63</v>
      </c>
      <c r="EO150" s="40">
        <v>0.61</v>
      </c>
      <c r="EP150" s="40">
        <v>0.6</v>
      </c>
      <c r="EQ150" s="40">
        <v>0.53</v>
      </c>
      <c r="ER150" s="40">
        <v>0.65</v>
      </c>
      <c r="ES150" s="40">
        <v>0.5</v>
      </c>
      <c r="ET150" s="40">
        <v>0.33</v>
      </c>
      <c r="EU150" s="40">
        <v>0.45</v>
      </c>
      <c r="EV150" s="40">
        <v>0.4</v>
      </c>
      <c r="EW150" s="40">
        <v>0.27</v>
      </c>
      <c r="EX150" s="40">
        <v>0.56999999999999995</v>
      </c>
      <c r="EY150" s="40">
        <v>0.69</v>
      </c>
      <c r="EZ150" s="40">
        <v>0.5</v>
      </c>
      <c r="FA150" s="40">
        <v>0.8</v>
      </c>
      <c r="FB150" s="653">
        <v>52</v>
      </c>
      <c r="FC150" s="653" t="s">
        <v>874</v>
      </c>
      <c r="FD150" s="653">
        <v>7</v>
      </c>
      <c r="FE150" s="653" t="s">
        <v>874</v>
      </c>
      <c r="FF150" s="654">
        <v>0</v>
      </c>
      <c r="FG150" s="654">
        <v>0.69</v>
      </c>
      <c r="FH150" s="654">
        <v>0.31</v>
      </c>
      <c r="FI150" s="654">
        <v>0</v>
      </c>
      <c r="FJ150" s="654">
        <v>0.32</v>
      </c>
      <c r="FK150" s="654">
        <v>0.74</v>
      </c>
      <c r="FL150" s="654">
        <v>0.41</v>
      </c>
      <c r="FM150" s="654">
        <v>0.45</v>
      </c>
      <c r="FN150" s="654">
        <v>0.27</v>
      </c>
      <c r="FO150" s="654">
        <v>0.24</v>
      </c>
      <c r="FP150" s="654">
        <v>0.34</v>
      </c>
      <c r="FQ150" s="654">
        <v>0.27</v>
      </c>
      <c r="FR150" s="654">
        <v>0.47</v>
      </c>
      <c r="FS150" s="654">
        <v>0.45</v>
      </c>
      <c r="FT150" s="654">
        <v>0.48</v>
      </c>
      <c r="FU150" s="654">
        <v>0.44</v>
      </c>
      <c r="FV150" s="654">
        <v>0.56000000000000005</v>
      </c>
      <c r="FW150" s="654">
        <v>0.44</v>
      </c>
      <c r="FX150" s="654">
        <v>0.53</v>
      </c>
      <c r="FY150" s="654">
        <v>0.33</v>
      </c>
      <c r="FZ150" s="654">
        <v>0.18</v>
      </c>
      <c r="GA150" s="654">
        <v>0.31</v>
      </c>
      <c r="GB150" s="654">
        <v>0.56999999999999995</v>
      </c>
      <c r="GC150" s="654">
        <v>0.41</v>
      </c>
      <c r="GD150" s="654">
        <v>0.6</v>
      </c>
      <c r="GE150" s="654">
        <v>0.55000000000000004</v>
      </c>
      <c r="GF150" s="654">
        <v>0.61</v>
      </c>
      <c r="GG150" s="654">
        <v>0.4</v>
      </c>
      <c r="GH150" s="654">
        <v>0.64</v>
      </c>
      <c r="GI150" s="654">
        <v>0.23</v>
      </c>
      <c r="GJ150" s="74">
        <v>52</v>
      </c>
      <c r="GK150" s="74" t="s">
        <v>874</v>
      </c>
      <c r="GL150" s="74">
        <v>6</v>
      </c>
      <c r="GM150" s="74" t="s">
        <v>874</v>
      </c>
      <c r="GN150" s="96">
        <v>0</v>
      </c>
      <c r="GO150" s="96">
        <v>0.64</v>
      </c>
      <c r="GP150" s="96">
        <v>0.36</v>
      </c>
      <c r="GQ150" s="96">
        <v>0</v>
      </c>
      <c r="GR150" s="96">
        <v>0.3</v>
      </c>
      <c r="GS150" s="96">
        <v>0.41</v>
      </c>
      <c r="GT150" s="96">
        <v>0.75</v>
      </c>
      <c r="GU150" s="96">
        <v>0.09</v>
      </c>
      <c r="GV150" s="96">
        <v>0.49</v>
      </c>
      <c r="GW150" s="96">
        <v>0.1</v>
      </c>
      <c r="GX150" s="96">
        <v>0.46</v>
      </c>
      <c r="GY150" s="74" t="s">
        <v>283</v>
      </c>
      <c r="GZ150" s="96">
        <v>0.2</v>
      </c>
      <c r="HA150" s="96">
        <v>0.43</v>
      </c>
      <c r="HB150" s="96">
        <v>0.4</v>
      </c>
      <c r="HC150" s="96">
        <v>0.45</v>
      </c>
      <c r="HD150" s="96">
        <v>0.56000000000000005</v>
      </c>
      <c r="HE150" s="96">
        <v>0.48</v>
      </c>
      <c r="HF150" s="96">
        <v>0.48</v>
      </c>
      <c r="HG150" s="96">
        <v>0.71</v>
      </c>
      <c r="HH150" s="96">
        <v>0.23</v>
      </c>
      <c r="HI150" s="96">
        <v>0.37</v>
      </c>
      <c r="HJ150" s="96">
        <v>0.56000000000000005</v>
      </c>
      <c r="HK150" s="96">
        <v>0.53</v>
      </c>
      <c r="HL150" s="96">
        <v>0.39</v>
      </c>
      <c r="HM150" s="96">
        <v>0.5</v>
      </c>
      <c r="HN150" s="96">
        <v>0.55000000000000004</v>
      </c>
      <c r="HO150" s="96">
        <v>0.43</v>
      </c>
      <c r="HP150" s="74" t="s">
        <v>283</v>
      </c>
      <c r="HQ150" s="96">
        <v>0.46</v>
      </c>
      <c r="HR150" s="426">
        <v>53</v>
      </c>
      <c r="HS150" s="426" t="s">
        <v>874</v>
      </c>
      <c r="HT150" s="426">
        <v>7</v>
      </c>
      <c r="HU150" s="426" t="s">
        <v>874</v>
      </c>
      <c r="HV150" s="430">
        <v>0.05</v>
      </c>
      <c r="HW150" s="430">
        <v>0.63</v>
      </c>
      <c r="HX150" s="430">
        <v>0.32</v>
      </c>
      <c r="HY150" s="430">
        <v>0</v>
      </c>
      <c r="HZ150" s="430">
        <v>0.41</v>
      </c>
      <c r="IA150" s="430">
        <v>0.4</v>
      </c>
      <c r="IB150" s="430">
        <v>0.14000000000000001</v>
      </c>
      <c r="IC150" s="430">
        <v>0.45</v>
      </c>
      <c r="ID150" s="430">
        <v>0.56000000000000005</v>
      </c>
      <c r="IE150" s="430">
        <v>0.34</v>
      </c>
      <c r="IF150" s="430">
        <v>0.38</v>
      </c>
      <c r="IG150" s="430">
        <v>0.61</v>
      </c>
      <c r="IH150" s="430">
        <v>0.39</v>
      </c>
      <c r="II150" s="430">
        <v>0.33</v>
      </c>
      <c r="IJ150" s="430">
        <v>0.28999999999999998</v>
      </c>
      <c r="IK150" s="430">
        <v>0.56000000000000005</v>
      </c>
      <c r="IL150" s="430">
        <v>0.37</v>
      </c>
      <c r="IM150" s="430">
        <v>0.66</v>
      </c>
      <c r="IN150" s="430">
        <v>0.28000000000000003</v>
      </c>
      <c r="IO150" s="430">
        <v>0.45</v>
      </c>
      <c r="IP150" s="430">
        <v>0.27</v>
      </c>
      <c r="IQ150" s="430">
        <v>0.56000000000000005</v>
      </c>
      <c r="IR150" s="430">
        <v>0.5</v>
      </c>
      <c r="IS150" s="430">
        <v>0.49</v>
      </c>
      <c r="IT150" s="430">
        <v>0.37</v>
      </c>
      <c r="IU150" s="426" t="s">
        <v>283</v>
      </c>
      <c r="IV150" s="430">
        <v>0.65</v>
      </c>
      <c r="IW150" s="430">
        <v>0.44</v>
      </c>
      <c r="IX150" s="430">
        <v>0.63</v>
      </c>
      <c r="IY150" s="430">
        <v>0.56000000000000005</v>
      </c>
      <c r="IZ150" s="660">
        <v>55</v>
      </c>
      <c r="JA150" s="660" t="s">
        <v>874</v>
      </c>
      <c r="JB150" s="660">
        <v>9</v>
      </c>
      <c r="JC150" s="660" t="s">
        <v>874</v>
      </c>
      <c r="JD150" s="661">
        <v>0.11</v>
      </c>
      <c r="JE150" s="661">
        <v>0.37</v>
      </c>
      <c r="JF150" s="661">
        <v>0.53</v>
      </c>
      <c r="JG150" s="661">
        <v>0</v>
      </c>
      <c r="JH150" s="661">
        <v>0.28000000000000003</v>
      </c>
      <c r="JI150" s="661">
        <v>0.34</v>
      </c>
      <c r="JJ150" s="661">
        <v>0.34</v>
      </c>
      <c r="JK150" s="661">
        <v>0.38</v>
      </c>
      <c r="JL150" s="661">
        <v>0.38</v>
      </c>
      <c r="JM150" s="661">
        <v>0.36</v>
      </c>
      <c r="JN150" s="661">
        <v>0.23</v>
      </c>
      <c r="JO150" s="661">
        <v>0.36</v>
      </c>
      <c r="JP150" s="661">
        <v>0.53</v>
      </c>
      <c r="JQ150" s="661">
        <v>0.24</v>
      </c>
      <c r="JR150" s="661">
        <v>0.48</v>
      </c>
      <c r="JS150" s="661">
        <v>0.42</v>
      </c>
      <c r="JT150" s="661">
        <v>0.32</v>
      </c>
      <c r="JU150" s="661">
        <v>0.32</v>
      </c>
      <c r="JV150" s="661">
        <v>0.35</v>
      </c>
      <c r="JW150" s="661">
        <v>0.51</v>
      </c>
      <c r="JX150" s="661">
        <v>0.31</v>
      </c>
      <c r="JY150" s="661">
        <v>0.28000000000000003</v>
      </c>
      <c r="JZ150" s="661">
        <v>0.38</v>
      </c>
      <c r="KA150" s="661">
        <v>1</v>
      </c>
      <c r="KB150" s="661">
        <v>0.36</v>
      </c>
      <c r="KC150" s="661">
        <v>0.78</v>
      </c>
      <c r="KD150" s="661">
        <v>0.28000000000000003</v>
      </c>
      <c r="KE150" s="661">
        <v>0.51</v>
      </c>
      <c r="KF150" s="661">
        <v>0.24</v>
      </c>
      <c r="KG150" s="661">
        <v>0.51</v>
      </c>
    </row>
    <row r="151" spans="1:293" ht="24.95" customHeight="1" x14ac:dyDescent="0.2">
      <c r="A151" s="814" t="s">
        <v>149</v>
      </c>
      <c r="B151" s="1" t="s">
        <v>221</v>
      </c>
      <c r="C151" s="2">
        <v>5</v>
      </c>
      <c r="D151" s="12">
        <v>53</v>
      </c>
      <c r="E151" s="12">
        <v>7</v>
      </c>
      <c r="F151" s="66">
        <v>0.02</v>
      </c>
      <c r="G151" s="66">
        <v>0.64</v>
      </c>
      <c r="H151" s="66">
        <v>0.33</v>
      </c>
      <c r="I151" s="66">
        <v>0</v>
      </c>
      <c r="J151" s="66">
        <v>0.36</v>
      </c>
      <c r="K151" s="66">
        <v>0.54</v>
      </c>
      <c r="L151" s="66">
        <v>0.8</v>
      </c>
      <c r="M151" s="66">
        <v>0.19</v>
      </c>
      <c r="N151" s="66">
        <v>0.32</v>
      </c>
      <c r="O151" s="66">
        <v>0.78</v>
      </c>
      <c r="P151" s="66">
        <v>0.36</v>
      </c>
      <c r="Q151" s="66">
        <v>0.45</v>
      </c>
      <c r="R151" s="66">
        <v>0.59</v>
      </c>
      <c r="S151" s="66">
        <v>0.63</v>
      </c>
      <c r="T151" s="66">
        <v>0.54</v>
      </c>
      <c r="U151" s="66">
        <v>0.6</v>
      </c>
      <c r="V151" s="66">
        <v>0.09</v>
      </c>
      <c r="W151" s="66">
        <v>0.14000000000000001</v>
      </c>
      <c r="X151" s="66">
        <v>0.56000000000000005</v>
      </c>
      <c r="Y151" s="66">
        <v>0.51</v>
      </c>
      <c r="Z151" s="12" t="s">
        <v>283</v>
      </c>
      <c r="AA151" s="66">
        <v>0.15</v>
      </c>
      <c r="AB151" s="66">
        <v>0.45</v>
      </c>
      <c r="AC151" s="66">
        <v>0.35</v>
      </c>
      <c r="AD151" s="66">
        <v>0.41</v>
      </c>
      <c r="AE151" s="66">
        <v>0.35</v>
      </c>
      <c r="AF151" s="66">
        <v>0.49</v>
      </c>
      <c r="AG151" s="66">
        <v>0.49</v>
      </c>
      <c r="AH151" s="12">
        <v>49</v>
      </c>
      <c r="AI151" s="12">
        <v>9</v>
      </c>
      <c r="AJ151" s="40">
        <v>0.2</v>
      </c>
      <c r="AK151" s="40">
        <v>0.54</v>
      </c>
      <c r="AL151" s="40">
        <v>0.27</v>
      </c>
      <c r="AM151" s="40">
        <v>0</v>
      </c>
      <c r="AN151" s="40">
        <v>0.45</v>
      </c>
      <c r="AO151" s="40">
        <v>0.49</v>
      </c>
      <c r="AP151" s="40">
        <v>0.56000000000000005</v>
      </c>
      <c r="AQ151" s="40">
        <v>0.47</v>
      </c>
      <c r="AR151" s="40">
        <v>0.69</v>
      </c>
      <c r="AS151" s="40">
        <v>0.53</v>
      </c>
      <c r="AT151" s="40">
        <v>0.54</v>
      </c>
      <c r="AU151" s="40">
        <v>0.57999999999999996</v>
      </c>
      <c r="AV151" s="40">
        <v>0.65</v>
      </c>
      <c r="AW151" s="40">
        <v>0.6</v>
      </c>
      <c r="AX151" s="40">
        <v>0.67</v>
      </c>
      <c r="AY151" s="40">
        <v>0.42</v>
      </c>
      <c r="AZ151" s="40">
        <v>0.3</v>
      </c>
      <c r="BA151" s="40">
        <v>0.48</v>
      </c>
      <c r="BB151" s="40">
        <v>0.71</v>
      </c>
      <c r="BC151" s="40">
        <v>0.63</v>
      </c>
      <c r="BD151" s="40">
        <v>0.46</v>
      </c>
      <c r="BE151" s="40">
        <v>0.81</v>
      </c>
      <c r="BF151" s="40">
        <v>0.55000000000000004</v>
      </c>
      <c r="BG151" s="40">
        <v>0.49</v>
      </c>
      <c r="BH151" s="40">
        <v>0.51</v>
      </c>
      <c r="BI151" s="40">
        <v>0.44</v>
      </c>
      <c r="BJ151" s="40">
        <v>0.46</v>
      </c>
      <c r="BK151" s="40">
        <v>0.55000000000000004</v>
      </c>
      <c r="BL151" s="40">
        <v>0.52</v>
      </c>
      <c r="BM151" s="12">
        <v>45</v>
      </c>
      <c r="BN151" s="12">
        <v>8</v>
      </c>
      <c r="BO151" s="66">
        <v>0.31</v>
      </c>
      <c r="BP151" s="66">
        <v>0.59</v>
      </c>
      <c r="BQ151" s="66">
        <v>0.09</v>
      </c>
      <c r="BR151" s="66">
        <v>0</v>
      </c>
      <c r="BS151" s="66">
        <v>0.42</v>
      </c>
      <c r="BT151" s="66">
        <v>0.8</v>
      </c>
      <c r="BU151" s="66">
        <v>0.56000000000000005</v>
      </c>
      <c r="BV151" s="66">
        <v>0.44</v>
      </c>
      <c r="BW151" s="66">
        <v>0.74</v>
      </c>
      <c r="BX151" s="66">
        <v>0.43</v>
      </c>
      <c r="BY151" s="66">
        <v>0.48</v>
      </c>
      <c r="BZ151" s="66">
        <v>0.66</v>
      </c>
      <c r="CA151" s="66">
        <v>0.57999999999999996</v>
      </c>
      <c r="CB151" s="66">
        <v>0.52</v>
      </c>
      <c r="CC151" s="66">
        <v>0.45</v>
      </c>
      <c r="CD151" s="66">
        <v>0.48</v>
      </c>
      <c r="CE151" s="66">
        <v>0.49</v>
      </c>
      <c r="CF151" s="66">
        <v>0.84</v>
      </c>
      <c r="CG151" s="66">
        <v>0.71</v>
      </c>
      <c r="CH151" s="66">
        <v>0.59</v>
      </c>
      <c r="CI151" s="66">
        <v>0.61</v>
      </c>
      <c r="CJ151" s="66">
        <v>0.31</v>
      </c>
      <c r="CK151" s="66">
        <v>0.73</v>
      </c>
      <c r="CL151" s="66">
        <v>0.34</v>
      </c>
      <c r="CM151" s="66">
        <v>0.56000000000000005</v>
      </c>
      <c r="CN151" s="66">
        <v>0.63</v>
      </c>
      <c r="CO151" s="66">
        <v>0.52</v>
      </c>
      <c r="CP151" s="66">
        <v>0.44</v>
      </c>
      <c r="CQ151" s="66">
        <v>0.66</v>
      </c>
      <c r="CR151" s="66">
        <v>0.72</v>
      </c>
      <c r="CS151" s="12">
        <v>48</v>
      </c>
      <c r="CT151" s="12">
        <v>9</v>
      </c>
      <c r="CU151" s="63">
        <v>0.25</v>
      </c>
      <c r="CV151" s="63">
        <v>0.5</v>
      </c>
      <c r="CW151" s="63">
        <v>0.25</v>
      </c>
      <c r="CX151" s="63">
        <v>0</v>
      </c>
      <c r="CY151" s="63">
        <v>0.49</v>
      </c>
      <c r="CZ151" s="63">
        <v>0.31</v>
      </c>
      <c r="DA151" s="63">
        <v>0.65</v>
      </c>
      <c r="DB151" s="63">
        <v>0.33</v>
      </c>
      <c r="DC151" s="63">
        <v>0.4</v>
      </c>
      <c r="DD151" s="63">
        <v>0.71</v>
      </c>
      <c r="DE151" s="63">
        <v>0.47</v>
      </c>
      <c r="DF151" s="63">
        <v>0.62</v>
      </c>
      <c r="DG151" s="63">
        <v>0.48</v>
      </c>
      <c r="DH151" s="63">
        <v>0.39</v>
      </c>
      <c r="DI151" s="63">
        <v>0.55000000000000004</v>
      </c>
      <c r="DJ151" s="63">
        <v>0.51</v>
      </c>
      <c r="DK151" s="63">
        <v>0.23</v>
      </c>
      <c r="DL151" s="63">
        <v>0.4</v>
      </c>
      <c r="DM151" s="63">
        <v>0.6</v>
      </c>
      <c r="DN151" s="63">
        <v>0.52</v>
      </c>
      <c r="DO151" s="63">
        <v>0.48</v>
      </c>
      <c r="DP151" s="63">
        <v>0.41</v>
      </c>
      <c r="DQ151" s="63">
        <v>0.72</v>
      </c>
      <c r="DR151" s="63">
        <v>0.23</v>
      </c>
      <c r="DS151" s="63">
        <v>0.41</v>
      </c>
      <c r="DT151" s="63">
        <v>0.6</v>
      </c>
      <c r="DU151" s="63">
        <v>0.5</v>
      </c>
      <c r="DV151" s="63">
        <v>0.65</v>
      </c>
      <c r="DW151" s="63">
        <v>0.39</v>
      </c>
      <c r="DX151" s="35">
        <v>46</v>
      </c>
      <c r="DY151" s="35">
        <v>8</v>
      </c>
      <c r="DZ151" s="40">
        <v>0.26</v>
      </c>
      <c r="EA151" s="40">
        <v>0.65</v>
      </c>
      <c r="EB151" s="40">
        <v>0.09</v>
      </c>
      <c r="EC151" s="40">
        <v>0</v>
      </c>
      <c r="ED151" s="40">
        <v>0.46</v>
      </c>
      <c r="EE151" s="40">
        <v>0.46</v>
      </c>
      <c r="EF151" s="40">
        <v>0.61</v>
      </c>
      <c r="EG151" s="40">
        <v>0.64</v>
      </c>
      <c r="EH151" s="40">
        <v>0.51</v>
      </c>
      <c r="EI151" s="40">
        <v>0.57999999999999996</v>
      </c>
      <c r="EJ151" s="40">
        <v>0.66</v>
      </c>
      <c r="EK151" s="40">
        <v>0.3</v>
      </c>
      <c r="EL151" s="40">
        <v>0.52</v>
      </c>
      <c r="EM151" s="40">
        <v>0.72</v>
      </c>
      <c r="EN151" s="40">
        <v>0.48</v>
      </c>
      <c r="EO151" s="40">
        <v>0.55000000000000004</v>
      </c>
      <c r="EP151" s="40">
        <v>0.61</v>
      </c>
      <c r="EQ151" s="40">
        <v>0.5</v>
      </c>
      <c r="ER151" s="40">
        <v>0.65</v>
      </c>
      <c r="ES151" s="40">
        <v>0.45</v>
      </c>
      <c r="ET151" s="40">
        <v>0.42</v>
      </c>
      <c r="EU151" s="40">
        <v>0.63</v>
      </c>
      <c r="EV151" s="40">
        <v>0.5</v>
      </c>
      <c r="EW151" s="40">
        <v>0.37</v>
      </c>
      <c r="EX151" s="40">
        <v>0.64</v>
      </c>
      <c r="EY151" s="40">
        <v>0.64</v>
      </c>
      <c r="EZ151" s="40">
        <v>0.2</v>
      </c>
      <c r="FA151" s="40">
        <v>0.68</v>
      </c>
      <c r="FB151" s="247">
        <v>45</v>
      </c>
      <c r="FC151" s="247" t="s">
        <v>874</v>
      </c>
      <c r="FD151" s="247">
        <v>8</v>
      </c>
      <c r="FE151" s="247" t="s">
        <v>874</v>
      </c>
      <c r="FF151" s="264">
        <v>0.21</v>
      </c>
      <c r="FG151" s="264">
        <v>0.72</v>
      </c>
      <c r="FH151" s="264">
        <v>7.0000000000000007E-2</v>
      </c>
      <c r="FI151" s="264">
        <v>0</v>
      </c>
      <c r="FJ151" s="264">
        <v>0.49</v>
      </c>
      <c r="FK151" s="264">
        <v>0.71</v>
      </c>
      <c r="FL151" s="264">
        <v>0.56999999999999995</v>
      </c>
      <c r="FM151" s="264">
        <v>0.67</v>
      </c>
      <c r="FN151" s="264">
        <v>0.48</v>
      </c>
      <c r="FO151" s="264">
        <v>0.48</v>
      </c>
      <c r="FP151" s="264">
        <v>0.44</v>
      </c>
      <c r="FQ151" s="264">
        <v>0.45</v>
      </c>
      <c r="FR151" s="264">
        <v>0.66</v>
      </c>
      <c r="FS151" s="264">
        <v>0.63</v>
      </c>
      <c r="FT151" s="264">
        <v>0.63</v>
      </c>
      <c r="FU151" s="264">
        <v>0.55000000000000004</v>
      </c>
      <c r="FV151" s="264">
        <v>0.69</v>
      </c>
      <c r="FW151" s="264">
        <v>0.57999999999999996</v>
      </c>
      <c r="FX151" s="264">
        <v>0.54</v>
      </c>
      <c r="FY151" s="264">
        <v>0.48</v>
      </c>
      <c r="FZ151" s="264">
        <v>0.48</v>
      </c>
      <c r="GA151" s="264">
        <v>0.55000000000000004</v>
      </c>
      <c r="GB151" s="264">
        <v>0.57999999999999996</v>
      </c>
      <c r="GC151" s="264">
        <v>0.67</v>
      </c>
      <c r="GD151" s="264">
        <v>0.75</v>
      </c>
      <c r="GE151" s="264">
        <v>0.55000000000000004</v>
      </c>
      <c r="GF151" s="264">
        <v>0.65</v>
      </c>
      <c r="GG151" s="264">
        <v>0.56000000000000005</v>
      </c>
      <c r="GH151" s="264">
        <v>0.7</v>
      </c>
      <c r="GI151" s="264">
        <v>0.37</v>
      </c>
      <c r="GJ151" s="311">
        <v>47</v>
      </c>
      <c r="GK151" s="311" t="s">
        <v>874</v>
      </c>
      <c r="GL151" s="311">
        <v>8</v>
      </c>
      <c r="GM151" s="311" t="s">
        <v>874</v>
      </c>
      <c r="GN151" s="329">
        <v>0.19</v>
      </c>
      <c r="GO151" s="329">
        <v>0.65</v>
      </c>
      <c r="GP151" s="329">
        <v>0.15</v>
      </c>
      <c r="GQ151" s="329">
        <v>0</v>
      </c>
      <c r="GR151" s="329">
        <v>0.59</v>
      </c>
      <c r="GS151" s="329">
        <v>0.68</v>
      </c>
      <c r="GT151" s="329">
        <v>0.62</v>
      </c>
      <c r="GU151" s="329">
        <v>0.5</v>
      </c>
      <c r="GV151" s="329">
        <v>0.64</v>
      </c>
      <c r="GW151" s="329">
        <v>0.5</v>
      </c>
      <c r="GX151" s="329">
        <v>0.52</v>
      </c>
      <c r="GY151" s="311" t="s">
        <v>283</v>
      </c>
      <c r="GZ151" s="329">
        <v>0.43</v>
      </c>
      <c r="HA151" s="329">
        <v>0.63</v>
      </c>
      <c r="HB151" s="329">
        <v>0.56000000000000005</v>
      </c>
      <c r="HC151" s="329">
        <v>0.72</v>
      </c>
      <c r="HD151" s="329">
        <v>0.62</v>
      </c>
      <c r="HE151" s="329">
        <v>0.59</v>
      </c>
      <c r="HF151" s="329">
        <v>0.56999999999999995</v>
      </c>
      <c r="HG151" s="329">
        <v>0.74</v>
      </c>
      <c r="HH151" s="329">
        <v>0.31</v>
      </c>
      <c r="HI151" s="329">
        <v>0.54</v>
      </c>
      <c r="HJ151" s="329">
        <v>0.68</v>
      </c>
      <c r="HK151" s="329">
        <v>0.51</v>
      </c>
      <c r="HL151" s="329">
        <v>0.32</v>
      </c>
      <c r="HM151" s="329">
        <v>0.61</v>
      </c>
      <c r="HN151" s="329">
        <v>0.44</v>
      </c>
      <c r="HO151" s="329">
        <v>0.43</v>
      </c>
      <c r="HP151" s="311" t="s">
        <v>283</v>
      </c>
      <c r="HQ151" s="329">
        <v>0.43</v>
      </c>
      <c r="HR151" s="426">
        <v>49</v>
      </c>
      <c r="HS151" s="426" t="s">
        <v>874</v>
      </c>
      <c r="HT151" s="426">
        <v>9</v>
      </c>
      <c r="HU151" s="426" t="s">
        <v>874</v>
      </c>
      <c r="HV151" s="430">
        <v>0.2</v>
      </c>
      <c r="HW151" s="430">
        <v>0.56999999999999995</v>
      </c>
      <c r="HX151" s="430">
        <v>0.23</v>
      </c>
      <c r="HY151" s="430">
        <v>0</v>
      </c>
      <c r="HZ151" s="430">
        <v>0.35</v>
      </c>
      <c r="IA151" s="430">
        <v>0.56000000000000005</v>
      </c>
      <c r="IB151" s="430">
        <v>0.47</v>
      </c>
      <c r="IC151" s="430">
        <v>0.44</v>
      </c>
      <c r="ID151" s="430">
        <v>0.62</v>
      </c>
      <c r="IE151" s="430">
        <v>0.5</v>
      </c>
      <c r="IF151" s="430">
        <v>0.48</v>
      </c>
      <c r="IG151" s="430">
        <v>0.68</v>
      </c>
      <c r="IH151" s="430">
        <v>0.56000000000000005</v>
      </c>
      <c r="II151" s="430">
        <v>0.21</v>
      </c>
      <c r="IJ151" s="430">
        <v>0.28000000000000003</v>
      </c>
      <c r="IK151" s="430">
        <v>0.56999999999999995</v>
      </c>
      <c r="IL151" s="430">
        <v>0.35</v>
      </c>
      <c r="IM151" s="430">
        <v>0.67</v>
      </c>
      <c r="IN151" s="430">
        <v>0.47</v>
      </c>
      <c r="IO151" s="430">
        <v>0.48</v>
      </c>
      <c r="IP151" s="430">
        <v>0.44</v>
      </c>
      <c r="IQ151" s="430">
        <v>0.66</v>
      </c>
      <c r="IR151" s="430">
        <v>0.74</v>
      </c>
      <c r="IS151" s="430">
        <v>0.64</v>
      </c>
      <c r="IT151" s="430">
        <v>0.57999999999999996</v>
      </c>
      <c r="IU151" s="426" t="s">
        <v>283</v>
      </c>
      <c r="IV151" s="430">
        <v>0.57999999999999996</v>
      </c>
      <c r="IW151" s="430">
        <v>0.49</v>
      </c>
      <c r="IX151" s="430">
        <v>0.54</v>
      </c>
      <c r="IY151" s="430">
        <v>0.51</v>
      </c>
      <c r="IZ151" s="466">
        <v>50</v>
      </c>
      <c r="JA151" s="466" t="s">
        <v>874</v>
      </c>
      <c r="JB151" s="466">
        <v>8</v>
      </c>
      <c r="JC151" s="466" t="s">
        <v>874</v>
      </c>
      <c r="JD151" s="480">
        <v>0.11</v>
      </c>
      <c r="JE151" s="480">
        <v>0.66</v>
      </c>
      <c r="JF151" s="480">
        <v>0.23</v>
      </c>
      <c r="JG151" s="480">
        <v>0</v>
      </c>
      <c r="JH151" s="480">
        <v>0.45</v>
      </c>
      <c r="JI151" s="480">
        <v>0.42</v>
      </c>
      <c r="JJ151" s="480">
        <v>0.5</v>
      </c>
      <c r="JK151" s="480">
        <v>0.5</v>
      </c>
      <c r="JL151" s="480">
        <v>0.54</v>
      </c>
      <c r="JM151" s="480">
        <v>0.51</v>
      </c>
      <c r="JN151" s="480">
        <v>0.42</v>
      </c>
      <c r="JO151" s="480">
        <v>0.5</v>
      </c>
      <c r="JP151" s="480">
        <v>0.48</v>
      </c>
      <c r="JQ151" s="480">
        <v>0.22</v>
      </c>
      <c r="JR151" s="480">
        <v>0.61</v>
      </c>
      <c r="JS151" s="480">
        <v>0.56999999999999995</v>
      </c>
      <c r="JT151" s="480">
        <v>0.52</v>
      </c>
      <c r="JU151" s="480">
        <v>0.59</v>
      </c>
      <c r="JV151" s="480">
        <v>0.52</v>
      </c>
      <c r="JW151" s="480">
        <v>0.54</v>
      </c>
      <c r="JX151" s="480">
        <v>0.46</v>
      </c>
      <c r="JY151" s="480">
        <v>0.56999999999999995</v>
      </c>
      <c r="JZ151" s="480">
        <v>0.42</v>
      </c>
      <c r="KA151" s="480">
        <v>0.64</v>
      </c>
      <c r="KB151" s="480">
        <v>0.52</v>
      </c>
      <c r="KC151" s="480">
        <v>0.6</v>
      </c>
      <c r="KD151" s="480">
        <v>0.43</v>
      </c>
      <c r="KE151" s="480">
        <v>0.44</v>
      </c>
      <c r="KF151" s="480">
        <v>0.56000000000000005</v>
      </c>
      <c r="KG151" s="480">
        <v>0.62</v>
      </c>
    </row>
    <row r="152" spans="1:293" ht="24.95" customHeight="1" x14ac:dyDescent="0.2">
      <c r="A152" s="814" t="s">
        <v>140</v>
      </c>
      <c r="B152" s="1" t="s">
        <v>221</v>
      </c>
      <c r="C152" s="2">
        <v>2</v>
      </c>
      <c r="D152" s="12">
        <v>52</v>
      </c>
      <c r="E152" s="12">
        <v>8</v>
      </c>
      <c r="F152" s="66">
        <v>0.13</v>
      </c>
      <c r="G152" s="66">
        <v>0.63</v>
      </c>
      <c r="H152" s="66">
        <v>0.25</v>
      </c>
      <c r="I152" s="66">
        <v>0</v>
      </c>
      <c r="J152" s="66">
        <v>0.5</v>
      </c>
      <c r="K152" s="66">
        <v>0.38</v>
      </c>
      <c r="L152" s="66">
        <v>0.63</v>
      </c>
      <c r="M152" s="66">
        <v>0.25</v>
      </c>
      <c r="N152" s="66">
        <v>0.35</v>
      </c>
      <c r="O152" s="66">
        <v>0.69</v>
      </c>
      <c r="P152" s="66">
        <v>0.38</v>
      </c>
      <c r="Q152" s="66">
        <v>0.38</v>
      </c>
      <c r="R152" s="66">
        <v>0.53</v>
      </c>
      <c r="S152" s="66">
        <v>0.5</v>
      </c>
      <c r="T152" s="66">
        <v>0.38</v>
      </c>
      <c r="U152" s="66">
        <v>0.88</v>
      </c>
      <c r="V152" s="66">
        <v>0.13</v>
      </c>
      <c r="W152" s="66">
        <v>0.38</v>
      </c>
      <c r="X152" s="66">
        <v>0.53</v>
      </c>
      <c r="Y152" s="66">
        <v>0.38</v>
      </c>
      <c r="Z152" s="12" t="s">
        <v>283</v>
      </c>
      <c r="AA152" s="66">
        <v>0</v>
      </c>
      <c r="AB152" s="66">
        <v>0.52</v>
      </c>
      <c r="AC152" s="66">
        <v>0.31</v>
      </c>
      <c r="AD152" s="66">
        <v>0.44</v>
      </c>
      <c r="AE152" s="66">
        <v>0.44</v>
      </c>
      <c r="AF152" s="66">
        <v>0.69</v>
      </c>
      <c r="AG152" s="66">
        <v>0.46</v>
      </c>
      <c r="AH152" s="12">
        <v>54</v>
      </c>
      <c r="AI152" s="12">
        <v>6</v>
      </c>
      <c r="AJ152" s="40">
        <v>0.05</v>
      </c>
      <c r="AK152" s="40">
        <v>0.3</v>
      </c>
      <c r="AL152" s="40">
        <v>0.65</v>
      </c>
      <c r="AM152" s="40">
        <v>0</v>
      </c>
      <c r="AN152" s="40">
        <v>0.26</v>
      </c>
      <c r="AO152" s="40">
        <v>0.37</v>
      </c>
      <c r="AP152" s="40">
        <v>0.45</v>
      </c>
      <c r="AQ152" s="40">
        <v>0.31</v>
      </c>
      <c r="AR152" s="40">
        <v>0.54</v>
      </c>
      <c r="AS152" s="40">
        <v>0.39</v>
      </c>
      <c r="AT152" s="40">
        <v>0.57999999999999996</v>
      </c>
      <c r="AU152" s="40">
        <v>0.45</v>
      </c>
      <c r="AV152" s="40">
        <v>0.62</v>
      </c>
      <c r="AW152" s="40">
        <v>0.75</v>
      </c>
      <c r="AX152" s="40">
        <v>0.5</v>
      </c>
      <c r="AY152" s="40">
        <v>0.23</v>
      </c>
      <c r="AZ152" s="40">
        <v>0.21</v>
      </c>
      <c r="BA152" s="40">
        <v>0.56000000000000005</v>
      </c>
      <c r="BB152" s="40">
        <v>0.7</v>
      </c>
      <c r="BC152" s="40">
        <v>0.56999999999999995</v>
      </c>
      <c r="BD152" s="40">
        <v>0.42</v>
      </c>
      <c r="BE152" s="40">
        <v>0.56000000000000005</v>
      </c>
      <c r="BF152" s="40">
        <v>0.83</v>
      </c>
      <c r="BG152" s="40">
        <v>0.49</v>
      </c>
      <c r="BH152" s="40">
        <v>0.42</v>
      </c>
      <c r="BI152" s="40">
        <v>0.44</v>
      </c>
      <c r="BJ152" s="40">
        <v>0.31</v>
      </c>
      <c r="BK152" s="40">
        <v>0.28999999999999998</v>
      </c>
      <c r="BL152" s="40">
        <v>0.6</v>
      </c>
      <c r="BM152" s="12">
        <v>52</v>
      </c>
      <c r="BN152" s="12">
        <v>10</v>
      </c>
      <c r="BO152" s="66">
        <v>0.09</v>
      </c>
      <c r="BP152" s="66">
        <v>0.56999999999999995</v>
      </c>
      <c r="BQ152" s="66">
        <v>0.3</v>
      </c>
      <c r="BR152" s="66">
        <v>0.04</v>
      </c>
      <c r="BS152" s="66">
        <v>0.38</v>
      </c>
      <c r="BT152" s="66">
        <v>0.27</v>
      </c>
      <c r="BU152" s="66">
        <v>0.68</v>
      </c>
      <c r="BV152" s="66">
        <v>0.31</v>
      </c>
      <c r="BW152" s="66">
        <v>0.61</v>
      </c>
      <c r="BX152" s="66">
        <v>0.32</v>
      </c>
      <c r="BY152" s="66">
        <v>0.43</v>
      </c>
      <c r="BZ152" s="66">
        <v>0.64</v>
      </c>
      <c r="CA152" s="66">
        <v>0.47</v>
      </c>
      <c r="CB152" s="66">
        <v>0.23</v>
      </c>
      <c r="CC152" s="66">
        <v>0.27</v>
      </c>
      <c r="CD152" s="66">
        <v>0.41</v>
      </c>
      <c r="CE152" s="66">
        <v>0.27</v>
      </c>
      <c r="CF152" s="66">
        <v>0.55000000000000004</v>
      </c>
      <c r="CG152" s="66">
        <v>0.53</v>
      </c>
      <c r="CH152" s="66">
        <v>0.47</v>
      </c>
      <c r="CI152" s="66">
        <v>0.62</v>
      </c>
      <c r="CJ152" s="66">
        <v>0.26</v>
      </c>
      <c r="CK152" s="66">
        <v>0.68</v>
      </c>
      <c r="CL152" s="66">
        <v>0.17</v>
      </c>
      <c r="CM152" s="66">
        <v>0.44</v>
      </c>
      <c r="CN152" s="66">
        <v>0.4</v>
      </c>
      <c r="CO152" s="66">
        <v>0.33</v>
      </c>
      <c r="CP152" s="66">
        <v>0.28000000000000003</v>
      </c>
      <c r="CQ152" s="66">
        <v>0.48</v>
      </c>
      <c r="CR152" s="66">
        <v>0.53</v>
      </c>
      <c r="CS152" s="12">
        <v>52</v>
      </c>
      <c r="CT152" s="12">
        <v>8</v>
      </c>
      <c r="CU152" s="63">
        <v>0.06</v>
      </c>
      <c r="CV152" s="63">
        <v>0.61</v>
      </c>
      <c r="CW152" s="63">
        <v>0.3</v>
      </c>
      <c r="CX152" s="63">
        <v>0.03</v>
      </c>
      <c r="CY152" s="63">
        <v>0.53</v>
      </c>
      <c r="CZ152" s="63">
        <v>0.24</v>
      </c>
      <c r="DA152" s="63">
        <v>0.48</v>
      </c>
      <c r="DB152" s="63">
        <v>0.28000000000000003</v>
      </c>
      <c r="DC152" s="63">
        <v>0.34</v>
      </c>
      <c r="DD152" s="63">
        <v>0.69</v>
      </c>
      <c r="DE152" s="63">
        <v>0.34</v>
      </c>
      <c r="DF152" s="63">
        <v>0.56000000000000005</v>
      </c>
      <c r="DG152" s="63">
        <v>0.43</v>
      </c>
      <c r="DH152" s="63">
        <v>0.35</v>
      </c>
      <c r="DI152" s="63">
        <v>0.5</v>
      </c>
      <c r="DJ152" s="63">
        <v>0.4</v>
      </c>
      <c r="DK152" s="63">
        <v>0.28999999999999998</v>
      </c>
      <c r="DL152" s="63">
        <v>0.13</v>
      </c>
      <c r="DM152" s="63">
        <v>0.44</v>
      </c>
      <c r="DN152" s="63">
        <v>0.4</v>
      </c>
      <c r="DO152" s="63">
        <v>0.5</v>
      </c>
      <c r="DP152" s="63">
        <v>0.45</v>
      </c>
      <c r="DQ152" s="63">
        <v>0.48</v>
      </c>
      <c r="DR152" s="63">
        <v>0.17</v>
      </c>
      <c r="DS152" s="63">
        <v>0.28000000000000003</v>
      </c>
      <c r="DT152" s="63">
        <v>0.62</v>
      </c>
      <c r="DU152" s="63">
        <v>0.52</v>
      </c>
      <c r="DV152" s="63">
        <v>0.65</v>
      </c>
      <c r="DW152" s="63">
        <v>0.43</v>
      </c>
      <c r="DX152" s="35">
        <v>48</v>
      </c>
      <c r="DY152" s="35">
        <v>8</v>
      </c>
      <c r="DZ152" s="40">
        <v>0.23</v>
      </c>
      <c r="EA152" s="40">
        <v>0.61</v>
      </c>
      <c r="EB152" s="40">
        <v>0.16</v>
      </c>
      <c r="EC152" s="40">
        <v>0</v>
      </c>
      <c r="ED152" s="40">
        <v>0.42</v>
      </c>
      <c r="EE152" s="40">
        <v>0.47</v>
      </c>
      <c r="EF152" s="40">
        <v>0.5</v>
      </c>
      <c r="EG152" s="40">
        <v>0.47</v>
      </c>
      <c r="EH152" s="40">
        <v>0.43</v>
      </c>
      <c r="EI152" s="40">
        <v>0.53</v>
      </c>
      <c r="EJ152" s="40">
        <v>0.59</v>
      </c>
      <c r="EK152" s="40">
        <v>0.26</v>
      </c>
      <c r="EL152" s="40">
        <v>0.46</v>
      </c>
      <c r="EM152" s="40">
        <v>0.79</v>
      </c>
      <c r="EN152" s="40">
        <v>0.49</v>
      </c>
      <c r="EO152" s="40">
        <v>0.59</v>
      </c>
      <c r="EP152" s="40">
        <v>0.45</v>
      </c>
      <c r="EQ152" s="40">
        <v>0.13</v>
      </c>
      <c r="ER152" s="40">
        <v>0.63</v>
      </c>
      <c r="ES152" s="40">
        <v>0.37</v>
      </c>
      <c r="ET152" s="40">
        <v>0.4</v>
      </c>
      <c r="EU152" s="40">
        <v>0.57999999999999996</v>
      </c>
      <c r="EV152" s="40">
        <v>0.33</v>
      </c>
      <c r="EW152" s="40">
        <v>0.25</v>
      </c>
      <c r="EX152" s="40">
        <v>0.75</v>
      </c>
      <c r="EY152" s="40">
        <v>0.6</v>
      </c>
      <c r="EZ152" s="40">
        <v>0.18</v>
      </c>
      <c r="FA152" s="40">
        <v>0.56999999999999995</v>
      </c>
      <c r="FB152" s="247">
        <v>49</v>
      </c>
      <c r="FC152" s="247" t="s">
        <v>874</v>
      </c>
      <c r="FD152" s="247">
        <v>8</v>
      </c>
      <c r="FE152" s="247" t="s">
        <v>874</v>
      </c>
      <c r="FF152" s="264">
        <v>0.15</v>
      </c>
      <c r="FG152" s="264">
        <v>0.71</v>
      </c>
      <c r="FH152" s="264">
        <v>0.15</v>
      </c>
      <c r="FI152" s="264">
        <v>0</v>
      </c>
      <c r="FJ152" s="264">
        <v>0.45</v>
      </c>
      <c r="FK152" s="264">
        <v>0.72</v>
      </c>
      <c r="FL152" s="264">
        <v>0.52</v>
      </c>
      <c r="FM152" s="264">
        <v>0.57999999999999996</v>
      </c>
      <c r="FN152" s="264">
        <v>0.39</v>
      </c>
      <c r="FO152" s="264">
        <v>0.36</v>
      </c>
      <c r="FP152" s="264">
        <v>0.48</v>
      </c>
      <c r="FQ152" s="264">
        <v>0.44</v>
      </c>
      <c r="FR152" s="264">
        <v>0.65</v>
      </c>
      <c r="FS152" s="264">
        <v>0.4</v>
      </c>
      <c r="FT152" s="264">
        <v>0.48</v>
      </c>
      <c r="FU152" s="264">
        <v>0.47</v>
      </c>
      <c r="FV152" s="264">
        <v>0.67</v>
      </c>
      <c r="FW152" s="264">
        <v>0.66</v>
      </c>
      <c r="FX152" s="264">
        <v>0.5</v>
      </c>
      <c r="FY152" s="264">
        <v>0.38</v>
      </c>
      <c r="FZ152" s="264">
        <v>0.42</v>
      </c>
      <c r="GA152" s="264">
        <v>0.51</v>
      </c>
      <c r="GB152" s="264">
        <v>0.4</v>
      </c>
      <c r="GC152" s="264">
        <v>0.52</v>
      </c>
      <c r="GD152" s="264">
        <v>0.63</v>
      </c>
      <c r="GE152" s="264">
        <v>0.56000000000000005</v>
      </c>
      <c r="GF152" s="264">
        <v>0.44</v>
      </c>
      <c r="GG152" s="264">
        <v>0.41</v>
      </c>
      <c r="GH152" s="264">
        <v>0.65</v>
      </c>
      <c r="GI152" s="264">
        <v>0.26</v>
      </c>
      <c r="GJ152" s="311">
        <v>51</v>
      </c>
      <c r="GK152" s="311" t="s">
        <v>874</v>
      </c>
      <c r="GL152" s="311">
        <v>8</v>
      </c>
      <c r="GM152" s="311" t="s">
        <v>874</v>
      </c>
      <c r="GN152" s="329">
        <v>0.05</v>
      </c>
      <c r="GO152" s="329">
        <v>0.65</v>
      </c>
      <c r="GP152" s="329">
        <v>0.3</v>
      </c>
      <c r="GQ152" s="329">
        <v>0</v>
      </c>
      <c r="GR152" s="329">
        <v>0.53</v>
      </c>
      <c r="GS152" s="329">
        <v>0.59</v>
      </c>
      <c r="GT152" s="329">
        <v>0.63</v>
      </c>
      <c r="GU152" s="329">
        <v>0.26</v>
      </c>
      <c r="GV152" s="329">
        <v>0.55000000000000004</v>
      </c>
      <c r="GW152" s="329">
        <v>0.53</v>
      </c>
      <c r="GX152" s="329">
        <v>0.43</v>
      </c>
      <c r="GY152" s="311" t="s">
        <v>283</v>
      </c>
      <c r="GZ152" s="329">
        <v>0.23</v>
      </c>
      <c r="HA152" s="329">
        <v>0.59</v>
      </c>
      <c r="HB152" s="329">
        <v>0.47</v>
      </c>
      <c r="HC152" s="329">
        <v>0.48</v>
      </c>
      <c r="HD152" s="329">
        <v>0.55000000000000004</v>
      </c>
      <c r="HE152" s="329">
        <v>0.45</v>
      </c>
      <c r="HF152" s="329">
        <v>0.49</v>
      </c>
      <c r="HG152" s="329">
        <v>0.71</v>
      </c>
      <c r="HH152" s="329">
        <v>0.42</v>
      </c>
      <c r="HI152" s="329">
        <v>0.55000000000000004</v>
      </c>
      <c r="HJ152" s="329">
        <v>0.57999999999999996</v>
      </c>
      <c r="HK152" s="329">
        <v>0.47</v>
      </c>
      <c r="HL152" s="329">
        <v>0.47</v>
      </c>
      <c r="HM152" s="329">
        <v>0.51</v>
      </c>
      <c r="HN152" s="329">
        <v>0.45</v>
      </c>
      <c r="HO152" s="329">
        <v>0.44</v>
      </c>
      <c r="HP152" s="311" t="s">
        <v>283</v>
      </c>
      <c r="HQ152" s="329">
        <v>0.47</v>
      </c>
      <c r="HR152" s="426">
        <v>51</v>
      </c>
      <c r="HS152" s="426" t="s">
        <v>874</v>
      </c>
      <c r="HT152" s="426">
        <v>9</v>
      </c>
      <c r="HU152" s="426" t="s">
        <v>874</v>
      </c>
      <c r="HV152" s="430">
        <v>0.12</v>
      </c>
      <c r="HW152" s="430">
        <v>0.56000000000000005</v>
      </c>
      <c r="HX152" s="430">
        <v>0.28999999999999998</v>
      </c>
      <c r="HY152" s="430">
        <v>0.02</v>
      </c>
      <c r="HZ152" s="430">
        <v>0.38</v>
      </c>
      <c r="IA152" s="430">
        <v>0.56999999999999995</v>
      </c>
      <c r="IB152" s="430">
        <v>0.3</v>
      </c>
      <c r="IC152" s="430">
        <v>0.51</v>
      </c>
      <c r="ID152" s="430">
        <v>0.57999999999999996</v>
      </c>
      <c r="IE152" s="430">
        <v>0.33</v>
      </c>
      <c r="IF152" s="430">
        <v>0.36</v>
      </c>
      <c r="IG152" s="430">
        <v>0.54</v>
      </c>
      <c r="IH152" s="430">
        <v>0.56999999999999995</v>
      </c>
      <c r="II152" s="430">
        <v>0.18</v>
      </c>
      <c r="IJ152" s="430">
        <v>0.27</v>
      </c>
      <c r="IK152" s="430">
        <v>0.61</v>
      </c>
      <c r="IL152" s="430">
        <v>0.34</v>
      </c>
      <c r="IM152" s="430">
        <v>0.55000000000000004</v>
      </c>
      <c r="IN152" s="430">
        <v>0.44</v>
      </c>
      <c r="IO152" s="430">
        <v>0.52</v>
      </c>
      <c r="IP152" s="430">
        <v>0.44</v>
      </c>
      <c r="IQ152" s="430">
        <v>0.64</v>
      </c>
      <c r="IR152" s="430">
        <v>0.57999999999999996</v>
      </c>
      <c r="IS152" s="430">
        <v>0.56000000000000005</v>
      </c>
      <c r="IT152" s="430">
        <v>0.44</v>
      </c>
      <c r="IU152" s="426" t="s">
        <v>283</v>
      </c>
      <c r="IV152" s="430">
        <v>0.73</v>
      </c>
      <c r="IW152" s="430">
        <v>0.42</v>
      </c>
      <c r="IX152" s="430">
        <v>0.61</v>
      </c>
      <c r="IY152" s="430">
        <v>0.5</v>
      </c>
      <c r="IZ152" s="466">
        <v>49</v>
      </c>
      <c r="JA152" s="466" t="s">
        <v>874</v>
      </c>
      <c r="JB152" s="466">
        <v>10</v>
      </c>
      <c r="JC152" s="466" t="s">
        <v>874</v>
      </c>
      <c r="JD152" s="480">
        <v>0.21</v>
      </c>
      <c r="JE152" s="480">
        <v>0.47</v>
      </c>
      <c r="JF152" s="480">
        <v>0.32</v>
      </c>
      <c r="JG152" s="480">
        <v>0</v>
      </c>
      <c r="JH152" s="480">
        <v>0.51</v>
      </c>
      <c r="JI152" s="480">
        <v>0.39</v>
      </c>
      <c r="JJ152" s="480">
        <v>0.42</v>
      </c>
      <c r="JK152" s="480">
        <v>0.56000000000000005</v>
      </c>
      <c r="JL152" s="480">
        <v>0.54</v>
      </c>
      <c r="JM152" s="480">
        <v>0.5</v>
      </c>
      <c r="JN152" s="480">
        <v>0.48</v>
      </c>
      <c r="JO152" s="480">
        <v>0.56000000000000005</v>
      </c>
      <c r="JP152" s="480">
        <v>0.64</v>
      </c>
      <c r="JQ152" s="480">
        <v>0.22</v>
      </c>
      <c r="JR152" s="480">
        <v>0.63</v>
      </c>
      <c r="JS152" s="480">
        <v>0.64</v>
      </c>
      <c r="JT152" s="480">
        <v>0.5</v>
      </c>
      <c r="JU152" s="480">
        <v>0.56000000000000005</v>
      </c>
      <c r="JV152" s="480">
        <v>0.49</v>
      </c>
      <c r="JW152" s="480">
        <v>0.43</v>
      </c>
      <c r="JX152" s="480">
        <v>0.45</v>
      </c>
      <c r="JY152" s="480">
        <v>0.51</v>
      </c>
      <c r="JZ152" s="480">
        <v>0.4</v>
      </c>
      <c r="KA152" s="480">
        <v>0.5</v>
      </c>
      <c r="KB152" s="480">
        <v>0.63</v>
      </c>
      <c r="KC152" s="480">
        <v>0.66</v>
      </c>
      <c r="KD152" s="480">
        <v>0.43</v>
      </c>
      <c r="KE152" s="480">
        <v>0.5</v>
      </c>
      <c r="KF152" s="480">
        <v>0.46</v>
      </c>
      <c r="KG152" s="480">
        <v>0.49</v>
      </c>
    </row>
    <row r="153" spans="1:293" ht="24.95" customHeight="1" x14ac:dyDescent="0.2">
      <c r="A153" s="814" t="s">
        <v>122</v>
      </c>
      <c r="B153" s="1" t="s">
        <v>221</v>
      </c>
      <c r="C153" s="2">
        <v>6</v>
      </c>
      <c r="D153" s="12">
        <v>57</v>
      </c>
      <c r="E153" s="12">
        <v>7</v>
      </c>
      <c r="F153" s="66">
        <v>0.03</v>
      </c>
      <c r="G153" s="66">
        <v>0.37</v>
      </c>
      <c r="H153" s="66">
        <v>0.6</v>
      </c>
      <c r="I153" s="66">
        <v>0</v>
      </c>
      <c r="J153" s="66">
        <v>0.34</v>
      </c>
      <c r="K153" s="66">
        <v>0.31</v>
      </c>
      <c r="L153" s="66">
        <v>0.48</v>
      </c>
      <c r="M153" s="66">
        <v>0.23</v>
      </c>
      <c r="N153" s="66">
        <v>0.26</v>
      </c>
      <c r="O153" s="66">
        <v>0.71</v>
      </c>
      <c r="P153" s="66">
        <v>0.26</v>
      </c>
      <c r="Q153" s="66">
        <v>0.4</v>
      </c>
      <c r="R153" s="66">
        <v>0.47</v>
      </c>
      <c r="S153" s="66">
        <v>0.53</v>
      </c>
      <c r="T153" s="66">
        <v>0.37</v>
      </c>
      <c r="U153" s="66">
        <v>0.41</v>
      </c>
      <c r="V153" s="66">
        <v>0.03</v>
      </c>
      <c r="W153" s="66">
        <v>0.18</v>
      </c>
      <c r="X153" s="66">
        <v>0.4</v>
      </c>
      <c r="Y153" s="66">
        <v>0.41</v>
      </c>
      <c r="Z153" s="66">
        <v>0</v>
      </c>
      <c r="AA153" s="66">
        <v>0.14000000000000001</v>
      </c>
      <c r="AB153" s="66">
        <v>0.38</v>
      </c>
      <c r="AC153" s="66">
        <v>0.25</v>
      </c>
      <c r="AD153" s="66">
        <v>0.36</v>
      </c>
      <c r="AE153" s="66">
        <v>0.36</v>
      </c>
      <c r="AF153" s="66">
        <v>0.54</v>
      </c>
      <c r="AG153" s="66">
        <v>0.44</v>
      </c>
      <c r="AH153" s="12">
        <v>54</v>
      </c>
      <c r="AI153" s="12">
        <v>8</v>
      </c>
      <c r="AJ153" s="40">
        <v>0.04</v>
      </c>
      <c r="AK153" s="40">
        <v>0.53</v>
      </c>
      <c r="AL153" s="40">
        <v>0.4</v>
      </c>
      <c r="AM153" s="40">
        <v>0.03</v>
      </c>
      <c r="AN153" s="40">
        <v>0.22</v>
      </c>
      <c r="AO153" s="40">
        <v>0.42</v>
      </c>
      <c r="AP153" s="40">
        <v>0.5</v>
      </c>
      <c r="AQ153" s="40">
        <v>0.31</v>
      </c>
      <c r="AR153" s="40">
        <v>0.56000000000000005</v>
      </c>
      <c r="AS153" s="40">
        <v>0.48</v>
      </c>
      <c r="AT153" s="40">
        <v>0.45</v>
      </c>
      <c r="AU153" s="40">
        <v>0.44</v>
      </c>
      <c r="AV153" s="40">
        <v>0.53</v>
      </c>
      <c r="AW153" s="40">
        <v>0.48</v>
      </c>
      <c r="AX153" s="40">
        <v>0.54</v>
      </c>
      <c r="AY153" s="40">
        <v>0.31</v>
      </c>
      <c r="AZ153" s="40">
        <v>0.26</v>
      </c>
      <c r="BA153" s="40">
        <v>0.5</v>
      </c>
      <c r="BB153" s="40">
        <v>0.59</v>
      </c>
      <c r="BC153" s="40">
        <v>0.6</v>
      </c>
      <c r="BD153" s="40">
        <v>0.37</v>
      </c>
      <c r="BE153" s="40">
        <v>0.42</v>
      </c>
      <c r="BF153" s="40">
        <v>0.55000000000000004</v>
      </c>
      <c r="BG153" s="40">
        <v>0.41</v>
      </c>
      <c r="BH153" s="40">
        <v>0.4</v>
      </c>
      <c r="BI153" s="40">
        <v>0.37</v>
      </c>
      <c r="BJ153" s="40">
        <v>0.27</v>
      </c>
      <c r="BK153" s="40">
        <v>0.4</v>
      </c>
      <c r="BL153" s="40">
        <v>0.45</v>
      </c>
      <c r="BM153" s="12">
        <v>53</v>
      </c>
      <c r="BN153" s="12">
        <v>8</v>
      </c>
      <c r="BO153" s="66">
        <v>7.0000000000000007E-2</v>
      </c>
      <c r="BP153" s="66">
        <v>0.56000000000000005</v>
      </c>
      <c r="BQ153" s="66">
        <v>0.36</v>
      </c>
      <c r="BR153" s="66">
        <v>0.01</v>
      </c>
      <c r="BS153" s="66">
        <v>0.32</v>
      </c>
      <c r="BT153" s="66">
        <v>0.54</v>
      </c>
      <c r="BU153" s="66">
        <v>0.64</v>
      </c>
      <c r="BV153" s="66">
        <v>0.36</v>
      </c>
      <c r="BW153" s="66">
        <v>0.67</v>
      </c>
      <c r="BX153" s="66">
        <v>0.3</v>
      </c>
      <c r="BY153" s="66">
        <v>0.42</v>
      </c>
      <c r="BZ153" s="66">
        <v>0.49</v>
      </c>
      <c r="CA153" s="66">
        <v>0.41</v>
      </c>
      <c r="CB153" s="66">
        <v>0.32</v>
      </c>
      <c r="CC153" s="66">
        <v>0.15</v>
      </c>
      <c r="CD153" s="66">
        <v>0.34</v>
      </c>
      <c r="CE153" s="66">
        <v>0.28999999999999998</v>
      </c>
      <c r="CF153" s="66">
        <v>0.6</v>
      </c>
      <c r="CG153" s="66">
        <v>0.48</v>
      </c>
      <c r="CH153" s="66">
        <v>0.42</v>
      </c>
      <c r="CI153" s="66">
        <v>0.5</v>
      </c>
      <c r="CJ153" s="66">
        <v>0.25</v>
      </c>
      <c r="CK153" s="66">
        <v>0.63</v>
      </c>
      <c r="CL153" s="66">
        <v>0.31</v>
      </c>
      <c r="CM153" s="66">
        <v>0.4</v>
      </c>
      <c r="CN153" s="66">
        <v>0.41</v>
      </c>
      <c r="CO153" s="66">
        <v>0.4</v>
      </c>
      <c r="CP153" s="66">
        <v>0.32</v>
      </c>
      <c r="CQ153" s="66">
        <v>0.55000000000000004</v>
      </c>
      <c r="CR153" s="66">
        <v>0.5</v>
      </c>
      <c r="CS153" s="12">
        <v>50</v>
      </c>
      <c r="CT153" s="12">
        <v>9</v>
      </c>
      <c r="CU153" s="63">
        <v>0.15</v>
      </c>
      <c r="CV153" s="63">
        <v>0.56999999999999995</v>
      </c>
      <c r="CW153" s="63">
        <v>0.27</v>
      </c>
      <c r="CX153" s="63">
        <v>0.01</v>
      </c>
      <c r="CY153" s="63">
        <v>0.46</v>
      </c>
      <c r="CZ153" s="63">
        <v>0.3</v>
      </c>
      <c r="DA153" s="63">
        <v>0.56000000000000005</v>
      </c>
      <c r="DB153" s="63">
        <v>0.38</v>
      </c>
      <c r="DC153" s="63">
        <v>0.43</v>
      </c>
      <c r="DD153" s="63">
        <v>0.64</v>
      </c>
      <c r="DE153" s="63">
        <v>0.46</v>
      </c>
      <c r="DF153" s="63">
        <v>0.57999999999999996</v>
      </c>
      <c r="DG153" s="63">
        <v>0.44</v>
      </c>
      <c r="DH153" s="63">
        <v>0.39</v>
      </c>
      <c r="DI153" s="63">
        <v>0.53</v>
      </c>
      <c r="DJ153" s="63">
        <v>0.52</v>
      </c>
      <c r="DK153" s="63">
        <v>0.35</v>
      </c>
      <c r="DL153" s="63">
        <v>0.43</v>
      </c>
      <c r="DM153" s="63">
        <v>0.47</v>
      </c>
      <c r="DN153" s="63">
        <v>0.5</v>
      </c>
      <c r="DO153" s="63">
        <v>0.38</v>
      </c>
      <c r="DP153" s="63">
        <v>0.46</v>
      </c>
      <c r="DQ153" s="63">
        <v>0.54</v>
      </c>
      <c r="DR153" s="63">
        <v>0.16</v>
      </c>
      <c r="DS153" s="63">
        <v>0.39</v>
      </c>
      <c r="DT153" s="63">
        <v>0.53</v>
      </c>
      <c r="DU153" s="63">
        <v>0.44</v>
      </c>
      <c r="DV153" s="63">
        <v>0.6</v>
      </c>
      <c r="DW153" s="63">
        <v>0.33</v>
      </c>
      <c r="DX153" s="35">
        <v>48</v>
      </c>
      <c r="DY153" s="35">
        <v>9</v>
      </c>
      <c r="DZ153" s="40">
        <v>0.21</v>
      </c>
      <c r="EA153" s="40">
        <v>0.59</v>
      </c>
      <c r="EB153" s="40">
        <v>0.19</v>
      </c>
      <c r="EC153" s="40">
        <v>0.01</v>
      </c>
      <c r="ED153" s="40">
        <v>0.53</v>
      </c>
      <c r="EE153" s="40">
        <v>0.52</v>
      </c>
      <c r="EF153" s="40">
        <v>0.6</v>
      </c>
      <c r="EG153" s="40">
        <v>0.46</v>
      </c>
      <c r="EH153" s="40">
        <v>0.43</v>
      </c>
      <c r="EI153" s="40">
        <v>0.54</v>
      </c>
      <c r="EJ153" s="40">
        <v>0.56999999999999995</v>
      </c>
      <c r="EK153" s="40">
        <v>0.28999999999999998</v>
      </c>
      <c r="EL153" s="40">
        <v>0.45</v>
      </c>
      <c r="EM153" s="40">
        <v>0.63</v>
      </c>
      <c r="EN153" s="40">
        <v>0.46</v>
      </c>
      <c r="EO153" s="40">
        <v>0.59</v>
      </c>
      <c r="EP153" s="40">
        <v>0.38</v>
      </c>
      <c r="EQ153" s="40">
        <v>0.33</v>
      </c>
      <c r="ER153" s="40">
        <v>0.63</v>
      </c>
      <c r="ES153" s="40">
        <v>0.45</v>
      </c>
      <c r="ET153" s="40">
        <v>0.39</v>
      </c>
      <c r="EU153" s="40">
        <v>0.56999999999999995</v>
      </c>
      <c r="EV153" s="40">
        <v>0.44</v>
      </c>
      <c r="EW153" s="40">
        <v>0.43</v>
      </c>
      <c r="EX153" s="40">
        <v>0.68</v>
      </c>
      <c r="EY153" s="40">
        <v>0.65</v>
      </c>
      <c r="EZ153" s="40">
        <v>0.22</v>
      </c>
      <c r="FA153" s="40">
        <v>0.66</v>
      </c>
      <c r="FB153" s="247">
        <v>49</v>
      </c>
      <c r="FC153" s="247" t="s">
        <v>874</v>
      </c>
      <c r="FD153" s="247">
        <v>8</v>
      </c>
      <c r="FE153" s="247" t="s">
        <v>874</v>
      </c>
      <c r="FF153" s="264">
        <v>0.16</v>
      </c>
      <c r="FG153" s="264">
        <v>0.57999999999999996</v>
      </c>
      <c r="FH153" s="264">
        <v>0.26</v>
      </c>
      <c r="FI153" s="264">
        <v>0</v>
      </c>
      <c r="FJ153" s="264">
        <v>0.5</v>
      </c>
      <c r="FK153" s="264">
        <v>0.62</v>
      </c>
      <c r="FL153" s="264">
        <v>0.49</v>
      </c>
      <c r="FM153" s="264">
        <v>0.38</v>
      </c>
      <c r="FN153" s="264">
        <v>0.35</v>
      </c>
      <c r="FO153" s="264">
        <v>0.3</v>
      </c>
      <c r="FP153" s="264">
        <v>0.4</v>
      </c>
      <c r="FQ153" s="264">
        <v>0.44</v>
      </c>
      <c r="FR153" s="264">
        <v>0.57999999999999996</v>
      </c>
      <c r="FS153" s="264">
        <v>0.51</v>
      </c>
      <c r="FT153" s="264">
        <v>0.54</v>
      </c>
      <c r="FU153" s="264">
        <v>0.33</v>
      </c>
      <c r="FV153" s="264">
        <v>0.61</v>
      </c>
      <c r="FW153" s="264">
        <v>0.56999999999999995</v>
      </c>
      <c r="FX153" s="264">
        <v>0.49</v>
      </c>
      <c r="FY153" s="264">
        <v>0.45</v>
      </c>
      <c r="FZ153" s="264">
        <v>0.4</v>
      </c>
      <c r="GA153" s="264">
        <v>0.52</v>
      </c>
      <c r="GB153" s="264">
        <v>0.53</v>
      </c>
      <c r="GC153" s="264">
        <v>0.47</v>
      </c>
      <c r="GD153" s="264">
        <v>0.64</v>
      </c>
      <c r="GE153" s="264">
        <v>0.54</v>
      </c>
      <c r="GF153" s="264">
        <v>0.48</v>
      </c>
      <c r="GG153" s="264">
        <v>0.42</v>
      </c>
      <c r="GH153" s="264">
        <v>0.52</v>
      </c>
      <c r="GI153" s="264">
        <v>0.3</v>
      </c>
      <c r="GJ153" s="311">
        <v>50</v>
      </c>
      <c r="GK153" s="311" t="s">
        <v>874</v>
      </c>
      <c r="GL153" s="311">
        <v>10</v>
      </c>
      <c r="GM153" s="311" t="s">
        <v>874</v>
      </c>
      <c r="GN153" s="329">
        <v>0.18</v>
      </c>
      <c r="GO153" s="329">
        <v>0.52</v>
      </c>
      <c r="GP153" s="329">
        <v>0.28999999999999998</v>
      </c>
      <c r="GQ153" s="329">
        <v>0.02</v>
      </c>
      <c r="GR153" s="329">
        <v>0.48</v>
      </c>
      <c r="GS153" s="329">
        <v>0.51</v>
      </c>
      <c r="GT153" s="329">
        <v>0.62</v>
      </c>
      <c r="GU153" s="329">
        <v>0.23</v>
      </c>
      <c r="GV153" s="329">
        <v>0.53</v>
      </c>
      <c r="GW153" s="329">
        <v>0.49</v>
      </c>
      <c r="GX153" s="329">
        <v>0.48</v>
      </c>
      <c r="GY153" s="311" t="s">
        <v>283</v>
      </c>
      <c r="GZ153" s="329">
        <v>0.34</v>
      </c>
      <c r="HA153" s="329">
        <v>0.71</v>
      </c>
      <c r="HB153" s="329">
        <v>0.43</v>
      </c>
      <c r="HC153" s="329">
        <v>0.52</v>
      </c>
      <c r="HD153" s="329">
        <v>0.57999999999999996</v>
      </c>
      <c r="HE153" s="329">
        <v>0.5</v>
      </c>
      <c r="HF153" s="329">
        <v>0.48</v>
      </c>
      <c r="HG153" s="329">
        <v>0.67</v>
      </c>
      <c r="HH153" s="329">
        <v>0.4</v>
      </c>
      <c r="HI153" s="329">
        <v>0.52</v>
      </c>
      <c r="HJ153" s="329">
        <v>0.57999999999999996</v>
      </c>
      <c r="HK153" s="329">
        <v>0.51</v>
      </c>
      <c r="HL153" s="329">
        <v>0.41</v>
      </c>
      <c r="HM153" s="329">
        <v>0.5</v>
      </c>
      <c r="HN153" s="329">
        <v>0.5</v>
      </c>
      <c r="HO153" s="329">
        <v>0.44</v>
      </c>
      <c r="HP153" s="311" t="s">
        <v>283</v>
      </c>
      <c r="HQ153" s="329">
        <v>0.4</v>
      </c>
      <c r="HR153" s="426">
        <v>52</v>
      </c>
      <c r="HS153" s="426" t="s">
        <v>874</v>
      </c>
      <c r="HT153" s="426">
        <v>10</v>
      </c>
      <c r="HU153" s="426" t="s">
        <v>874</v>
      </c>
      <c r="HV153" s="430">
        <v>0.14000000000000001</v>
      </c>
      <c r="HW153" s="430">
        <v>0.49</v>
      </c>
      <c r="HX153" s="430">
        <v>0.34</v>
      </c>
      <c r="HY153" s="430">
        <v>0.03</v>
      </c>
      <c r="HZ153" s="430">
        <v>0.35</v>
      </c>
      <c r="IA153" s="430">
        <v>0.45</v>
      </c>
      <c r="IB153" s="430">
        <v>0.34</v>
      </c>
      <c r="IC153" s="430">
        <v>0.47</v>
      </c>
      <c r="ID153" s="430">
        <v>0.6</v>
      </c>
      <c r="IE153" s="430">
        <v>0.36</v>
      </c>
      <c r="IF153" s="430">
        <v>0.39</v>
      </c>
      <c r="IG153" s="430">
        <v>0.52</v>
      </c>
      <c r="IH153" s="430">
        <v>0.51</v>
      </c>
      <c r="II153" s="430">
        <v>0.34</v>
      </c>
      <c r="IJ153" s="430">
        <v>0.28000000000000003</v>
      </c>
      <c r="IK153" s="430">
        <v>0.55000000000000004</v>
      </c>
      <c r="IL153" s="430">
        <v>0.35</v>
      </c>
      <c r="IM153" s="430">
        <v>0.56000000000000005</v>
      </c>
      <c r="IN153" s="430">
        <v>0.44</v>
      </c>
      <c r="IO153" s="430">
        <v>0.45</v>
      </c>
      <c r="IP153" s="430">
        <v>0.44</v>
      </c>
      <c r="IQ153" s="430">
        <v>0.63</v>
      </c>
      <c r="IR153" s="430">
        <v>0.56999999999999995</v>
      </c>
      <c r="IS153" s="430">
        <v>0.54</v>
      </c>
      <c r="IT153" s="430">
        <v>0.38</v>
      </c>
      <c r="IU153" s="426" t="s">
        <v>283</v>
      </c>
      <c r="IV153" s="430">
        <v>0.55000000000000004</v>
      </c>
      <c r="IW153" s="430">
        <v>0.41</v>
      </c>
      <c r="IX153" s="430">
        <v>0.47</v>
      </c>
      <c r="IY153" s="430">
        <v>0.46</v>
      </c>
      <c r="IZ153" s="466">
        <v>52</v>
      </c>
      <c r="JA153" s="466" t="s">
        <v>874</v>
      </c>
      <c r="JB153" s="466">
        <v>9</v>
      </c>
      <c r="JC153" s="466" t="s">
        <v>874</v>
      </c>
      <c r="JD153" s="480">
        <v>0.13</v>
      </c>
      <c r="JE153" s="480">
        <v>0.52</v>
      </c>
      <c r="JF153" s="480">
        <v>0.34</v>
      </c>
      <c r="JG153" s="480">
        <v>0.01</v>
      </c>
      <c r="JH153" s="480">
        <v>0.41</v>
      </c>
      <c r="JI153" s="480">
        <v>0.47</v>
      </c>
      <c r="JJ153" s="480">
        <v>0.46</v>
      </c>
      <c r="JK153" s="480">
        <v>0.47</v>
      </c>
      <c r="JL153" s="480">
        <v>0.44</v>
      </c>
      <c r="JM153" s="480">
        <v>0.52</v>
      </c>
      <c r="JN153" s="480">
        <v>0.41</v>
      </c>
      <c r="JO153" s="480">
        <v>0.45</v>
      </c>
      <c r="JP153" s="480">
        <v>0.56000000000000005</v>
      </c>
      <c r="JQ153" s="480">
        <v>0.28999999999999998</v>
      </c>
      <c r="JR153" s="480">
        <v>0.55000000000000004</v>
      </c>
      <c r="JS153" s="480">
        <v>0.56000000000000005</v>
      </c>
      <c r="JT153" s="480">
        <v>0.4</v>
      </c>
      <c r="JU153" s="480">
        <v>0.47</v>
      </c>
      <c r="JV153" s="480">
        <v>0.45</v>
      </c>
      <c r="JW153" s="480">
        <v>0.5</v>
      </c>
      <c r="JX153" s="480">
        <v>0.37</v>
      </c>
      <c r="JY153" s="480">
        <v>0.49</v>
      </c>
      <c r="JZ153" s="480">
        <v>0.46</v>
      </c>
      <c r="KA153" s="480">
        <v>0.63</v>
      </c>
      <c r="KB153" s="480">
        <v>0.47</v>
      </c>
      <c r="KC153" s="480">
        <v>0.67</v>
      </c>
      <c r="KD153" s="480">
        <v>0.3</v>
      </c>
      <c r="KE153" s="480">
        <v>0.49</v>
      </c>
      <c r="KF153" s="480">
        <v>0.46</v>
      </c>
      <c r="KG153" s="480">
        <v>0.5</v>
      </c>
    </row>
    <row r="154" spans="1:293" ht="24.95" customHeight="1" x14ac:dyDescent="0.2">
      <c r="A154" s="814" t="s">
        <v>197</v>
      </c>
      <c r="B154" s="1" t="s">
        <v>221</v>
      </c>
      <c r="C154" s="2">
        <v>5</v>
      </c>
      <c r="D154" s="12">
        <v>62</v>
      </c>
      <c r="E154" s="12">
        <v>7</v>
      </c>
      <c r="F154" s="66">
        <v>0</v>
      </c>
      <c r="G154" s="66">
        <v>0.23</v>
      </c>
      <c r="H154" s="66">
        <v>0.7</v>
      </c>
      <c r="I154" s="66">
        <v>7.0000000000000007E-2</v>
      </c>
      <c r="J154" s="66">
        <v>0.05</v>
      </c>
      <c r="K154" s="66">
        <v>0.26</v>
      </c>
      <c r="L154" s="66">
        <v>0.36</v>
      </c>
      <c r="M154" s="66">
        <v>0.11</v>
      </c>
      <c r="N154" s="66">
        <v>0.22</v>
      </c>
      <c r="O154" s="66">
        <v>0.56999999999999995</v>
      </c>
      <c r="P154" s="66">
        <v>0.17</v>
      </c>
      <c r="Q154" s="66">
        <v>0.3</v>
      </c>
      <c r="R154" s="66">
        <v>0.42</v>
      </c>
      <c r="S154" s="66">
        <v>0.56000000000000005</v>
      </c>
      <c r="T154" s="66">
        <v>0.28000000000000003</v>
      </c>
      <c r="U154" s="66">
        <v>0.32</v>
      </c>
      <c r="V154" s="66">
        <v>0.04</v>
      </c>
      <c r="W154" s="66">
        <v>0.08</v>
      </c>
      <c r="X154" s="66">
        <v>0.25</v>
      </c>
      <c r="Y154" s="66">
        <v>0.4</v>
      </c>
      <c r="Z154" s="66">
        <v>1</v>
      </c>
      <c r="AA154" s="66">
        <v>0</v>
      </c>
      <c r="AB154" s="66">
        <v>0.38</v>
      </c>
      <c r="AC154" s="66">
        <v>0.13</v>
      </c>
      <c r="AD154" s="66">
        <v>0.25</v>
      </c>
      <c r="AE154" s="66">
        <v>0.25</v>
      </c>
      <c r="AF154" s="66">
        <v>0.46</v>
      </c>
      <c r="AG154" s="66">
        <v>0.38</v>
      </c>
      <c r="AH154" s="12">
        <v>60</v>
      </c>
      <c r="AI154" s="12">
        <v>7</v>
      </c>
      <c r="AJ154" s="40">
        <v>0.04</v>
      </c>
      <c r="AK154" s="40">
        <v>0.17</v>
      </c>
      <c r="AL154" s="40">
        <v>0.74</v>
      </c>
      <c r="AM154" s="40">
        <v>0.04</v>
      </c>
      <c r="AN154" s="40">
        <v>0.08</v>
      </c>
      <c r="AO154" s="40">
        <v>0.54</v>
      </c>
      <c r="AP154" s="40">
        <v>0.36</v>
      </c>
      <c r="AQ154" s="40">
        <v>0.23</v>
      </c>
      <c r="AR154" s="40">
        <v>0.49</v>
      </c>
      <c r="AS154" s="40">
        <v>0.38</v>
      </c>
      <c r="AT154" s="40">
        <v>0.38</v>
      </c>
      <c r="AU154" s="40">
        <v>0.33</v>
      </c>
      <c r="AV154" s="40">
        <v>0.32</v>
      </c>
      <c r="AW154" s="40">
        <v>0.2</v>
      </c>
      <c r="AX154" s="40">
        <v>0.35</v>
      </c>
      <c r="AY154" s="40">
        <v>0.2</v>
      </c>
      <c r="AZ154" s="40">
        <v>0.23</v>
      </c>
      <c r="BA154" s="40">
        <v>0.3</v>
      </c>
      <c r="BB154" s="40">
        <v>0.44</v>
      </c>
      <c r="BC154" s="40">
        <v>0.49</v>
      </c>
      <c r="BD154" s="40">
        <v>0.25</v>
      </c>
      <c r="BE154" s="40">
        <v>0.57999999999999996</v>
      </c>
      <c r="BF154" s="40">
        <v>0.25</v>
      </c>
      <c r="BG154" s="40">
        <v>0.42</v>
      </c>
      <c r="BH154" s="40">
        <v>0.27</v>
      </c>
      <c r="BI154" s="40">
        <v>0.28999999999999998</v>
      </c>
      <c r="BJ154" s="40">
        <v>0.24</v>
      </c>
      <c r="BK154" s="40">
        <v>0.23</v>
      </c>
      <c r="BL154" s="40">
        <v>0.15</v>
      </c>
      <c r="BM154" s="12">
        <v>59</v>
      </c>
      <c r="BN154" s="12">
        <v>9</v>
      </c>
      <c r="BO154" s="66">
        <v>0</v>
      </c>
      <c r="BP154" s="66">
        <v>0.37</v>
      </c>
      <c r="BQ154" s="66">
        <v>0.54</v>
      </c>
      <c r="BR154" s="66">
        <v>0.09</v>
      </c>
      <c r="BS154" s="66">
        <v>0.21</v>
      </c>
      <c r="BT154" s="66">
        <v>0.5</v>
      </c>
      <c r="BU154" s="66">
        <v>0.33</v>
      </c>
      <c r="BV154" s="66">
        <v>0.09</v>
      </c>
      <c r="BW154" s="66">
        <v>0.47</v>
      </c>
      <c r="BX154" s="66">
        <v>0.18</v>
      </c>
      <c r="BY154" s="66">
        <v>0.38</v>
      </c>
      <c r="BZ154" s="66">
        <v>0.36</v>
      </c>
      <c r="CA154" s="66">
        <v>0.3</v>
      </c>
      <c r="CB154" s="66">
        <v>0.17</v>
      </c>
      <c r="CC154" s="66">
        <v>0.12</v>
      </c>
      <c r="CD154" s="66">
        <v>0.27</v>
      </c>
      <c r="CE154" s="66">
        <v>0.15</v>
      </c>
      <c r="CF154" s="66">
        <v>0.61</v>
      </c>
      <c r="CG154" s="66">
        <v>0.36</v>
      </c>
      <c r="CH154" s="66">
        <v>0.26</v>
      </c>
      <c r="CI154" s="66">
        <v>0.45</v>
      </c>
      <c r="CJ154" s="66">
        <v>0.15</v>
      </c>
      <c r="CK154" s="66">
        <v>0.51</v>
      </c>
      <c r="CL154" s="66">
        <v>0.19</v>
      </c>
      <c r="CM154" s="66">
        <v>0.27</v>
      </c>
      <c r="CN154" s="66">
        <v>0.3</v>
      </c>
      <c r="CO154" s="66">
        <v>0.31</v>
      </c>
      <c r="CP154" s="66">
        <v>0.18</v>
      </c>
      <c r="CQ154" s="66">
        <v>0.36</v>
      </c>
      <c r="CR154" s="66">
        <v>0.4</v>
      </c>
      <c r="CS154" s="12">
        <v>56</v>
      </c>
      <c r="CT154" s="12">
        <v>11</v>
      </c>
      <c r="CU154" s="63">
        <v>0.09</v>
      </c>
      <c r="CV154" s="63">
        <v>0.37</v>
      </c>
      <c r="CW154" s="63">
        <v>0.48</v>
      </c>
      <c r="CX154" s="63">
        <v>7.0000000000000007E-2</v>
      </c>
      <c r="CY154" s="63">
        <v>0.41</v>
      </c>
      <c r="CZ154" s="63">
        <v>0.18</v>
      </c>
      <c r="DA154" s="63">
        <v>0.48</v>
      </c>
      <c r="DB154" s="63">
        <v>0.26</v>
      </c>
      <c r="DC154" s="63">
        <v>0.37</v>
      </c>
      <c r="DD154" s="63">
        <v>0.54</v>
      </c>
      <c r="DE154" s="63">
        <v>0.38</v>
      </c>
      <c r="DF154" s="63">
        <v>0.53</v>
      </c>
      <c r="DG154" s="63">
        <v>0.26</v>
      </c>
      <c r="DH154" s="63">
        <v>0.32</v>
      </c>
      <c r="DI154" s="63">
        <v>0.39</v>
      </c>
      <c r="DJ154" s="63">
        <v>0.44</v>
      </c>
      <c r="DK154" s="63">
        <v>0.22</v>
      </c>
      <c r="DL154" s="63">
        <v>0.28000000000000003</v>
      </c>
      <c r="DM154" s="63">
        <v>0.41</v>
      </c>
      <c r="DN154" s="63">
        <v>0.3</v>
      </c>
      <c r="DO154" s="63">
        <v>0.28999999999999998</v>
      </c>
      <c r="DP154" s="63">
        <v>0.41</v>
      </c>
      <c r="DQ154" s="63">
        <v>0.42</v>
      </c>
      <c r="DR154" s="63">
        <v>0.12</v>
      </c>
      <c r="DS154" s="63">
        <v>0.31</v>
      </c>
      <c r="DT154" s="63">
        <v>0.48</v>
      </c>
      <c r="DU154" s="63">
        <v>0.4</v>
      </c>
      <c r="DV154" s="63">
        <v>0.46</v>
      </c>
      <c r="DW154" s="63">
        <v>0.25</v>
      </c>
      <c r="DX154" s="35">
        <v>55</v>
      </c>
      <c r="DY154" s="35">
        <v>8</v>
      </c>
      <c r="DZ154" s="40">
        <v>0.04</v>
      </c>
      <c r="EA154" s="40">
        <v>0.5</v>
      </c>
      <c r="EB154" s="40">
        <v>0.44</v>
      </c>
      <c r="EC154" s="40">
        <v>0.02</v>
      </c>
      <c r="ED154" s="40">
        <v>0.41</v>
      </c>
      <c r="EE154" s="40">
        <v>0.45</v>
      </c>
      <c r="EF154" s="40">
        <v>0.42</v>
      </c>
      <c r="EG154" s="40">
        <v>0.28999999999999998</v>
      </c>
      <c r="EH154" s="40">
        <v>0.31</v>
      </c>
      <c r="EI154" s="40">
        <v>0.38</v>
      </c>
      <c r="EJ154" s="40">
        <v>0.56000000000000005</v>
      </c>
      <c r="EK154" s="40">
        <v>0.17</v>
      </c>
      <c r="EL154" s="40">
        <v>0.35</v>
      </c>
      <c r="EM154" s="40">
        <v>0.46</v>
      </c>
      <c r="EN154" s="40">
        <v>0.28000000000000003</v>
      </c>
      <c r="EO154" s="40">
        <v>0.5</v>
      </c>
      <c r="EP154" s="40">
        <v>0.25</v>
      </c>
      <c r="EQ154" s="40">
        <v>0.19</v>
      </c>
      <c r="ER154" s="40">
        <v>0.56000000000000005</v>
      </c>
      <c r="ES154" s="40">
        <v>0.36</v>
      </c>
      <c r="ET154" s="40">
        <v>0.27</v>
      </c>
      <c r="EU154" s="40">
        <v>0.4</v>
      </c>
      <c r="EV154" s="40">
        <v>0.2</v>
      </c>
      <c r="EW154" s="40">
        <v>0.18</v>
      </c>
      <c r="EX154" s="40">
        <v>0.7</v>
      </c>
      <c r="EY154" s="40">
        <v>0.51</v>
      </c>
      <c r="EZ154" s="40">
        <v>0.14000000000000001</v>
      </c>
      <c r="FA154" s="40">
        <v>0.55000000000000004</v>
      </c>
      <c r="FB154" s="247">
        <v>52</v>
      </c>
      <c r="FC154" s="247" t="s">
        <v>874</v>
      </c>
      <c r="FD154" s="247">
        <v>8</v>
      </c>
      <c r="FE154" s="247" t="s">
        <v>874</v>
      </c>
      <c r="FF154" s="264">
        <v>0.08</v>
      </c>
      <c r="FG154" s="264">
        <v>0.48</v>
      </c>
      <c r="FH154" s="264">
        <v>0.44</v>
      </c>
      <c r="FI154" s="264">
        <v>0</v>
      </c>
      <c r="FJ154" s="264">
        <v>0.41</v>
      </c>
      <c r="FK154" s="264">
        <v>0.62</v>
      </c>
      <c r="FL154" s="264">
        <v>0.5</v>
      </c>
      <c r="FM154" s="264">
        <v>0.33</v>
      </c>
      <c r="FN154" s="264">
        <v>0.28999999999999998</v>
      </c>
      <c r="FO154" s="264">
        <v>0.21</v>
      </c>
      <c r="FP154" s="264">
        <v>0.4</v>
      </c>
      <c r="FQ154" s="264">
        <v>0.34</v>
      </c>
      <c r="FR154" s="264">
        <v>0.57999999999999996</v>
      </c>
      <c r="FS154" s="264">
        <v>0.46</v>
      </c>
      <c r="FT154" s="264">
        <v>0.51</v>
      </c>
      <c r="FU154" s="264">
        <v>0.25</v>
      </c>
      <c r="FV154" s="264">
        <v>0.53</v>
      </c>
      <c r="FW154" s="264">
        <v>0.44</v>
      </c>
      <c r="FX154" s="264">
        <v>0.35</v>
      </c>
      <c r="FY154" s="264">
        <v>0.3</v>
      </c>
      <c r="FZ154" s="264">
        <v>0.33</v>
      </c>
      <c r="GA154" s="264">
        <v>0.53</v>
      </c>
      <c r="GB154" s="264">
        <v>0.45</v>
      </c>
      <c r="GC154" s="264">
        <v>0.45</v>
      </c>
      <c r="GD154" s="264">
        <v>0.65</v>
      </c>
      <c r="GE154" s="264">
        <v>0.36</v>
      </c>
      <c r="GF154" s="264">
        <v>0.42</v>
      </c>
      <c r="GG154" s="264">
        <v>0.4</v>
      </c>
      <c r="GH154" s="264">
        <v>0.55000000000000004</v>
      </c>
      <c r="GI154" s="264">
        <v>0.25</v>
      </c>
      <c r="GJ154" s="311">
        <v>56</v>
      </c>
      <c r="GK154" s="311" t="s">
        <v>874</v>
      </c>
      <c r="GL154" s="311">
        <v>9</v>
      </c>
      <c r="GM154" s="311" t="s">
        <v>874</v>
      </c>
      <c r="GN154" s="329">
        <v>0.11</v>
      </c>
      <c r="GO154" s="329">
        <v>0.3</v>
      </c>
      <c r="GP154" s="329">
        <v>0.56999999999999995</v>
      </c>
      <c r="GQ154" s="329">
        <v>0.02</v>
      </c>
      <c r="GR154" s="329">
        <v>0.38</v>
      </c>
      <c r="GS154" s="329">
        <v>0.41</v>
      </c>
      <c r="GT154" s="329">
        <v>0.56000000000000005</v>
      </c>
      <c r="GU154" s="329">
        <v>0.14000000000000001</v>
      </c>
      <c r="GV154" s="329">
        <v>0.46</v>
      </c>
      <c r="GW154" s="329">
        <v>0.26</v>
      </c>
      <c r="GX154" s="329">
        <v>0.36</v>
      </c>
      <c r="GY154" s="311" t="s">
        <v>283</v>
      </c>
      <c r="GZ154" s="329">
        <v>0.2</v>
      </c>
      <c r="HA154" s="329">
        <v>0.67</v>
      </c>
      <c r="HB154" s="329">
        <v>0.33</v>
      </c>
      <c r="HC154" s="329">
        <v>0.44</v>
      </c>
      <c r="HD154" s="329">
        <v>0.43</v>
      </c>
      <c r="HE154" s="329">
        <v>0.27</v>
      </c>
      <c r="HF154" s="329">
        <v>0.35</v>
      </c>
      <c r="HG154" s="329">
        <v>0.64</v>
      </c>
      <c r="HH154" s="329">
        <v>0.23</v>
      </c>
      <c r="HI154" s="329">
        <v>0.42</v>
      </c>
      <c r="HJ154" s="329">
        <v>0.49</v>
      </c>
      <c r="HK154" s="329">
        <v>0.48</v>
      </c>
      <c r="HL154" s="329">
        <v>0.23</v>
      </c>
      <c r="HM154" s="329">
        <v>0.4</v>
      </c>
      <c r="HN154" s="329">
        <v>0.39</v>
      </c>
      <c r="HO154" s="329">
        <v>0.22</v>
      </c>
      <c r="HP154" s="311" t="s">
        <v>283</v>
      </c>
      <c r="HQ154" s="329">
        <v>0.36</v>
      </c>
      <c r="HR154" s="426">
        <v>57</v>
      </c>
      <c r="HS154" s="426" t="s">
        <v>874</v>
      </c>
      <c r="HT154" s="426">
        <v>7</v>
      </c>
      <c r="HU154" s="426" t="s">
        <v>874</v>
      </c>
      <c r="HV154" s="430">
        <v>0.01</v>
      </c>
      <c r="HW154" s="430">
        <v>0.41</v>
      </c>
      <c r="HX154" s="430">
        <v>0.55000000000000004</v>
      </c>
      <c r="HY154" s="430">
        <v>0.03</v>
      </c>
      <c r="HZ154" s="430">
        <v>0.23</v>
      </c>
      <c r="IA154" s="430">
        <v>0.52</v>
      </c>
      <c r="IB154" s="430">
        <v>0.28999999999999998</v>
      </c>
      <c r="IC154" s="430">
        <v>0.41</v>
      </c>
      <c r="ID154" s="430">
        <v>0.59</v>
      </c>
      <c r="IE154" s="430">
        <v>0.18</v>
      </c>
      <c r="IF154" s="430">
        <v>0.28000000000000003</v>
      </c>
      <c r="IG154" s="430">
        <v>0.5</v>
      </c>
      <c r="IH154" s="430">
        <v>0.45</v>
      </c>
      <c r="II154" s="430">
        <v>0.18</v>
      </c>
      <c r="IJ154" s="430">
        <v>0.15</v>
      </c>
      <c r="IK154" s="430">
        <v>0.43</v>
      </c>
      <c r="IL154" s="430">
        <v>0.22</v>
      </c>
      <c r="IM154" s="430">
        <v>0.51</v>
      </c>
      <c r="IN154" s="430">
        <v>0.36</v>
      </c>
      <c r="IO154" s="430">
        <v>0.41</v>
      </c>
      <c r="IP154" s="430">
        <v>0.28999999999999998</v>
      </c>
      <c r="IQ154" s="430">
        <v>0.56000000000000005</v>
      </c>
      <c r="IR154" s="430">
        <v>0.46</v>
      </c>
      <c r="IS154" s="430">
        <v>0.41</v>
      </c>
      <c r="IT154" s="430">
        <v>0.27</v>
      </c>
      <c r="IU154" s="426" t="s">
        <v>283</v>
      </c>
      <c r="IV154" s="430">
        <v>0.44</v>
      </c>
      <c r="IW154" s="430">
        <v>0.34</v>
      </c>
      <c r="IX154" s="430">
        <v>0.36</v>
      </c>
      <c r="IY154" s="430">
        <v>0.37</v>
      </c>
      <c r="IZ154" s="466">
        <v>57</v>
      </c>
      <c r="JA154" s="466" t="s">
        <v>874</v>
      </c>
      <c r="JB154" s="466">
        <v>9</v>
      </c>
      <c r="JC154" s="466" t="s">
        <v>874</v>
      </c>
      <c r="JD154" s="480">
        <v>0</v>
      </c>
      <c r="JE154" s="480">
        <v>0.48</v>
      </c>
      <c r="JF154" s="480">
        <v>0.48</v>
      </c>
      <c r="JG154" s="480">
        <v>0.05</v>
      </c>
      <c r="JH154" s="480">
        <v>0.39</v>
      </c>
      <c r="JI154" s="480">
        <v>0.38</v>
      </c>
      <c r="JJ154" s="480">
        <v>0.28999999999999998</v>
      </c>
      <c r="JK154" s="480">
        <v>0.4</v>
      </c>
      <c r="JL154" s="480">
        <v>0.36</v>
      </c>
      <c r="JM154" s="480">
        <v>0.4</v>
      </c>
      <c r="JN154" s="480">
        <v>0.26</v>
      </c>
      <c r="JO154" s="480">
        <v>0.36</v>
      </c>
      <c r="JP154" s="480">
        <v>0.47</v>
      </c>
      <c r="JQ154" s="480">
        <v>0.13</v>
      </c>
      <c r="JR154" s="480">
        <v>0.42</v>
      </c>
      <c r="JS154" s="480">
        <v>0.4</v>
      </c>
      <c r="JT154" s="480">
        <v>0.37</v>
      </c>
      <c r="JU154" s="480">
        <v>0.33</v>
      </c>
      <c r="JV154" s="480">
        <v>0.4</v>
      </c>
      <c r="JW154" s="480">
        <v>0.43</v>
      </c>
      <c r="JX154" s="480">
        <v>0.36</v>
      </c>
      <c r="JY154" s="480">
        <v>0.48</v>
      </c>
      <c r="JZ154" s="480">
        <v>0.44</v>
      </c>
      <c r="KA154" s="480">
        <v>0.45</v>
      </c>
      <c r="KB154" s="480">
        <v>0.35</v>
      </c>
      <c r="KC154" s="480">
        <v>0.56000000000000005</v>
      </c>
      <c r="KD154" s="480">
        <v>0.3</v>
      </c>
      <c r="KE154" s="480">
        <v>0.38</v>
      </c>
      <c r="KF154" s="480">
        <v>0.41</v>
      </c>
      <c r="KG154" s="480">
        <v>0.42</v>
      </c>
    </row>
    <row r="155" spans="1:293" ht="24.95" customHeight="1" x14ac:dyDescent="0.2">
      <c r="A155" s="814" t="s">
        <v>164</v>
      </c>
      <c r="B155" s="1" t="s">
        <v>221</v>
      </c>
      <c r="C155" s="2">
        <v>1</v>
      </c>
      <c r="D155" s="12">
        <v>54</v>
      </c>
      <c r="E155" s="12">
        <v>8</v>
      </c>
      <c r="F155" s="66">
        <v>0.05</v>
      </c>
      <c r="G155" s="66">
        <v>0.53</v>
      </c>
      <c r="H155" s="66">
        <v>0.42</v>
      </c>
      <c r="I155" s="66">
        <v>0</v>
      </c>
      <c r="J155" s="66">
        <v>0.18</v>
      </c>
      <c r="K155" s="66">
        <v>0.26</v>
      </c>
      <c r="L155" s="66">
        <v>0.77</v>
      </c>
      <c r="M155" s="66">
        <v>0.24</v>
      </c>
      <c r="N155" s="66">
        <v>0.3</v>
      </c>
      <c r="O155" s="66">
        <v>0.66</v>
      </c>
      <c r="P155" s="66">
        <v>0.43</v>
      </c>
      <c r="Q155" s="66">
        <v>0.36</v>
      </c>
      <c r="R155" s="66">
        <v>0.51</v>
      </c>
      <c r="S155" s="66">
        <v>0.59</v>
      </c>
      <c r="T155" s="66">
        <v>0.54</v>
      </c>
      <c r="U155" s="66">
        <v>0.69</v>
      </c>
      <c r="V155" s="66">
        <v>0</v>
      </c>
      <c r="W155" s="66">
        <v>0.21</v>
      </c>
      <c r="X155" s="66">
        <v>0.53</v>
      </c>
      <c r="Y155" s="66">
        <v>0.47</v>
      </c>
      <c r="Z155" s="12" t="s">
        <v>283</v>
      </c>
      <c r="AA155" s="66">
        <v>0.08</v>
      </c>
      <c r="AB155" s="66">
        <v>0.38</v>
      </c>
      <c r="AC155" s="66">
        <v>0.23</v>
      </c>
      <c r="AD155" s="66">
        <v>0.47</v>
      </c>
      <c r="AE155" s="66">
        <v>0.42</v>
      </c>
      <c r="AF155" s="66">
        <v>0.51</v>
      </c>
      <c r="AG155" s="66">
        <v>0.56999999999999995</v>
      </c>
      <c r="AH155" s="12">
        <v>54</v>
      </c>
      <c r="AI155" s="12">
        <v>7</v>
      </c>
      <c r="AJ155" s="40">
        <v>0</v>
      </c>
      <c r="AK155" s="40">
        <v>0.57999999999999996</v>
      </c>
      <c r="AL155" s="40">
        <v>0.42</v>
      </c>
      <c r="AM155" s="40">
        <v>0</v>
      </c>
      <c r="AN155" s="40">
        <v>0.21</v>
      </c>
      <c r="AO155" s="40">
        <v>0.5</v>
      </c>
      <c r="AP155" s="40">
        <v>0.53</v>
      </c>
      <c r="AQ155" s="40">
        <v>0.41</v>
      </c>
      <c r="AR155" s="40">
        <v>0.51</v>
      </c>
      <c r="AS155" s="40">
        <v>0.52</v>
      </c>
      <c r="AT155" s="40">
        <v>0.44</v>
      </c>
      <c r="AU155" s="40">
        <v>0.48</v>
      </c>
      <c r="AV155" s="40">
        <v>0.61</v>
      </c>
      <c r="AW155" s="40">
        <v>0.53</v>
      </c>
      <c r="AX155" s="40">
        <v>0.53</v>
      </c>
      <c r="AY155" s="40">
        <v>0.24</v>
      </c>
      <c r="AZ155" s="40">
        <v>0.27</v>
      </c>
      <c r="BA155" s="40">
        <v>0.42</v>
      </c>
      <c r="BB155" s="40">
        <v>0.77</v>
      </c>
      <c r="BC155" s="40">
        <v>0.67</v>
      </c>
      <c r="BD155" s="40">
        <v>0.43</v>
      </c>
      <c r="BE155" s="40">
        <v>0.76</v>
      </c>
      <c r="BF155" s="40">
        <v>0.69</v>
      </c>
      <c r="BG155" s="40">
        <v>0.46</v>
      </c>
      <c r="BH155" s="40">
        <v>0.36</v>
      </c>
      <c r="BI155" s="40">
        <v>0.34</v>
      </c>
      <c r="BJ155" s="40">
        <v>0.27</v>
      </c>
      <c r="BK155" s="40">
        <v>0.39</v>
      </c>
      <c r="BL155" s="40">
        <v>0.41</v>
      </c>
      <c r="BM155" s="12">
        <v>51</v>
      </c>
      <c r="BN155" s="12">
        <v>7</v>
      </c>
      <c r="BO155" s="66">
        <v>0.05</v>
      </c>
      <c r="BP155" s="66">
        <v>0.55000000000000004</v>
      </c>
      <c r="BQ155" s="66">
        <v>0.4</v>
      </c>
      <c r="BR155" s="66">
        <v>0</v>
      </c>
      <c r="BS155" s="66">
        <v>0.38</v>
      </c>
      <c r="BT155" s="66">
        <v>0.63</v>
      </c>
      <c r="BU155" s="66">
        <v>0.67</v>
      </c>
      <c r="BV155" s="66">
        <v>0.2</v>
      </c>
      <c r="BW155" s="66">
        <v>0.57999999999999996</v>
      </c>
      <c r="BX155" s="66">
        <v>0.36</v>
      </c>
      <c r="BY155" s="66">
        <v>0.53</v>
      </c>
      <c r="BZ155" s="66">
        <v>0.44</v>
      </c>
      <c r="CA155" s="66">
        <v>0.56000000000000005</v>
      </c>
      <c r="CB155" s="66">
        <v>0.28999999999999998</v>
      </c>
      <c r="CC155" s="66">
        <v>0</v>
      </c>
      <c r="CD155" s="66">
        <v>0.38</v>
      </c>
      <c r="CE155" s="66">
        <v>0.39</v>
      </c>
      <c r="CF155" s="66">
        <v>0.7</v>
      </c>
      <c r="CG155" s="66">
        <v>0.67</v>
      </c>
      <c r="CH155" s="66">
        <v>0.44</v>
      </c>
      <c r="CI155" s="66">
        <v>0.66</v>
      </c>
      <c r="CJ155" s="66">
        <v>0.38</v>
      </c>
      <c r="CK155" s="66">
        <v>0.53</v>
      </c>
      <c r="CL155" s="66">
        <v>0.24</v>
      </c>
      <c r="CM155" s="66">
        <v>0.48</v>
      </c>
      <c r="CN155" s="66">
        <v>0.52</v>
      </c>
      <c r="CO155" s="66">
        <v>0.44</v>
      </c>
      <c r="CP155" s="66">
        <v>0.38</v>
      </c>
      <c r="CQ155" s="66">
        <v>0.59</v>
      </c>
      <c r="CR155" s="66">
        <v>0.53</v>
      </c>
      <c r="CS155" s="12">
        <v>50</v>
      </c>
      <c r="CT155" s="12">
        <v>9</v>
      </c>
      <c r="CU155" s="63">
        <v>0.16</v>
      </c>
      <c r="CV155" s="63">
        <v>0.56000000000000005</v>
      </c>
      <c r="CW155" s="63">
        <v>0.28000000000000003</v>
      </c>
      <c r="CX155" s="63">
        <v>0</v>
      </c>
      <c r="CY155" s="63">
        <v>0.42</v>
      </c>
      <c r="CZ155" s="63">
        <v>0.28999999999999998</v>
      </c>
      <c r="DA155" s="63">
        <v>0.55000000000000004</v>
      </c>
      <c r="DB155" s="63">
        <v>0.28999999999999998</v>
      </c>
      <c r="DC155" s="63">
        <v>0.38</v>
      </c>
      <c r="DD155" s="63">
        <v>0.62</v>
      </c>
      <c r="DE155" s="63">
        <v>0.44</v>
      </c>
      <c r="DF155" s="63">
        <v>0.5</v>
      </c>
      <c r="DG155" s="63">
        <v>0.41</v>
      </c>
      <c r="DH155" s="63">
        <v>0.4</v>
      </c>
      <c r="DI155" s="63">
        <v>0.5</v>
      </c>
      <c r="DJ155" s="63">
        <v>0.57999999999999996</v>
      </c>
      <c r="DK155" s="63">
        <v>0.33</v>
      </c>
      <c r="DL155" s="63">
        <v>0.08</v>
      </c>
      <c r="DM155" s="63">
        <v>0.59</v>
      </c>
      <c r="DN155" s="63">
        <v>0.56000000000000005</v>
      </c>
      <c r="DO155" s="63">
        <v>0.48</v>
      </c>
      <c r="DP155" s="63">
        <v>0.38</v>
      </c>
      <c r="DQ155" s="63">
        <v>0.61</v>
      </c>
      <c r="DR155" s="63">
        <v>0.2</v>
      </c>
      <c r="DS155" s="63">
        <v>0.4</v>
      </c>
      <c r="DT155" s="63">
        <v>0.44</v>
      </c>
      <c r="DU155" s="63">
        <v>0.5</v>
      </c>
      <c r="DV155" s="63">
        <v>0.6</v>
      </c>
      <c r="DW155" s="63">
        <v>0.38</v>
      </c>
      <c r="DX155" s="35">
        <v>48</v>
      </c>
      <c r="DY155" s="35">
        <v>8</v>
      </c>
      <c r="DZ155" s="40">
        <v>0.2</v>
      </c>
      <c r="EA155" s="40">
        <v>0.61</v>
      </c>
      <c r="EB155" s="40">
        <v>0.18</v>
      </c>
      <c r="EC155" s="40">
        <v>0</v>
      </c>
      <c r="ED155" s="40">
        <v>0.56000000000000005</v>
      </c>
      <c r="EE155" s="40">
        <v>0.51</v>
      </c>
      <c r="EF155" s="40">
        <v>0.52</v>
      </c>
      <c r="EG155" s="40">
        <v>0.5</v>
      </c>
      <c r="EH155" s="40">
        <v>0.48</v>
      </c>
      <c r="EI155" s="40">
        <v>0.63</v>
      </c>
      <c r="EJ155" s="40">
        <v>0.64</v>
      </c>
      <c r="EK155" s="40">
        <v>0.17</v>
      </c>
      <c r="EL155" s="40">
        <v>0.45</v>
      </c>
      <c r="EM155" s="40">
        <v>0.56000000000000005</v>
      </c>
      <c r="EN155" s="40">
        <v>0.46</v>
      </c>
      <c r="EO155" s="40">
        <v>0.57999999999999996</v>
      </c>
      <c r="EP155" s="40">
        <v>0.46</v>
      </c>
      <c r="EQ155" s="40">
        <v>0.27</v>
      </c>
      <c r="ER155" s="40">
        <v>0.61</v>
      </c>
      <c r="ES155" s="40">
        <v>0.52</v>
      </c>
      <c r="ET155" s="40">
        <v>0.32</v>
      </c>
      <c r="EU155" s="40">
        <v>0.73</v>
      </c>
      <c r="EV155" s="40">
        <v>0.43</v>
      </c>
      <c r="EW155" s="40">
        <v>0.34</v>
      </c>
      <c r="EX155" s="40">
        <v>0.75</v>
      </c>
      <c r="EY155" s="40">
        <v>0.71</v>
      </c>
      <c r="EZ155" s="40">
        <v>0.22</v>
      </c>
      <c r="FA155" s="40">
        <v>0.5</v>
      </c>
      <c r="FB155" s="247">
        <v>48</v>
      </c>
      <c r="FC155" s="247" t="s">
        <v>874</v>
      </c>
      <c r="FD155" s="247">
        <v>8</v>
      </c>
      <c r="FE155" s="247" t="s">
        <v>874</v>
      </c>
      <c r="FF155" s="264">
        <v>0.11</v>
      </c>
      <c r="FG155" s="264">
        <v>0.71</v>
      </c>
      <c r="FH155" s="264">
        <v>0.18</v>
      </c>
      <c r="FI155" s="264">
        <v>0</v>
      </c>
      <c r="FJ155" s="264">
        <v>0.53</v>
      </c>
      <c r="FK155" s="264">
        <v>0.68</v>
      </c>
      <c r="FL155" s="264">
        <v>0.49</v>
      </c>
      <c r="FM155" s="264">
        <v>0.43</v>
      </c>
      <c r="FN155" s="264">
        <v>0.24</v>
      </c>
      <c r="FO155" s="264">
        <v>0.38</v>
      </c>
      <c r="FP155" s="264">
        <v>0.39</v>
      </c>
      <c r="FQ155" s="264">
        <v>0.42</v>
      </c>
      <c r="FR155" s="264">
        <v>0.59</v>
      </c>
      <c r="FS155" s="264">
        <v>0.65</v>
      </c>
      <c r="FT155" s="264">
        <v>0.49</v>
      </c>
      <c r="FU155" s="264">
        <v>0.47</v>
      </c>
      <c r="FV155" s="264">
        <v>0.68</v>
      </c>
      <c r="FW155" s="264">
        <v>0.55000000000000004</v>
      </c>
      <c r="FX155" s="264">
        <v>0.57999999999999996</v>
      </c>
      <c r="FY155" s="264">
        <v>0.42</v>
      </c>
      <c r="FZ155" s="264">
        <v>0.44</v>
      </c>
      <c r="GA155" s="264">
        <v>0.54</v>
      </c>
      <c r="GB155" s="264">
        <v>0.6</v>
      </c>
      <c r="GC155" s="264">
        <v>0.48</v>
      </c>
      <c r="GD155" s="264">
        <v>0.66</v>
      </c>
      <c r="GE155" s="264">
        <v>0.63</v>
      </c>
      <c r="GF155" s="264">
        <v>0.52</v>
      </c>
      <c r="GG155" s="264">
        <v>0.43</v>
      </c>
      <c r="GH155" s="264">
        <v>0.56000000000000005</v>
      </c>
      <c r="GI155" s="264">
        <v>0.38</v>
      </c>
      <c r="GJ155" s="311">
        <v>50</v>
      </c>
      <c r="GK155" s="311" t="s">
        <v>874</v>
      </c>
      <c r="GL155" s="311">
        <v>9</v>
      </c>
      <c r="GM155" s="311" t="s">
        <v>874</v>
      </c>
      <c r="GN155" s="329">
        <v>0.19</v>
      </c>
      <c r="GO155" s="329">
        <v>0.56000000000000005</v>
      </c>
      <c r="GP155" s="329">
        <v>0.23</v>
      </c>
      <c r="GQ155" s="329">
        <v>0.02</v>
      </c>
      <c r="GR155" s="329">
        <v>0.55000000000000004</v>
      </c>
      <c r="GS155" s="329">
        <v>0.54</v>
      </c>
      <c r="GT155" s="329">
        <v>0.56000000000000005</v>
      </c>
      <c r="GU155" s="329">
        <v>0.24</v>
      </c>
      <c r="GV155" s="329">
        <v>0.55000000000000004</v>
      </c>
      <c r="GW155" s="329">
        <v>0.6</v>
      </c>
      <c r="GX155" s="329">
        <v>0.5</v>
      </c>
      <c r="GY155" s="311" t="s">
        <v>283</v>
      </c>
      <c r="GZ155" s="329">
        <v>0.34</v>
      </c>
      <c r="HA155" s="329">
        <v>0.72</v>
      </c>
      <c r="HB155" s="329">
        <v>0.43</v>
      </c>
      <c r="HC155" s="329">
        <v>0.51</v>
      </c>
      <c r="HD155" s="329">
        <v>0.64</v>
      </c>
      <c r="HE155" s="329">
        <v>0.41</v>
      </c>
      <c r="HF155" s="329">
        <v>0.53</v>
      </c>
      <c r="HG155" s="329">
        <v>0.64</v>
      </c>
      <c r="HH155" s="329">
        <v>0.43</v>
      </c>
      <c r="HI155" s="329">
        <v>0.4</v>
      </c>
      <c r="HJ155" s="329">
        <v>0.65</v>
      </c>
      <c r="HK155" s="329">
        <v>0.51</v>
      </c>
      <c r="HL155" s="329">
        <v>0.41</v>
      </c>
      <c r="HM155" s="329">
        <v>0.56000000000000005</v>
      </c>
      <c r="HN155" s="329">
        <v>0.56000000000000005</v>
      </c>
      <c r="HO155" s="329">
        <v>0.46</v>
      </c>
      <c r="HP155" s="311" t="s">
        <v>283</v>
      </c>
      <c r="HQ155" s="329">
        <v>0.43</v>
      </c>
      <c r="HR155" s="426">
        <v>51</v>
      </c>
      <c r="HS155" s="426" t="s">
        <v>874</v>
      </c>
      <c r="HT155" s="426">
        <v>8</v>
      </c>
      <c r="HU155" s="426" t="s">
        <v>874</v>
      </c>
      <c r="HV155" s="430">
        <v>0.15</v>
      </c>
      <c r="HW155" s="430">
        <v>0.56000000000000005</v>
      </c>
      <c r="HX155" s="430">
        <v>0.28999999999999998</v>
      </c>
      <c r="HY155" s="430">
        <v>0</v>
      </c>
      <c r="HZ155" s="430">
        <v>0.37</v>
      </c>
      <c r="IA155" s="430">
        <v>0.54</v>
      </c>
      <c r="IB155" s="430">
        <v>0.31</v>
      </c>
      <c r="IC155" s="430">
        <v>0.53</v>
      </c>
      <c r="ID155" s="430">
        <v>0.56000000000000005</v>
      </c>
      <c r="IE155" s="430">
        <v>0.45</v>
      </c>
      <c r="IF155" s="430">
        <v>0.37</v>
      </c>
      <c r="IG155" s="430">
        <v>0.49</v>
      </c>
      <c r="IH155" s="430">
        <v>0.43</v>
      </c>
      <c r="II155" s="430">
        <v>0.27</v>
      </c>
      <c r="IJ155" s="430">
        <v>0.26</v>
      </c>
      <c r="IK155" s="430">
        <v>0.65</v>
      </c>
      <c r="IL155" s="430">
        <v>0.35</v>
      </c>
      <c r="IM155" s="430">
        <v>0.64</v>
      </c>
      <c r="IN155" s="430">
        <v>0.41</v>
      </c>
      <c r="IO155" s="430">
        <v>0.5</v>
      </c>
      <c r="IP155" s="430">
        <v>0.43</v>
      </c>
      <c r="IQ155" s="430">
        <v>0.65</v>
      </c>
      <c r="IR155" s="430">
        <v>0.53</v>
      </c>
      <c r="IS155" s="430">
        <v>0.62</v>
      </c>
      <c r="IT155" s="430">
        <v>0.46</v>
      </c>
      <c r="IU155" s="426" t="s">
        <v>283</v>
      </c>
      <c r="IV155" s="430">
        <v>0.7</v>
      </c>
      <c r="IW155" s="430">
        <v>0.51</v>
      </c>
      <c r="IX155" s="430">
        <v>0.47</v>
      </c>
      <c r="IY155" s="430">
        <v>0.54</v>
      </c>
      <c r="IZ155" s="466">
        <v>50</v>
      </c>
      <c r="JA155" s="466" t="s">
        <v>874</v>
      </c>
      <c r="JB155" s="466">
        <v>8</v>
      </c>
      <c r="JC155" s="466" t="s">
        <v>874</v>
      </c>
      <c r="JD155" s="480">
        <v>0.12</v>
      </c>
      <c r="JE155" s="480">
        <v>0.61</v>
      </c>
      <c r="JF155" s="480">
        <v>0.27</v>
      </c>
      <c r="JG155" s="480">
        <v>0</v>
      </c>
      <c r="JH155" s="480">
        <v>0.42</v>
      </c>
      <c r="JI155" s="480">
        <v>0.43</v>
      </c>
      <c r="JJ155" s="480">
        <v>0.42</v>
      </c>
      <c r="JK155" s="480">
        <v>0.51</v>
      </c>
      <c r="JL155" s="480">
        <v>0.44</v>
      </c>
      <c r="JM155" s="480">
        <v>0.53</v>
      </c>
      <c r="JN155" s="480">
        <v>0.42</v>
      </c>
      <c r="JO155" s="480">
        <v>0.52</v>
      </c>
      <c r="JP155" s="480">
        <v>0.6</v>
      </c>
      <c r="JQ155" s="480">
        <v>0.28000000000000003</v>
      </c>
      <c r="JR155" s="480">
        <v>0.67</v>
      </c>
      <c r="JS155" s="480">
        <v>0.66</v>
      </c>
      <c r="JT155" s="480">
        <v>0.45</v>
      </c>
      <c r="JU155" s="480">
        <v>0.48</v>
      </c>
      <c r="JV155" s="480">
        <v>0.5</v>
      </c>
      <c r="JW155" s="480">
        <v>0.6</v>
      </c>
      <c r="JX155" s="480">
        <v>0.47</v>
      </c>
      <c r="JY155" s="480">
        <v>0.56000000000000005</v>
      </c>
      <c r="JZ155" s="480">
        <v>0.54</v>
      </c>
      <c r="KA155" s="480">
        <v>0.64</v>
      </c>
      <c r="KB155" s="480">
        <v>0.48</v>
      </c>
      <c r="KC155" s="480">
        <v>0.63</v>
      </c>
      <c r="KD155" s="480">
        <v>0.3</v>
      </c>
      <c r="KE155" s="480">
        <v>0.53</v>
      </c>
      <c r="KF155" s="480">
        <v>0.45</v>
      </c>
      <c r="KG155" s="480">
        <v>0.52</v>
      </c>
    </row>
    <row r="156" spans="1:293" ht="24.95" customHeight="1" x14ac:dyDescent="0.2">
      <c r="A156" s="814" t="s">
        <v>228</v>
      </c>
      <c r="B156" s="1" t="s">
        <v>221</v>
      </c>
      <c r="C156" s="2">
        <v>6</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v>51</v>
      </c>
      <c r="AI156" s="12">
        <v>13</v>
      </c>
      <c r="AJ156" s="40">
        <v>0.33</v>
      </c>
      <c r="AK156" s="40">
        <v>0.33</v>
      </c>
      <c r="AL156" s="40">
        <v>0.33</v>
      </c>
      <c r="AM156" s="40">
        <v>0</v>
      </c>
      <c r="AN156" s="40">
        <v>0.25</v>
      </c>
      <c r="AO156" s="40">
        <v>0.57999999999999996</v>
      </c>
      <c r="AP156" s="40">
        <v>0.25</v>
      </c>
      <c r="AQ156" s="40">
        <v>0.42</v>
      </c>
      <c r="AR156" s="40">
        <v>0.4</v>
      </c>
      <c r="AS156" s="40">
        <v>0.47</v>
      </c>
      <c r="AT156" s="40">
        <v>0.62</v>
      </c>
      <c r="AU156" s="40">
        <v>0.82</v>
      </c>
      <c r="AV156" s="40">
        <v>0.77</v>
      </c>
      <c r="AW156" s="40">
        <v>0.67</v>
      </c>
      <c r="AX156" s="40">
        <v>0.5</v>
      </c>
      <c r="AY156" s="40">
        <v>0.42</v>
      </c>
      <c r="AZ156" s="40">
        <v>0.63</v>
      </c>
      <c r="BA156" s="40">
        <v>0.45</v>
      </c>
      <c r="BB156" s="40">
        <v>0.62</v>
      </c>
      <c r="BC156" s="40">
        <v>0.73</v>
      </c>
      <c r="BD156" s="40">
        <v>0.44</v>
      </c>
      <c r="BE156" s="40">
        <v>0.6</v>
      </c>
      <c r="BF156" s="40">
        <v>1</v>
      </c>
      <c r="BG156" s="40">
        <v>0.6</v>
      </c>
      <c r="BH156" s="40">
        <v>0.46</v>
      </c>
      <c r="BI156" s="40">
        <v>0.38</v>
      </c>
      <c r="BJ156" s="40">
        <v>0.31</v>
      </c>
      <c r="BK156" s="40">
        <v>0.43</v>
      </c>
      <c r="BL156" s="40">
        <v>0.67</v>
      </c>
      <c r="BM156" s="12">
        <v>45</v>
      </c>
      <c r="BN156" s="12">
        <v>11</v>
      </c>
      <c r="BO156" s="66">
        <v>0.25</v>
      </c>
      <c r="BP156" s="66">
        <v>0.75</v>
      </c>
      <c r="BQ156" s="66">
        <v>0</v>
      </c>
      <c r="BR156" s="66">
        <v>0</v>
      </c>
      <c r="BS156" s="66">
        <v>0.33</v>
      </c>
      <c r="BT156" s="66">
        <v>0.5</v>
      </c>
      <c r="BU156" s="66">
        <v>0.75</v>
      </c>
      <c r="BV156" s="66">
        <v>0</v>
      </c>
      <c r="BW156" s="66">
        <v>0.4</v>
      </c>
      <c r="BX156" s="66">
        <v>0.43</v>
      </c>
      <c r="BY156" s="66">
        <v>0.5</v>
      </c>
      <c r="BZ156" s="66">
        <v>0.6</v>
      </c>
      <c r="CA156" s="66">
        <v>0.8</v>
      </c>
      <c r="CB156" s="66">
        <v>0.28999999999999998</v>
      </c>
      <c r="CC156" s="66">
        <v>0.44</v>
      </c>
      <c r="CD156" s="66">
        <v>0.73</v>
      </c>
      <c r="CE156" s="66">
        <v>0.33</v>
      </c>
      <c r="CF156" s="66">
        <v>0.56999999999999995</v>
      </c>
      <c r="CG156" s="66">
        <v>0.86</v>
      </c>
      <c r="CH156" s="66">
        <v>0.4</v>
      </c>
      <c r="CI156" s="66">
        <v>0.82</v>
      </c>
      <c r="CJ156" s="66">
        <v>0.67</v>
      </c>
      <c r="CK156" s="66">
        <v>0.64</v>
      </c>
      <c r="CL156" s="66">
        <v>0.71</v>
      </c>
      <c r="CM156" s="66">
        <v>0.56999999999999995</v>
      </c>
      <c r="CN156" s="66">
        <v>0.73</v>
      </c>
      <c r="CO156" s="66">
        <v>0.5</v>
      </c>
      <c r="CP156" s="66">
        <v>0.33</v>
      </c>
      <c r="CQ156" s="66">
        <v>0.64</v>
      </c>
      <c r="CR156" s="66">
        <v>0.83</v>
      </c>
      <c r="CS156" s="12">
        <v>45</v>
      </c>
      <c r="CT156" s="12">
        <v>1</v>
      </c>
      <c r="CU156" s="63">
        <v>0</v>
      </c>
      <c r="CV156" s="63">
        <v>1</v>
      </c>
      <c r="CW156" s="63">
        <v>0</v>
      </c>
      <c r="CX156" s="63">
        <v>0</v>
      </c>
      <c r="CY156" s="63">
        <v>0.5</v>
      </c>
      <c r="CZ156" s="63">
        <v>0.5</v>
      </c>
      <c r="DA156" s="63">
        <v>1</v>
      </c>
      <c r="DB156" s="63">
        <v>0.75</v>
      </c>
      <c r="DC156" s="63">
        <v>0.8</v>
      </c>
      <c r="DD156" s="63">
        <v>0.33</v>
      </c>
      <c r="DE156" s="63">
        <v>0.67</v>
      </c>
      <c r="DF156" s="63">
        <v>0.71</v>
      </c>
      <c r="DG156" s="63">
        <v>0</v>
      </c>
      <c r="DH156" s="63">
        <v>0.67</v>
      </c>
      <c r="DI156" s="63">
        <v>0.67</v>
      </c>
      <c r="DJ156" s="63">
        <v>0.75</v>
      </c>
      <c r="DK156" s="63">
        <v>0.5</v>
      </c>
      <c r="DL156" s="63">
        <v>1</v>
      </c>
      <c r="DM156" s="63">
        <v>0.67</v>
      </c>
      <c r="DN156" s="63">
        <v>0.75</v>
      </c>
      <c r="DO156" s="63">
        <v>0.5</v>
      </c>
      <c r="DP156" s="63">
        <v>0.5</v>
      </c>
      <c r="DQ156" s="63">
        <v>0.44</v>
      </c>
      <c r="DR156" s="63">
        <v>0</v>
      </c>
      <c r="DS156" s="63">
        <v>0.25</v>
      </c>
      <c r="DT156" s="63">
        <v>0.75</v>
      </c>
      <c r="DU156" s="63">
        <v>0</v>
      </c>
      <c r="DV156" s="63">
        <v>1</v>
      </c>
      <c r="DW156" s="63">
        <v>0</v>
      </c>
      <c r="DX156" s="35">
        <v>36</v>
      </c>
      <c r="DY156" s="35">
        <v>7</v>
      </c>
      <c r="DZ156" s="40">
        <v>0.5</v>
      </c>
      <c r="EA156" s="40">
        <v>0.5</v>
      </c>
      <c r="EB156" s="40">
        <v>0</v>
      </c>
      <c r="EC156" s="40">
        <v>0</v>
      </c>
      <c r="ED156" s="40">
        <v>0.75</v>
      </c>
      <c r="EE156" s="40">
        <v>0.4</v>
      </c>
      <c r="EF156" s="40">
        <v>0.75</v>
      </c>
      <c r="EG156" s="40">
        <v>1</v>
      </c>
      <c r="EH156" s="40">
        <v>0.67</v>
      </c>
      <c r="EI156" s="40">
        <v>1</v>
      </c>
      <c r="EJ156" s="40">
        <v>0.5</v>
      </c>
      <c r="EK156" s="40">
        <v>0.5</v>
      </c>
      <c r="EL156" s="40">
        <v>0.75</v>
      </c>
      <c r="EM156" s="40">
        <v>1</v>
      </c>
      <c r="EN156" s="40">
        <v>0.67</v>
      </c>
      <c r="EO156" s="40">
        <v>0.4</v>
      </c>
      <c r="EP156" s="40">
        <v>1</v>
      </c>
      <c r="EQ156" s="40">
        <v>1</v>
      </c>
      <c r="ER156" s="40">
        <v>1</v>
      </c>
      <c r="ES156" s="40">
        <v>0.8</v>
      </c>
      <c r="ET156" s="40">
        <v>0.67</v>
      </c>
      <c r="EU156" s="40">
        <v>0.5</v>
      </c>
      <c r="EV156" s="40">
        <v>0</v>
      </c>
      <c r="EW156" s="40">
        <v>0.67</v>
      </c>
      <c r="EX156" s="35" t="s">
        <v>283</v>
      </c>
      <c r="EY156" s="40">
        <v>1</v>
      </c>
      <c r="EZ156" s="40">
        <v>0</v>
      </c>
      <c r="FA156" s="40">
        <v>1</v>
      </c>
      <c r="FB156" s="652"/>
      <c r="FC156" s="652"/>
      <c r="FD156" s="652"/>
      <c r="FE156" s="652"/>
      <c r="FF156" s="652"/>
      <c r="FG156" s="652"/>
      <c r="FH156" s="652"/>
      <c r="FI156" s="652"/>
      <c r="FJ156" s="652"/>
      <c r="FK156" s="652"/>
      <c r="FL156" s="652"/>
      <c r="FM156" s="652"/>
      <c r="FN156" s="652"/>
      <c r="FO156" s="652"/>
      <c r="FP156" s="652"/>
      <c r="FQ156" s="652"/>
      <c r="FR156" s="652"/>
      <c r="FS156" s="652"/>
      <c r="FT156" s="652"/>
      <c r="FU156" s="652"/>
      <c r="FV156" s="652"/>
      <c r="FW156" s="652"/>
      <c r="FX156" s="652"/>
      <c r="FY156" s="652"/>
      <c r="FZ156" s="652"/>
      <c r="GA156" s="652"/>
      <c r="GB156" s="652"/>
      <c r="GC156" s="652"/>
      <c r="GD156" s="652"/>
      <c r="GE156" s="652"/>
      <c r="GF156" s="652"/>
      <c r="GG156" s="652"/>
      <c r="GH156" s="652"/>
      <c r="GI156" s="652"/>
      <c r="GJ156" s="655"/>
      <c r="GK156" s="655"/>
      <c r="GL156" s="655"/>
      <c r="GM156" s="655"/>
      <c r="GN156" s="655"/>
      <c r="GO156" s="655"/>
      <c r="GP156" s="655"/>
      <c r="GQ156" s="655"/>
      <c r="GR156" s="655"/>
      <c r="GS156" s="655"/>
      <c r="GT156" s="655"/>
      <c r="GU156" s="655"/>
      <c r="GV156" s="655"/>
      <c r="GW156" s="655"/>
      <c r="GX156" s="655"/>
      <c r="GY156" s="655"/>
      <c r="GZ156" s="655"/>
      <c r="HA156" s="655"/>
      <c r="HB156" s="655"/>
      <c r="HC156" s="655"/>
      <c r="HD156" s="655"/>
      <c r="HE156" s="655"/>
      <c r="HF156" s="655"/>
      <c r="HG156" s="655"/>
      <c r="HH156" s="655"/>
      <c r="HI156" s="655"/>
      <c r="HJ156" s="655"/>
      <c r="HK156" s="655"/>
      <c r="HL156" s="655"/>
      <c r="HM156" s="655"/>
      <c r="HN156" s="655"/>
      <c r="HO156" s="655"/>
      <c r="HP156" s="655"/>
      <c r="HQ156" s="655"/>
      <c r="HR156" s="657"/>
      <c r="HS156" s="657"/>
      <c r="HT156" s="657"/>
      <c r="HU156" s="657"/>
      <c r="HV156" s="657"/>
      <c r="HW156" s="657"/>
      <c r="HX156" s="657"/>
      <c r="HY156" s="657"/>
      <c r="HZ156" s="657"/>
      <c r="IA156" s="657"/>
      <c r="IB156" s="657"/>
      <c r="IC156" s="657"/>
      <c r="ID156" s="657"/>
      <c r="IE156" s="657"/>
      <c r="IF156" s="657"/>
      <c r="IG156" s="657"/>
      <c r="IH156" s="657"/>
      <c r="II156" s="657"/>
      <c r="IJ156" s="657"/>
      <c r="IK156" s="657"/>
      <c r="IL156" s="657"/>
      <c r="IM156" s="657"/>
      <c r="IN156" s="657"/>
      <c r="IO156" s="657"/>
      <c r="IP156" s="657"/>
      <c r="IQ156" s="657"/>
      <c r="IR156" s="657"/>
      <c r="IS156" s="657"/>
      <c r="IT156" s="657"/>
      <c r="IU156" s="657"/>
      <c r="IV156" s="657"/>
      <c r="IW156" s="657"/>
      <c r="IX156" s="657"/>
      <c r="IY156" s="657"/>
      <c r="IZ156" s="656"/>
      <c r="JA156" s="656"/>
      <c r="JB156" s="656"/>
      <c r="JC156" s="656"/>
      <c r="JD156" s="656"/>
      <c r="JE156" s="656"/>
      <c r="JF156" s="656"/>
      <c r="JG156" s="656"/>
      <c r="JH156" s="656"/>
      <c r="JI156" s="656"/>
      <c r="JJ156" s="656"/>
      <c r="JK156" s="656"/>
      <c r="JL156" s="656"/>
      <c r="JM156" s="656"/>
      <c r="JN156" s="656"/>
      <c r="JO156" s="656"/>
      <c r="JP156" s="656"/>
      <c r="JQ156" s="656"/>
      <c r="JR156" s="656"/>
      <c r="JS156" s="656"/>
      <c r="JT156" s="656"/>
      <c r="JU156" s="656"/>
      <c r="JV156" s="656"/>
      <c r="JW156" s="656"/>
      <c r="JX156" s="656"/>
      <c r="JY156" s="656"/>
      <c r="JZ156" s="656"/>
      <c r="KA156" s="656"/>
      <c r="KB156" s="656"/>
      <c r="KC156" s="656"/>
      <c r="KD156" s="656"/>
      <c r="KE156" s="656"/>
      <c r="KF156" s="656"/>
      <c r="KG156" s="656"/>
    </row>
    <row r="157" spans="1:293" ht="24.95" customHeight="1" x14ac:dyDescent="0.2">
      <c r="A157" s="814" t="s">
        <v>211</v>
      </c>
      <c r="B157" s="1" t="s">
        <v>221</v>
      </c>
      <c r="C157" s="2">
        <v>3</v>
      </c>
      <c r="D157" s="12">
        <v>55</v>
      </c>
      <c r="E157" s="12">
        <v>9</v>
      </c>
      <c r="F157" s="66">
        <v>0.06</v>
      </c>
      <c r="G157" s="66">
        <v>0.5</v>
      </c>
      <c r="H157" s="66">
        <v>0.44</v>
      </c>
      <c r="I157" s="66">
        <v>0</v>
      </c>
      <c r="J157" s="66">
        <v>0.31</v>
      </c>
      <c r="K157" s="66">
        <v>0.5</v>
      </c>
      <c r="L157" s="66">
        <v>0.78</v>
      </c>
      <c r="M157" s="66">
        <v>0.23</v>
      </c>
      <c r="N157" s="66">
        <v>0.24</v>
      </c>
      <c r="O157" s="66">
        <v>0.59</v>
      </c>
      <c r="P157" s="66">
        <v>0.34</v>
      </c>
      <c r="Q157" s="66">
        <v>0.41</v>
      </c>
      <c r="R157" s="66">
        <v>0.49</v>
      </c>
      <c r="S157" s="66">
        <v>0.7</v>
      </c>
      <c r="T157" s="66">
        <v>0.5</v>
      </c>
      <c r="U157" s="66">
        <v>0.56000000000000005</v>
      </c>
      <c r="V157" s="66">
        <v>0.05</v>
      </c>
      <c r="W157" s="66">
        <v>0.17</v>
      </c>
      <c r="X157" s="66">
        <v>0.53</v>
      </c>
      <c r="Y157" s="66">
        <v>0.36</v>
      </c>
      <c r="Z157" s="12" t="s">
        <v>283</v>
      </c>
      <c r="AA157" s="66">
        <v>0</v>
      </c>
      <c r="AB157" s="66">
        <v>0.45</v>
      </c>
      <c r="AC157" s="66">
        <v>0.28999999999999998</v>
      </c>
      <c r="AD157" s="66">
        <v>0.43</v>
      </c>
      <c r="AE157" s="66">
        <v>0.54</v>
      </c>
      <c r="AF157" s="66">
        <v>0.41</v>
      </c>
      <c r="AG157" s="66">
        <v>0.51</v>
      </c>
      <c r="AH157" s="12">
        <v>49</v>
      </c>
      <c r="AI157" s="12">
        <v>6</v>
      </c>
      <c r="AJ157" s="40">
        <v>7.0000000000000007E-2</v>
      </c>
      <c r="AK157" s="40">
        <v>0.87</v>
      </c>
      <c r="AL157" s="40">
        <v>7.0000000000000007E-2</v>
      </c>
      <c r="AM157" s="40">
        <v>0</v>
      </c>
      <c r="AN157" s="40">
        <v>0.28999999999999998</v>
      </c>
      <c r="AO157" s="40">
        <v>0.55000000000000004</v>
      </c>
      <c r="AP157" s="40">
        <v>0.69</v>
      </c>
      <c r="AQ157" s="40">
        <v>0.38</v>
      </c>
      <c r="AR157" s="40">
        <v>0.71</v>
      </c>
      <c r="AS157" s="40">
        <v>0.55000000000000004</v>
      </c>
      <c r="AT157" s="40">
        <v>0.62</v>
      </c>
      <c r="AU157" s="40">
        <v>0.61</v>
      </c>
      <c r="AV157" s="40">
        <v>0.69</v>
      </c>
      <c r="AW157" s="40">
        <v>1</v>
      </c>
      <c r="AX157" s="40">
        <v>0.69</v>
      </c>
      <c r="AY157" s="40">
        <v>0.36</v>
      </c>
      <c r="AZ157" s="40">
        <v>0.26</v>
      </c>
      <c r="BA157" s="40">
        <v>0.46</v>
      </c>
      <c r="BB157" s="40">
        <v>0.68</v>
      </c>
      <c r="BC157" s="40">
        <v>0.67</v>
      </c>
      <c r="BD157" s="40">
        <v>0.45</v>
      </c>
      <c r="BE157" s="40">
        <v>0.67</v>
      </c>
      <c r="BF157" s="40">
        <v>1</v>
      </c>
      <c r="BG157" s="40">
        <v>0.54</v>
      </c>
      <c r="BH157" s="40">
        <v>0.55000000000000004</v>
      </c>
      <c r="BI157" s="40">
        <v>0.35</v>
      </c>
      <c r="BJ157" s="40">
        <v>0.36</v>
      </c>
      <c r="BK157" s="40">
        <v>0.6</v>
      </c>
      <c r="BL157" s="40">
        <v>0.63</v>
      </c>
      <c r="BM157" s="12">
        <v>50</v>
      </c>
      <c r="BN157" s="12">
        <v>9</v>
      </c>
      <c r="BO157" s="66">
        <v>0.13</v>
      </c>
      <c r="BP157" s="66">
        <v>0.56000000000000005</v>
      </c>
      <c r="BQ157" s="66">
        <v>0.31</v>
      </c>
      <c r="BR157" s="66">
        <v>0</v>
      </c>
      <c r="BS157" s="66">
        <v>0.3</v>
      </c>
      <c r="BT157" s="66">
        <v>0.78</v>
      </c>
      <c r="BU157" s="66">
        <v>0.73</v>
      </c>
      <c r="BV157" s="66">
        <v>0.31</v>
      </c>
      <c r="BW157" s="66">
        <v>0.6</v>
      </c>
      <c r="BX157" s="66">
        <v>0.32</v>
      </c>
      <c r="BY157" s="66">
        <v>0.42</v>
      </c>
      <c r="BZ157" s="66">
        <v>0.49</v>
      </c>
      <c r="CA157" s="66">
        <v>0.39</v>
      </c>
      <c r="CB157" s="66">
        <v>0.48</v>
      </c>
      <c r="CC157" s="66">
        <v>0.31</v>
      </c>
      <c r="CD157" s="66">
        <v>0.53</v>
      </c>
      <c r="CE157" s="66">
        <v>0.3</v>
      </c>
      <c r="CF157" s="66">
        <v>0.53</v>
      </c>
      <c r="CG157" s="66">
        <v>0.61</v>
      </c>
      <c r="CH157" s="66">
        <v>0.38</v>
      </c>
      <c r="CI157" s="66">
        <v>0.49</v>
      </c>
      <c r="CJ157" s="66">
        <v>0.54</v>
      </c>
      <c r="CK157" s="66">
        <v>0.68</v>
      </c>
      <c r="CL157" s="66">
        <v>0.23</v>
      </c>
      <c r="CM157" s="66">
        <v>0.44</v>
      </c>
      <c r="CN157" s="66">
        <v>0.43</v>
      </c>
      <c r="CO157" s="66">
        <v>0.48</v>
      </c>
      <c r="CP157" s="66">
        <v>0.48</v>
      </c>
      <c r="CQ157" s="66">
        <v>0.6</v>
      </c>
      <c r="CR157" s="66">
        <v>0.65</v>
      </c>
      <c r="CS157" s="12">
        <v>52</v>
      </c>
      <c r="CT157" s="12">
        <v>7</v>
      </c>
      <c r="CU157" s="63">
        <v>0.05</v>
      </c>
      <c r="CV157" s="63">
        <v>0.6</v>
      </c>
      <c r="CW157" s="63">
        <v>0.35</v>
      </c>
      <c r="CX157" s="63">
        <v>0</v>
      </c>
      <c r="CY157" s="63">
        <v>0.45</v>
      </c>
      <c r="CZ157" s="63">
        <v>0.34</v>
      </c>
      <c r="DA157" s="63">
        <v>0.6</v>
      </c>
      <c r="DB157" s="63">
        <v>0.31</v>
      </c>
      <c r="DC157" s="63">
        <v>0.38</v>
      </c>
      <c r="DD157" s="63">
        <v>0.62</v>
      </c>
      <c r="DE157" s="63">
        <v>0.39</v>
      </c>
      <c r="DF157" s="63">
        <v>0.51</v>
      </c>
      <c r="DG157" s="63">
        <v>0.39</v>
      </c>
      <c r="DH157" s="63">
        <v>0.3</v>
      </c>
      <c r="DI157" s="63">
        <v>0.4</v>
      </c>
      <c r="DJ157" s="63">
        <v>0.43</v>
      </c>
      <c r="DK157" s="63">
        <v>0.3</v>
      </c>
      <c r="DL157" s="63">
        <v>0.33</v>
      </c>
      <c r="DM157" s="63">
        <v>0.47</v>
      </c>
      <c r="DN157" s="63">
        <v>0.38</v>
      </c>
      <c r="DO157" s="63">
        <v>0.43</v>
      </c>
      <c r="DP157" s="63">
        <v>0.4</v>
      </c>
      <c r="DQ157" s="63">
        <v>0.56000000000000005</v>
      </c>
      <c r="DR157" s="63">
        <v>0.2</v>
      </c>
      <c r="DS157" s="63">
        <v>0.44</v>
      </c>
      <c r="DT157" s="63">
        <v>0.5</v>
      </c>
      <c r="DU157" s="63">
        <v>0.62</v>
      </c>
      <c r="DV157" s="63">
        <v>0.6</v>
      </c>
      <c r="DW157" s="63">
        <v>0.26</v>
      </c>
      <c r="DX157" s="35">
        <v>51</v>
      </c>
      <c r="DY157" s="35">
        <v>9</v>
      </c>
      <c r="DZ157" s="40">
        <v>0.12</v>
      </c>
      <c r="EA157" s="40">
        <v>0.54</v>
      </c>
      <c r="EB157" s="40">
        <v>0.35</v>
      </c>
      <c r="EC157" s="40">
        <v>0</v>
      </c>
      <c r="ED157" s="40">
        <v>0.38</v>
      </c>
      <c r="EE157" s="40">
        <v>0.45</v>
      </c>
      <c r="EF157" s="40">
        <v>0.51</v>
      </c>
      <c r="EG157" s="40">
        <v>0.21</v>
      </c>
      <c r="EH157" s="40">
        <v>0.48</v>
      </c>
      <c r="EI157" s="40">
        <v>0.51</v>
      </c>
      <c r="EJ157" s="40">
        <v>0.53</v>
      </c>
      <c r="EK157" s="40">
        <v>0.33</v>
      </c>
      <c r="EL157" s="40">
        <v>0.43</v>
      </c>
      <c r="EM157" s="40">
        <v>0.56999999999999995</v>
      </c>
      <c r="EN157" s="40">
        <v>0.44</v>
      </c>
      <c r="EO157" s="40">
        <v>0.65</v>
      </c>
      <c r="EP157" s="40">
        <v>0.35</v>
      </c>
      <c r="EQ157" s="40">
        <v>0.18</v>
      </c>
      <c r="ER157" s="40">
        <v>0.52</v>
      </c>
      <c r="ES157" s="40">
        <v>0.43</v>
      </c>
      <c r="ET157" s="40">
        <v>0.26</v>
      </c>
      <c r="EU157" s="40">
        <v>0.39</v>
      </c>
      <c r="EV157" s="40">
        <v>0.36</v>
      </c>
      <c r="EW157" s="40">
        <v>0.37</v>
      </c>
      <c r="EX157" s="40">
        <v>0.5</v>
      </c>
      <c r="EY157" s="40">
        <v>0.62</v>
      </c>
      <c r="EZ157" s="40">
        <v>7.0000000000000007E-2</v>
      </c>
      <c r="FA157" s="40">
        <v>0.64</v>
      </c>
      <c r="FB157" s="653">
        <v>50</v>
      </c>
      <c r="FC157" s="653" t="s">
        <v>874</v>
      </c>
      <c r="FD157" s="653">
        <v>8</v>
      </c>
      <c r="FE157" s="653" t="s">
        <v>874</v>
      </c>
      <c r="FF157" s="654">
        <v>0.12</v>
      </c>
      <c r="FG157" s="654">
        <v>0.72</v>
      </c>
      <c r="FH157" s="654">
        <v>0.16</v>
      </c>
      <c r="FI157" s="654">
        <v>0</v>
      </c>
      <c r="FJ157" s="654">
        <v>0.46</v>
      </c>
      <c r="FK157" s="654">
        <v>0.66</v>
      </c>
      <c r="FL157" s="654">
        <v>0.63</v>
      </c>
      <c r="FM157" s="654">
        <v>0.45</v>
      </c>
      <c r="FN157" s="654">
        <v>0.19</v>
      </c>
      <c r="FO157" s="654">
        <v>0.35</v>
      </c>
      <c r="FP157" s="654">
        <v>0.41</v>
      </c>
      <c r="FQ157" s="654">
        <v>0.43</v>
      </c>
      <c r="FR157" s="654">
        <v>0.68</v>
      </c>
      <c r="FS157" s="654">
        <v>0.5</v>
      </c>
      <c r="FT157" s="654">
        <v>0.45</v>
      </c>
      <c r="FU157" s="654">
        <v>0.28999999999999998</v>
      </c>
      <c r="FV157" s="654">
        <v>0.42</v>
      </c>
      <c r="FW157" s="654">
        <v>0.68</v>
      </c>
      <c r="FX157" s="654">
        <v>0.41</v>
      </c>
      <c r="FY157" s="654">
        <v>0.28999999999999998</v>
      </c>
      <c r="FZ157" s="654">
        <v>0.32</v>
      </c>
      <c r="GA157" s="654">
        <v>0.41</v>
      </c>
      <c r="GB157" s="654">
        <v>0.45</v>
      </c>
      <c r="GC157" s="654">
        <v>0.45</v>
      </c>
      <c r="GD157" s="654">
        <v>0.67</v>
      </c>
      <c r="GE157" s="654">
        <v>0.61</v>
      </c>
      <c r="GF157" s="654">
        <v>0.48</v>
      </c>
      <c r="GG157" s="654">
        <v>0.48</v>
      </c>
      <c r="GH157" s="654">
        <v>0.46</v>
      </c>
      <c r="GI157" s="654">
        <v>0.2</v>
      </c>
      <c r="GJ157" s="74">
        <v>47</v>
      </c>
      <c r="GK157" s="74" t="s">
        <v>874</v>
      </c>
      <c r="GL157" s="74">
        <v>9</v>
      </c>
      <c r="GM157" s="74" t="s">
        <v>874</v>
      </c>
      <c r="GN157" s="96">
        <v>0.18</v>
      </c>
      <c r="GO157" s="96">
        <v>0.56999999999999995</v>
      </c>
      <c r="GP157" s="96">
        <v>0.25</v>
      </c>
      <c r="GQ157" s="96">
        <v>0</v>
      </c>
      <c r="GR157" s="96">
        <v>0.51</v>
      </c>
      <c r="GS157" s="96">
        <v>0.52</v>
      </c>
      <c r="GT157" s="96">
        <v>0.71</v>
      </c>
      <c r="GU157" s="96">
        <v>0.53</v>
      </c>
      <c r="GV157" s="96">
        <v>0.57999999999999996</v>
      </c>
      <c r="GW157" s="96">
        <v>0.45</v>
      </c>
      <c r="GX157" s="96">
        <v>0.54</v>
      </c>
      <c r="GY157" s="74" t="s">
        <v>283</v>
      </c>
      <c r="GZ157" s="96">
        <v>0.24</v>
      </c>
      <c r="HA157" s="96">
        <v>0.67</v>
      </c>
      <c r="HB157" s="96">
        <v>0.47</v>
      </c>
      <c r="HC157" s="96">
        <v>0.62</v>
      </c>
      <c r="HD157" s="96">
        <v>0.55000000000000004</v>
      </c>
      <c r="HE157" s="96">
        <v>0.57999999999999996</v>
      </c>
      <c r="HF157" s="96">
        <v>0.61</v>
      </c>
      <c r="HG157" s="96">
        <v>0.77</v>
      </c>
      <c r="HH157" s="96">
        <v>0.51</v>
      </c>
      <c r="HI157" s="96">
        <v>0.57999999999999996</v>
      </c>
      <c r="HJ157" s="96">
        <v>0.68</v>
      </c>
      <c r="HK157" s="96">
        <v>0.67</v>
      </c>
      <c r="HL157" s="96">
        <v>0.47</v>
      </c>
      <c r="HM157" s="96">
        <v>0.53</v>
      </c>
      <c r="HN157" s="96">
        <v>0.46</v>
      </c>
      <c r="HO157" s="96">
        <v>0.51</v>
      </c>
      <c r="HP157" s="74" t="s">
        <v>283</v>
      </c>
      <c r="HQ157" s="96">
        <v>0.56999999999999995</v>
      </c>
      <c r="HR157" s="658">
        <v>52</v>
      </c>
      <c r="HS157" s="658" t="s">
        <v>874</v>
      </c>
      <c r="HT157" s="658">
        <v>7</v>
      </c>
      <c r="HU157" s="658" t="s">
        <v>874</v>
      </c>
      <c r="HV157" s="659">
        <v>0.12</v>
      </c>
      <c r="HW157" s="659">
        <v>0.62</v>
      </c>
      <c r="HX157" s="659">
        <v>0.27</v>
      </c>
      <c r="HY157" s="659">
        <v>0</v>
      </c>
      <c r="HZ157" s="659">
        <v>0.35</v>
      </c>
      <c r="IA157" s="659">
        <v>0.5</v>
      </c>
      <c r="IB157" s="659">
        <v>0.2</v>
      </c>
      <c r="IC157" s="659">
        <v>0.47</v>
      </c>
      <c r="ID157" s="659">
        <v>0.59</v>
      </c>
      <c r="IE157" s="659">
        <v>0.34</v>
      </c>
      <c r="IF157" s="659">
        <v>0.46</v>
      </c>
      <c r="IG157" s="659">
        <v>0.47</v>
      </c>
      <c r="IH157" s="659">
        <v>0.61</v>
      </c>
      <c r="II157" s="659">
        <v>0.31</v>
      </c>
      <c r="IJ157" s="659">
        <v>0.27</v>
      </c>
      <c r="IK157" s="659">
        <v>0.56000000000000005</v>
      </c>
      <c r="IL157" s="659">
        <v>0.3</v>
      </c>
      <c r="IM157" s="659">
        <v>0.54</v>
      </c>
      <c r="IN157" s="659">
        <v>0.51</v>
      </c>
      <c r="IO157" s="659">
        <v>0.5</v>
      </c>
      <c r="IP157" s="659">
        <v>0.44</v>
      </c>
      <c r="IQ157" s="659">
        <v>0.69</v>
      </c>
      <c r="IR157" s="659">
        <v>0.63</v>
      </c>
      <c r="IS157" s="659">
        <v>0.56999999999999995</v>
      </c>
      <c r="IT157" s="659">
        <v>0.44</v>
      </c>
      <c r="IU157" s="658" t="s">
        <v>283</v>
      </c>
      <c r="IV157" s="659">
        <v>0.65</v>
      </c>
      <c r="IW157" s="659">
        <v>0.43</v>
      </c>
      <c r="IX157" s="659">
        <v>0.51</v>
      </c>
      <c r="IY157" s="659">
        <v>0.51</v>
      </c>
      <c r="IZ157" s="74">
        <v>51</v>
      </c>
      <c r="JA157" s="74" t="s">
        <v>874</v>
      </c>
      <c r="JB157" s="74">
        <v>9</v>
      </c>
      <c r="JC157" s="74" t="s">
        <v>874</v>
      </c>
      <c r="JD157" s="96">
        <v>0.1</v>
      </c>
      <c r="JE157" s="96">
        <v>0.55000000000000004</v>
      </c>
      <c r="JF157" s="96">
        <v>0.31</v>
      </c>
      <c r="JG157" s="96">
        <v>0.03</v>
      </c>
      <c r="JH157" s="96">
        <v>0.33</v>
      </c>
      <c r="JI157" s="96">
        <v>0.46</v>
      </c>
      <c r="JJ157" s="96">
        <v>0.48</v>
      </c>
      <c r="JK157" s="96">
        <v>0.56999999999999995</v>
      </c>
      <c r="JL157" s="96">
        <v>0.55000000000000004</v>
      </c>
      <c r="JM157" s="96">
        <v>0.55000000000000004</v>
      </c>
      <c r="JN157" s="96">
        <v>0.37</v>
      </c>
      <c r="JO157" s="96">
        <v>0.49</v>
      </c>
      <c r="JP157" s="96">
        <v>0.52</v>
      </c>
      <c r="JQ157" s="96">
        <v>0.28999999999999998</v>
      </c>
      <c r="JR157" s="96">
        <v>0.63</v>
      </c>
      <c r="JS157" s="96">
        <v>0.48</v>
      </c>
      <c r="JT157" s="96">
        <v>0.52</v>
      </c>
      <c r="JU157" s="96">
        <v>0.64</v>
      </c>
      <c r="JV157" s="96">
        <v>0.52</v>
      </c>
      <c r="JW157" s="96">
        <v>0.49</v>
      </c>
      <c r="JX157" s="96">
        <v>0.46</v>
      </c>
      <c r="JY157" s="96">
        <v>0.48</v>
      </c>
      <c r="JZ157" s="96">
        <v>0.42</v>
      </c>
      <c r="KA157" s="96">
        <v>0.67</v>
      </c>
      <c r="KB157" s="96">
        <v>0.34</v>
      </c>
      <c r="KC157" s="96">
        <v>0.61</v>
      </c>
      <c r="KD157" s="96">
        <v>0.36</v>
      </c>
      <c r="KE157" s="96">
        <v>0.56999999999999995</v>
      </c>
      <c r="KF157" s="96">
        <v>0.52</v>
      </c>
      <c r="KG157" s="96">
        <v>0.43</v>
      </c>
    </row>
    <row r="158" spans="1:293" ht="24.95" customHeight="1" x14ac:dyDescent="0.2">
      <c r="A158" s="814" t="s">
        <v>57</v>
      </c>
      <c r="B158" s="1" t="s">
        <v>221</v>
      </c>
      <c r="C158" s="2">
        <v>3</v>
      </c>
      <c r="D158" s="12">
        <v>52</v>
      </c>
      <c r="E158" s="12">
        <v>8</v>
      </c>
      <c r="F158" s="66">
        <v>7.0000000000000007E-2</v>
      </c>
      <c r="G158" s="66">
        <v>0.59</v>
      </c>
      <c r="H158" s="66">
        <v>0.34</v>
      </c>
      <c r="I158" s="66">
        <v>0</v>
      </c>
      <c r="J158" s="66">
        <v>0.36</v>
      </c>
      <c r="K158" s="66">
        <v>0.39</v>
      </c>
      <c r="L158" s="66">
        <v>0.8</v>
      </c>
      <c r="M158" s="66">
        <v>0.18</v>
      </c>
      <c r="N158" s="66">
        <v>0.36</v>
      </c>
      <c r="O158" s="66">
        <v>0.66</v>
      </c>
      <c r="P158" s="66">
        <v>0.37</v>
      </c>
      <c r="Q158" s="66">
        <v>0.41</v>
      </c>
      <c r="R158" s="66">
        <v>0.56999999999999995</v>
      </c>
      <c r="S158" s="66">
        <v>0.67</v>
      </c>
      <c r="T158" s="66">
        <v>0.61</v>
      </c>
      <c r="U158" s="66">
        <v>0.64</v>
      </c>
      <c r="V158" s="66">
        <v>0.11</v>
      </c>
      <c r="W158" s="66">
        <v>0.21</v>
      </c>
      <c r="X158" s="66">
        <v>0.52</v>
      </c>
      <c r="Y158" s="66">
        <v>0.59</v>
      </c>
      <c r="Z158" s="12" t="s">
        <v>283</v>
      </c>
      <c r="AA158" s="66">
        <v>0.1</v>
      </c>
      <c r="AB158" s="66">
        <v>0.51</v>
      </c>
      <c r="AC158" s="66">
        <v>0.33</v>
      </c>
      <c r="AD158" s="66">
        <v>0.48</v>
      </c>
      <c r="AE158" s="66">
        <v>0.44</v>
      </c>
      <c r="AF158" s="66">
        <v>0.48</v>
      </c>
      <c r="AG158" s="66">
        <v>0.56999999999999995</v>
      </c>
      <c r="AH158" s="12">
        <v>52</v>
      </c>
      <c r="AI158" s="12">
        <v>8</v>
      </c>
      <c r="AJ158" s="40">
        <v>0.08</v>
      </c>
      <c r="AK158" s="40">
        <v>0.5</v>
      </c>
      <c r="AL158" s="40">
        <v>0.42</v>
      </c>
      <c r="AM158" s="40">
        <v>0</v>
      </c>
      <c r="AN158" s="40">
        <v>0.14000000000000001</v>
      </c>
      <c r="AO158" s="40">
        <v>0.41</v>
      </c>
      <c r="AP158" s="40">
        <v>0.51</v>
      </c>
      <c r="AQ158" s="40">
        <v>0.44</v>
      </c>
      <c r="AR158" s="40">
        <v>0.57999999999999996</v>
      </c>
      <c r="AS158" s="40">
        <v>0.57999999999999996</v>
      </c>
      <c r="AT158" s="40">
        <v>0.51</v>
      </c>
      <c r="AU158" s="40">
        <v>0.61</v>
      </c>
      <c r="AV158" s="40">
        <v>0.7</v>
      </c>
      <c r="AW158" s="40">
        <v>0.38</v>
      </c>
      <c r="AX158" s="40">
        <v>0.54</v>
      </c>
      <c r="AY158" s="40">
        <v>0.33</v>
      </c>
      <c r="AZ158" s="40">
        <v>0.41</v>
      </c>
      <c r="BA158" s="40">
        <v>0.52</v>
      </c>
      <c r="BB158" s="40">
        <v>0.68</v>
      </c>
      <c r="BC158" s="40">
        <v>0.67</v>
      </c>
      <c r="BD158" s="40">
        <v>0.34</v>
      </c>
      <c r="BE158" s="40">
        <v>0.7</v>
      </c>
      <c r="BF158" s="40">
        <v>0.57999999999999996</v>
      </c>
      <c r="BG158" s="40">
        <v>0.53</v>
      </c>
      <c r="BH158" s="40">
        <v>0.4</v>
      </c>
      <c r="BI158" s="40">
        <v>0.35</v>
      </c>
      <c r="BJ158" s="40">
        <v>0.4</v>
      </c>
      <c r="BK158" s="40">
        <v>0.42</v>
      </c>
      <c r="BL158" s="40">
        <v>0.33</v>
      </c>
      <c r="BM158" s="12">
        <v>48</v>
      </c>
      <c r="BN158" s="12">
        <v>7</v>
      </c>
      <c r="BO158" s="66">
        <v>0.15</v>
      </c>
      <c r="BP158" s="66">
        <v>0.65</v>
      </c>
      <c r="BQ158" s="66">
        <v>0.21</v>
      </c>
      <c r="BR158" s="66">
        <v>0</v>
      </c>
      <c r="BS158" s="66">
        <v>0.51</v>
      </c>
      <c r="BT158" s="66">
        <v>0.52</v>
      </c>
      <c r="BU158" s="66">
        <v>0.74</v>
      </c>
      <c r="BV158" s="66">
        <v>0.23</v>
      </c>
      <c r="BW158" s="66">
        <v>0.74</v>
      </c>
      <c r="BX158" s="66">
        <v>0.47</v>
      </c>
      <c r="BY158" s="66">
        <v>0.47</v>
      </c>
      <c r="BZ158" s="66">
        <v>0.6</v>
      </c>
      <c r="CA158" s="66">
        <v>0.4</v>
      </c>
      <c r="CB158" s="66">
        <v>0.4</v>
      </c>
      <c r="CC158" s="66">
        <v>0.16</v>
      </c>
      <c r="CD158" s="66">
        <v>0.42</v>
      </c>
      <c r="CE158" s="66">
        <v>0.39</v>
      </c>
      <c r="CF158" s="66">
        <v>0.54</v>
      </c>
      <c r="CG158" s="66">
        <v>0.71</v>
      </c>
      <c r="CH158" s="66">
        <v>0.55000000000000004</v>
      </c>
      <c r="CI158" s="66">
        <v>0.59</v>
      </c>
      <c r="CJ158" s="66">
        <v>0.42</v>
      </c>
      <c r="CK158" s="66">
        <v>0.7</v>
      </c>
      <c r="CL158" s="66">
        <v>0.28999999999999998</v>
      </c>
      <c r="CM158" s="66">
        <v>0.52</v>
      </c>
      <c r="CN158" s="66">
        <v>0.5</v>
      </c>
      <c r="CO158" s="66">
        <v>0.53</v>
      </c>
      <c r="CP158" s="66">
        <v>0.51</v>
      </c>
      <c r="CQ158" s="66">
        <v>0.47</v>
      </c>
      <c r="CR158" s="66">
        <v>0.6</v>
      </c>
      <c r="CS158" s="12">
        <v>49</v>
      </c>
      <c r="CT158" s="12">
        <v>9</v>
      </c>
      <c r="CU158" s="63">
        <v>0.11</v>
      </c>
      <c r="CV158" s="63">
        <v>0.67</v>
      </c>
      <c r="CW158" s="63">
        <v>0.22</v>
      </c>
      <c r="CX158" s="63">
        <v>0</v>
      </c>
      <c r="CY158" s="63">
        <v>0.5</v>
      </c>
      <c r="CZ158" s="63">
        <v>0.36</v>
      </c>
      <c r="DA158" s="63">
        <v>0.57999999999999996</v>
      </c>
      <c r="DB158" s="63">
        <v>0.45</v>
      </c>
      <c r="DC158" s="63">
        <v>0.5</v>
      </c>
      <c r="DD158" s="63">
        <v>0.63</v>
      </c>
      <c r="DE158" s="63">
        <v>0.45</v>
      </c>
      <c r="DF158" s="63">
        <v>0.49</v>
      </c>
      <c r="DG158" s="63">
        <v>0.45</v>
      </c>
      <c r="DH158" s="63">
        <v>0.28999999999999998</v>
      </c>
      <c r="DI158" s="63">
        <v>0.42</v>
      </c>
      <c r="DJ158" s="63">
        <v>0.49</v>
      </c>
      <c r="DK158" s="63">
        <v>0.4</v>
      </c>
      <c r="DL158" s="63">
        <v>0.39</v>
      </c>
      <c r="DM158" s="63">
        <v>0.45</v>
      </c>
      <c r="DN158" s="63">
        <v>0.46</v>
      </c>
      <c r="DO158" s="63">
        <v>0.39</v>
      </c>
      <c r="DP158" s="63">
        <v>0.5</v>
      </c>
      <c r="DQ158" s="63">
        <v>0.63</v>
      </c>
      <c r="DR158" s="63">
        <v>0.23</v>
      </c>
      <c r="DS158" s="63">
        <v>0.42</v>
      </c>
      <c r="DT158" s="63">
        <v>0.65</v>
      </c>
      <c r="DU158" s="63">
        <v>0.39</v>
      </c>
      <c r="DV158" s="63">
        <v>0.63</v>
      </c>
      <c r="DW158" s="63">
        <v>0.3</v>
      </c>
      <c r="DX158" s="35">
        <v>48</v>
      </c>
      <c r="DY158" s="35">
        <v>7</v>
      </c>
      <c r="DZ158" s="40">
        <v>0.21</v>
      </c>
      <c r="EA158" s="40">
        <v>0.63</v>
      </c>
      <c r="EB158" s="40">
        <v>0.17</v>
      </c>
      <c r="EC158" s="40">
        <v>0</v>
      </c>
      <c r="ED158" s="40">
        <v>0.43</v>
      </c>
      <c r="EE158" s="40">
        <v>0.47</v>
      </c>
      <c r="EF158" s="40">
        <v>0.63</v>
      </c>
      <c r="EG158" s="40">
        <v>0.33</v>
      </c>
      <c r="EH158" s="40">
        <v>0.38</v>
      </c>
      <c r="EI158" s="40">
        <v>0.55000000000000004</v>
      </c>
      <c r="EJ158" s="40">
        <v>0.66</v>
      </c>
      <c r="EK158" s="40">
        <v>0.22</v>
      </c>
      <c r="EL158" s="40">
        <v>0.49</v>
      </c>
      <c r="EM158" s="40">
        <v>0.64</v>
      </c>
      <c r="EN158" s="40">
        <v>0.5</v>
      </c>
      <c r="EO158" s="40">
        <v>0.59</v>
      </c>
      <c r="EP158" s="40">
        <v>0.3</v>
      </c>
      <c r="EQ158" s="40">
        <v>0.26</v>
      </c>
      <c r="ER158" s="40">
        <v>0.65</v>
      </c>
      <c r="ES158" s="40">
        <v>0.51</v>
      </c>
      <c r="ET158" s="40">
        <v>0.32</v>
      </c>
      <c r="EU158" s="40">
        <v>0.75</v>
      </c>
      <c r="EV158" s="40">
        <v>0.64</v>
      </c>
      <c r="EW158" s="40">
        <v>0.38</v>
      </c>
      <c r="EX158" s="40">
        <v>0.79</v>
      </c>
      <c r="EY158" s="40">
        <v>0.64</v>
      </c>
      <c r="EZ158" s="40">
        <v>0.17</v>
      </c>
      <c r="FA158" s="40">
        <v>0.73</v>
      </c>
      <c r="FB158" s="247">
        <v>48</v>
      </c>
      <c r="FC158" s="247" t="s">
        <v>874</v>
      </c>
      <c r="FD158" s="247">
        <v>9</v>
      </c>
      <c r="FE158" s="247" t="s">
        <v>874</v>
      </c>
      <c r="FF158" s="264">
        <v>0.21</v>
      </c>
      <c r="FG158" s="264">
        <v>0.56999999999999995</v>
      </c>
      <c r="FH158" s="264">
        <v>0.21</v>
      </c>
      <c r="FI158" s="264">
        <v>0</v>
      </c>
      <c r="FJ158" s="264">
        <v>0.39</v>
      </c>
      <c r="FK158" s="264">
        <v>0.71</v>
      </c>
      <c r="FL158" s="264">
        <v>0.51</v>
      </c>
      <c r="FM158" s="264">
        <v>0.41</v>
      </c>
      <c r="FN158" s="264">
        <v>0.28000000000000003</v>
      </c>
      <c r="FO158" s="264">
        <v>0.42</v>
      </c>
      <c r="FP158" s="264">
        <v>0.44</v>
      </c>
      <c r="FQ158" s="264">
        <v>0.43</v>
      </c>
      <c r="FR158" s="264">
        <v>0.66</v>
      </c>
      <c r="FS158" s="264">
        <v>0.49</v>
      </c>
      <c r="FT158" s="264">
        <v>0.68</v>
      </c>
      <c r="FU158" s="264">
        <v>0.5</v>
      </c>
      <c r="FV158" s="264">
        <v>0.63</v>
      </c>
      <c r="FW158" s="264">
        <v>0.62</v>
      </c>
      <c r="FX158" s="264">
        <v>0.47</v>
      </c>
      <c r="FY158" s="264">
        <v>0.43</v>
      </c>
      <c r="FZ158" s="264">
        <v>0.45</v>
      </c>
      <c r="GA158" s="264">
        <v>0.56999999999999995</v>
      </c>
      <c r="GB158" s="264">
        <v>0.56000000000000005</v>
      </c>
      <c r="GC158" s="264">
        <v>0.49</v>
      </c>
      <c r="GD158" s="264">
        <v>0.57999999999999996</v>
      </c>
      <c r="GE158" s="264">
        <v>0.56000000000000005</v>
      </c>
      <c r="GF158" s="264">
        <v>0.52</v>
      </c>
      <c r="GG158" s="264">
        <v>0.45</v>
      </c>
      <c r="GH158" s="264">
        <v>0.61</v>
      </c>
      <c r="GI158" s="264">
        <v>0.31</v>
      </c>
      <c r="GJ158" s="311">
        <v>51</v>
      </c>
      <c r="GK158" s="311" t="s">
        <v>874</v>
      </c>
      <c r="GL158" s="311">
        <v>9</v>
      </c>
      <c r="GM158" s="311" t="s">
        <v>874</v>
      </c>
      <c r="GN158" s="329">
        <v>0.11</v>
      </c>
      <c r="GO158" s="329">
        <v>0.5</v>
      </c>
      <c r="GP158" s="329">
        <v>0.39</v>
      </c>
      <c r="GQ158" s="329">
        <v>0</v>
      </c>
      <c r="GR158" s="329">
        <v>0.56999999999999995</v>
      </c>
      <c r="GS158" s="329">
        <v>0.63</v>
      </c>
      <c r="GT158" s="329">
        <v>0.63</v>
      </c>
      <c r="GU158" s="329">
        <v>0.15</v>
      </c>
      <c r="GV158" s="329">
        <v>0.48</v>
      </c>
      <c r="GW158" s="329">
        <v>0.63</v>
      </c>
      <c r="GX158" s="329">
        <v>0.46</v>
      </c>
      <c r="GY158" s="311" t="s">
        <v>283</v>
      </c>
      <c r="GZ158" s="329">
        <v>0.35</v>
      </c>
      <c r="HA158" s="329">
        <v>0.63</v>
      </c>
      <c r="HB158" s="329">
        <v>0.5</v>
      </c>
      <c r="HC158" s="329">
        <v>0.49</v>
      </c>
      <c r="HD158" s="329">
        <v>0.51</v>
      </c>
      <c r="HE158" s="329">
        <v>0.41</v>
      </c>
      <c r="HF158" s="329">
        <v>0.49</v>
      </c>
      <c r="HG158" s="329">
        <v>0.71</v>
      </c>
      <c r="HH158" s="329">
        <v>0.38</v>
      </c>
      <c r="HI158" s="329">
        <v>0.56000000000000005</v>
      </c>
      <c r="HJ158" s="329">
        <v>0.6</v>
      </c>
      <c r="HK158" s="329">
        <v>0.54</v>
      </c>
      <c r="HL158" s="329">
        <v>0.45</v>
      </c>
      <c r="HM158" s="329">
        <v>0.46</v>
      </c>
      <c r="HN158" s="329">
        <v>0.48</v>
      </c>
      <c r="HO158" s="329">
        <v>0.34</v>
      </c>
      <c r="HP158" s="311" t="s">
        <v>283</v>
      </c>
      <c r="HQ158" s="329">
        <v>0.41</v>
      </c>
      <c r="HR158" s="426">
        <v>49</v>
      </c>
      <c r="HS158" s="426" t="s">
        <v>874</v>
      </c>
      <c r="HT158" s="426">
        <v>10</v>
      </c>
      <c r="HU158" s="426" t="s">
        <v>874</v>
      </c>
      <c r="HV158" s="430">
        <v>0.24</v>
      </c>
      <c r="HW158" s="430">
        <v>0.53</v>
      </c>
      <c r="HX158" s="430">
        <v>0.24</v>
      </c>
      <c r="HY158" s="430">
        <v>0</v>
      </c>
      <c r="HZ158" s="430">
        <v>0.51</v>
      </c>
      <c r="IA158" s="430">
        <v>0.55000000000000004</v>
      </c>
      <c r="IB158" s="430">
        <v>0.3</v>
      </c>
      <c r="IC158" s="430">
        <v>0.57999999999999996</v>
      </c>
      <c r="ID158" s="430">
        <v>0.63</v>
      </c>
      <c r="IE158" s="430">
        <v>0.43</v>
      </c>
      <c r="IF158" s="430">
        <v>0.44</v>
      </c>
      <c r="IG158" s="430">
        <v>0.65</v>
      </c>
      <c r="IH158" s="430">
        <v>0.61</v>
      </c>
      <c r="II158" s="430">
        <v>0.33</v>
      </c>
      <c r="IJ158" s="430">
        <v>0.35</v>
      </c>
      <c r="IK158" s="430">
        <v>0.62</v>
      </c>
      <c r="IL158" s="430">
        <v>0.43</v>
      </c>
      <c r="IM158" s="430">
        <v>0.67</v>
      </c>
      <c r="IN158" s="430">
        <v>0.42</v>
      </c>
      <c r="IO158" s="430">
        <v>0.59</v>
      </c>
      <c r="IP158" s="430">
        <v>0.43</v>
      </c>
      <c r="IQ158" s="430">
        <v>0.75</v>
      </c>
      <c r="IR158" s="430">
        <v>0.54</v>
      </c>
      <c r="IS158" s="430">
        <v>0.46</v>
      </c>
      <c r="IT158" s="430">
        <v>0.36</v>
      </c>
      <c r="IU158" s="426" t="s">
        <v>283</v>
      </c>
      <c r="IV158" s="430">
        <v>0.59</v>
      </c>
      <c r="IW158" s="430">
        <v>0.41</v>
      </c>
      <c r="IX158" s="430">
        <v>0.47</v>
      </c>
      <c r="IY158" s="430">
        <v>0.55000000000000004</v>
      </c>
      <c r="IZ158" s="466">
        <v>50</v>
      </c>
      <c r="JA158" s="466" t="s">
        <v>874</v>
      </c>
      <c r="JB158" s="466">
        <v>7</v>
      </c>
      <c r="JC158" s="466" t="s">
        <v>874</v>
      </c>
      <c r="JD158" s="480">
        <v>0.08</v>
      </c>
      <c r="JE158" s="480">
        <v>0.77</v>
      </c>
      <c r="JF158" s="480">
        <v>0.15</v>
      </c>
      <c r="JG158" s="480">
        <v>0</v>
      </c>
      <c r="JH158" s="480">
        <v>0.43</v>
      </c>
      <c r="JI158" s="480">
        <v>0.41</v>
      </c>
      <c r="JJ158" s="480">
        <v>0.43</v>
      </c>
      <c r="JK158" s="480">
        <v>0.54</v>
      </c>
      <c r="JL158" s="480">
        <v>0.56000000000000005</v>
      </c>
      <c r="JM158" s="480">
        <v>0.53</v>
      </c>
      <c r="JN158" s="480">
        <v>0.33</v>
      </c>
      <c r="JO158" s="480">
        <v>0.46</v>
      </c>
      <c r="JP158" s="480">
        <v>0.54</v>
      </c>
      <c r="JQ158" s="480">
        <v>0.28999999999999998</v>
      </c>
      <c r="JR158" s="480">
        <v>0.57999999999999996</v>
      </c>
      <c r="JS158" s="480">
        <v>0.59</v>
      </c>
      <c r="JT158" s="480">
        <v>0.51</v>
      </c>
      <c r="JU158" s="480">
        <v>0.56000000000000005</v>
      </c>
      <c r="JV158" s="480">
        <v>0.61</v>
      </c>
      <c r="JW158" s="480">
        <v>0.54</v>
      </c>
      <c r="JX158" s="480">
        <v>0.42</v>
      </c>
      <c r="JY158" s="480">
        <v>0.44</v>
      </c>
      <c r="JZ158" s="480">
        <v>0.41</v>
      </c>
      <c r="KA158" s="480">
        <v>0.63</v>
      </c>
      <c r="KB158" s="480">
        <v>0.5</v>
      </c>
      <c r="KC158" s="480">
        <v>0.75</v>
      </c>
      <c r="KD158" s="480">
        <v>0.52</v>
      </c>
      <c r="KE158" s="480">
        <v>0.56000000000000005</v>
      </c>
      <c r="KF158" s="480">
        <v>0.6</v>
      </c>
      <c r="KG158" s="480">
        <v>0.6</v>
      </c>
    </row>
    <row r="159" spans="1:293" ht="24.95" customHeight="1" x14ac:dyDescent="0.2">
      <c r="A159" s="814" t="s">
        <v>195</v>
      </c>
      <c r="B159" s="1" t="s">
        <v>221</v>
      </c>
      <c r="C159" s="2">
        <v>5</v>
      </c>
      <c r="D159" s="12">
        <v>60</v>
      </c>
      <c r="E159" s="12">
        <v>5</v>
      </c>
      <c r="F159" s="66">
        <v>0</v>
      </c>
      <c r="G159" s="66">
        <v>0.2</v>
      </c>
      <c r="H159" s="66">
        <v>0.8</v>
      </c>
      <c r="I159" s="66">
        <v>0</v>
      </c>
      <c r="J159" s="66">
        <v>0.23</v>
      </c>
      <c r="K159" s="66">
        <v>0.18</v>
      </c>
      <c r="L159" s="66">
        <v>0.7</v>
      </c>
      <c r="M159" s="66">
        <v>0.05</v>
      </c>
      <c r="N159" s="66">
        <v>0.2</v>
      </c>
      <c r="O159" s="66">
        <v>0.68</v>
      </c>
      <c r="P159" s="66">
        <v>0.24</v>
      </c>
      <c r="Q159" s="66">
        <v>0.26</v>
      </c>
      <c r="R159" s="66">
        <v>0.51</v>
      </c>
      <c r="S159" s="66">
        <v>0.54</v>
      </c>
      <c r="T159" s="66">
        <v>0.35</v>
      </c>
      <c r="U159" s="66">
        <v>0.35</v>
      </c>
      <c r="V159" s="66">
        <v>0</v>
      </c>
      <c r="W159" s="66">
        <v>0</v>
      </c>
      <c r="X159" s="66">
        <v>0.35</v>
      </c>
      <c r="Y159" s="66">
        <v>0.39</v>
      </c>
      <c r="Z159" s="66">
        <v>1</v>
      </c>
      <c r="AA159" s="66">
        <v>0</v>
      </c>
      <c r="AB159" s="66">
        <v>0.28999999999999998</v>
      </c>
      <c r="AC159" s="66">
        <v>0.08</v>
      </c>
      <c r="AD159" s="66">
        <v>0.27</v>
      </c>
      <c r="AE159" s="66">
        <v>0.35</v>
      </c>
      <c r="AF159" s="66">
        <v>0.47</v>
      </c>
      <c r="AG159" s="66">
        <v>0.45</v>
      </c>
      <c r="AH159" s="12">
        <v>59</v>
      </c>
      <c r="AI159" s="12">
        <v>9</v>
      </c>
      <c r="AJ159" s="40">
        <v>0.12</v>
      </c>
      <c r="AK159" s="40">
        <v>0.12</v>
      </c>
      <c r="AL159" s="40">
        <v>0.76</v>
      </c>
      <c r="AM159" s="40">
        <v>0</v>
      </c>
      <c r="AN159" s="40">
        <v>0.05</v>
      </c>
      <c r="AO159" s="40">
        <v>0.41</v>
      </c>
      <c r="AP159" s="40">
        <v>0.24</v>
      </c>
      <c r="AQ159" s="40">
        <v>0.23</v>
      </c>
      <c r="AR159" s="40">
        <v>0.42</v>
      </c>
      <c r="AS159" s="40">
        <v>0.39</v>
      </c>
      <c r="AT159" s="40">
        <v>0.53</v>
      </c>
      <c r="AU159" s="40">
        <v>0.53</v>
      </c>
      <c r="AV159" s="40">
        <v>0.22</v>
      </c>
      <c r="AW159" s="40">
        <v>0.56999999999999995</v>
      </c>
      <c r="AX159" s="40">
        <v>0.17</v>
      </c>
      <c r="AY159" s="40">
        <v>0.22</v>
      </c>
      <c r="AZ159" s="40">
        <v>0.14000000000000001</v>
      </c>
      <c r="BA159" s="40">
        <v>0.28000000000000003</v>
      </c>
      <c r="BB159" s="40">
        <v>0.66</v>
      </c>
      <c r="BC159" s="40">
        <v>0.35</v>
      </c>
      <c r="BD159" s="40">
        <v>0.34</v>
      </c>
      <c r="BE159" s="40">
        <v>0.5</v>
      </c>
      <c r="BF159" s="40">
        <v>0.63</v>
      </c>
      <c r="BG159" s="40">
        <v>0.31</v>
      </c>
      <c r="BH159" s="40">
        <v>0.31</v>
      </c>
      <c r="BI159" s="40">
        <v>0.33</v>
      </c>
      <c r="BJ159" s="40">
        <v>0.43</v>
      </c>
      <c r="BK159" s="40">
        <v>0.25</v>
      </c>
      <c r="BL159" s="40">
        <v>0.44</v>
      </c>
      <c r="BM159" s="12">
        <v>63</v>
      </c>
      <c r="BN159" s="12">
        <v>11</v>
      </c>
      <c r="BO159" s="66">
        <v>0</v>
      </c>
      <c r="BP159" s="66">
        <v>0.26</v>
      </c>
      <c r="BQ159" s="66">
        <v>0.57999999999999996</v>
      </c>
      <c r="BR159" s="66">
        <v>0.16</v>
      </c>
      <c r="BS159" s="66">
        <v>0.16</v>
      </c>
      <c r="BT159" s="66">
        <v>0.27</v>
      </c>
      <c r="BU159" s="66">
        <v>0.27</v>
      </c>
      <c r="BV159" s="66">
        <v>0.18</v>
      </c>
      <c r="BW159" s="66">
        <v>0.5</v>
      </c>
      <c r="BX159" s="66">
        <v>0.16</v>
      </c>
      <c r="BY159" s="66">
        <v>0.17</v>
      </c>
      <c r="BZ159" s="66">
        <v>0.4</v>
      </c>
      <c r="CA159" s="66">
        <v>0.45</v>
      </c>
      <c r="CB159" s="66">
        <v>0.14000000000000001</v>
      </c>
      <c r="CC159" s="66">
        <v>0.13</v>
      </c>
      <c r="CD159" s="66">
        <v>0.22</v>
      </c>
      <c r="CE159" s="66">
        <v>0.15</v>
      </c>
      <c r="CF159" s="66">
        <v>0.53</v>
      </c>
      <c r="CG159" s="66">
        <v>0.41</v>
      </c>
      <c r="CH159" s="66">
        <v>0.27</v>
      </c>
      <c r="CI159" s="66">
        <v>0.35</v>
      </c>
      <c r="CJ159" s="66">
        <v>0.11</v>
      </c>
      <c r="CK159" s="66">
        <v>0.36</v>
      </c>
      <c r="CL159" s="66">
        <v>7.0000000000000007E-2</v>
      </c>
      <c r="CM159" s="66">
        <v>0.31</v>
      </c>
      <c r="CN159" s="66">
        <v>0.12</v>
      </c>
      <c r="CO159" s="66">
        <v>0.16</v>
      </c>
      <c r="CP159" s="66">
        <v>0.17</v>
      </c>
      <c r="CQ159" s="66">
        <v>0.31</v>
      </c>
      <c r="CR159" s="66">
        <v>0.23</v>
      </c>
      <c r="CS159" s="12">
        <v>59</v>
      </c>
      <c r="CT159" s="12">
        <v>8</v>
      </c>
      <c r="CU159" s="63">
        <v>0</v>
      </c>
      <c r="CV159" s="63">
        <v>0.33</v>
      </c>
      <c r="CW159" s="63">
        <v>0.54</v>
      </c>
      <c r="CX159" s="63">
        <v>0.13</v>
      </c>
      <c r="CY159" s="63">
        <v>0.42</v>
      </c>
      <c r="CZ159" s="63">
        <v>0.12</v>
      </c>
      <c r="DA159" s="63">
        <v>0.31</v>
      </c>
      <c r="DB159" s="63">
        <v>0.17</v>
      </c>
      <c r="DC159" s="63">
        <v>0.37</v>
      </c>
      <c r="DD159" s="63">
        <v>0.47</v>
      </c>
      <c r="DE159" s="63">
        <v>0.45</v>
      </c>
      <c r="DF159" s="63">
        <v>0.32</v>
      </c>
      <c r="DG159" s="63">
        <v>0.38</v>
      </c>
      <c r="DH159" s="63">
        <v>0.23</v>
      </c>
      <c r="DI159" s="63">
        <v>0.26</v>
      </c>
      <c r="DJ159" s="63">
        <v>0.22</v>
      </c>
      <c r="DK159" s="63">
        <v>0.25</v>
      </c>
      <c r="DL159" s="63">
        <v>0.13</v>
      </c>
      <c r="DM159" s="63">
        <v>0.27</v>
      </c>
      <c r="DN159" s="63">
        <v>0.38</v>
      </c>
      <c r="DO159" s="63">
        <v>0.48</v>
      </c>
      <c r="DP159" s="63">
        <v>0.2</v>
      </c>
      <c r="DQ159" s="63">
        <v>0.4</v>
      </c>
      <c r="DR159" s="63">
        <v>0.04</v>
      </c>
      <c r="DS159" s="63">
        <v>0.24</v>
      </c>
      <c r="DT159" s="63">
        <v>0.39</v>
      </c>
      <c r="DU159" s="63">
        <v>0.28999999999999998</v>
      </c>
      <c r="DV159" s="63">
        <v>0.56999999999999995</v>
      </c>
      <c r="DW159" s="63">
        <v>0.15</v>
      </c>
      <c r="DX159" s="35">
        <v>57</v>
      </c>
      <c r="DY159" s="35">
        <v>7</v>
      </c>
      <c r="DZ159" s="40">
        <v>0</v>
      </c>
      <c r="EA159" s="40">
        <v>0.34</v>
      </c>
      <c r="EB159" s="40">
        <v>0.63</v>
      </c>
      <c r="EC159" s="40">
        <v>0.03</v>
      </c>
      <c r="ED159" s="40">
        <v>0.39</v>
      </c>
      <c r="EE159" s="40">
        <v>0.36</v>
      </c>
      <c r="EF159" s="40">
        <v>0.33</v>
      </c>
      <c r="EG159" s="40">
        <v>0.17</v>
      </c>
      <c r="EH159" s="40">
        <v>0.28000000000000003</v>
      </c>
      <c r="EI159" s="40">
        <v>0.43</v>
      </c>
      <c r="EJ159" s="40">
        <v>0.42</v>
      </c>
      <c r="EK159" s="40">
        <v>0.21</v>
      </c>
      <c r="EL159" s="40">
        <v>0.31</v>
      </c>
      <c r="EM159" s="40">
        <v>0.74</v>
      </c>
      <c r="EN159" s="40">
        <v>0.26</v>
      </c>
      <c r="EO159" s="40">
        <v>0.45</v>
      </c>
      <c r="EP159" s="40">
        <v>0.22</v>
      </c>
      <c r="EQ159" s="40">
        <v>0.08</v>
      </c>
      <c r="ER159" s="40">
        <v>0.5</v>
      </c>
      <c r="ES159" s="40">
        <v>0.26</v>
      </c>
      <c r="ET159" s="40">
        <v>0.2</v>
      </c>
      <c r="EU159" s="40">
        <v>0.54</v>
      </c>
      <c r="EV159" s="40">
        <v>7.0000000000000007E-2</v>
      </c>
      <c r="EW159" s="40">
        <v>0.11</v>
      </c>
      <c r="EX159" s="40">
        <v>0.88</v>
      </c>
      <c r="EY159" s="40">
        <v>0.41</v>
      </c>
      <c r="EZ159" s="40">
        <v>0.13</v>
      </c>
      <c r="FA159" s="40">
        <v>0.34</v>
      </c>
      <c r="FB159" s="247">
        <v>59</v>
      </c>
      <c r="FC159" s="247" t="s">
        <v>875</v>
      </c>
      <c r="FD159" s="247">
        <v>8</v>
      </c>
      <c r="FE159" s="247" t="s">
        <v>874</v>
      </c>
      <c r="FF159" s="264">
        <v>0</v>
      </c>
      <c r="FG159" s="264">
        <v>0.27</v>
      </c>
      <c r="FH159" s="264">
        <v>0.65</v>
      </c>
      <c r="FI159" s="264">
        <v>0.08</v>
      </c>
      <c r="FJ159" s="264">
        <v>0.26</v>
      </c>
      <c r="FK159" s="264">
        <v>0.52</v>
      </c>
      <c r="FL159" s="264">
        <v>0.32</v>
      </c>
      <c r="FM159" s="264">
        <v>0.15</v>
      </c>
      <c r="FN159" s="264">
        <v>0.14000000000000001</v>
      </c>
      <c r="FO159" s="264">
        <v>0.11</v>
      </c>
      <c r="FP159" s="264">
        <v>0.21</v>
      </c>
      <c r="FQ159" s="264">
        <v>0.23</v>
      </c>
      <c r="FR159" s="264">
        <v>0.4</v>
      </c>
      <c r="FS159" s="264">
        <v>0.31</v>
      </c>
      <c r="FT159" s="264">
        <v>0.31</v>
      </c>
      <c r="FU159" s="264">
        <v>0.24</v>
      </c>
      <c r="FV159" s="264">
        <v>0.38</v>
      </c>
      <c r="FW159" s="264">
        <v>0.35</v>
      </c>
      <c r="FX159" s="264">
        <v>0.26</v>
      </c>
      <c r="FY159" s="264">
        <v>0.24</v>
      </c>
      <c r="FZ159" s="264">
        <v>0.26</v>
      </c>
      <c r="GA159" s="264">
        <v>0.38</v>
      </c>
      <c r="GB159" s="264">
        <v>0.37</v>
      </c>
      <c r="GC159" s="264">
        <v>0.36</v>
      </c>
      <c r="GD159" s="264">
        <v>0.37</v>
      </c>
      <c r="GE159" s="264">
        <v>0.35</v>
      </c>
      <c r="GF159" s="264">
        <v>0.35</v>
      </c>
      <c r="GG159" s="264">
        <v>0.21</v>
      </c>
      <c r="GH159" s="264">
        <v>0.32</v>
      </c>
      <c r="GI159" s="264">
        <v>0.13</v>
      </c>
      <c r="GJ159" s="311">
        <v>57</v>
      </c>
      <c r="GK159" s="311" t="s">
        <v>874</v>
      </c>
      <c r="GL159" s="311">
        <v>10</v>
      </c>
      <c r="GM159" s="311" t="s">
        <v>874</v>
      </c>
      <c r="GN159" s="329">
        <v>0.09</v>
      </c>
      <c r="GO159" s="329">
        <v>0.32</v>
      </c>
      <c r="GP159" s="329">
        <v>0.55000000000000004</v>
      </c>
      <c r="GQ159" s="329">
        <v>0.05</v>
      </c>
      <c r="GR159" s="329">
        <v>0.42</v>
      </c>
      <c r="GS159" s="329">
        <v>0.37</v>
      </c>
      <c r="GT159" s="329">
        <v>0.49</v>
      </c>
      <c r="GU159" s="329">
        <v>0.15</v>
      </c>
      <c r="GV159" s="329">
        <v>0.56999999999999995</v>
      </c>
      <c r="GW159" s="329">
        <v>0.26</v>
      </c>
      <c r="GX159" s="329">
        <v>0.46</v>
      </c>
      <c r="GY159" s="311" t="s">
        <v>283</v>
      </c>
      <c r="GZ159" s="329">
        <v>0.14000000000000001</v>
      </c>
      <c r="HA159" s="329">
        <v>0.75</v>
      </c>
      <c r="HB159" s="329">
        <v>0.35</v>
      </c>
      <c r="HC159" s="329">
        <v>0.41</v>
      </c>
      <c r="HD159" s="329">
        <v>0.39</v>
      </c>
      <c r="HE159" s="329">
        <v>0.33</v>
      </c>
      <c r="HF159" s="329">
        <v>0.32</v>
      </c>
      <c r="HG159" s="329">
        <v>0.56999999999999995</v>
      </c>
      <c r="HH159" s="329">
        <v>0.28000000000000003</v>
      </c>
      <c r="HI159" s="329">
        <v>0.27</v>
      </c>
      <c r="HJ159" s="329">
        <v>0.51</v>
      </c>
      <c r="HK159" s="329">
        <v>0.53</v>
      </c>
      <c r="HL159" s="329">
        <v>0.26</v>
      </c>
      <c r="HM159" s="329">
        <v>0.54</v>
      </c>
      <c r="HN159" s="329">
        <v>0.28999999999999998</v>
      </c>
      <c r="HO159" s="329">
        <v>0.4</v>
      </c>
      <c r="HP159" s="311" t="s">
        <v>283</v>
      </c>
      <c r="HQ159" s="329">
        <v>0.17</v>
      </c>
      <c r="HR159" s="426">
        <v>62</v>
      </c>
      <c r="HS159" s="426" t="s">
        <v>875</v>
      </c>
      <c r="HT159" s="426">
        <v>6</v>
      </c>
      <c r="HU159" s="426" t="s">
        <v>874</v>
      </c>
      <c r="HV159" s="430">
        <v>0</v>
      </c>
      <c r="HW159" s="430">
        <v>0.12</v>
      </c>
      <c r="HX159" s="430">
        <v>0.76</v>
      </c>
      <c r="HY159" s="430">
        <v>0.12</v>
      </c>
      <c r="HZ159" s="430">
        <v>0.26</v>
      </c>
      <c r="IA159" s="430">
        <v>0.28999999999999998</v>
      </c>
      <c r="IB159" s="430">
        <v>0.25</v>
      </c>
      <c r="IC159" s="430">
        <v>0.34</v>
      </c>
      <c r="ID159" s="430">
        <v>0.45</v>
      </c>
      <c r="IE159" s="430">
        <v>0.11</v>
      </c>
      <c r="IF159" s="430">
        <v>0.2</v>
      </c>
      <c r="IG159" s="430">
        <v>0.26</v>
      </c>
      <c r="IH159" s="430">
        <v>0.37</v>
      </c>
      <c r="II159" s="430">
        <v>0</v>
      </c>
      <c r="IJ159" s="430">
        <v>0.05</v>
      </c>
      <c r="IK159" s="430">
        <v>0.37</v>
      </c>
      <c r="IL159" s="430">
        <v>0.22</v>
      </c>
      <c r="IM159" s="430">
        <v>0.49</v>
      </c>
      <c r="IN159" s="430">
        <v>0.24</v>
      </c>
      <c r="IO159" s="430">
        <v>0.48</v>
      </c>
      <c r="IP159" s="430">
        <v>0.26</v>
      </c>
      <c r="IQ159" s="430">
        <v>0.57999999999999996</v>
      </c>
      <c r="IR159" s="430">
        <v>0.35</v>
      </c>
      <c r="IS159" s="430">
        <v>0.12</v>
      </c>
      <c r="IT159" s="430">
        <v>0.26</v>
      </c>
      <c r="IU159" s="426" t="s">
        <v>283</v>
      </c>
      <c r="IV159" s="430">
        <v>0.45</v>
      </c>
      <c r="IW159" s="430">
        <v>0.18</v>
      </c>
      <c r="IX159" s="430">
        <v>0.19</v>
      </c>
      <c r="IY159" s="430">
        <v>0.26</v>
      </c>
      <c r="IZ159" s="466">
        <v>62</v>
      </c>
      <c r="JA159" s="466" t="s">
        <v>875</v>
      </c>
      <c r="JB159" s="466">
        <v>8</v>
      </c>
      <c r="JC159" s="466" t="s">
        <v>874</v>
      </c>
      <c r="JD159" s="480">
        <v>0</v>
      </c>
      <c r="JE159" s="480">
        <v>0.21</v>
      </c>
      <c r="JF159" s="480">
        <v>0.57999999999999996</v>
      </c>
      <c r="JG159" s="480">
        <v>0.21</v>
      </c>
      <c r="JH159" s="480">
        <v>0.21</v>
      </c>
      <c r="JI159" s="480">
        <v>0.34</v>
      </c>
      <c r="JJ159" s="480">
        <v>0.2</v>
      </c>
      <c r="JK159" s="480">
        <v>0.3</v>
      </c>
      <c r="JL159" s="480">
        <v>0.43</v>
      </c>
      <c r="JM159" s="480">
        <v>0.28000000000000003</v>
      </c>
      <c r="JN159" s="480">
        <v>0.14000000000000001</v>
      </c>
      <c r="JO159" s="480">
        <v>0.27</v>
      </c>
      <c r="JP159" s="480">
        <v>0.41</v>
      </c>
      <c r="JQ159" s="480">
        <v>0.13</v>
      </c>
      <c r="JR159" s="480">
        <v>0.27</v>
      </c>
      <c r="JS159" s="480">
        <v>0.38</v>
      </c>
      <c r="JT159" s="480">
        <v>0.31</v>
      </c>
      <c r="JU159" s="480">
        <v>0.26</v>
      </c>
      <c r="JV159" s="480">
        <v>0.25</v>
      </c>
      <c r="JW159" s="480">
        <v>0.26</v>
      </c>
      <c r="JX159" s="480">
        <v>0.18</v>
      </c>
      <c r="JY159" s="480">
        <v>0.36</v>
      </c>
      <c r="JZ159" s="480">
        <v>0.25</v>
      </c>
      <c r="KA159" s="480">
        <v>0.35</v>
      </c>
      <c r="KB159" s="480">
        <v>0.15</v>
      </c>
      <c r="KC159" s="480">
        <v>0.4</v>
      </c>
      <c r="KD159" s="480">
        <v>0.21</v>
      </c>
      <c r="KE159" s="480">
        <v>0.28000000000000003</v>
      </c>
      <c r="KF159" s="480">
        <v>0.23</v>
      </c>
      <c r="KG159" s="480">
        <v>0.23</v>
      </c>
    </row>
    <row r="160" spans="1:293" ht="24.95" customHeight="1" x14ac:dyDescent="0.2">
      <c r="A160" s="814" t="s">
        <v>19</v>
      </c>
      <c r="B160" s="1" t="s">
        <v>221</v>
      </c>
      <c r="C160" s="2">
        <v>5</v>
      </c>
      <c r="D160" s="12">
        <v>59</v>
      </c>
      <c r="E160" s="12">
        <v>7</v>
      </c>
      <c r="F160" s="66">
        <v>0</v>
      </c>
      <c r="G160" s="66">
        <v>0.32</v>
      </c>
      <c r="H160" s="66">
        <v>0.65</v>
      </c>
      <c r="I160" s="66">
        <v>0.03</v>
      </c>
      <c r="J160" s="66">
        <v>0.22</v>
      </c>
      <c r="K160" s="66">
        <v>0.18</v>
      </c>
      <c r="L160" s="66">
        <v>0.56999999999999995</v>
      </c>
      <c r="M160" s="66">
        <v>0.08</v>
      </c>
      <c r="N160" s="66">
        <v>0.18</v>
      </c>
      <c r="O160" s="66">
        <v>0.5</v>
      </c>
      <c r="P160" s="66">
        <v>0.24</v>
      </c>
      <c r="Q160" s="66">
        <v>0.23</v>
      </c>
      <c r="R160" s="66">
        <v>0.43</v>
      </c>
      <c r="S160" s="66">
        <v>0.48</v>
      </c>
      <c r="T160" s="66">
        <v>0.42</v>
      </c>
      <c r="U160" s="66">
        <v>0.36</v>
      </c>
      <c r="V160" s="66">
        <v>0</v>
      </c>
      <c r="W160" s="66">
        <v>0.1</v>
      </c>
      <c r="X160" s="66">
        <v>0.34</v>
      </c>
      <c r="Y160" s="66">
        <v>0.39</v>
      </c>
      <c r="Z160" s="66">
        <v>1</v>
      </c>
      <c r="AA160" s="66">
        <v>0.03</v>
      </c>
      <c r="AB160" s="66">
        <v>0.41</v>
      </c>
      <c r="AC160" s="66">
        <v>0.13</v>
      </c>
      <c r="AD160" s="66">
        <v>0.3</v>
      </c>
      <c r="AE160" s="66">
        <v>0.28999999999999998</v>
      </c>
      <c r="AF160" s="66">
        <v>0.49</v>
      </c>
      <c r="AG160" s="66">
        <v>0.38</v>
      </c>
      <c r="AH160" s="12">
        <v>59</v>
      </c>
      <c r="AI160" s="12">
        <v>7</v>
      </c>
      <c r="AJ160" s="40">
        <v>0.02</v>
      </c>
      <c r="AK160" s="40">
        <v>0.28999999999999998</v>
      </c>
      <c r="AL160" s="40">
        <v>0.66</v>
      </c>
      <c r="AM160" s="40">
        <v>0.03</v>
      </c>
      <c r="AN160" s="40">
        <v>0.17</v>
      </c>
      <c r="AO160" s="40">
        <v>0.34</v>
      </c>
      <c r="AP160" s="40">
        <v>0.41</v>
      </c>
      <c r="AQ160" s="40">
        <v>0.19</v>
      </c>
      <c r="AR160" s="40">
        <v>0.45</v>
      </c>
      <c r="AS160" s="40">
        <v>0.39</v>
      </c>
      <c r="AT160" s="40">
        <v>0.4</v>
      </c>
      <c r="AU160" s="40">
        <v>0.28000000000000003</v>
      </c>
      <c r="AV160" s="40">
        <v>0.47</v>
      </c>
      <c r="AW160" s="40">
        <v>0.23</v>
      </c>
      <c r="AX160" s="40">
        <v>0.36</v>
      </c>
      <c r="AY160" s="40">
        <v>0.19</v>
      </c>
      <c r="AZ160" s="40">
        <v>0.14000000000000001</v>
      </c>
      <c r="BA160" s="40">
        <v>0.35</v>
      </c>
      <c r="BB160" s="40">
        <v>0.53</v>
      </c>
      <c r="BC160" s="40">
        <v>0.52</v>
      </c>
      <c r="BD160" s="40">
        <v>0.32</v>
      </c>
      <c r="BE160" s="40">
        <v>0.56999999999999995</v>
      </c>
      <c r="BF160" s="40">
        <v>0.6</v>
      </c>
      <c r="BG160" s="40">
        <v>0.36</v>
      </c>
      <c r="BH160" s="40">
        <v>0.34</v>
      </c>
      <c r="BI160" s="40">
        <v>0.32</v>
      </c>
      <c r="BJ160" s="40">
        <v>0.24</v>
      </c>
      <c r="BK160" s="40">
        <v>0.34</v>
      </c>
      <c r="BL160" s="40">
        <v>0.52</v>
      </c>
      <c r="BM160" s="12">
        <v>57</v>
      </c>
      <c r="BN160" s="12">
        <v>7</v>
      </c>
      <c r="BO160" s="66">
        <v>0.03</v>
      </c>
      <c r="BP160" s="66">
        <v>0.33</v>
      </c>
      <c r="BQ160" s="66">
        <v>0.61</v>
      </c>
      <c r="BR160" s="66">
        <v>0.03</v>
      </c>
      <c r="BS160" s="66">
        <v>0.18</v>
      </c>
      <c r="BT160" s="66">
        <v>0.56999999999999995</v>
      </c>
      <c r="BU160" s="66">
        <v>0.63</v>
      </c>
      <c r="BV160" s="66">
        <v>0.11</v>
      </c>
      <c r="BW160" s="66">
        <v>0.56999999999999995</v>
      </c>
      <c r="BX160" s="66">
        <v>0.22</v>
      </c>
      <c r="BY160" s="66">
        <v>0.31</v>
      </c>
      <c r="BZ160" s="66">
        <v>0.48</v>
      </c>
      <c r="CA160" s="66">
        <v>0.36</v>
      </c>
      <c r="CB160" s="66">
        <v>0.2</v>
      </c>
      <c r="CC160" s="66">
        <v>0.11</v>
      </c>
      <c r="CD160" s="66">
        <v>0.3</v>
      </c>
      <c r="CE160" s="66">
        <v>0.13</v>
      </c>
      <c r="CF160" s="66">
        <v>0.52</v>
      </c>
      <c r="CG160" s="66">
        <v>0.39</v>
      </c>
      <c r="CH160" s="66">
        <v>0.34</v>
      </c>
      <c r="CI160" s="66">
        <v>0.49</v>
      </c>
      <c r="CJ160" s="66">
        <v>0.23</v>
      </c>
      <c r="CK160" s="66">
        <v>0.49</v>
      </c>
      <c r="CL160" s="66">
        <v>0.19</v>
      </c>
      <c r="CM160" s="66">
        <v>0.28000000000000003</v>
      </c>
      <c r="CN160" s="66">
        <v>0.27</v>
      </c>
      <c r="CO160" s="66">
        <v>0.39</v>
      </c>
      <c r="CP160" s="66">
        <v>0.25</v>
      </c>
      <c r="CQ160" s="66">
        <v>0.43</v>
      </c>
      <c r="CR160" s="66">
        <v>0.34</v>
      </c>
      <c r="CS160" s="12">
        <v>55</v>
      </c>
      <c r="CT160" s="12">
        <v>7</v>
      </c>
      <c r="CU160" s="63">
        <v>0.02</v>
      </c>
      <c r="CV160" s="63">
        <v>0.45</v>
      </c>
      <c r="CW160" s="63">
        <v>0.5</v>
      </c>
      <c r="CX160" s="63">
        <v>0.04</v>
      </c>
      <c r="CY160" s="63">
        <v>0.39</v>
      </c>
      <c r="CZ160" s="63">
        <v>0.17</v>
      </c>
      <c r="DA160" s="63">
        <v>0.52</v>
      </c>
      <c r="DB160" s="63">
        <v>0.3</v>
      </c>
      <c r="DC160" s="63">
        <v>0.33</v>
      </c>
      <c r="DD160" s="63">
        <v>0.69</v>
      </c>
      <c r="DE160" s="63">
        <v>0.39</v>
      </c>
      <c r="DF160" s="63">
        <v>0.43</v>
      </c>
      <c r="DG160" s="63">
        <v>0.3</v>
      </c>
      <c r="DH160" s="63">
        <v>0.21</v>
      </c>
      <c r="DI160" s="63">
        <v>0.41</v>
      </c>
      <c r="DJ160" s="63">
        <v>0.32</v>
      </c>
      <c r="DK160" s="63">
        <v>0.23</v>
      </c>
      <c r="DL160" s="63">
        <v>0.16</v>
      </c>
      <c r="DM160" s="63">
        <v>0.45</v>
      </c>
      <c r="DN160" s="63">
        <v>0.38</v>
      </c>
      <c r="DO160" s="63">
        <v>0.26</v>
      </c>
      <c r="DP160" s="63">
        <v>0.39</v>
      </c>
      <c r="DQ160" s="63">
        <v>0.51</v>
      </c>
      <c r="DR160" s="63">
        <v>0.1</v>
      </c>
      <c r="DS160" s="63">
        <v>0.34</v>
      </c>
      <c r="DT160" s="63">
        <v>0.47</v>
      </c>
      <c r="DU160" s="63">
        <v>0.36</v>
      </c>
      <c r="DV160" s="63">
        <v>0.5</v>
      </c>
      <c r="DW160" s="63">
        <v>0.31</v>
      </c>
      <c r="DX160" s="35">
        <v>55</v>
      </c>
      <c r="DY160" s="35">
        <v>8</v>
      </c>
      <c r="DZ160" s="40">
        <v>0.09</v>
      </c>
      <c r="EA160" s="40">
        <v>0.43</v>
      </c>
      <c r="EB160" s="40">
        <v>0.47</v>
      </c>
      <c r="EC160" s="40">
        <v>0.01</v>
      </c>
      <c r="ED160" s="40">
        <v>0.43</v>
      </c>
      <c r="EE160" s="40">
        <v>0.41</v>
      </c>
      <c r="EF160" s="40">
        <v>0.46</v>
      </c>
      <c r="EG160" s="40">
        <v>0.41</v>
      </c>
      <c r="EH160" s="40">
        <v>0.36</v>
      </c>
      <c r="EI160" s="40">
        <v>0.43</v>
      </c>
      <c r="EJ160" s="40">
        <v>0.55000000000000004</v>
      </c>
      <c r="EK160" s="40">
        <v>0.24</v>
      </c>
      <c r="EL160" s="40">
        <v>0.35</v>
      </c>
      <c r="EM160" s="40">
        <v>0.61</v>
      </c>
      <c r="EN160" s="40">
        <v>0.27</v>
      </c>
      <c r="EO160" s="40">
        <v>0.53</v>
      </c>
      <c r="EP160" s="40">
        <v>0.22</v>
      </c>
      <c r="EQ160" s="40">
        <v>0.13</v>
      </c>
      <c r="ER160" s="40">
        <v>0.53</v>
      </c>
      <c r="ES160" s="40">
        <v>0.33</v>
      </c>
      <c r="ET160" s="40">
        <v>0.26</v>
      </c>
      <c r="EU160" s="40">
        <v>0.51</v>
      </c>
      <c r="EV160" s="40">
        <v>0.39</v>
      </c>
      <c r="EW160" s="40">
        <v>0.2</v>
      </c>
      <c r="EX160" s="40">
        <v>0.59</v>
      </c>
      <c r="EY160" s="40">
        <v>0.45</v>
      </c>
      <c r="EZ160" s="40">
        <v>0.17</v>
      </c>
      <c r="FA160" s="40">
        <v>0.44</v>
      </c>
      <c r="FB160" s="247">
        <v>56</v>
      </c>
      <c r="FC160" s="247" t="s">
        <v>874</v>
      </c>
      <c r="FD160" s="247">
        <v>9</v>
      </c>
      <c r="FE160" s="247" t="s">
        <v>874</v>
      </c>
      <c r="FF160" s="264">
        <v>0.02</v>
      </c>
      <c r="FG160" s="264">
        <v>0.52</v>
      </c>
      <c r="FH160" s="264">
        <v>0.41</v>
      </c>
      <c r="FI160" s="264">
        <v>0.06</v>
      </c>
      <c r="FJ160" s="264">
        <v>0.36</v>
      </c>
      <c r="FK160" s="264">
        <v>0.54</v>
      </c>
      <c r="FL160" s="264">
        <v>0.38</v>
      </c>
      <c r="FM160" s="264">
        <v>0.32</v>
      </c>
      <c r="FN160" s="264">
        <v>0.1</v>
      </c>
      <c r="FO160" s="264">
        <v>0.22</v>
      </c>
      <c r="FP160" s="264">
        <v>0.28000000000000003</v>
      </c>
      <c r="FQ160" s="264">
        <v>0.33</v>
      </c>
      <c r="FR160" s="264">
        <v>0.46</v>
      </c>
      <c r="FS160" s="264">
        <v>0.36</v>
      </c>
      <c r="FT160" s="264">
        <v>0.4</v>
      </c>
      <c r="FU160" s="264">
        <v>0.35</v>
      </c>
      <c r="FV160" s="264">
        <v>0.48</v>
      </c>
      <c r="FW160" s="264">
        <v>0.44</v>
      </c>
      <c r="FX160" s="264">
        <v>0.25</v>
      </c>
      <c r="FY160" s="264">
        <v>0.28999999999999998</v>
      </c>
      <c r="FZ160" s="264">
        <v>0.36</v>
      </c>
      <c r="GA160" s="264">
        <v>0.54</v>
      </c>
      <c r="GB160" s="264">
        <v>0.37</v>
      </c>
      <c r="GC160" s="264">
        <v>0.35</v>
      </c>
      <c r="GD160" s="264">
        <v>0.42</v>
      </c>
      <c r="GE160" s="264">
        <v>0.35</v>
      </c>
      <c r="GF160" s="264">
        <v>0.28999999999999998</v>
      </c>
      <c r="GG160" s="264">
        <v>0.3</v>
      </c>
      <c r="GH160" s="264">
        <v>0.43</v>
      </c>
      <c r="GI160" s="264">
        <v>0.28999999999999998</v>
      </c>
      <c r="GJ160" s="311">
        <v>54</v>
      </c>
      <c r="GK160" s="311" t="s">
        <v>874</v>
      </c>
      <c r="GL160" s="311">
        <v>9</v>
      </c>
      <c r="GM160" s="311" t="s">
        <v>874</v>
      </c>
      <c r="GN160" s="329">
        <v>0.05</v>
      </c>
      <c r="GO160" s="329">
        <v>0.51</v>
      </c>
      <c r="GP160" s="329">
        <v>0.4</v>
      </c>
      <c r="GQ160" s="329">
        <v>0.04</v>
      </c>
      <c r="GR160" s="329">
        <v>0.51</v>
      </c>
      <c r="GS160" s="329">
        <v>0.4</v>
      </c>
      <c r="GT160" s="329">
        <v>0.46</v>
      </c>
      <c r="GU160" s="329">
        <v>0.16</v>
      </c>
      <c r="GV160" s="329">
        <v>0.44</v>
      </c>
      <c r="GW160" s="329">
        <v>0.4</v>
      </c>
      <c r="GX160" s="329">
        <v>0.4</v>
      </c>
      <c r="GY160" s="311" t="s">
        <v>283</v>
      </c>
      <c r="GZ160" s="329">
        <v>0.21</v>
      </c>
      <c r="HA160" s="329">
        <v>0.76</v>
      </c>
      <c r="HB160" s="329">
        <v>0.46</v>
      </c>
      <c r="HC160" s="329">
        <v>0.53</v>
      </c>
      <c r="HD160" s="329">
        <v>0.49</v>
      </c>
      <c r="HE160" s="329">
        <v>0.38</v>
      </c>
      <c r="HF160" s="329">
        <v>0.43</v>
      </c>
      <c r="HG160" s="329">
        <v>0.6</v>
      </c>
      <c r="HH160" s="329">
        <v>0.38</v>
      </c>
      <c r="HI160" s="329">
        <v>0.44</v>
      </c>
      <c r="HJ160" s="329">
        <v>0.49</v>
      </c>
      <c r="HK160" s="329">
        <v>0.44</v>
      </c>
      <c r="HL160" s="329">
        <v>0.38</v>
      </c>
      <c r="HM160" s="329">
        <v>0.4</v>
      </c>
      <c r="HN160" s="329">
        <v>0.44</v>
      </c>
      <c r="HO160" s="329">
        <v>0.35</v>
      </c>
      <c r="HP160" s="311" t="s">
        <v>283</v>
      </c>
      <c r="HQ160" s="329">
        <v>0.3</v>
      </c>
      <c r="HR160" s="426">
        <v>56</v>
      </c>
      <c r="HS160" s="426" t="s">
        <v>874</v>
      </c>
      <c r="HT160" s="426">
        <v>8</v>
      </c>
      <c r="HU160" s="426" t="s">
        <v>874</v>
      </c>
      <c r="HV160" s="430">
        <v>0.02</v>
      </c>
      <c r="HW160" s="430">
        <v>0.43</v>
      </c>
      <c r="HX160" s="430">
        <v>0.52</v>
      </c>
      <c r="HY160" s="430">
        <v>0.02</v>
      </c>
      <c r="HZ160" s="430">
        <v>0.28999999999999998</v>
      </c>
      <c r="IA160" s="430">
        <v>0.46</v>
      </c>
      <c r="IB160" s="430">
        <v>0.32</v>
      </c>
      <c r="IC160" s="430">
        <v>0.42</v>
      </c>
      <c r="ID160" s="430">
        <v>0.61</v>
      </c>
      <c r="IE160" s="430">
        <v>0.17</v>
      </c>
      <c r="IF160" s="430">
        <v>0.35</v>
      </c>
      <c r="IG160" s="430">
        <v>0.46</v>
      </c>
      <c r="IH160" s="430">
        <v>0.36</v>
      </c>
      <c r="II160" s="430">
        <v>0.27</v>
      </c>
      <c r="IJ160" s="430">
        <v>0.19</v>
      </c>
      <c r="IK160" s="430">
        <v>0.52</v>
      </c>
      <c r="IL160" s="430">
        <v>0.25</v>
      </c>
      <c r="IM160" s="430">
        <v>0.46</v>
      </c>
      <c r="IN160" s="430">
        <v>0.28999999999999998</v>
      </c>
      <c r="IO160" s="430">
        <v>0.42</v>
      </c>
      <c r="IP160" s="430">
        <v>0.36</v>
      </c>
      <c r="IQ160" s="430">
        <v>0.56000000000000005</v>
      </c>
      <c r="IR160" s="430">
        <v>0.46</v>
      </c>
      <c r="IS160" s="430">
        <v>0.51</v>
      </c>
      <c r="IT160" s="430">
        <v>0.28000000000000003</v>
      </c>
      <c r="IU160" s="426" t="s">
        <v>283</v>
      </c>
      <c r="IV160" s="430">
        <v>0.53</v>
      </c>
      <c r="IW160" s="430">
        <v>0.34</v>
      </c>
      <c r="IX160" s="430">
        <v>0.5</v>
      </c>
      <c r="IY160" s="430">
        <v>0.35</v>
      </c>
      <c r="IZ160" s="466">
        <v>55</v>
      </c>
      <c r="JA160" s="466" t="s">
        <v>874</v>
      </c>
      <c r="JB160" s="466">
        <v>9</v>
      </c>
      <c r="JC160" s="466" t="s">
        <v>874</v>
      </c>
      <c r="JD160" s="480">
        <v>0.05</v>
      </c>
      <c r="JE160" s="480">
        <v>0.42</v>
      </c>
      <c r="JF160" s="480">
        <v>0.5</v>
      </c>
      <c r="JG160" s="480">
        <v>0.03</v>
      </c>
      <c r="JH160" s="480">
        <v>0.43</v>
      </c>
      <c r="JI160" s="480">
        <v>0.41</v>
      </c>
      <c r="JJ160" s="480">
        <v>0.36</v>
      </c>
      <c r="JK160" s="480">
        <v>0.42</v>
      </c>
      <c r="JL160" s="480">
        <v>0.4</v>
      </c>
      <c r="JM160" s="480">
        <v>0.43</v>
      </c>
      <c r="JN160" s="480">
        <v>0.31</v>
      </c>
      <c r="JO160" s="480">
        <v>0.42</v>
      </c>
      <c r="JP160" s="480">
        <v>0.44</v>
      </c>
      <c r="JQ160" s="480">
        <v>0.21</v>
      </c>
      <c r="JR160" s="480">
        <v>0.52</v>
      </c>
      <c r="JS160" s="480">
        <v>0.37</v>
      </c>
      <c r="JT160" s="480">
        <v>0.41</v>
      </c>
      <c r="JU160" s="480">
        <v>0.43</v>
      </c>
      <c r="JV160" s="480">
        <v>0.4</v>
      </c>
      <c r="JW160" s="480">
        <v>0.45</v>
      </c>
      <c r="JX160" s="480">
        <v>0.43</v>
      </c>
      <c r="JY160" s="480">
        <v>0.36</v>
      </c>
      <c r="JZ160" s="480">
        <v>0.39</v>
      </c>
      <c r="KA160" s="480">
        <v>0.5</v>
      </c>
      <c r="KB160" s="480">
        <v>0.41</v>
      </c>
      <c r="KC160" s="480">
        <v>0.64</v>
      </c>
      <c r="KD160" s="480">
        <v>0.26</v>
      </c>
      <c r="KE160" s="480">
        <v>0.51</v>
      </c>
      <c r="KF160" s="480">
        <v>0.39</v>
      </c>
      <c r="KG160" s="480">
        <v>0.45</v>
      </c>
    </row>
    <row r="161" spans="1:293" ht="24.95" customHeight="1" x14ac:dyDescent="0.2">
      <c r="A161" s="814" t="s">
        <v>118</v>
      </c>
      <c r="B161" s="1" t="s">
        <v>221</v>
      </c>
      <c r="C161" s="2">
        <v>3</v>
      </c>
      <c r="D161" s="12">
        <v>56</v>
      </c>
      <c r="E161" s="12">
        <v>7</v>
      </c>
      <c r="F161" s="66">
        <v>0.03</v>
      </c>
      <c r="G161" s="66">
        <v>0.47</v>
      </c>
      <c r="H161" s="66">
        <v>0.5</v>
      </c>
      <c r="I161" s="66">
        <v>0</v>
      </c>
      <c r="J161" s="66">
        <v>0.25</v>
      </c>
      <c r="K161" s="66">
        <v>0.38</v>
      </c>
      <c r="L161" s="66">
        <v>0.76</v>
      </c>
      <c r="M161" s="66">
        <v>0.21</v>
      </c>
      <c r="N161" s="66">
        <v>0.26</v>
      </c>
      <c r="O161" s="66">
        <v>0.74</v>
      </c>
      <c r="P161" s="66">
        <v>0.34</v>
      </c>
      <c r="Q161" s="66">
        <v>0.35</v>
      </c>
      <c r="R161" s="66">
        <v>0.49</v>
      </c>
      <c r="S161" s="66">
        <v>0.52</v>
      </c>
      <c r="T161" s="66">
        <v>0.38</v>
      </c>
      <c r="U161" s="66">
        <v>0.4</v>
      </c>
      <c r="V161" s="66">
        <v>7.0000000000000007E-2</v>
      </c>
      <c r="W161" s="66">
        <v>0.14000000000000001</v>
      </c>
      <c r="X161" s="66">
        <v>0.49</v>
      </c>
      <c r="Y161" s="66">
        <v>0.5</v>
      </c>
      <c r="Z161" s="12" t="s">
        <v>283</v>
      </c>
      <c r="AA161" s="66">
        <v>7.0000000000000007E-2</v>
      </c>
      <c r="AB161" s="66">
        <v>0.41</v>
      </c>
      <c r="AC161" s="66">
        <v>0.25</v>
      </c>
      <c r="AD161" s="66">
        <v>0.47</v>
      </c>
      <c r="AE161" s="66">
        <v>0.49</v>
      </c>
      <c r="AF161" s="66">
        <v>0.43</v>
      </c>
      <c r="AG161" s="66">
        <v>0.5</v>
      </c>
      <c r="AH161" s="12">
        <v>52</v>
      </c>
      <c r="AI161" s="12">
        <v>6</v>
      </c>
      <c r="AJ161" s="40">
        <v>0</v>
      </c>
      <c r="AK161" s="40">
        <v>0.71</v>
      </c>
      <c r="AL161" s="40">
        <v>0.28999999999999998</v>
      </c>
      <c r="AM161" s="40">
        <v>0</v>
      </c>
      <c r="AN161" s="40">
        <v>0.14000000000000001</v>
      </c>
      <c r="AO161" s="40">
        <v>0.49</v>
      </c>
      <c r="AP161" s="40">
        <v>0.64</v>
      </c>
      <c r="AQ161" s="40">
        <v>0.38</v>
      </c>
      <c r="AR161" s="40">
        <v>0.62</v>
      </c>
      <c r="AS161" s="40">
        <v>0.57999999999999996</v>
      </c>
      <c r="AT161" s="40">
        <v>0.48</v>
      </c>
      <c r="AU161" s="40">
        <v>0.46</v>
      </c>
      <c r="AV161" s="40">
        <v>0.57999999999999996</v>
      </c>
      <c r="AW161" s="40">
        <v>0.42</v>
      </c>
      <c r="AX161" s="40">
        <v>0.73</v>
      </c>
      <c r="AY161" s="40">
        <v>0.28999999999999998</v>
      </c>
      <c r="AZ161" s="40">
        <v>0.3</v>
      </c>
      <c r="BA161" s="40">
        <v>0.48</v>
      </c>
      <c r="BB161" s="40">
        <v>0.79</v>
      </c>
      <c r="BC161" s="40">
        <v>0.75</v>
      </c>
      <c r="BD161" s="40">
        <v>0.37</v>
      </c>
      <c r="BE161" s="40">
        <v>0.54</v>
      </c>
      <c r="BF161" s="40">
        <v>0.57999999999999996</v>
      </c>
      <c r="BG161" s="40">
        <v>0.37</v>
      </c>
      <c r="BH161" s="40">
        <v>0.41</v>
      </c>
      <c r="BI161" s="40">
        <v>0.31</v>
      </c>
      <c r="BJ161" s="40">
        <v>0.31</v>
      </c>
      <c r="BK161" s="40">
        <v>0.47</v>
      </c>
      <c r="BL161" s="40">
        <v>0.53</v>
      </c>
      <c r="BM161" s="12">
        <v>51</v>
      </c>
      <c r="BN161" s="12">
        <v>6</v>
      </c>
      <c r="BO161" s="66">
        <v>0.04</v>
      </c>
      <c r="BP161" s="66">
        <v>0.71</v>
      </c>
      <c r="BQ161" s="66">
        <v>0.25</v>
      </c>
      <c r="BR161" s="66">
        <v>0</v>
      </c>
      <c r="BS161" s="66">
        <v>0.26</v>
      </c>
      <c r="BT161" s="66">
        <v>0.41</v>
      </c>
      <c r="BU161" s="66">
        <v>0.56999999999999995</v>
      </c>
      <c r="BV161" s="66">
        <v>0.2</v>
      </c>
      <c r="BW161" s="66">
        <v>0.6</v>
      </c>
      <c r="BX161" s="66">
        <v>0.42</v>
      </c>
      <c r="BY161" s="66">
        <v>0.47</v>
      </c>
      <c r="BZ161" s="66">
        <v>0.47</v>
      </c>
      <c r="CA161" s="66">
        <v>0.56999999999999995</v>
      </c>
      <c r="CB161" s="66">
        <v>0.42</v>
      </c>
      <c r="CC161" s="66">
        <v>0.28999999999999998</v>
      </c>
      <c r="CD161" s="66">
        <v>0.45</v>
      </c>
      <c r="CE161" s="66">
        <v>0.25</v>
      </c>
      <c r="CF161" s="66">
        <v>0.56999999999999995</v>
      </c>
      <c r="CG161" s="66">
        <v>0.59</v>
      </c>
      <c r="CH161" s="66">
        <v>0.39</v>
      </c>
      <c r="CI161" s="66">
        <v>0.69</v>
      </c>
      <c r="CJ161" s="66">
        <v>0.4</v>
      </c>
      <c r="CK161" s="66">
        <v>0.73</v>
      </c>
      <c r="CL161" s="66">
        <v>0.32</v>
      </c>
      <c r="CM161" s="66">
        <v>0.45</v>
      </c>
      <c r="CN161" s="66">
        <v>0.39</v>
      </c>
      <c r="CO161" s="66">
        <v>0.37</v>
      </c>
      <c r="CP161" s="66">
        <v>0.23</v>
      </c>
      <c r="CQ161" s="66">
        <v>0.59</v>
      </c>
      <c r="CR161" s="66">
        <v>0.62</v>
      </c>
      <c r="CS161" s="12">
        <v>52</v>
      </c>
      <c r="CT161" s="12">
        <v>8</v>
      </c>
      <c r="CU161" s="63">
        <v>0.03</v>
      </c>
      <c r="CV161" s="63">
        <v>0.72</v>
      </c>
      <c r="CW161" s="63">
        <v>0.24</v>
      </c>
      <c r="CX161" s="63">
        <v>0</v>
      </c>
      <c r="CY161" s="63">
        <v>0.55000000000000004</v>
      </c>
      <c r="CZ161" s="63">
        <v>0.31</v>
      </c>
      <c r="DA161" s="63">
        <v>0.64</v>
      </c>
      <c r="DB161" s="63">
        <v>0.33</v>
      </c>
      <c r="DC161" s="63">
        <v>0.39</v>
      </c>
      <c r="DD161" s="63">
        <v>0.59</v>
      </c>
      <c r="DE161" s="63">
        <v>0.59</v>
      </c>
      <c r="DF161" s="63">
        <v>0.49</v>
      </c>
      <c r="DG161" s="63">
        <v>0.42</v>
      </c>
      <c r="DH161" s="63">
        <v>0.28999999999999998</v>
      </c>
      <c r="DI161" s="63">
        <v>0.43</v>
      </c>
      <c r="DJ161" s="63">
        <v>0.45</v>
      </c>
      <c r="DK161" s="63">
        <v>0.38</v>
      </c>
      <c r="DL161" s="63">
        <v>0.5</v>
      </c>
      <c r="DM161" s="63">
        <v>0.46</v>
      </c>
      <c r="DN161" s="63">
        <v>0.47</v>
      </c>
      <c r="DO161" s="63">
        <v>0.41</v>
      </c>
      <c r="DP161" s="63">
        <v>0.48</v>
      </c>
      <c r="DQ161" s="63">
        <v>0.55000000000000004</v>
      </c>
      <c r="DR161" s="63">
        <v>0.05</v>
      </c>
      <c r="DS161" s="63">
        <v>0.35</v>
      </c>
      <c r="DT161" s="63">
        <v>0.54</v>
      </c>
      <c r="DU161" s="63">
        <v>0.56000000000000005</v>
      </c>
      <c r="DV161" s="63">
        <v>0.51</v>
      </c>
      <c r="DW161" s="63">
        <v>0.33</v>
      </c>
      <c r="DX161" s="35">
        <v>46</v>
      </c>
      <c r="DY161" s="35">
        <v>9</v>
      </c>
      <c r="DZ161" s="40">
        <v>0.28000000000000003</v>
      </c>
      <c r="EA161" s="40">
        <v>0.55000000000000004</v>
      </c>
      <c r="EB161" s="40">
        <v>0.17</v>
      </c>
      <c r="EC161" s="40">
        <v>0</v>
      </c>
      <c r="ED161" s="40">
        <v>0.56999999999999995</v>
      </c>
      <c r="EE161" s="40">
        <v>0.44</v>
      </c>
      <c r="EF161" s="40">
        <v>0.47</v>
      </c>
      <c r="EG161" s="40">
        <v>0.56999999999999995</v>
      </c>
      <c r="EH161" s="40">
        <v>0.48</v>
      </c>
      <c r="EI161" s="40">
        <v>0.56999999999999995</v>
      </c>
      <c r="EJ161" s="40">
        <v>0.67</v>
      </c>
      <c r="EK161" s="40">
        <v>0.32</v>
      </c>
      <c r="EL161" s="40">
        <v>0.55000000000000004</v>
      </c>
      <c r="EM161" s="40">
        <v>0.57999999999999996</v>
      </c>
      <c r="EN161" s="40">
        <v>0.56000000000000005</v>
      </c>
      <c r="EO161" s="40">
        <v>0.6</v>
      </c>
      <c r="EP161" s="40">
        <v>0.46</v>
      </c>
      <c r="EQ161" s="40">
        <v>0.51</v>
      </c>
      <c r="ER161" s="40">
        <v>0.66</v>
      </c>
      <c r="ES161" s="40">
        <v>0.6</v>
      </c>
      <c r="ET161" s="40">
        <v>0.46</v>
      </c>
      <c r="EU161" s="40">
        <v>0.61</v>
      </c>
      <c r="EV161" s="40">
        <v>0.5</v>
      </c>
      <c r="EW161" s="40">
        <v>0.4</v>
      </c>
      <c r="EX161" s="40">
        <v>0.83</v>
      </c>
      <c r="EY161" s="40">
        <v>0.66</v>
      </c>
      <c r="EZ161" s="40">
        <v>0.33</v>
      </c>
      <c r="FA161" s="40">
        <v>0.65</v>
      </c>
      <c r="FB161" s="247">
        <v>52</v>
      </c>
      <c r="FC161" s="247" t="s">
        <v>874</v>
      </c>
      <c r="FD161" s="247">
        <v>7</v>
      </c>
      <c r="FE161" s="247" t="s">
        <v>874</v>
      </c>
      <c r="FF161" s="264">
        <v>0.05</v>
      </c>
      <c r="FG161" s="264">
        <v>0.59</v>
      </c>
      <c r="FH161" s="264">
        <v>0.35</v>
      </c>
      <c r="FI161" s="264">
        <v>0</v>
      </c>
      <c r="FJ161" s="264">
        <v>0.42</v>
      </c>
      <c r="FK161" s="264">
        <v>0.72</v>
      </c>
      <c r="FL161" s="264">
        <v>0.42</v>
      </c>
      <c r="FM161" s="264">
        <v>0.43</v>
      </c>
      <c r="FN161" s="264">
        <v>0.31</v>
      </c>
      <c r="FO161" s="264">
        <v>0.22</v>
      </c>
      <c r="FP161" s="264">
        <v>0.38</v>
      </c>
      <c r="FQ161" s="264">
        <v>0.35</v>
      </c>
      <c r="FR161" s="264">
        <v>0.61</v>
      </c>
      <c r="FS161" s="264">
        <v>0.52</v>
      </c>
      <c r="FT161" s="264">
        <v>0.47</v>
      </c>
      <c r="FU161" s="264">
        <v>0.34</v>
      </c>
      <c r="FV161" s="264">
        <v>0.56000000000000005</v>
      </c>
      <c r="FW161" s="264">
        <v>0.33</v>
      </c>
      <c r="FX161" s="264">
        <v>0.45</v>
      </c>
      <c r="FY161" s="264">
        <v>0.28000000000000003</v>
      </c>
      <c r="FZ161" s="264">
        <v>0.42</v>
      </c>
      <c r="GA161" s="264">
        <v>0.41</v>
      </c>
      <c r="GB161" s="264">
        <v>0.55000000000000004</v>
      </c>
      <c r="GC161" s="264">
        <v>0.34</v>
      </c>
      <c r="GD161" s="264">
        <v>0.61</v>
      </c>
      <c r="GE161" s="264">
        <v>0.5</v>
      </c>
      <c r="GF161" s="264">
        <v>0.46</v>
      </c>
      <c r="GG161" s="264">
        <v>0.4</v>
      </c>
      <c r="GH161" s="264">
        <v>0.55000000000000004</v>
      </c>
      <c r="GI161" s="264">
        <v>0.25</v>
      </c>
      <c r="GJ161" s="311">
        <v>52</v>
      </c>
      <c r="GK161" s="311" t="s">
        <v>874</v>
      </c>
      <c r="GL161" s="311">
        <v>8</v>
      </c>
      <c r="GM161" s="311" t="s">
        <v>874</v>
      </c>
      <c r="GN161" s="329">
        <v>0.05</v>
      </c>
      <c r="GO161" s="329">
        <v>0.6</v>
      </c>
      <c r="GP161" s="329">
        <v>0.35</v>
      </c>
      <c r="GQ161" s="329">
        <v>0</v>
      </c>
      <c r="GR161" s="329">
        <v>0.56999999999999995</v>
      </c>
      <c r="GS161" s="329">
        <v>0.44</v>
      </c>
      <c r="GT161" s="329">
        <v>0.56000000000000005</v>
      </c>
      <c r="GU161" s="329">
        <v>0.19</v>
      </c>
      <c r="GV161" s="329">
        <v>0.56999999999999995</v>
      </c>
      <c r="GW161" s="329">
        <v>0.56000000000000005</v>
      </c>
      <c r="GX161" s="329">
        <v>0.4</v>
      </c>
      <c r="GY161" s="311" t="s">
        <v>283</v>
      </c>
      <c r="GZ161" s="329">
        <v>0.26</v>
      </c>
      <c r="HA161" s="329">
        <v>0.74</v>
      </c>
      <c r="HB161" s="329">
        <v>0.43</v>
      </c>
      <c r="HC161" s="329">
        <v>0.55000000000000004</v>
      </c>
      <c r="HD161" s="329">
        <v>0.5</v>
      </c>
      <c r="HE161" s="329">
        <v>0.56999999999999995</v>
      </c>
      <c r="HF161" s="329">
        <v>0.39</v>
      </c>
      <c r="HG161" s="329">
        <v>0.66</v>
      </c>
      <c r="HH161" s="329">
        <v>0.38</v>
      </c>
      <c r="HI161" s="329">
        <v>0.51</v>
      </c>
      <c r="HJ161" s="329">
        <v>0.59</v>
      </c>
      <c r="HK161" s="329">
        <v>0.49</v>
      </c>
      <c r="HL161" s="329">
        <v>0.44</v>
      </c>
      <c r="HM161" s="329">
        <v>0.41</v>
      </c>
      <c r="HN161" s="329">
        <v>0.43</v>
      </c>
      <c r="HO161" s="329">
        <v>0.28999999999999998</v>
      </c>
      <c r="HP161" s="311" t="s">
        <v>283</v>
      </c>
      <c r="HQ161" s="329">
        <v>0.4</v>
      </c>
      <c r="HR161" s="426">
        <v>50</v>
      </c>
      <c r="HS161" s="426" t="s">
        <v>874</v>
      </c>
      <c r="HT161" s="426">
        <v>8</v>
      </c>
      <c r="HU161" s="426" t="s">
        <v>874</v>
      </c>
      <c r="HV161" s="430">
        <v>0.1</v>
      </c>
      <c r="HW161" s="430">
        <v>0.63</v>
      </c>
      <c r="HX161" s="430">
        <v>0.27</v>
      </c>
      <c r="HY161" s="430">
        <v>0</v>
      </c>
      <c r="HZ161" s="430">
        <v>0.4</v>
      </c>
      <c r="IA161" s="430">
        <v>0.56999999999999995</v>
      </c>
      <c r="IB161" s="430">
        <v>0.41</v>
      </c>
      <c r="IC161" s="430">
        <v>0.46</v>
      </c>
      <c r="ID161" s="430">
        <v>0.65</v>
      </c>
      <c r="IE161" s="430">
        <v>0.28000000000000003</v>
      </c>
      <c r="IF161" s="430">
        <v>0.37</v>
      </c>
      <c r="IG161" s="430">
        <v>0.66</v>
      </c>
      <c r="IH161" s="430">
        <v>0.48</v>
      </c>
      <c r="II161" s="430">
        <v>0.4</v>
      </c>
      <c r="IJ161" s="430">
        <v>0.28000000000000003</v>
      </c>
      <c r="IK161" s="430">
        <v>0.59</v>
      </c>
      <c r="IL161" s="430">
        <v>0.38</v>
      </c>
      <c r="IM161" s="430">
        <v>0.52</v>
      </c>
      <c r="IN161" s="430">
        <v>0.45</v>
      </c>
      <c r="IO161" s="430">
        <v>0.59</v>
      </c>
      <c r="IP161" s="430">
        <v>0.42</v>
      </c>
      <c r="IQ161" s="430">
        <v>0.71</v>
      </c>
      <c r="IR161" s="430">
        <v>0.62</v>
      </c>
      <c r="IS161" s="430">
        <v>0.66</v>
      </c>
      <c r="IT161" s="430">
        <v>0.45</v>
      </c>
      <c r="IU161" s="426" t="s">
        <v>283</v>
      </c>
      <c r="IV161" s="430">
        <v>0.59</v>
      </c>
      <c r="IW161" s="430">
        <v>0.5</v>
      </c>
      <c r="IX161" s="430">
        <v>0.48</v>
      </c>
      <c r="IY161" s="430">
        <v>0.59</v>
      </c>
      <c r="IZ161" s="466">
        <v>47</v>
      </c>
      <c r="JA161" s="466" t="s">
        <v>874</v>
      </c>
      <c r="JB161" s="466">
        <v>8</v>
      </c>
      <c r="JC161" s="466" t="s">
        <v>874</v>
      </c>
      <c r="JD161" s="480">
        <v>0.27</v>
      </c>
      <c r="JE161" s="480">
        <v>0.59</v>
      </c>
      <c r="JF161" s="480">
        <v>0.14000000000000001</v>
      </c>
      <c r="JG161" s="480">
        <v>0</v>
      </c>
      <c r="JH161" s="480">
        <v>0.56999999999999995</v>
      </c>
      <c r="JI161" s="480">
        <v>0.51</v>
      </c>
      <c r="JJ161" s="480">
        <v>0.42</v>
      </c>
      <c r="JK161" s="480">
        <v>0.48</v>
      </c>
      <c r="JL161" s="480">
        <v>0.47</v>
      </c>
      <c r="JM161" s="480">
        <v>0.57999999999999996</v>
      </c>
      <c r="JN161" s="480">
        <v>0.67</v>
      </c>
      <c r="JO161" s="480">
        <v>0.53</v>
      </c>
      <c r="JP161" s="480">
        <v>0.51</v>
      </c>
      <c r="JQ161" s="480">
        <v>0.36</v>
      </c>
      <c r="JR161" s="480">
        <v>0.75</v>
      </c>
      <c r="JS161" s="480">
        <v>0.6</v>
      </c>
      <c r="JT161" s="480">
        <v>0.31</v>
      </c>
      <c r="JU161" s="480">
        <v>0.6</v>
      </c>
      <c r="JV161" s="480">
        <v>0.57999999999999996</v>
      </c>
      <c r="JW161" s="480">
        <v>0.59</v>
      </c>
      <c r="JX161" s="480">
        <v>0.42</v>
      </c>
      <c r="JY161" s="480">
        <v>0.41</v>
      </c>
      <c r="JZ161" s="480">
        <v>0.4</v>
      </c>
      <c r="KA161" s="480">
        <v>0.8</v>
      </c>
      <c r="KB161" s="480">
        <v>0.67</v>
      </c>
      <c r="KC161" s="480">
        <v>0.71</v>
      </c>
      <c r="KD161" s="480">
        <v>0.56000000000000005</v>
      </c>
      <c r="KE161" s="480">
        <v>0.76</v>
      </c>
      <c r="KF161" s="480">
        <v>0.48</v>
      </c>
      <c r="KG161" s="480">
        <v>0.66</v>
      </c>
    </row>
    <row r="162" spans="1:293" ht="24.95" customHeight="1" x14ac:dyDescent="0.2">
      <c r="A162" s="814" t="s">
        <v>205</v>
      </c>
      <c r="B162" s="1" t="s">
        <v>221</v>
      </c>
      <c r="C162" s="2">
        <v>5</v>
      </c>
      <c r="D162" s="12">
        <v>54</v>
      </c>
      <c r="E162" s="12">
        <v>8</v>
      </c>
      <c r="F162" s="66">
        <v>0.09</v>
      </c>
      <c r="G162" s="66">
        <v>0.56000000000000005</v>
      </c>
      <c r="H162" s="66">
        <v>0.31</v>
      </c>
      <c r="I162" s="66">
        <v>0.03</v>
      </c>
      <c r="J162" s="66">
        <v>0.45</v>
      </c>
      <c r="K162" s="66">
        <v>0.35</v>
      </c>
      <c r="L162" s="66">
        <v>0.74</v>
      </c>
      <c r="M162" s="66">
        <v>0.17</v>
      </c>
      <c r="N162" s="66">
        <v>0.3</v>
      </c>
      <c r="O162" s="66">
        <v>0.7</v>
      </c>
      <c r="P162" s="66">
        <v>0.37</v>
      </c>
      <c r="Q162" s="66">
        <v>0.33</v>
      </c>
      <c r="R162" s="66">
        <v>0.59</v>
      </c>
      <c r="S162" s="66">
        <v>0.69</v>
      </c>
      <c r="T162" s="66">
        <v>0.43</v>
      </c>
      <c r="U162" s="66">
        <v>0.75</v>
      </c>
      <c r="V162" s="66">
        <v>0.16</v>
      </c>
      <c r="W162" s="66">
        <v>0.18</v>
      </c>
      <c r="X162" s="66">
        <v>0.49</v>
      </c>
      <c r="Y162" s="66">
        <v>0.47</v>
      </c>
      <c r="Z162" s="12" t="s">
        <v>283</v>
      </c>
      <c r="AA162" s="66">
        <v>0.1</v>
      </c>
      <c r="AB162" s="66">
        <v>0.48</v>
      </c>
      <c r="AC162" s="66">
        <v>0.26</v>
      </c>
      <c r="AD162" s="66">
        <v>0.41</v>
      </c>
      <c r="AE162" s="66">
        <v>0.33</v>
      </c>
      <c r="AF162" s="66">
        <v>0.44</v>
      </c>
      <c r="AG162" s="66">
        <v>0.65</v>
      </c>
      <c r="AH162" s="12">
        <v>56</v>
      </c>
      <c r="AI162" s="12">
        <v>8</v>
      </c>
      <c r="AJ162" s="40">
        <v>0.08</v>
      </c>
      <c r="AK162" s="40">
        <v>0.38</v>
      </c>
      <c r="AL162" s="40">
        <v>0.53</v>
      </c>
      <c r="AM162" s="40">
        <v>0.03</v>
      </c>
      <c r="AN162" s="40">
        <v>0.13</v>
      </c>
      <c r="AO162" s="40">
        <v>0.46</v>
      </c>
      <c r="AP162" s="40">
        <v>0.44</v>
      </c>
      <c r="AQ162" s="40">
        <v>0.24</v>
      </c>
      <c r="AR162" s="40">
        <v>0.65</v>
      </c>
      <c r="AS162" s="40">
        <v>0.48</v>
      </c>
      <c r="AT162" s="40">
        <v>0.44</v>
      </c>
      <c r="AU162" s="40">
        <v>0.44</v>
      </c>
      <c r="AV162" s="40">
        <v>0.46</v>
      </c>
      <c r="AW162" s="40">
        <v>0.53</v>
      </c>
      <c r="AX162" s="40">
        <v>0.53</v>
      </c>
      <c r="AY162" s="40">
        <v>0.27</v>
      </c>
      <c r="AZ162" s="40">
        <v>0.14000000000000001</v>
      </c>
      <c r="BA162" s="40">
        <v>0.35</v>
      </c>
      <c r="BB162" s="40">
        <v>0.57999999999999996</v>
      </c>
      <c r="BC162" s="40">
        <v>0.61</v>
      </c>
      <c r="BD162" s="40">
        <v>0.36</v>
      </c>
      <c r="BE162" s="40">
        <v>0.45</v>
      </c>
      <c r="BF162" s="40">
        <v>0.55000000000000004</v>
      </c>
      <c r="BG162" s="40">
        <v>0.46</v>
      </c>
      <c r="BH162" s="40">
        <v>0.42</v>
      </c>
      <c r="BI162" s="40">
        <v>0.37</v>
      </c>
      <c r="BJ162" s="40">
        <v>0.35</v>
      </c>
      <c r="BK162" s="40">
        <v>0.36</v>
      </c>
      <c r="BL162" s="40">
        <v>0.55000000000000004</v>
      </c>
      <c r="BM162" s="12">
        <v>54</v>
      </c>
      <c r="BN162" s="12">
        <v>9</v>
      </c>
      <c r="BO162" s="66">
        <v>0.04</v>
      </c>
      <c r="BP162" s="66">
        <v>0.56999999999999995</v>
      </c>
      <c r="BQ162" s="66">
        <v>0.35</v>
      </c>
      <c r="BR162" s="66">
        <v>0.04</v>
      </c>
      <c r="BS162" s="66">
        <v>0.36</v>
      </c>
      <c r="BT162" s="66">
        <v>0.41</v>
      </c>
      <c r="BU162" s="66">
        <v>0.55000000000000004</v>
      </c>
      <c r="BV162" s="66">
        <v>0.27</v>
      </c>
      <c r="BW162" s="66">
        <v>0.65</v>
      </c>
      <c r="BX162" s="66">
        <v>0.26</v>
      </c>
      <c r="BY162" s="66">
        <v>0.4</v>
      </c>
      <c r="BZ162" s="66">
        <v>0.5</v>
      </c>
      <c r="CA162" s="66">
        <v>0.36</v>
      </c>
      <c r="CB162" s="66">
        <v>0.33</v>
      </c>
      <c r="CC162" s="66">
        <v>0.08</v>
      </c>
      <c r="CD162" s="66">
        <v>0.37</v>
      </c>
      <c r="CE162" s="66">
        <v>0.21</v>
      </c>
      <c r="CF162" s="66">
        <v>0.57999999999999996</v>
      </c>
      <c r="CG162" s="66">
        <v>0.62</v>
      </c>
      <c r="CH162" s="66">
        <v>0.37</v>
      </c>
      <c r="CI162" s="66">
        <v>0.56000000000000005</v>
      </c>
      <c r="CJ162" s="66">
        <v>0.46</v>
      </c>
      <c r="CK162" s="66">
        <v>0.62</v>
      </c>
      <c r="CL162" s="66">
        <v>0.25</v>
      </c>
      <c r="CM162" s="66">
        <v>0.45</v>
      </c>
      <c r="CN162" s="66">
        <v>0.38</v>
      </c>
      <c r="CO162" s="66">
        <v>0.28999999999999998</v>
      </c>
      <c r="CP162" s="66">
        <v>0.32</v>
      </c>
      <c r="CQ162" s="66">
        <v>0.44</v>
      </c>
      <c r="CR162" s="66">
        <v>0.51</v>
      </c>
      <c r="CS162" s="12">
        <v>53</v>
      </c>
      <c r="CT162" s="12">
        <v>9</v>
      </c>
      <c r="CU162" s="63">
        <v>0.13</v>
      </c>
      <c r="CV162" s="63">
        <v>0.4</v>
      </c>
      <c r="CW162" s="63">
        <v>0.45</v>
      </c>
      <c r="CX162" s="63">
        <v>0.02</v>
      </c>
      <c r="CY162" s="63">
        <v>0.45</v>
      </c>
      <c r="CZ162" s="63">
        <v>0.23</v>
      </c>
      <c r="DA162" s="63">
        <v>0.47</v>
      </c>
      <c r="DB162" s="63">
        <v>0.28999999999999998</v>
      </c>
      <c r="DC162" s="63">
        <v>0.5</v>
      </c>
      <c r="DD162" s="63">
        <v>0.51</v>
      </c>
      <c r="DE162" s="63">
        <v>0.46</v>
      </c>
      <c r="DF162" s="63">
        <v>0.42</v>
      </c>
      <c r="DG162" s="63">
        <v>0.36</v>
      </c>
      <c r="DH162" s="63">
        <v>0.37</v>
      </c>
      <c r="DI162" s="63">
        <v>0.53</v>
      </c>
      <c r="DJ162" s="63">
        <v>0.4</v>
      </c>
      <c r="DK162" s="63">
        <v>0.22</v>
      </c>
      <c r="DL162" s="63">
        <v>0.39</v>
      </c>
      <c r="DM162" s="63">
        <v>0.49</v>
      </c>
      <c r="DN162" s="63">
        <v>0.41</v>
      </c>
      <c r="DO162" s="63">
        <v>0.38</v>
      </c>
      <c r="DP162" s="63">
        <v>0.42</v>
      </c>
      <c r="DQ162" s="63">
        <v>0.5</v>
      </c>
      <c r="DR162" s="63">
        <v>0.11</v>
      </c>
      <c r="DS162" s="63">
        <v>0.33</v>
      </c>
      <c r="DT162" s="63">
        <v>0.52</v>
      </c>
      <c r="DU162" s="63">
        <v>0.45</v>
      </c>
      <c r="DV162" s="63">
        <v>0.61</v>
      </c>
      <c r="DW162" s="63">
        <v>0.22</v>
      </c>
      <c r="DX162" s="35">
        <v>54</v>
      </c>
      <c r="DY162" s="35">
        <v>8</v>
      </c>
      <c r="DZ162" s="40">
        <v>0.08</v>
      </c>
      <c r="EA162" s="40">
        <v>0.46</v>
      </c>
      <c r="EB162" s="40">
        <v>0.46</v>
      </c>
      <c r="EC162" s="40">
        <v>0</v>
      </c>
      <c r="ED162" s="40">
        <v>0.49</v>
      </c>
      <c r="EE162" s="40">
        <v>0.42</v>
      </c>
      <c r="EF162" s="40">
        <v>0.46</v>
      </c>
      <c r="EG162" s="40">
        <v>0.11</v>
      </c>
      <c r="EH162" s="40">
        <v>0.22</v>
      </c>
      <c r="EI162" s="40">
        <v>0.48</v>
      </c>
      <c r="EJ162" s="40">
        <v>0.48</v>
      </c>
      <c r="EK162" s="40">
        <v>0.28000000000000003</v>
      </c>
      <c r="EL162" s="40">
        <v>0.4</v>
      </c>
      <c r="EM162" s="40">
        <v>0.49</v>
      </c>
      <c r="EN162" s="40">
        <v>0.32</v>
      </c>
      <c r="EO162" s="40">
        <v>0.49</v>
      </c>
      <c r="EP162" s="40">
        <v>0.33</v>
      </c>
      <c r="EQ162" s="40">
        <v>0.2</v>
      </c>
      <c r="ER162" s="40">
        <v>0.54</v>
      </c>
      <c r="ES162" s="40">
        <v>0.36</v>
      </c>
      <c r="ET162" s="40">
        <v>0.18</v>
      </c>
      <c r="EU162" s="40">
        <v>0.47</v>
      </c>
      <c r="EV162" s="40">
        <v>0.28999999999999998</v>
      </c>
      <c r="EW162" s="40">
        <v>0.32</v>
      </c>
      <c r="EX162" s="40">
        <v>0.7</v>
      </c>
      <c r="EY162" s="40">
        <v>0.47</v>
      </c>
      <c r="EZ162" s="40">
        <v>0</v>
      </c>
      <c r="FA162" s="40">
        <v>0.52</v>
      </c>
      <c r="FB162" s="247">
        <v>52</v>
      </c>
      <c r="FC162" s="247" t="s">
        <v>874</v>
      </c>
      <c r="FD162" s="247">
        <v>9</v>
      </c>
      <c r="FE162" s="247" t="s">
        <v>874</v>
      </c>
      <c r="FF162" s="264">
        <v>0.12</v>
      </c>
      <c r="FG162" s="264">
        <v>0.55000000000000004</v>
      </c>
      <c r="FH162" s="264">
        <v>0.33</v>
      </c>
      <c r="FI162" s="264">
        <v>0</v>
      </c>
      <c r="FJ162" s="264">
        <v>0.36</v>
      </c>
      <c r="FK162" s="264">
        <v>0.65</v>
      </c>
      <c r="FL162" s="264">
        <v>0.52</v>
      </c>
      <c r="FM162" s="264">
        <v>0.41</v>
      </c>
      <c r="FN162" s="264">
        <v>0.34</v>
      </c>
      <c r="FO162" s="264">
        <v>0.3</v>
      </c>
      <c r="FP162" s="264">
        <v>0.33</v>
      </c>
      <c r="FQ162" s="264">
        <v>0.36</v>
      </c>
      <c r="FR162" s="264">
        <v>0.51</v>
      </c>
      <c r="FS162" s="264">
        <v>0.53</v>
      </c>
      <c r="FT162" s="264">
        <v>0.52</v>
      </c>
      <c r="FU162" s="264">
        <v>0.41</v>
      </c>
      <c r="FV162" s="264">
        <v>0.49</v>
      </c>
      <c r="FW162" s="264">
        <v>0.56000000000000005</v>
      </c>
      <c r="FX162" s="264">
        <v>0.36</v>
      </c>
      <c r="FY162" s="264">
        <v>0.28999999999999998</v>
      </c>
      <c r="FZ162" s="264">
        <v>0.39</v>
      </c>
      <c r="GA162" s="264">
        <v>0.48</v>
      </c>
      <c r="GB162" s="264">
        <v>0.47</v>
      </c>
      <c r="GC162" s="264">
        <v>0.32</v>
      </c>
      <c r="GD162" s="264">
        <v>0.52</v>
      </c>
      <c r="GE162" s="264">
        <v>0.43</v>
      </c>
      <c r="GF162" s="264">
        <v>0.4</v>
      </c>
      <c r="GG162" s="264">
        <v>0.4</v>
      </c>
      <c r="GH162" s="264">
        <v>0.52</v>
      </c>
      <c r="GI162" s="264">
        <v>0.26</v>
      </c>
      <c r="GJ162" s="311">
        <v>57</v>
      </c>
      <c r="GK162" s="311" t="s">
        <v>874</v>
      </c>
      <c r="GL162" s="311">
        <v>9</v>
      </c>
      <c r="GM162" s="311" t="s">
        <v>874</v>
      </c>
      <c r="GN162" s="329">
        <v>0</v>
      </c>
      <c r="GO162" s="329">
        <v>0.4</v>
      </c>
      <c r="GP162" s="329">
        <v>0.51</v>
      </c>
      <c r="GQ162" s="329">
        <v>0.09</v>
      </c>
      <c r="GR162" s="329">
        <v>0.38</v>
      </c>
      <c r="GS162" s="329">
        <v>0.4</v>
      </c>
      <c r="GT162" s="329">
        <v>0.5</v>
      </c>
      <c r="GU162" s="329">
        <v>0.06</v>
      </c>
      <c r="GV162" s="329">
        <v>0.48</v>
      </c>
      <c r="GW162" s="329">
        <v>0.33</v>
      </c>
      <c r="GX162" s="329">
        <v>0.32</v>
      </c>
      <c r="GY162" s="311" t="s">
        <v>283</v>
      </c>
      <c r="GZ162" s="329">
        <v>0.13</v>
      </c>
      <c r="HA162" s="329">
        <v>0.67</v>
      </c>
      <c r="HB162" s="329">
        <v>0.34</v>
      </c>
      <c r="HC162" s="329">
        <v>0.36</v>
      </c>
      <c r="HD162" s="329">
        <v>0.47</v>
      </c>
      <c r="HE162" s="329">
        <v>0.28999999999999998</v>
      </c>
      <c r="HF162" s="329">
        <v>0.32</v>
      </c>
      <c r="HG162" s="329">
        <v>0.56000000000000005</v>
      </c>
      <c r="HH162" s="329">
        <v>0.21</v>
      </c>
      <c r="HI162" s="329">
        <v>0.44</v>
      </c>
      <c r="HJ162" s="329">
        <v>0.5</v>
      </c>
      <c r="HK162" s="329">
        <v>0.45</v>
      </c>
      <c r="HL162" s="329">
        <v>0.23</v>
      </c>
      <c r="HM162" s="329">
        <v>0.33</v>
      </c>
      <c r="HN162" s="329">
        <v>0.46</v>
      </c>
      <c r="HO162" s="329">
        <v>0.35</v>
      </c>
      <c r="HP162" s="311" t="s">
        <v>283</v>
      </c>
      <c r="HQ162" s="329">
        <v>0.33</v>
      </c>
      <c r="HR162" s="426">
        <v>55</v>
      </c>
      <c r="HS162" s="426" t="s">
        <v>874</v>
      </c>
      <c r="HT162" s="426">
        <v>8</v>
      </c>
      <c r="HU162" s="426" t="s">
        <v>874</v>
      </c>
      <c r="HV162" s="430">
        <v>0.02</v>
      </c>
      <c r="HW162" s="430">
        <v>0.53</v>
      </c>
      <c r="HX162" s="430">
        <v>0.42</v>
      </c>
      <c r="HY162" s="430">
        <v>0.02</v>
      </c>
      <c r="HZ162" s="430">
        <v>0.33</v>
      </c>
      <c r="IA162" s="430">
        <v>0.46</v>
      </c>
      <c r="IB162" s="430">
        <v>0.32</v>
      </c>
      <c r="IC162" s="430">
        <v>0.52</v>
      </c>
      <c r="ID162" s="430">
        <v>0.54</v>
      </c>
      <c r="IE162" s="430">
        <v>0.36</v>
      </c>
      <c r="IF162" s="430">
        <v>0.34</v>
      </c>
      <c r="IG162" s="430">
        <v>0.51</v>
      </c>
      <c r="IH162" s="430">
        <v>0.35</v>
      </c>
      <c r="II162" s="430">
        <v>0.13</v>
      </c>
      <c r="IJ162" s="430">
        <v>0.19</v>
      </c>
      <c r="IK162" s="430">
        <v>0.49</v>
      </c>
      <c r="IL162" s="430">
        <v>0.26</v>
      </c>
      <c r="IM162" s="430">
        <v>0.46</v>
      </c>
      <c r="IN162" s="430">
        <v>0.28000000000000003</v>
      </c>
      <c r="IO162" s="430">
        <v>0.41</v>
      </c>
      <c r="IP162" s="430">
        <v>0.31</v>
      </c>
      <c r="IQ162" s="430">
        <v>0.57999999999999996</v>
      </c>
      <c r="IR162" s="430">
        <v>0.49</v>
      </c>
      <c r="IS162" s="430">
        <v>0.43</v>
      </c>
      <c r="IT162" s="430">
        <v>0.42</v>
      </c>
      <c r="IU162" s="426" t="s">
        <v>283</v>
      </c>
      <c r="IV162" s="430">
        <v>0.56999999999999995</v>
      </c>
      <c r="IW162" s="430">
        <v>0.38</v>
      </c>
      <c r="IX162" s="430">
        <v>0.41</v>
      </c>
      <c r="IY162" s="430">
        <v>0.42</v>
      </c>
      <c r="IZ162" s="466">
        <v>53</v>
      </c>
      <c r="JA162" s="466" t="s">
        <v>874</v>
      </c>
      <c r="JB162" s="466">
        <v>9</v>
      </c>
      <c r="JC162" s="466" t="s">
        <v>874</v>
      </c>
      <c r="JD162" s="480">
        <v>7.0000000000000007E-2</v>
      </c>
      <c r="JE162" s="480">
        <v>0.5</v>
      </c>
      <c r="JF162" s="480">
        <v>0.43</v>
      </c>
      <c r="JG162" s="480">
        <v>0</v>
      </c>
      <c r="JH162" s="480">
        <v>0.41</v>
      </c>
      <c r="JI162" s="480">
        <v>0.5</v>
      </c>
      <c r="JJ162" s="480">
        <v>0.31</v>
      </c>
      <c r="JK162" s="480">
        <v>0.41</v>
      </c>
      <c r="JL162" s="480">
        <v>0.4</v>
      </c>
      <c r="JM162" s="480">
        <v>0.44</v>
      </c>
      <c r="JN162" s="480">
        <v>0.4</v>
      </c>
      <c r="JO162" s="480">
        <v>0.43</v>
      </c>
      <c r="JP162" s="480">
        <v>0.49</v>
      </c>
      <c r="JQ162" s="480">
        <v>0.26</v>
      </c>
      <c r="JR162" s="480">
        <v>0.68</v>
      </c>
      <c r="JS162" s="480">
        <v>0.49</v>
      </c>
      <c r="JT162" s="480">
        <v>0.33</v>
      </c>
      <c r="JU162" s="480">
        <v>0.43</v>
      </c>
      <c r="JV162" s="480">
        <v>0.43</v>
      </c>
      <c r="JW162" s="480">
        <v>0.48</v>
      </c>
      <c r="JX162" s="480">
        <v>0.42</v>
      </c>
      <c r="JY162" s="480">
        <v>0.53</v>
      </c>
      <c r="JZ162" s="480">
        <v>0.45</v>
      </c>
      <c r="KA162" s="480">
        <v>0.71</v>
      </c>
      <c r="KB162" s="480">
        <v>0.38</v>
      </c>
      <c r="KC162" s="480">
        <v>0.53</v>
      </c>
      <c r="KD162" s="480">
        <v>0.36</v>
      </c>
      <c r="KE162" s="480">
        <v>0.48</v>
      </c>
      <c r="KF162" s="480">
        <v>0.49</v>
      </c>
      <c r="KG162" s="480">
        <v>0.51</v>
      </c>
    </row>
    <row r="163" spans="1:293" ht="24.95" customHeight="1" x14ac:dyDescent="0.2">
      <c r="A163" s="816" t="s">
        <v>201</v>
      </c>
      <c r="B163" s="1" t="s">
        <v>219</v>
      </c>
      <c r="C163" s="2">
        <v>5</v>
      </c>
      <c r="D163" s="12">
        <v>55</v>
      </c>
      <c r="E163" s="12">
        <v>7</v>
      </c>
      <c r="F163" s="66">
        <v>0.02</v>
      </c>
      <c r="G163" s="66">
        <v>0.49</v>
      </c>
      <c r="H163" s="66">
        <v>0.48</v>
      </c>
      <c r="I163" s="66">
        <v>0.01</v>
      </c>
      <c r="J163" s="66">
        <v>0.43</v>
      </c>
      <c r="K163" s="66">
        <v>0.34</v>
      </c>
      <c r="L163" s="66">
        <v>0.69</v>
      </c>
      <c r="M163" s="66">
        <v>0.22</v>
      </c>
      <c r="N163" s="66">
        <v>0.27</v>
      </c>
      <c r="O163" s="66">
        <v>0.56000000000000005</v>
      </c>
      <c r="P163" s="66">
        <v>0.28999999999999998</v>
      </c>
      <c r="Q163" s="66">
        <v>0.28999999999999998</v>
      </c>
      <c r="R163" s="66">
        <v>0.5</v>
      </c>
      <c r="S163" s="66">
        <v>0.49</v>
      </c>
      <c r="T163" s="66">
        <v>0.37</v>
      </c>
      <c r="U163" s="66">
        <v>0.55000000000000004</v>
      </c>
      <c r="V163" s="66">
        <v>0.03</v>
      </c>
      <c r="W163" s="66">
        <v>0.09</v>
      </c>
      <c r="X163" s="66">
        <v>0.49</v>
      </c>
      <c r="Y163" s="66">
        <v>0.52</v>
      </c>
      <c r="Z163" s="66">
        <v>0.5</v>
      </c>
      <c r="AA163" s="66">
        <v>0.14000000000000001</v>
      </c>
      <c r="AB163" s="66">
        <v>0.36</v>
      </c>
      <c r="AC163" s="66">
        <v>0.21</v>
      </c>
      <c r="AD163" s="66">
        <v>0.46</v>
      </c>
      <c r="AE163" s="66">
        <v>0.37</v>
      </c>
      <c r="AF163" s="66">
        <v>0.59</v>
      </c>
      <c r="AG163" s="66">
        <v>0.42</v>
      </c>
      <c r="AH163" s="12">
        <v>57</v>
      </c>
      <c r="AI163" s="12">
        <v>7</v>
      </c>
      <c r="AJ163" s="40">
        <v>0.02</v>
      </c>
      <c r="AK163" s="40">
        <v>0.43</v>
      </c>
      <c r="AL163" s="40">
        <v>0.52</v>
      </c>
      <c r="AM163" s="40">
        <v>0.03</v>
      </c>
      <c r="AN163" s="40">
        <v>0.21</v>
      </c>
      <c r="AO163" s="40">
        <v>0.41</v>
      </c>
      <c r="AP163" s="40">
        <v>0.53</v>
      </c>
      <c r="AQ163" s="40">
        <v>0.28000000000000003</v>
      </c>
      <c r="AR163" s="40">
        <v>0.52</v>
      </c>
      <c r="AS163" s="40">
        <v>0.42</v>
      </c>
      <c r="AT163" s="40">
        <v>0.47</v>
      </c>
      <c r="AU163" s="40">
        <v>0.39</v>
      </c>
      <c r="AV163" s="40">
        <v>0.56999999999999995</v>
      </c>
      <c r="AW163" s="40">
        <v>0.4</v>
      </c>
      <c r="AX163" s="40">
        <v>0.44</v>
      </c>
      <c r="AY163" s="40">
        <v>0.21</v>
      </c>
      <c r="AZ163" s="40">
        <v>0.18</v>
      </c>
      <c r="BA163" s="40">
        <v>0.47</v>
      </c>
      <c r="BB163" s="40">
        <v>0.63</v>
      </c>
      <c r="BC163" s="40">
        <v>0.56999999999999995</v>
      </c>
      <c r="BD163" s="40">
        <v>0.32</v>
      </c>
      <c r="BE163" s="40">
        <v>0.44</v>
      </c>
      <c r="BF163" s="40">
        <v>0.42</v>
      </c>
      <c r="BG163" s="40">
        <v>0.42</v>
      </c>
      <c r="BH163" s="40">
        <v>0.36</v>
      </c>
      <c r="BI163" s="40">
        <v>0.31</v>
      </c>
      <c r="BJ163" s="40">
        <v>0.21</v>
      </c>
      <c r="BK163" s="40">
        <v>0.36</v>
      </c>
      <c r="BL163" s="40">
        <v>0.2</v>
      </c>
      <c r="BM163" s="12">
        <v>53</v>
      </c>
      <c r="BN163" s="12">
        <v>8</v>
      </c>
      <c r="BO163" s="66">
        <v>7.0000000000000007E-2</v>
      </c>
      <c r="BP163" s="66">
        <v>0.53</v>
      </c>
      <c r="BQ163" s="66">
        <v>0.39</v>
      </c>
      <c r="BR163" s="66">
        <v>0.02</v>
      </c>
      <c r="BS163" s="66">
        <v>0.21</v>
      </c>
      <c r="BT163" s="66">
        <v>0.51</v>
      </c>
      <c r="BU163" s="66">
        <v>0.62</v>
      </c>
      <c r="BV163" s="66">
        <v>0.13</v>
      </c>
      <c r="BW163" s="66">
        <v>0.65</v>
      </c>
      <c r="BX163" s="66">
        <v>0.3</v>
      </c>
      <c r="BY163" s="66">
        <v>0.41</v>
      </c>
      <c r="BZ163" s="66">
        <v>0.53</v>
      </c>
      <c r="CA163" s="66">
        <v>0.39</v>
      </c>
      <c r="CB163" s="66">
        <v>0.3</v>
      </c>
      <c r="CC163" s="66">
        <v>0.18</v>
      </c>
      <c r="CD163" s="66">
        <v>0.4</v>
      </c>
      <c r="CE163" s="66">
        <v>0.27</v>
      </c>
      <c r="CF163" s="66">
        <v>0.63</v>
      </c>
      <c r="CG163" s="66">
        <v>0.56999999999999995</v>
      </c>
      <c r="CH163" s="66">
        <v>0.38</v>
      </c>
      <c r="CI163" s="66">
        <v>0.5</v>
      </c>
      <c r="CJ163" s="66">
        <v>0.28000000000000003</v>
      </c>
      <c r="CK163" s="66">
        <v>0.69</v>
      </c>
      <c r="CL163" s="66">
        <v>0.2</v>
      </c>
      <c r="CM163" s="66">
        <v>0.33</v>
      </c>
      <c r="CN163" s="66">
        <v>0.35</v>
      </c>
      <c r="CO163" s="66">
        <v>0.37</v>
      </c>
      <c r="CP163" s="66">
        <v>0.34</v>
      </c>
      <c r="CQ163" s="66">
        <v>0.52</v>
      </c>
      <c r="CR163" s="66">
        <v>0.5</v>
      </c>
      <c r="CS163" s="12">
        <v>55</v>
      </c>
      <c r="CT163" s="12">
        <v>8</v>
      </c>
      <c r="CU163" s="63">
        <v>0.02</v>
      </c>
      <c r="CV163" s="63">
        <v>0.55000000000000004</v>
      </c>
      <c r="CW163" s="63">
        <v>0.39</v>
      </c>
      <c r="CX163" s="63">
        <v>0.04</v>
      </c>
      <c r="CY163" s="63">
        <v>0.42</v>
      </c>
      <c r="CZ163" s="63">
        <v>0.22</v>
      </c>
      <c r="DA163" s="63">
        <v>0.5</v>
      </c>
      <c r="DB163" s="63">
        <v>0.23</v>
      </c>
      <c r="DC163" s="63">
        <v>0.39</v>
      </c>
      <c r="DD163" s="63">
        <v>0.56000000000000005</v>
      </c>
      <c r="DE163" s="63">
        <v>0.39</v>
      </c>
      <c r="DF163" s="63">
        <v>0.46</v>
      </c>
      <c r="DG163" s="63">
        <v>0.39</v>
      </c>
      <c r="DH163" s="63">
        <v>0.33</v>
      </c>
      <c r="DI163" s="63">
        <v>0.39</v>
      </c>
      <c r="DJ163" s="63">
        <v>0.37</v>
      </c>
      <c r="DK163" s="63">
        <v>0.27</v>
      </c>
      <c r="DL163" s="63">
        <v>0.25</v>
      </c>
      <c r="DM163" s="63">
        <v>0.37</v>
      </c>
      <c r="DN163" s="63">
        <v>0.43</v>
      </c>
      <c r="DO163" s="63">
        <v>0.28000000000000003</v>
      </c>
      <c r="DP163" s="63">
        <v>0.44</v>
      </c>
      <c r="DQ163" s="63">
        <v>0.44</v>
      </c>
      <c r="DR163" s="63">
        <v>0.16</v>
      </c>
      <c r="DS163" s="63">
        <v>0.3</v>
      </c>
      <c r="DT163" s="63">
        <v>0.53</v>
      </c>
      <c r="DU163" s="63">
        <v>0.42</v>
      </c>
      <c r="DV163" s="63">
        <v>0.51</v>
      </c>
      <c r="DW163" s="63">
        <v>0.27</v>
      </c>
      <c r="DX163" s="35">
        <v>57</v>
      </c>
      <c r="DY163" s="35">
        <v>8</v>
      </c>
      <c r="DZ163" s="40">
        <v>0.02</v>
      </c>
      <c r="EA163" s="40">
        <v>0.38</v>
      </c>
      <c r="EB163" s="40">
        <v>0.56000000000000005</v>
      </c>
      <c r="EC163" s="40">
        <v>0.04</v>
      </c>
      <c r="ED163" s="40">
        <v>0.37</v>
      </c>
      <c r="EE163" s="40">
        <v>0.34</v>
      </c>
      <c r="EF163" s="40">
        <v>0.4</v>
      </c>
      <c r="EG163" s="40">
        <v>0.26</v>
      </c>
      <c r="EH163" s="40">
        <v>0.31</v>
      </c>
      <c r="EI163" s="40">
        <v>0.36</v>
      </c>
      <c r="EJ163" s="40">
        <v>0.45</v>
      </c>
      <c r="EK163" s="40">
        <v>0.1</v>
      </c>
      <c r="EL163" s="40">
        <v>0.27</v>
      </c>
      <c r="EM163" s="40">
        <v>0.53</v>
      </c>
      <c r="EN163" s="40">
        <v>0.28999999999999998</v>
      </c>
      <c r="EO163" s="40">
        <v>0.46</v>
      </c>
      <c r="EP163" s="40">
        <v>0.21</v>
      </c>
      <c r="EQ163" s="40">
        <v>0.1</v>
      </c>
      <c r="ER163" s="40">
        <v>0.54</v>
      </c>
      <c r="ES163" s="40">
        <v>0.35</v>
      </c>
      <c r="ET163" s="40">
        <v>0.19</v>
      </c>
      <c r="EU163" s="40">
        <v>0.49</v>
      </c>
      <c r="EV163" s="40">
        <v>0.19</v>
      </c>
      <c r="EW163" s="40">
        <v>0.19</v>
      </c>
      <c r="EX163" s="40">
        <v>0.49</v>
      </c>
      <c r="EY163" s="40">
        <v>0.43</v>
      </c>
      <c r="EZ163" s="40">
        <v>0.11</v>
      </c>
      <c r="FA163" s="40">
        <v>0.48</v>
      </c>
      <c r="FB163" s="247">
        <v>54</v>
      </c>
      <c r="FC163" s="247" t="s">
        <v>874</v>
      </c>
      <c r="FD163" s="247">
        <v>8</v>
      </c>
      <c r="FE163" s="247" t="s">
        <v>874</v>
      </c>
      <c r="FF163" s="264">
        <v>0.05</v>
      </c>
      <c r="FG163" s="264">
        <v>0.53</v>
      </c>
      <c r="FH163" s="264">
        <v>0.43</v>
      </c>
      <c r="FI163" s="264">
        <v>0</v>
      </c>
      <c r="FJ163" s="264">
        <v>0.37</v>
      </c>
      <c r="FK163" s="264">
        <v>0.66</v>
      </c>
      <c r="FL163" s="264">
        <v>0.38</v>
      </c>
      <c r="FM163" s="264">
        <v>0.36</v>
      </c>
      <c r="FN163" s="264">
        <v>0.2</v>
      </c>
      <c r="FO163" s="264">
        <v>0.23</v>
      </c>
      <c r="FP163" s="264">
        <v>0.28999999999999998</v>
      </c>
      <c r="FQ163" s="264">
        <v>0.32</v>
      </c>
      <c r="FR163" s="264">
        <v>0.57999999999999996</v>
      </c>
      <c r="FS163" s="264">
        <v>0.41</v>
      </c>
      <c r="FT163" s="264">
        <v>0.42</v>
      </c>
      <c r="FU163" s="264">
        <v>0.28999999999999998</v>
      </c>
      <c r="FV163" s="264">
        <v>0.52</v>
      </c>
      <c r="FW163" s="264">
        <v>0.49</v>
      </c>
      <c r="FX163" s="264">
        <v>0.31</v>
      </c>
      <c r="FY163" s="264">
        <v>0.24</v>
      </c>
      <c r="FZ163" s="264">
        <v>0.34</v>
      </c>
      <c r="GA163" s="264">
        <v>0.46</v>
      </c>
      <c r="GB163" s="264">
        <v>0.5</v>
      </c>
      <c r="GC163" s="264">
        <v>0.37</v>
      </c>
      <c r="GD163" s="264">
        <v>0.5</v>
      </c>
      <c r="GE163" s="264">
        <v>0.5</v>
      </c>
      <c r="GF163" s="264">
        <v>0.37</v>
      </c>
      <c r="GG163" s="264">
        <v>0.4</v>
      </c>
      <c r="GH163" s="264">
        <v>0.49</v>
      </c>
      <c r="GI163" s="264">
        <v>0.2</v>
      </c>
      <c r="GJ163" s="311">
        <v>57</v>
      </c>
      <c r="GK163" s="311" t="s">
        <v>874</v>
      </c>
      <c r="GL163" s="311">
        <v>8</v>
      </c>
      <c r="GM163" s="311" t="s">
        <v>874</v>
      </c>
      <c r="GN163" s="329">
        <v>0.02</v>
      </c>
      <c r="GO163" s="329">
        <v>0.39</v>
      </c>
      <c r="GP163" s="329">
        <v>0.53</v>
      </c>
      <c r="GQ163" s="329">
        <v>0.06</v>
      </c>
      <c r="GR163" s="329">
        <v>0.4</v>
      </c>
      <c r="GS163" s="329">
        <v>0.37</v>
      </c>
      <c r="GT163" s="329">
        <v>0.51</v>
      </c>
      <c r="GU163" s="329">
        <v>0.25</v>
      </c>
      <c r="GV163" s="329">
        <v>0.42</v>
      </c>
      <c r="GW163" s="329">
        <v>0.34</v>
      </c>
      <c r="GX163" s="329">
        <v>0.34</v>
      </c>
      <c r="GY163" s="311" t="s">
        <v>283</v>
      </c>
      <c r="GZ163" s="329">
        <v>0.19</v>
      </c>
      <c r="HA163" s="329">
        <v>0.49</v>
      </c>
      <c r="HB163" s="329">
        <v>0.32</v>
      </c>
      <c r="HC163" s="329">
        <v>0.46</v>
      </c>
      <c r="HD163" s="329">
        <v>0.41</v>
      </c>
      <c r="HE163" s="329">
        <v>0.3</v>
      </c>
      <c r="HF163" s="329">
        <v>0.38</v>
      </c>
      <c r="HG163" s="329">
        <v>0.56999999999999995</v>
      </c>
      <c r="HH163" s="329">
        <v>0.2</v>
      </c>
      <c r="HI163" s="329">
        <v>0.43</v>
      </c>
      <c r="HJ163" s="329">
        <v>0.54</v>
      </c>
      <c r="HK163" s="329">
        <v>0.39</v>
      </c>
      <c r="HL163" s="329">
        <v>0.32</v>
      </c>
      <c r="HM163" s="329">
        <v>0.4</v>
      </c>
      <c r="HN163" s="329">
        <v>0.35</v>
      </c>
      <c r="HO163" s="329">
        <v>0.24</v>
      </c>
      <c r="HP163" s="311" t="s">
        <v>283</v>
      </c>
      <c r="HQ163" s="329">
        <v>0.25</v>
      </c>
      <c r="HR163" s="426">
        <v>55</v>
      </c>
      <c r="HS163" s="426" t="s">
        <v>874</v>
      </c>
      <c r="HT163" s="426">
        <v>8</v>
      </c>
      <c r="HU163" s="426" t="s">
        <v>874</v>
      </c>
      <c r="HV163" s="430">
        <v>0.04</v>
      </c>
      <c r="HW163" s="430">
        <v>0.45</v>
      </c>
      <c r="HX163" s="430">
        <v>0.49</v>
      </c>
      <c r="HY163" s="430">
        <v>0.02</v>
      </c>
      <c r="HZ163" s="430">
        <v>0.35</v>
      </c>
      <c r="IA163" s="430">
        <v>0.43</v>
      </c>
      <c r="IB163" s="430">
        <v>0.25</v>
      </c>
      <c r="IC163" s="430">
        <v>0.4</v>
      </c>
      <c r="ID163" s="430">
        <v>0.61</v>
      </c>
      <c r="IE163" s="430">
        <v>0.24</v>
      </c>
      <c r="IF163" s="430">
        <v>0.33</v>
      </c>
      <c r="IG163" s="430">
        <v>0.47</v>
      </c>
      <c r="IH163" s="430">
        <v>0.45</v>
      </c>
      <c r="II163" s="430">
        <v>0.23</v>
      </c>
      <c r="IJ163" s="430">
        <v>0.18</v>
      </c>
      <c r="IK163" s="430">
        <v>0.48</v>
      </c>
      <c r="IL163" s="430">
        <v>0.23</v>
      </c>
      <c r="IM163" s="430">
        <v>0.6</v>
      </c>
      <c r="IN163" s="430">
        <v>0.43</v>
      </c>
      <c r="IO163" s="430">
        <v>0.46</v>
      </c>
      <c r="IP163" s="430">
        <v>0.28999999999999998</v>
      </c>
      <c r="IQ163" s="430">
        <v>0.63</v>
      </c>
      <c r="IR163" s="430">
        <v>0.4</v>
      </c>
      <c r="IS163" s="430">
        <v>0.48</v>
      </c>
      <c r="IT163" s="430">
        <v>0.38</v>
      </c>
      <c r="IU163" s="426" t="s">
        <v>283</v>
      </c>
      <c r="IV163" s="430">
        <v>0.65</v>
      </c>
      <c r="IW163" s="430">
        <v>0.31</v>
      </c>
      <c r="IX163" s="430">
        <v>0.48</v>
      </c>
      <c r="IY163" s="430">
        <v>0.43</v>
      </c>
      <c r="IZ163" s="466">
        <v>56</v>
      </c>
      <c r="JA163" s="466" t="s">
        <v>874</v>
      </c>
      <c r="JB163" s="466">
        <v>9</v>
      </c>
      <c r="JC163" s="466" t="s">
        <v>874</v>
      </c>
      <c r="JD163" s="480">
        <v>0.04</v>
      </c>
      <c r="JE163" s="480">
        <v>0.38</v>
      </c>
      <c r="JF163" s="480">
        <v>0.54</v>
      </c>
      <c r="JG163" s="480">
        <v>0.04</v>
      </c>
      <c r="JH163" s="480">
        <v>0.41</v>
      </c>
      <c r="JI163" s="480">
        <v>0.4</v>
      </c>
      <c r="JJ163" s="480">
        <v>0.32</v>
      </c>
      <c r="JK163" s="480">
        <v>0.42</v>
      </c>
      <c r="JL163" s="480">
        <v>0.41</v>
      </c>
      <c r="JM163" s="480">
        <v>0.36</v>
      </c>
      <c r="JN163" s="480">
        <v>0.26</v>
      </c>
      <c r="JO163" s="480">
        <v>0.36</v>
      </c>
      <c r="JP163" s="480">
        <v>0.49</v>
      </c>
      <c r="JQ163" s="480">
        <v>0.21</v>
      </c>
      <c r="JR163" s="480">
        <v>0.48</v>
      </c>
      <c r="JS163" s="480">
        <v>0.47</v>
      </c>
      <c r="JT163" s="480">
        <v>0.34</v>
      </c>
      <c r="JU163" s="480">
        <v>0.47</v>
      </c>
      <c r="JV163" s="480">
        <v>0.34</v>
      </c>
      <c r="JW163" s="480">
        <v>0.35</v>
      </c>
      <c r="JX163" s="480">
        <v>0.34</v>
      </c>
      <c r="JY163" s="480">
        <v>0.4</v>
      </c>
      <c r="JZ163" s="480">
        <v>0.42</v>
      </c>
      <c r="KA163" s="480">
        <v>0.57999999999999996</v>
      </c>
      <c r="KB163" s="480">
        <v>0.3</v>
      </c>
      <c r="KC163" s="480">
        <v>0.6</v>
      </c>
      <c r="KD163" s="480">
        <v>0.26</v>
      </c>
      <c r="KE163" s="480">
        <v>0.4</v>
      </c>
      <c r="KF163" s="480">
        <v>0.47</v>
      </c>
      <c r="KG163" s="480">
        <v>0.41</v>
      </c>
    </row>
    <row r="164" spans="1:293" ht="24.95" customHeight="1" x14ac:dyDescent="0.2">
      <c r="A164" s="814" t="s">
        <v>213</v>
      </c>
      <c r="B164" s="1" t="s">
        <v>221</v>
      </c>
      <c r="C164" s="2">
        <v>5</v>
      </c>
      <c r="D164" s="12">
        <v>59</v>
      </c>
      <c r="E164" s="12">
        <v>6</v>
      </c>
      <c r="F164" s="66">
        <v>0</v>
      </c>
      <c r="G164" s="66">
        <v>0.21</v>
      </c>
      <c r="H164" s="66">
        <v>0.79</v>
      </c>
      <c r="I164" s="66">
        <v>0</v>
      </c>
      <c r="J164" s="66">
        <v>0.2</v>
      </c>
      <c r="K164" s="66">
        <v>0.28999999999999998</v>
      </c>
      <c r="L164" s="66">
        <v>0.61</v>
      </c>
      <c r="M164" s="66">
        <v>0.08</v>
      </c>
      <c r="N164" s="66">
        <v>0.22</v>
      </c>
      <c r="O164" s="66">
        <v>0.64</v>
      </c>
      <c r="P164" s="66">
        <v>0.38</v>
      </c>
      <c r="Q164" s="66">
        <v>0.49</v>
      </c>
      <c r="R164" s="66">
        <v>0.43</v>
      </c>
      <c r="S164" s="66">
        <v>0.51</v>
      </c>
      <c r="T164" s="66">
        <v>0.38</v>
      </c>
      <c r="U164" s="66">
        <v>0.33</v>
      </c>
      <c r="V164" s="66">
        <v>0</v>
      </c>
      <c r="W164" s="66">
        <v>0</v>
      </c>
      <c r="X164" s="66">
        <v>0.37</v>
      </c>
      <c r="Y164" s="66">
        <v>0.33</v>
      </c>
      <c r="Z164" s="66">
        <v>0</v>
      </c>
      <c r="AA164" s="66">
        <v>0.2</v>
      </c>
      <c r="AB164" s="66">
        <v>0.36</v>
      </c>
      <c r="AC164" s="66">
        <v>0.31</v>
      </c>
      <c r="AD164" s="66">
        <v>0.37</v>
      </c>
      <c r="AE164" s="66">
        <v>0.27</v>
      </c>
      <c r="AF164" s="66">
        <v>0.56000000000000005</v>
      </c>
      <c r="AG164" s="66">
        <v>0.43</v>
      </c>
      <c r="AH164" s="12">
        <v>60</v>
      </c>
      <c r="AI164" s="12">
        <v>5</v>
      </c>
      <c r="AJ164" s="40">
        <v>0</v>
      </c>
      <c r="AK164" s="40">
        <v>0.21</v>
      </c>
      <c r="AL164" s="40">
        <v>0.79</v>
      </c>
      <c r="AM164" s="40">
        <v>0</v>
      </c>
      <c r="AN164" s="40">
        <v>0.21</v>
      </c>
      <c r="AO164" s="40">
        <v>0.3</v>
      </c>
      <c r="AP164" s="40">
        <v>0.33</v>
      </c>
      <c r="AQ164" s="40">
        <v>0.12</v>
      </c>
      <c r="AR164" s="40">
        <v>0.32</v>
      </c>
      <c r="AS164" s="40">
        <v>0.38</v>
      </c>
      <c r="AT164" s="40">
        <v>0.26</v>
      </c>
      <c r="AU164" s="40">
        <v>0.32</v>
      </c>
      <c r="AV164" s="40">
        <v>0.42</v>
      </c>
      <c r="AW164" s="40">
        <v>0.33</v>
      </c>
      <c r="AX164" s="40">
        <v>0.38</v>
      </c>
      <c r="AY164" s="40">
        <v>0.12</v>
      </c>
      <c r="AZ164" s="40">
        <v>0.13</v>
      </c>
      <c r="BA164" s="40">
        <v>0.21</v>
      </c>
      <c r="BB164" s="40">
        <v>0.52</v>
      </c>
      <c r="BC164" s="40">
        <v>0.62</v>
      </c>
      <c r="BD164" s="40">
        <v>0.28000000000000003</v>
      </c>
      <c r="BE164" s="40">
        <v>0.45</v>
      </c>
      <c r="BF164" s="40">
        <v>0.28999999999999998</v>
      </c>
      <c r="BG164" s="40">
        <v>0.52</v>
      </c>
      <c r="BH164" s="40">
        <v>0.39</v>
      </c>
      <c r="BI164" s="40">
        <v>0.27</v>
      </c>
      <c r="BJ164" s="40">
        <v>0.11</v>
      </c>
      <c r="BK164" s="40">
        <v>0.31</v>
      </c>
      <c r="BL164" s="40">
        <v>0.25</v>
      </c>
      <c r="BM164" s="12">
        <v>59</v>
      </c>
      <c r="BN164" s="12">
        <v>10</v>
      </c>
      <c r="BO164" s="66">
        <v>0.03</v>
      </c>
      <c r="BP164" s="66">
        <v>0.34</v>
      </c>
      <c r="BQ164" s="66">
        <v>0.56999999999999995</v>
      </c>
      <c r="BR164" s="66">
        <v>0.06</v>
      </c>
      <c r="BS164" s="66">
        <v>0.21</v>
      </c>
      <c r="BT164" s="66">
        <v>0.5</v>
      </c>
      <c r="BU164" s="66">
        <v>0.53</v>
      </c>
      <c r="BV164" s="66">
        <v>0.13</v>
      </c>
      <c r="BW164" s="66">
        <v>0.49</v>
      </c>
      <c r="BX164" s="66">
        <v>0.22</v>
      </c>
      <c r="BY164" s="66">
        <v>0.31</v>
      </c>
      <c r="BZ164" s="66">
        <v>0.45</v>
      </c>
      <c r="CA164" s="66">
        <v>0.48</v>
      </c>
      <c r="CB164" s="66">
        <v>0.15</v>
      </c>
      <c r="CC164" s="66">
        <v>0.13</v>
      </c>
      <c r="CD164" s="66">
        <v>0.22</v>
      </c>
      <c r="CE164" s="66">
        <v>0.25</v>
      </c>
      <c r="CF164" s="66">
        <v>0.51</v>
      </c>
      <c r="CG164" s="66">
        <v>0.44</v>
      </c>
      <c r="CH164" s="66">
        <v>0.26</v>
      </c>
      <c r="CI164" s="66">
        <v>0.5</v>
      </c>
      <c r="CJ164" s="66">
        <v>0.23</v>
      </c>
      <c r="CK164" s="66">
        <v>0.5</v>
      </c>
      <c r="CL164" s="66">
        <v>0.14000000000000001</v>
      </c>
      <c r="CM164" s="66">
        <v>0.37</v>
      </c>
      <c r="CN164" s="66">
        <v>0.23</v>
      </c>
      <c r="CO164" s="66">
        <v>0.31</v>
      </c>
      <c r="CP164" s="66">
        <v>0.28000000000000003</v>
      </c>
      <c r="CQ164" s="66">
        <v>0.33</v>
      </c>
      <c r="CR164" s="66">
        <v>0.37</v>
      </c>
      <c r="CS164" s="12">
        <v>56</v>
      </c>
      <c r="CT164" s="12">
        <v>7</v>
      </c>
      <c r="CU164" s="63">
        <v>0</v>
      </c>
      <c r="CV164" s="63">
        <v>0.55000000000000004</v>
      </c>
      <c r="CW164" s="63">
        <v>0.45</v>
      </c>
      <c r="CX164" s="63">
        <v>0</v>
      </c>
      <c r="CY164" s="63">
        <v>0.46</v>
      </c>
      <c r="CZ164" s="63">
        <v>0.2</v>
      </c>
      <c r="DA164" s="63">
        <v>0.4</v>
      </c>
      <c r="DB164" s="63">
        <v>0.19</v>
      </c>
      <c r="DC164" s="63">
        <v>0.41</v>
      </c>
      <c r="DD164" s="63">
        <v>0.52</v>
      </c>
      <c r="DE164" s="63">
        <v>0.36</v>
      </c>
      <c r="DF164" s="63">
        <v>0.56000000000000005</v>
      </c>
      <c r="DG164" s="63">
        <v>0.28999999999999998</v>
      </c>
      <c r="DH164" s="63">
        <v>0.39</v>
      </c>
      <c r="DI164" s="63">
        <v>0.53</v>
      </c>
      <c r="DJ164" s="63">
        <v>0.25</v>
      </c>
      <c r="DK164" s="63">
        <v>0.12</v>
      </c>
      <c r="DL164" s="63">
        <v>0</v>
      </c>
      <c r="DM164" s="63">
        <v>0.5</v>
      </c>
      <c r="DN164" s="63">
        <v>0.46</v>
      </c>
      <c r="DO164" s="63">
        <v>0.35</v>
      </c>
      <c r="DP164" s="63">
        <v>0.38</v>
      </c>
      <c r="DQ164" s="63">
        <v>0.46</v>
      </c>
      <c r="DR164" s="63">
        <v>0.05</v>
      </c>
      <c r="DS164" s="63">
        <v>0.21</v>
      </c>
      <c r="DT164" s="63">
        <v>0.61</v>
      </c>
      <c r="DU164" s="63">
        <v>0.5</v>
      </c>
      <c r="DV164" s="63">
        <v>0.53</v>
      </c>
      <c r="DW164" s="63">
        <v>0.34</v>
      </c>
      <c r="DX164" s="35">
        <v>55</v>
      </c>
      <c r="DY164" s="35">
        <v>6</v>
      </c>
      <c r="DZ164" s="40">
        <v>0</v>
      </c>
      <c r="EA164" s="40">
        <v>0.56000000000000005</v>
      </c>
      <c r="EB164" s="40">
        <v>0.44</v>
      </c>
      <c r="EC164" s="40">
        <v>0</v>
      </c>
      <c r="ED164" s="40">
        <v>0.47</v>
      </c>
      <c r="EE164" s="40">
        <v>0.36</v>
      </c>
      <c r="EF164" s="40">
        <v>0.51</v>
      </c>
      <c r="EG164" s="40">
        <v>0.09</v>
      </c>
      <c r="EH164" s="40">
        <v>0.32</v>
      </c>
      <c r="EI164" s="40">
        <v>0.48</v>
      </c>
      <c r="EJ164" s="40">
        <v>0.47</v>
      </c>
      <c r="EK164" s="40">
        <v>0.2</v>
      </c>
      <c r="EL164" s="40">
        <v>0.37</v>
      </c>
      <c r="EM164" s="40">
        <v>0.51</v>
      </c>
      <c r="EN164" s="40">
        <v>0.33</v>
      </c>
      <c r="EO164" s="40">
        <v>0.47</v>
      </c>
      <c r="EP164" s="40">
        <v>0.22</v>
      </c>
      <c r="EQ164" s="40">
        <v>0.14000000000000001</v>
      </c>
      <c r="ER164" s="40">
        <v>0.59</v>
      </c>
      <c r="ES164" s="40">
        <v>0.37</v>
      </c>
      <c r="ET164" s="40">
        <v>0.2</v>
      </c>
      <c r="EU164" s="40">
        <v>0.56999999999999995</v>
      </c>
      <c r="EV164" s="40">
        <v>0.24</v>
      </c>
      <c r="EW164" s="40">
        <v>0.3</v>
      </c>
      <c r="EX164" s="40">
        <v>0.69</v>
      </c>
      <c r="EY164" s="40">
        <v>0.46</v>
      </c>
      <c r="EZ164" s="40">
        <v>0.11</v>
      </c>
      <c r="FA164" s="40">
        <v>0.51</v>
      </c>
      <c r="FB164" s="247">
        <v>55</v>
      </c>
      <c r="FC164" s="247" t="s">
        <v>874</v>
      </c>
      <c r="FD164" s="247">
        <v>9</v>
      </c>
      <c r="FE164" s="247" t="s">
        <v>874</v>
      </c>
      <c r="FF164" s="264">
        <v>0.05</v>
      </c>
      <c r="FG164" s="264">
        <v>0.47</v>
      </c>
      <c r="FH164" s="264">
        <v>0.49</v>
      </c>
      <c r="FI164" s="264">
        <v>0</v>
      </c>
      <c r="FJ164" s="264">
        <v>0.35</v>
      </c>
      <c r="FK164" s="264">
        <v>0.61</v>
      </c>
      <c r="FL164" s="264">
        <v>0.39</v>
      </c>
      <c r="FM164" s="264">
        <v>0.28999999999999998</v>
      </c>
      <c r="FN164" s="264">
        <v>0.22</v>
      </c>
      <c r="FO164" s="264">
        <v>0.14000000000000001</v>
      </c>
      <c r="FP164" s="264">
        <v>0.34</v>
      </c>
      <c r="FQ164" s="264">
        <v>0.39</v>
      </c>
      <c r="FR164" s="264">
        <v>0.49</v>
      </c>
      <c r="FS164" s="264">
        <v>0.42</v>
      </c>
      <c r="FT164" s="264">
        <v>0.42</v>
      </c>
      <c r="FU164" s="264">
        <v>0.21</v>
      </c>
      <c r="FV164" s="264">
        <v>0.42</v>
      </c>
      <c r="FW164" s="264">
        <v>0.52</v>
      </c>
      <c r="FX164" s="264">
        <v>0.32</v>
      </c>
      <c r="FY164" s="264">
        <v>0.27</v>
      </c>
      <c r="FZ164" s="264">
        <v>0.28999999999999998</v>
      </c>
      <c r="GA164" s="264">
        <v>0.51</v>
      </c>
      <c r="GB164" s="264">
        <v>0.42</v>
      </c>
      <c r="GC164" s="264">
        <v>0.4</v>
      </c>
      <c r="GD164" s="264">
        <v>0.53</v>
      </c>
      <c r="GE164" s="264">
        <v>0.4</v>
      </c>
      <c r="GF164" s="264">
        <v>0.44</v>
      </c>
      <c r="GG164" s="264">
        <v>0.36</v>
      </c>
      <c r="GH164" s="264">
        <v>0.53</v>
      </c>
      <c r="GI164" s="264">
        <v>0.22</v>
      </c>
      <c r="GJ164" s="311">
        <v>56</v>
      </c>
      <c r="GK164" s="311" t="s">
        <v>874</v>
      </c>
      <c r="GL164" s="311">
        <v>9</v>
      </c>
      <c r="GM164" s="311" t="s">
        <v>874</v>
      </c>
      <c r="GN164" s="329">
        <v>0.08</v>
      </c>
      <c r="GO164" s="329">
        <v>0.39</v>
      </c>
      <c r="GP164" s="329">
        <v>0.47</v>
      </c>
      <c r="GQ164" s="329">
        <v>0.05</v>
      </c>
      <c r="GR164" s="329">
        <v>0.45</v>
      </c>
      <c r="GS164" s="329">
        <v>0.46</v>
      </c>
      <c r="GT164" s="329">
        <v>0.52</v>
      </c>
      <c r="GU164" s="329">
        <v>0.14000000000000001</v>
      </c>
      <c r="GV164" s="329">
        <v>0.4</v>
      </c>
      <c r="GW164" s="329">
        <v>0.24</v>
      </c>
      <c r="GX164" s="329">
        <v>0.36</v>
      </c>
      <c r="GY164" s="311" t="s">
        <v>283</v>
      </c>
      <c r="GZ164" s="329">
        <v>0.28999999999999998</v>
      </c>
      <c r="HA164" s="329">
        <v>0.56000000000000005</v>
      </c>
      <c r="HB164" s="329">
        <v>0.4</v>
      </c>
      <c r="HC164" s="329">
        <v>0.45</v>
      </c>
      <c r="HD164" s="329">
        <v>0.39</v>
      </c>
      <c r="HE164" s="329">
        <v>0.36</v>
      </c>
      <c r="HF164" s="329">
        <v>0.35</v>
      </c>
      <c r="HG164" s="329">
        <v>0.6</v>
      </c>
      <c r="HH164" s="329">
        <v>0.28999999999999998</v>
      </c>
      <c r="HI164" s="329">
        <v>0.45</v>
      </c>
      <c r="HJ164" s="329">
        <v>0.47</v>
      </c>
      <c r="HK164" s="329">
        <v>0.31</v>
      </c>
      <c r="HL164" s="329">
        <v>0.36</v>
      </c>
      <c r="HM164" s="329">
        <v>0.43</v>
      </c>
      <c r="HN164" s="329">
        <v>0.49</v>
      </c>
      <c r="HO164" s="329">
        <v>0.35</v>
      </c>
      <c r="HP164" s="311" t="s">
        <v>283</v>
      </c>
      <c r="HQ164" s="329">
        <v>0.24</v>
      </c>
      <c r="HR164" s="426">
        <v>58</v>
      </c>
      <c r="HS164" s="426" t="s">
        <v>874</v>
      </c>
      <c r="HT164" s="426">
        <v>8</v>
      </c>
      <c r="HU164" s="426" t="s">
        <v>874</v>
      </c>
      <c r="HV164" s="430">
        <v>0.03</v>
      </c>
      <c r="HW164" s="430">
        <v>0.36</v>
      </c>
      <c r="HX164" s="430">
        <v>0.55000000000000004</v>
      </c>
      <c r="HY164" s="430">
        <v>0.05</v>
      </c>
      <c r="HZ164" s="430">
        <v>0.28000000000000003</v>
      </c>
      <c r="IA164" s="430">
        <v>0.43</v>
      </c>
      <c r="IB164" s="430">
        <v>0.23</v>
      </c>
      <c r="IC164" s="430">
        <v>0.33</v>
      </c>
      <c r="ID164" s="430">
        <v>0.6</v>
      </c>
      <c r="IE164" s="430">
        <v>0.26</v>
      </c>
      <c r="IF164" s="430">
        <v>0.3</v>
      </c>
      <c r="IG164" s="430">
        <v>0.43</v>
      </c>
      <c r="IH164" s="430">
        <v>0.37</v>
      </c>
      <c r="II164" s="430">
        <v>0.17</v>
      </c>
      <c r="IJ164" s="430">
        <v>0.18</v>
      </c>
      <c r="IK164" s="430">
        <v>0.49</v>
      </c>
      <c r="IL164" s="430">
        <v>0.26</v>
      </c>
      <c r="IM164" s="430">
        <v>0.42</v>
      </c>
      <c r="IN164" s="430">
        <v>0.34</v>
      </c>
      <c r="IO164" s="430">
        <v>0.5</v>
      </c>
      <c r="IP164" s="430">
        <v>0.22</v>
      </c>
      <c r="IQ164" s="430">
        <v>0.51</v>
      </c>
      <c r="IR164" s="430">
        <v>0.44</v>
      </c>
      <c r="IS164" s="430">
        <v>0.32</v>
      </c>
      <c r="IT164" s="430">
        <v>0.26</v>
      </c>
      <c r="IU164" s="426" t="s">
        <v>283</v>
      </c>
      <c r="IV164" s="430">
        <v>0.53</v>
      </c>
      <c r="IW164" s="430">
        <v>0.36</v>
      </c>
      <c r="IX164" s="430">
        <v>0.36</v>
      </c>
      <c r="IY164" s="430">
        <v>0.4</v>
      </c>
      <c r="IZ164" s="466">
        <v>58</v>
      </c>
      <c r="JA164" s="466" t="s">
        <v>874</v>
      </c>
      <c r="JB164" s="466">
        <v>8</v>
      </c>
      <c r="JC164" s="466" t="s">
        <v>874</v>
      </c>
      <c r="JD164" s="480">
        <v>0.03</v>
      </c>
      <c r="JE164" s="480">
        <v>0.34</v>
      </c>
      <c r="JF164" s="480">
        <v>0.62</v>
      </c>
      <c r="JG164" s="480">
        <v>0.01</v>
      </c>
      <c r="JH164" s="480">
        <v>0.27</v>
      </c>
      <c r="JI164" s="480">
        <v>0.4</v>
      </c>
      <c r="JJ164" s="480">
        <v>0.3</v>
      </c>
      <c r="JK164" s="480">
        <v>0.38</v>
      </c>
      <c r="JL164" s="480">
        <v>0.38</v>
      </c>
      <c r="JM164" s="480">
        <v>0.42</v>
      </c>
      <c r="JN164" s="480">
        <v>0.23</v>
      </c>
      <c r="JO164" s="480">
        <v>0.32</v>
      </c>
      <c r="JP164" s="480">
        <v>0.46</v>
      </c>
      <c r="JQ164" s="480">
        <v>0.16</v>
      </c>
      <c r="JR164" s="480">
        <v>0.41</v>
      </c>
      <c r="JS164" s="480">
        <v>0.39</v>
      </c>
      <c r="JT164" s="480">
        <v>0.27</v>
      </c>
      <c r="JU164" s="480">
        <v>0.43</v>
      </c>
      <c r="JV164" s="480">
        <v>0.34</v>
      </c>
      <c r="JW164" s="480">
        <v>0.36</v>
      </c>
      <c r="JX164" s="480">
        <v>0.33</v>
      </c>
      <c r="JY164" s="480">
        <v>0.37</v>
      </c>
      <c r="JZ164" s="480">
        <v>0.31</v>
      </c>
      <c r="KA164" s="480">
        <v>0.49</v>
      </c>
      <c r="KB164" s="480">
        <v>0.36</v>
      </c>
      <c r="KC164" s="480">
        <v>0.63</v>
      </c>
      <c r="KD164" s="480">
        <v>0.21</v>
      </c>
      <c r="KE164" s="480">
        <v>0.41</v>
      </c>
      <c r="KF164" s="480">
        <v>0.4</v>
      </c>
      <c r="KG164" s="480">
        <v>0.39</v>
      </c>
    </row>
    <row r="165" spans="1:293" ht="24.95" customHeight="1" x14ac:dyDescent="0.2">
      <c r="A165" s="814" t="s">
        <v>176</v>
      </c>
      <c r="B165" s="1" t="s">
        <v>221</v>
      </c>
      <c r="C165" s="2">
        <v>5</v>
      </c>
      <c r="D165" s="12">
        <v>56</v>
      </c>
      <c r="E165" s="12">
        <v>5</v>
      </c>
      <c r="F165" s="66">
        <v>0</v>
      </c>
      <c r="G165" s="66">
        <v>0.56999999999999995</v>
      </c>
      <c r="H165" s="66">
        <v>0.43</v>
      </c>
      <c r="I165" s="66">
        <v>0</v>
      </c>
      <c r="J165" s="66">
        <v>0.36</v>
      </c>
      <c r="K165" s="66">
        <v>0.23</v>
      </c>
      <c r="L165" s="66">
        <v>0.68</v>
      </c>
      <c r="M165" s="66">
        <v>0.05</v>
      </c>
      <c r="N165" s="66">
        <v>0.18</v>
      </c>
      <c r="O165" s="66">
        <v>0.53</v>
      </c>
      <c r="P165" s="66">
        <v>0.28000000000000003</v>
      </c>
      <c r="Q165" s="66">
        <v>0.51</v>
      </c>
      <c r="R165" s="66">
        <v>0.6</v>
      </c>
      <c r="S165" s="66">
        <v>0.47</v>
      </c>
      <c r="T165" s="66">
        <v>0.32</v>
      </c>
      <c r="U165" s="66">
        <v>0.49</v>
      </c>
      <c r="V165" s="66">
        <v>0.09</v>
      </c>
      <c r="W165" s="66">
        <v>0.22</v>
      </c>
      <c r="X165" s="66">
        <v>0.49</v>
      </c>
      <c r="Y165" s="66">
        <v>0.46</v>
      </c>
      <c r="Z165" s="66">
        <v>1</v>
      </c>
      <c r="AA165" s="66">
        <v>0</v>
      </c>
      <c r="AB165" s="66">
        <v>0.42</v>
      </c>
      <c r="AC165" s="66">
        <v>0.09</v>
      </c>
      <c r="AD165" s="66">
        <v>0.4</v>
      </c>
      <c r="AE165" s="66">
        <v>0.31</v>
      </c>
      <c r="AF165" s="66">
        <v>0.59</v>
      </c>
      <c r="AG165" s="66">
        <v>0.51</v>
      </c>
      <c r="AH165" s="12">
        <v>55</v>
      </c>
      <c r="AI165" s="12">
        <v>7</v>
      </c>
      <c r="AJ165" s="40">
        <v>0.03</v>
      </c>
      <c r="AK165" s="40">
        <v>0.48</v>
      </c>
      <c r="AL165" s="40">
        <v>0.48</v>
      </c>
      <c r="AM165" s="40">
        <v>0</v>
      </c>
      <c r="AN165" s="40">
        <v>0.14000000000000001</v>
      </c>
      <c r="AO165" s="40">
        <v>0.38</v>
      </c>
      <c r="AP165" s="40">
        <v>0.63</v>
      </c>
      <c r="AQ165" s="40">
        <v>0.31</v>
      </c>
      <c r="AR165" s="40">
        <v>0.51</v>
      </c>
      <c r="AS165" s="40">
        <v>0.42</v>
      </c>
      <c r="AT165" s="40">
        <v>0.35</v>
      </c>
      <c r="AU165" s="40">
        <v>0.56000000000000005</v>
      </c>
      <c r="AV165" s="40">
        <v>0.57999999999999996</v>
      </c>
      <c r="AW165" s="40">
        <v>0.64</v>
      </c>
      <c r="AX165" s="40">
        <v>0.43</v>
      </c>
      <c r="AY165" s="40">
        <v>0.25</v>
      </c>
      <c r="AZ165" s="40">
        <v>0.21</v>
      </c>
      <c r="BA165" s="40">
        <v>0.33</v>
      </c>
      <c r="BB165" s="40">
        <v>0.51</v>
      </c>
      <c r="BC165" s="40">
        <v>0.54</v>
      </c>
      <c r="BD165" s="40">
        <v>0.36</v>
      </c>
      <c r="BE165" s="40">
        <v>0.79</v>
      </c>
      <c r="BF165" s="40">
        <v>0.64</v>
      </c>
      <c r="BG165" s="40">
        <v>0.52</v>
      </c>
      <c r="BH165" s="40">
        <v>0.43</v>
      </c>
      <c r="BI165" s="40">
        <v>0.31</v>
      </c>
      <c r="BJ165" s="40">
        <v>0.36</v>
      </c>
      <c r="BK165" s="40">
        <v>0.36</v>
      </c>
      <c r="BL165" s="40">
        <v>0.47</v>
      </c>
      <c r="BM165" s="12">
        <v>57</v>
      </c>
      <c r="BN165" s="12">
        <v>5</v>
      </c>
      <c r="BO165" s="66">
        <v>0</v>
      </c>
      <c r="BP165" s="66">
        <v>0.28000000000000003</v>
      </c>
      <c r="BQ165" s="66">
        <v>0.72</v>
      </c>
      <c r="BR165" s="66">
        <v>0</v>
      </c>
      <c r="BS165" s="66">
        <v>0.14000000000000001</v>
      </c>
      <c r="BT165" s="66">
        <v>0.78</v>
      </c>
      <c r="BU165" s="66">
        <v>0.56000000000000005</v>
      </c>
      <c r="BV165" s="66">
        <v>0.09</v>
      </c>
      <c r="BW165" s="66">
        <v>0.8</v>
      </c>
      <c r="BX165" s="66">
        <v>0.27</v>
      </c>
      <c r="BY165" s="66">
        <v>0.26</v>
      </c>
      <c r="BZ165" s="66">
        <v>0.41</v>
      </c>
      <c r="CA165" s="66">
        <v>0.38</v>
      </c>
      <c r="CB165" s="66">
        <v>0.19</v>
      </c>
      <c r="CC165" s="66">
        <v>0.08</v>
      </c>
      <c r="CD165" s="66">
        <v>0.14000000000000001</v>
      </c>
      <c r="CE165" s="66">
        <v>0.11</v>
      </c>
      <c r="CF165" s="66">
        <v>0.5</v>
      </c>
      <c r="CG165" s="66">
        <v>0.5</v>
      </c>
      <c r="CH165" s="66">
        <v>0.28999999999999998</v>
      </c>
      <c r="CI165" s="66">
        <v>0.49</v>
      </c>
      <c r="CJ165" s="66">
        <v>0.26</v>
      </c>
      <c r="CK165" s="66">
        <v>0.49</v>
      </c>
      <c r="CL165" s="66">
        <v>0.18</v>
      </c>
      <c r="CM165" s="66">
        <v>0.2</v>
      </c>
      <c r="CN165" s="66">
        <v>0.3</v>
      </c>
      <c r="CO165" s="66">
        <v>0.38</v>
      </c>
      <c r="CP165" s="66">
        <v>0.18</v>
      </c>
      <c r="CQ165" s="66">
        <v>0.48</v>
      </c>
      <c r="CR165" s="66">
        <v>0.47</v>
      </c>
      <c r="CS165" s="12">
        <v>53</v>
      </c>
      <c r="CT165" s="12">
        <v>8</v>
      </c>
      <c r="CU165" s="63">
        <v>0.05</v>
      </c>
      <c r="CV165" s="63">
        <v>0.5</v>
      </c>
      <c r="CW165" s="63">
        <v>0.4</v>
      </c>
      <c r="CX165" s="63">
        <v>0.05</v>
      </c>
      <c r="CY165" s="63">
        <v>0.44</v>
      </c>
      <c r="CZ165" s="63">
        <v>0.23</v>
      </c>
      <c r="DA165" s="63">
        <v>0.49</v>
      </c>
      <c r="DB165" s="63">
        <v>0.32</v>
      </c>
      <c r="DC165" s="63">
        <v>0.39</v>
      </c>
      <c r="DD165" s="63">
        <v>0.62</v>
      </c>
      <c r="DE165" s="63">
        <v>0.43</v>
      </c>
      <c r="DF165" s="63">
        <v>0.46</v>
      </c>
      <c r="DG165" s="63">
        <v>0.43</v>
      </c>
      <c r="DH165" s="63">
        <v>0.28999999999999998</v>
      </c>
      <c r="DI165" s="63">
        <v>0.38</v>
      </c>
      <c r="DJ165" s="63">
        <v>0.36</v>
      </c>
      <c r="DK165" s="63">
        <v>0.33</v>
      </c>
      <c r="DL165" s="63">
        <v>0.4</v>
      </c>
      <c r="DM165" s="63">
        <v>0.49</v>
      </c>
      <c r="DN165" s="63">
        <v>0.38</v>
      </c>
      <c r="DO165" s="63">
        <v>0.38</v>
      </c>
      <c r="DP165" s="63">
        <v>0.43</v>
      </c>
      <c r="DQ165" s="63">
        <v>0.5</v>
      </c>
      <c r="DR165" s="63">
        <v>0.15</v>
      </c>
      <c r="DS165" s="63">
        <v>0.33</v>
      </c>
      <c r="DT165" s="63">
        <v>0.61</v>
      </c>
      <c r="DU165" s="63">
        <v>0.56000000000000005</v>
      </c>
      <c r="DV165" s="63">
        <v>0.4</v>
      </c>
      <c r="DW165" s="63">
        <v>0.24</v>
      </c>
      <c r="DX165" s="35">
        <v>56</v>
      </c>
      <c r="DY165" s="35">
        <v>6</v>
      </c>
      <c r="DZ165" s="40">
        <v>0.05</v>
      </c>
      <c r="EA165" s="40">
        <v>0.28999999999999998</v>
      </c>
      <c r="EB165" s="40">
        <v>0.67</v>
      </c>
      <c r="EC165" s="40">
        <v>0</v>
      </c>
      <c r="ED165" s="40">
        <v>0.48</v>
      </c>
      <c r="EE165" s="40">
        <v>0.39</v>
      </c>
      <c r="EF165" s="40">
        <v>0.44</v>
      </c>
      <c r="EG165" s="40">
        <v>0.08</v>
      </c>
      <c r="EH165" s="40">
        <v>0.23</v>
      </c>
      <c r="EI165" s="40">
        <v>0.37</v>
      </c>
      <c r="EJ165" s="40">
        <v>0.59</v>
      </c>
      <c r="EK165" s="40">
        <v>0.15</v>
      </c>
      <c r="EL165" s="40">
        <v>0.34</v>
      </c>
      <c r="EM165" s="40">
        <v>0.47</v>
      </c>
      <c r="EN165" s="40">
        <v>0.27</v>
      </c>
      <c r="EO165" s="40">
        <v>0.48</v>
      </c>
      <c r="EP165" s="40">
        <v>0.33</v>
      </c>
      <c r="EQ165" s="40">
        <v>0.08</v>
      </c>
      <c r="ER165" s="40">
        <v>0.35</v>
      </c>
      <c r="ES165" s="40">
        <v>0.38</v>
      </c>
      <c r="ET165" s="40">
        <v>0.24</v>
      </c>
      <c r="EU165" s="40">
        <v>0.32</v>
      </c>
      <c r="EV165" s="40">
        <v>0.13</v>
      </c>
      <c r="EW165" s="40">
        <v>0.21</v>
      </c>
      <c r="EX165" s="40">
        <v>0.55000000000000004</v>
      </c>
      <c r="EY165" s="40">
        <v>0.45</v>
      </c>
      <c r="EZ165" s="40">
        <v>0</v>
      </c>
      <c r="FA165" s="40">
        <v>0.47</v>
      </c>
      <c r="FB165" s="247">
        <v>54</v>
      </c>
      <c r="FC165" s="247" t="s">
        <v>874</v>
      </c>
      <c r="FD165" s="247">
        <v>9</v>
      </c>
      <c r="FE165" s="247" t="s">
        <v>874</v>
      </c>
      <c r="FF165" s="264">
        <v>7.0000000000000007E-2</v>
      </c>
      <c r="FG165" s="264">
        <v>0.56999999999999995</v>
      </c>
      <c r="FH165" s="264">
        <v>0.36</v>
      </c>
      <c r="FI165" s="264">
        <v>0</v>
      </c>
      <c r="FJ165" s="264">
        <v>0.45</v>
      </c>
      <c r="FK165" s="264">
        <v>0.56000000000000005</v>
      </c>
      <c r="FL165" s="264">
        <v>0.42</v>
      </c>
      <c r="FM165" s="264">
        <v>0.42</v>
      </c>
      <c r="FN165" s="264">
        <v>0.2</v>
      </c>
      <c r="FO165" s="264">
        <v>0.05</v>
      </c>
      <c r="FP165" s="264">
        <v>0.3</v>
      </c>
      <c r="FQ165" s="264">
        <v>0.35</v>
      </c>
      <c r="FR165" s="264">
        <v>0.48</v>
      </c>
      <c r="FS165" s="264">
        <v>0.48</v>
      </c>
      <c r="FT165" s="264">
        <v>0.45</v>
      </c>
      <c r="FU165" s="264">
        <v>0.28999999999999998</v>
      </c>
      <c r="FV165" s="264">
        <v>0.52</v>
      </c>
      <c r="FW165" s="264">
        <v>0.6</v>
      </c>
      <c r="FX165" s="264">
        <v>0.44</v>
      </c>
      <c r="FY165" s="264">
        <v>0.4</v>
      </c>
      <c r="FZ165" s="264">
        <v>0.15</v>
      </c>
      <c r="GA165" s="264">
        <v>0.28999999999999998</v>
      </c>
      <c r="GB165" s="264">
        <v>0.5</v>
      </c>
      <c r="GC165" s="264">
        <v>0.26</v>
      </c>
      <c r="GD165" s="264">
        <v>0.67</v>
      </c>
      <c r="GE165" s="264">
        <v>0.5</v>
      </c>
      <c r="GF165" s="264">
        <v>0.36</v>
      </c>
      <c r="GG165" s="264">
        <v>0.26</v>
      </c>
      <c r="GH165" s="264">
        <v>0.41</v>
      </c>
      <c r="GI165" s="264">
        <v>0.26</v>
      </c>
      <c r="GJ165" s="311">
        <v>57</v>
      </c>
      <c r="GK165" s="311" t="s">
        <v>874</v>
      </c>
      <c r="GL165" s="311">
        <v>6</v>
      </c>
      <c r="GM165" s="311" t="s">
        <v>874</v>
      </c>
      <c r="GN165" s="329">
        <v>0</v>
      </c>
      <c r="GO165" s="329">
        <v>0.35</v>
      </c>
      <c r="GP165" s="329">
        <v>0.65</v>
      </c>
      <c r="GQ165" s="329">
        <v>0</v>
      </c>
      <c r="GR165" s="329">
        <v>0.33</v>
      </c>
      <c r="GS165" s="329">
        <v>0.44</v>
      </c>
      <c r="GT165" s="329">
        <v>0.59</v>
      </c>
      <c r="GU165" s="329">
        <v>0.09</v>
      </c>
      <c r="GV165" s="329">
        <v>0.41</v>
      </c>
      <c r="GW165" s="329">
        <v>0.21</v>
      </c>
      <c r="GX165" s="329">
        <v>0.35</v>
      </c>
      <c r="GY165" s="311" t="s">
        <v>283</v>
      </c>
      <c r="GZ165" s="329">
        <v>0.15</v>
      </c>
      <c r="HA165" s="329">
        <v>0.56999999999999995</v>
      </c>
      <c r="HB165" s="329">
        <v>0.35</v>
      </c>
      <c r="HC165" s="329">
        <v>0.49</v>
      </c>
      <c r="HD165" s="329">
        <v>0.41</v>
      </c>
      <c r="HE165" s="329">
        <v>0.23</v>
      </c>
      <c r="HF165" s="329">
        <v>0.37</v>
      </c>
      <c r="HG165" s="329">
        <v>0.65</v>
      </c>
      <c r="HH165" s="329">
        <v>0.24</v>
      </c>
      <c r="HI165" s="329">
        <v>0.44</v>
      </c>
      <c r="HJ165" s="329">
        <v>0.52</v>
      </c>
      <c r="HK165" s="329">
        <v>0.2</v>
      </c>
      <c r="HL165" s="329">
        <v>0.28000000000000003</v>
      </c>
      <c r="HM165" s="329">
        <v>0.43</v>
      </c>
      <c r="HN165" s="329">
        <v>0.4</v>
      </c>
      <c r="HO165" s="329">
        <v>0.31</v>
      </c>
      <c r="HP165" s="311" t="s">
        <v>283</v>
      </c>
      <c r="HQ165" s="329">
        <v>0.27</v>
      </c>
      <c r="HR165" s="426">
        <v>55</v>
      </c>
      <c r="HS165" s="426" t="s">
        <v>874</v>
      </c>
      <c r="HT165" s="426">
        <v>8</v>
      </c>
      <c r="HU165" s="426" t="s">
        <v>874</v>
      </c>
      <c r="HV165" s="430">
        <v>7.0000000000000007E-2</v>
      </c>
      <c r="HW165" s="430">
        <v>0.55000000000000004</v>
      </c>
      <c r="HX165" s="430">
        <v>0.33</v>
      </c>
      <c r="HY165" s="430">
        <v>0.05</v>
      </c>
      <c r="HZ165" s="430">
        <v>0.26</v>
      </c>
      <c r="IA165" s="430">
        <v>0.38</v>
      </c>
      <c r="IB165" s="430">
        <v>0.25</v>
      </c>
      <c r="IC165" s="430">
        <v>0.44</v>
      </c>
      <c r="ID165" s="430">
        <v>0.56999999999999995</v>
      </c>
      <c r="IE165" s="430">
        <v>0.28000000000000003</v>
      </c>
      <c r="IF165" s="430">
        <v>0.4</v>
      </c>
      <c r="IG165" s="430">
        <v>0.47</v>
      </c>
      <c r="IH165" s="430">
        <v>0.48</v>
      </c>
      <c r="II165" s="430">
        <v>0.19</v>
      </c>
      <c r="IJ165" s="430">
        <v>0.28000000000000003</v>
      </c>
      <c r="IK165" s="430">
        <v>0.5</v>
      </c>
      <c r="IL165" s="430">
        <v>0.33</v>
      </c>
      <c r="IM165" s="430">
        <v>0.53</v>
      </c>
      <c r="IN165" s="430">
        <v>0.41</v>
      </c>
      <c r="IO165" s="430">
        <v>0.44</v>
      </c>
      <c r="IP165" s="430">
        <v>0.33</v>
      </c>
      <c r="IQ165" s="430">
        <v>0.54</v>
      </c>
      <c r="IR165" s="430">
        <v>0.43</v>
      </c>
      <c r="IS165" s="430">
        <v>0.47</v>
      </c>
      <c r="IT165" s="430">
        <v>0.32</v>
      </c>
      <c r="IU165" s="426" t="s">
        <v>283</v>
      </c>
      <c r="IV165" s="430">
        <v>0.55000000000000004</v>
      </c>
      <c r="IW165" s="430">
        <v>0.35</v>
      </c>
      <c r="IX165" s="430">
        <v>0.34</v>
      </c>
      <c r="IY165" s="430">
        <v>0.4</v>
      </c>
      <c r="IZ165" s="466">
        <v>56</v>
      </c>
      <c r="JA165" s="466" t="s">
        <v>874</v>
      </c>
      <c r="JB165" s="466">
        <v>9</v>
      </c>
      <c r="JC165" s="466" t="s">
        <v>874</v>
      </c>
      <c r="JD165" s="480">
        <v>0.05</v>
      </c>
      <c r="JE165" s="480">
        <v>0.36</v>
      </c>
      <c r="JF165" s="480">
        <v>0.55000000000000004</v>
      </c>
      <c r="JG165" s="480">
        <v>0.05</v>
      </c>
      <c r="JH165" s="480">
        <v>0.48</v>
      </c>
      <c r="JI165" s="480">
        <v>0.33</v>
      </c>
      <c r="JJ165" s="480">
        <v>0.26</v>
      </c>
      <c r="JK165" s="480">
        <v>0.4</v>
      </c>
      <c r="JL165" s="480">
        <v>0.41</v>
      </c>
      <c r="JM165" s="480">
        <v>0.31</v>
      </c>
      <c r="JN165" s="480">
        <v>0.34</v>
      </c>
      <c r="JO165" s="480">
        <v>0.46</v>
      </c>
      <c r="JP165" s="480">
        <v>0.57999999999999996</v>
      </c>
      <c r="JQ165" s="480">
        <v>0.21</v>
      </c>
      <c r="JR165" s="480">
        <v>0.44</v>
      </c>
      <c r="JS165" s="480">
        <v>0.5</v>
      </c>
      <c r="JT165" s="480">
        <v>0.33</v>
      </c>
      <c r="JU165" s="480">
        <v>0.42</v>
      </c>
      <c r="JV165" s="480">
        <v>0.37</v>
      </c>
      <c r="JW165" s="480">
        <v>0.43</v>
      </c>
      <c r="JX165" s="480">
        <v>0.19</v>
      </c>
      <c r="JY165" s="480">
        <v>0.44</v>
      </c>
      <c r="JZ165" s="480">
        <v>0.33</v>
      </c>
      <c r="KA165" s="480">
        <v>0.56000000000000005</v>
      </c>
      <c r="KB165" s="480">
        <v>0.38</v>
      </c>
      <c r="KC165" s="480">
        <v>0.52</v>
      </c>
      <c r="KD165" s="480">
        <v>0.21</v>
      </c>
      <c r="KE165" s="480">
        <v>0.4</v>
      </c>
      <c r="KF165" s="480">
        <v>0.32</v>
      </c>
      <c r="KG165" s="480">
        <v>0.41</v>
      </c>
    </row>
    <row r="166" spans="1:293" ht="24.95" customHeight="1" x14ac:dyDescent="0.2">
      <c r="A166" s="814" t="s">
        <v>285</v>
      </c>
      <c r="B166" s="1" t="s">
        <v>221</v>
      </c>
      <c r="C166" s="2">
        <v>4</v>
      </c>
      <c r="D166" s="12">
        <v>43</v>
      </c>
      <c r="E166" s="12">
        <v>7</v>
      </c>
      <c r="F166" s="66">
        <v>0.5</v>
      </c>
      <c r="G166" s="66">
        <v>0.5</v>
      </c>
      <c r="H166" s="66">
        <v>0</v>
      </c>
      <c r="I166" s="66">
        <v>0</v>
      </c>
      <c r="J166" s="66">
        <v>1</v>
      </c>
      <c r="K166" s="66">
        <v>1</v>
      </c>
      <c r="L166" s="66">
        <v>1</v>
      </c>
      <c r="M166" s="66">
        <v>0.5</v>
      </c>
      <c r="N166" s="66">
        <v>0.5</v>
      </c>
      <c r="O166" s="66">
        <v>0.67</v>
      </c>
      <c r="P166" s="66">
        <v>0.5</v>
      </c>
      <c r="Q166" s="66">
        <v>0.25</v>
      </c>
      <c r="R166" s="66">
        <v>0.5</v>
      </c>
      <c r="S166" s="66">
        <v>0.25</v>
      </c>
      <c r="T166" s="66">
        <v>0.5</v>
      </c>
      <c r="U166" s="66">
        <v>1</v>
      </c>
      <c r="V166" s="66">
        <v>0</v>
      </c>
      <c r="W166" s="66">
        <v>0.5</v>
      </c>
      <c r="X166" s="66">
        <v>1</v>
      </c>
      <c r="Y166" s="66">
        <v>1</v>
      </c>
      <c r="Z166" s="12" t="s">
        <v>283</v>
      </c>
      <c r="AA166" s="66">
        <v>0.5</v>
      </c>
      <c r="AB166" s="66">
        <v>0.83</v>
      </c>
      <c r="AC166" s="66">
        <v>0.75</v>
      </c>
      <c r="AD166" s="66">
        <v>1</v>
      </c>
      <c r="AE166" s="66">
        <v>1</v>
      </c>
      <c r="AF166" s="66">
        <v>0.25</v>
      </c>
      <c r="AG166" s="66">
        <v>0.67</v>
      </c>
      <c r="AH166" s="12">
        <v>42</v>
      </c>
      <c r="AI166" s="12">
        <v>7</v>
      </c>
      <c r="AJ166" s="40">
        <v>0.4</v>
      </c>
      <c r="AK166" s="40">
        <v>0.6</v>
      </c>
      <c r="AL166" s="40">
        <v>0</v>
      </c>
      <c r="AM166" s="40">
        <v>0</v>
      </c>
      <c r="AN166" s="40">
        <v>0.44</v>
      </c>
      <c r="AO166" s="40">
        <v>0.69</v>
      </c>
      <c r="AP166" s="40">
        <v>0.86</v>
      </c>
      <c r="AQ166" s="40">
        <v>0.4</v>
      </c>
      <c r="AR166" s="40">
        <v>0.63</v>
      </c>
      <c r="AS166" s="40">
        <v>0.62</v>
      </c>
      <c r="AT166" s="40">
        <v>0.7</v>
      </c>
      <c r="AU166" s="40">
        <v>0.77</v>
      </c>
      <c r="AV166" s="40">
        <v>0.61</v>
      </c>
      <c r="AW166" s="40">
        <v>0.63</v>
      </c>
      <c r="AX166" s="40">
        <v>0.63</v>
      </c>
      <c r="AY166" s="40">
        <v>0.52</v>
      </c>
      <c r="AZ166" s="40">
        <v>0.73</v>
      </c>
      <c r="BA166" s="40">
        <v>0.57999999999999996</v>
      </c>
      <c r="BB166" s="40">
        <v>0.69</v>
      </c>
      <c r="BC166" s="40">
        <v>0.71</v>
      </c>
      <c r="BD166" s="40">
        <v>0.72</v>
      </c>
      <c r="BE166" s="40">
        <v>1</v>
      </c>
      <c r="BF166" s="40">
        <v>0.67</v>
      </c>
      <c r="BG166" s="40">
        <v>0.79</v>
      </c>
      <c r="BH166" s="40">
        <v>0.71</v>
      </c>
      <c r="BI166" s="40">
        <v>0.5</v>
      </c>
      <c r="BJ166" s="40">
        <v>0.6</v>
      </c>
      <c r="BK166" s="40">
        <v>0.75</v>
      </c>
      <c r="BL166" s="40">
        <v>0.25</v>
      </c>
      <c r="BM166" s="12">
        <v>43</v>
      </c>
      <c r="BN166" s="12">
        <v>5</v>
      </c>
      <c r="BO166" s="66">
        <v>0.38</v>
      </c>
      <c r="BP166" s="66">
        <v>0.63</v>
      </c>
      <c r="BQ166" s="66">
        <v>0</v>
      </c>
      <c r="BR166" s="66">
        <v>0</v>
      </c>
      <c r="BS166" s="66">
        <v>0.38</v>
      </c>
      <c r="BT166" s="66">
        <v>1</v>
      </c>
      <c r="BU166" s="66">
        <v>0.6</v>
      </c>
      <c r="BV166" s="66">
        <v>0.5</v>
      </c>
      <c r="BW166" s="66">
        <v>0.77</v>
      </c>
      <c r="BX166" s="66">
        <v>0.53</v>
      </c>
      <c r="BY166" s="66">
        <v>0.92</v>
      </c>
      <c r="BZ166" s="66">
        <v>0.67</v>
      </c>
      <c r="CA166" s="66">
        <v>0.54</v>
      </c>
      <c r="CB166" s="66">
        <v>0.7</v>
      </c>
      <c r="CC166" s="66">
        <v>0.18</v>
      </c>
      <c r="CD166" s="66">
        <v>0.57999999999999996</v>
      </c>
      <c r="CE166" s="66">
        <v>0.55000000000000004</v>
      </c>
      <c r="CF166" s="66">
        <v>0.71</v>
      </c>
      <c r="CG166" s="66">
        <v>0.71</v>
      </c>
      <c r="CH166" s="66">
        <v>0.59</v>
      </c>
      <c r="CI166" s="66">
        <v>0.81</v>
      </c>
      <c r="CJ166" s="66">
        <v>0.33</v>
      </c>
      <c r="CK166" s="66">
        <v>0.69</v>
      </c>
      <c r="CL166" s="66">
        <v>0.55000000000000004</v>
      </c>
      <c r="CM166" s="66">
        <v>0.56999999999999995</v>
      </c>
      <c r="CN166" s="66">
        <v>0.64</v>
      </c>
      <c r="CO166" s="66">
        <v>0.8</v>
      </c>
      <c r="CP166" s="66">
        <v>0.57999999999999996</v>
      </c>
      <c r="CQ166" s="66">
        <v>0.61</v>
      </c>
      <c r="CR166" s="66">
        <v>0.76</v>
      </c>
      <c r="CS166" s="12">
        <v>43</v>
      </c>
      <c r="CT166" s="12">
        <v>5</v>
      </c>
      <c r="CU166" s="63">
        <v>0.25</v>
      </c>
      <c r="CV166" s="63">
        <v>0.75</v>
      </c>
      <c r="CW166" s="63">
        <v>0</v>
      </c>
      <c r="CX166" s="63">
        <v>0</v>
      </c>
      <c r="CY166" s="63">
        <v>0.53</v>
      </c>
      <c r="CZ166" s="63">
        <v>0.47</v>
      </c>
      <c r="DA166" s="63">
        <v>0.67</v>
      </c>
      <c r="DB166" s="63">
        <v>0.83</v>
      </c>
      <c r="DC166" s="63">
        <v>0.44</v>
      </c>
      <c r="DD166" s="63">
        <v>0.75</v>
      </c>
      <c r="DE166" s="63">
        <v>0.6</v>
      </c>
      <c r="DF166" s="63">
        <v>0.54</v>
      </c>
      <c r="DG166" s="63">
        <v>0.4</v>
      </c>
      <c r="DH166" s="63">
        <v>0.63</v>
      </c>
      <c r="DI166" s="63">
        <v>0.63</v>
      </c>
      <c r="DJ166" s="63">
        <v>0.9</v>
      </c>
      <c r="DK166" s="63">
        <v>0.5</v>
      </c>
      <c r="DL166" s="63">
        <v>1</v>
      </c>
      <c r="DM166" s="63">
        <v>0.6</v>
      </c>
      <c r="DN166" s="63">
        <v>0.67</v>
      </c>
      <c r="DO166" s="63">
        <v>0.75</v>
      </c>
      <c r="DP166" s="63">
        <v>0.71</v>
      </c>
      <c r="DQ166" s="63">
        <v>0.65</v>
      </c>
      <c r="DR166" s="63">
        <v>0.33</v>
      </c>
      <c r="DS166" s="63">
        <v>0.5</v>
      </c>
      <c r="DT166" s="63">
        <v>0.56999999999999995</v>
      </c>
      <c r="DU166" s="63">
        <v>0</v>
      </c>
      <c r="DV166" s="63">
        <v>0.44</v>
      </c>
      <c r="DW166" s="63">
        <v>0.33</v>
      </c>
      <c r="DX166" s="35">
        <v>40</v>
      </c>
      <c r="DY166" s="35">
        <v>5</v>
      </c>
      <c r="DZ166" s="40">
        <v>0.5</v>
      </c>
      <c r="EA166" s="40">
        <v>0.5</v>
      </c>
      <c r="EB166" s="40">
        <v>0</v>
      </c>
      <c r="EC166" s="40">
        <v>0</v>
      </c>
      <c r="ED166" s="40">
        <v>0.62</v>
      </c>
      <c r="EE166" s="40">
        <v>0.5</v>
      </c>
      <c r="EF166" s="40">
        <v>0.67</v>
      </c>
      <c r="EG166" s="40">
        <v>0.5</v>
      </c>
      <c r="EH166" s="40">
        <v>0.5</v>
      </c>
      <c r="EI166" s="40">
        <v>0.9</v>
      </c>
      <c r="EJ166" s="40">
        <v>0.5</v>
      </c>
      <c r="EK166" s="40">
        <v>0.2</v>
      </c>
      <c r="EL166" s="40">
        <v>0.82</v>
      </c>
      <c r="EM166" s="40">
        <v>0.83</v>
      </c>
      <c r="EN166" s="40">
        <v>0.75</v>
      </c>
      <c r="EO166" s="40">
        <v>0.88</v>
      </c>
      <c r="EP166" s="40">
        <v>0.36</v>
      </c>
      <c r="EQ166" s="40">
        <v>0.5</v>
      </c>
      <c r="ER166" s="40">
        <v>0.73</v>
      </c>
      <c r="ES166" s="40">
        <v>0.73</v>
      </c>
      <c r="ET166" s="40">
        <v>0.5</v>
      </c>
      <c r="EU166" s="40">
        <v>0.4</v>
      </c>
      <c r="EV166" s="40">
        <v>1</v>
      </c>
      <c r="EW166" s="40">
        <v>0.63</v>
      </c>
      <c r="EX166" s="40">
        <v>1</v>
      </c>
      <c r="EY166" s="40">
        <v>0.81</v>
      </c>
      <c r="EZ166" s="40">
        <v>0</v>
      </c>
      <c r="FA166" s="40">
        <v>1</v>
      </c>
      <c r="FB166" s="247">
        <v>45</v>
      </c>
      <c r="FC166" s="247" t="s">
        <v>874</v>
      </c>
      <c r="FD166" s="247">
        <v>7</v>
      </c>
      <c r="FE166" s="247" t="s">
        <v>874</v>
      </c>
      <c r="FF166" s="264">
        <v>0.36</v>
      </c>
      <c r="FG166" s="264">
        <v>0.55000000000000004</v>
      </c>
      <c r="FH166" s="264">
        <v>0.09</v>
      </c>
      <c r="FI166" s="264">
        <v>0</v>
      </c>
      <c r="FJ166" s="264">
        <v>0.59</v>
      </c>
      <c r="FK166" s="264">
        <v>0.75</v>
      </c>
      <c r="FL166" s="264">
        <v>0.45</v>
      </c>
      <c r="FM166" s="264">
        <v>0.44</v>
      </c>
      <c r="FN166" s="264">
        <v>0.55000000000000004</v>
      </c>
      <c r="FO166" s="264">
        <v>0.28999999999999998</v>
      </c>
      <c r="FP166" s="264">
        <v>0.56999999999999995</v>
      </c>
      <c r="FQ166" s="264">
        <v>0.48</v>
      </c>
      <c r="FR166" s="264">
        <v>0.63</v>
      </c>
      <c r="FS166" s="264">
        <v>0.44</v>
      </c>
      <c r="FT166" s="264">
        <v>0.83</v>
      </c>
      <c r="FU166" s="264">
        <v>0.6</v>
      </c>
      <c r="FV166" s="264">
        <v>0.73</v>
      </c>
      <c r="FW166" s="264">
        <v>0.67</v>
      </c>
      <c r="FX166" s="264">
        <v>0.67</v>
      </c>
      <c r="FY166" s="264">
        <v>0.44</v>
      </c>
      <c r="FZ166" s="264">
        <v>0.47</v>
      </c>
      <c r="GA166" s="264">
        <v>0.44</v>
      </c>
      <c r="GB166" s="264">
        <v>0.5</v>
      </c>
      <c r="GC166" s="264">
        <v>0.5</v>
      </c>
      <c r="GD166" s="264">
        <v>0.76</v>
      </c>
      <c r="GE166" s="264">
        <v>0.64</v>
      </c>
      <c r="GF166" s="264">
        <v>0.5</v>
      </c>
      <c r="GG166" s="264">
        <v>0.67</v>
      </c>
      <c r="GH166" s="264">
        <v>0.63</v>
      </c>
      <c r="GI166" s="264">
        <v>0.41</v>
      </c>
      <c r="GJ166" s="311">
        <v>48</v>
      </c>
      <c r="GK166" s="311" t="s">
        <v>874</v>
      </c>
      <c r="GL166" s="311">
        <v>7</v>
      </c>
      <c r="GM166" s="311" t="s">
        <v>874</v>
      </c>
      <c r="GN166" s="329">
        <v>0.09</v>
      </c>
      <c r="GO166" s="329">
        <v>0.82</v>
      </c>
      <c r="GP166" s="329">
        <v>0.09</v>
      </c>
      <c r="GQ166" s="329">
        <v>0</v>
      </c>
      <c r="GR166" s="329">
        <v>0.54</v>
      </c>
      <c r="GS166" s="329">
        <v>0.65</v>
      </c>
      <c r="GT166" s="329">
        <v>0.73</v>
      </c>
      <c r="GU166" s="329">
        <v>0</v>
      </c>
      <c r="GV166" s="329">
        <v>0.75</v>
      </c>
      <c r="GW166" s="329">
        <v>0.42</v>
      </c>
      <c r="GX166" s="329">
        <v>0.47</v>
      </c>
      <c r="GY166" s="311" t="s">
        <v>283</v>
      </c>
      <c r="GZ166" s="329">
        <v>0.2</v>
      </c>
      <c r="HA166" s="329">
        <v>0.5</v>
      </c>
      <c r="HB166" s="329">
        <v>0.56000000000000005</v>
      </c>
      <c r="HC166" s="329">
        <v>0.53</v>
      </c>
      <c r="HD166" s="329">
        <v>0.59</v>
      </c>
      <c r="HE166" s="329">
        <v>0.38</v>
      </c>
      <c r="HF166" s="329">
        <v>0.55000000000000004</v>
      </c>
      <c r="HG166" s="329">
        <v>0.57999999999999996</v>
      </c>
      <c r="HH166" s="329">
        <v>0.45</v>
      </c>
      <c r="HI166" s="329">
        <v>0.71</v>
      </c>
      <c r="HJ166" s="329">
        <v>0.5</v>
      </c>
      <c r="HK166" s="329">
        <v>0.65</v>
      </c>
      <c r="HL166" s="329">
        <v>0.52</v>
      </c>
      <c r="HM166" s="329">
        <v>0.56000000000000005</v>
      </c>
      <c r="HN166" s="329">
        <v>0.47</v>
      </c>
      <c r="HO166" s="329">
        <v>0.53</v>
      </c>
      <c r="HP166" s="311" t="s">
        <v>283</v>
      </c>
      <c r="HQ166" s="329">
        <v>0.45</v>
      </c>
      <c r="HR166" s="426">
        <v>43</v>
      </c>
      <c r="HS166" s="426" t="s">
        <v>876</v>
      </c>
      <c r="HT166" s="426">
        <v>7</v>
      </c>
      <c r="HU166" s="426" t="s">
        <v>874</v>
      </c>
      <c r="HV166" s="430">
        <v>0.3</v>
      </c>
      <c r="HW166" s="430">
        <v>0.6</v>
      </c>
      <c r="HX166" s="430">
        <v>0.1</v>
      </c>
      <c r="HY166" s="430">
        <v>0</v>
      </c>
      <c r="HZ166" s="430">
        <v>0.5</v>
      </c>
      <c r="IA166" s="430">
        <v>0.7</v>
      </c>
      <c r="IB166" s="430">
        <v>0.5</v>
      </c>
      <c r="IC166" s="430">
        <v>0.65</v>
      </c>
      <c r="ID166" s="430">
        <v>0.73</v>
      </c>
      <c r="IE166" s="430">
        <v>0.7</v>
      </c>
      <c r="IF166" s="430">
        <v>0.55000000000000004</v>
      </c>
      <c r="IG166" s="430">
        <v>0.65</v>
      </c>
      <c r="IH166" s="430">
        <v>0.83</v>
      </c>
      <c r="II166" s="430">
        <v>0.6</v>
      </c>
      <c r="IJ166" s="430">
        <v>0.36</v>
      </c>
      <c r="IK166" s="430">
        <v>0.52</v>
      </c>
      <c r="IL166" s="430">
        <v>0.27</v>
      </c>
      <c r="IM166" s="430">
        <v>0.78</v>
      </c>
      <c r="IN166" s="430">
        <v>0.62</v>
      </c>
      <c r="IO166" s="430">
        <v>0.68</v>
      </c>
      <c r="IP166" s="430">
        <v>0.46</v>
      </c>
      <c r="IQ166" s="430">
        <v>0.82</v>
      </c>
      <c r="IR166" s="430">
        <v>0.57999999999999996</v>
      </c>
      <c r="IS166" s="430">
        <v>0.71</v>
      </c>
      <c r="IT166" s="430">
        <v>0.57999999999999996</v>
      </c>
      <c r="IU166" s="426" t="s">
        <v>283</v>
      </c>
      <c r="IV166" s="430">
        <v>0.64</v>
      </c>
      <c r="IW166" s="430">
        <v>0.5</v>
      </c>
      <c r="IX166" s="430">
        <v>0.63</v>
      </c>
      <c r="IY166" s="430">
        <v>0.48</v>
      </c>
      <c r="IZ166" s="466">
        <v>45</v>
      </c>
      <c r="JA166" s="466" t="s">
        <v>874</v>
      </c>
      <c r="JB166" s="466">
        <v>8</v>
      </c>
      <c r="JC166" s="466" t="s">
        <v>874</v>
      </c>
      <c r="JD166" s="480">
        <v>0.25</v>
      </c>
      <c r="JE166" s="480">
        <v>0.69</v>
      </c>
      <c r="JF166" s="480">
        <v>0.06</v>
      </c>
      <c r="JG166" s="480">
        <v>0</v>
      </c>
      <c r="JH166" s="480">
        <v>0.61</v>
      </c>
      <c r="JI166" s="480">
        <v>0.56999999999999995</v>
      </c>
      <c r="JJ166" s="480">
        <v>0.54</v>
      </c>
      <c r="JK166" s="480">
        <v>0.62</v>
      </c>
      <c r="JL166" s="480">
        <v>0.54</v>
      </c>
      <c r="JM166" s="480">
        <v>0.56999999999999995</v>
      </c>
      <c r="JN166" s="480">
        <v>0.53</v>
      </c>
      <c r="JO166" s="480">
        <v>0.43</v>
      </c>
      <c r="JP166" s="480">
        <v>0.65</v>
      </c>
      <c r="JQ166" s="480">
        <v>0.47</v>
      </c>
      <c r="JR166" s="480">
        <v>0.69</v>
      </c>
      <c r="JS166" s="480">
        <v>0.71</v>
      </c>
      <c r="JT166" s="480">
        <v>0.72</v>
      </c>
      <c r="JU166" s="480">
        <v>0.74</v>
      </c>
      <c r="JV166" s="480">
        <v>0.52</v>
      </c>
      <c r="JW166" s="480">
        <v>0.6</v>
      </c>
      <c r="JX166" s="480">
        <v>0.72</v>
      </c>
      <c r="JY166" s="480">
        <v>0.46</v>
      </c>
      <c r="JZ166" s="480">
        <v>0.51</v>
      </c>
      <c r="KA166" s="480">
        <v>0.8</v>
      </c>
      <c r="KB166" s="480">
        <v>0.64</v>
      </c>
      <c r="KC166" s="480">
        <v>0.56000000000000005</v>
      </c>
      <c r="KD166" s="480">
        <v>0.45</v>
      </c>
      <c r="KE166" s="480">
        <v>0.55000000000000004</v>
      </c>
      <c r="KF166" s="480">
        <v>0.49</v>
      </c>
      <c r="KG166" s="480">
        <v>0.61</v>
      </c>
    </row>
    <row r="167" spans="1:293" ht="24.95" customHeight="1" x14ac:dyDescent="0.2">
      <c r="A167" s="126" t="s">
        <v>71</v>
      </c>
      <c r="B167" s="1" t="s">
        <v>221</v>
      </c>
      <c r="C167" s="2">
        <v>6</v>
      </c>
      <c r="D167" s="12">
        <v>56</v>
      </c>
      <c r="E167" s="12">
        <v>6</v>
      </c>
      <c r="F167" s="66">
        <v>0.01</v>
      </c>
      <c r="G167" s="66">
        <v>0.51</v>
      </c>
      <c r="H167" s="66">
        <v>0.46</v>
      </c>
      <c r="I167" s="66">
        <v>0.01</v>
      </c>
      <c r="J167" s="66">
        <v>0.5</v>
      </c>
      <c r="K167" s="66">
        <v>0.21</v>
      </c>
      <c r="L167" s="66">
        <v>0.83</v>
      </c>
      <c r="M167" s="66">
        <v>0.13</v>
      </c>
      <c r="N167" s="66">
        <v>0.26</v>
      </c>
      <c r="O167" s="66">
        <v>0.53</v>
      </c>
      <c r="P167" s="66">
        <v>0.37</v>
      </c>
      <c r="Q167" s="66">
        <v>0.27</v>
      </c>
      <c r="R167" s="66">
        <v>0.48</v>
      </c>
      <c r="S167" s="66">
        <v>0.62</v>
      </c>
      <c r="T167" s="66">
        <v>0.46</v>
      </c>
      <c r="U167" s="66">
        <v>0.48</v>
      </c>
      <c r="V167" s="66">
        <v>7.0000000000000007E-2</v>
      </c>
      <c r="W167" s="66">
        <v>0.05</v>
      </c>
      <c r="X167" s="66">
        <v>0.43</v>
      </c>
      <c r="Y167" s="66">
        <v>0.42</v>
      </c>
      <c r="Z167" s="66">
        <v>0</v>
      </c>
      <c r="AA167" s="66">
        <v>0.05</v>
      </c>
      <c r="AB167" s="66">
        <v>0.33</v>
      </c>
      <c r="AC167" s="66">
        <v>0.13</v>
      </c>
      <c r="AD167" s="66">
        <v>0.42</v>
      </c>
      <c r="AE167" s="66">
        <v>0.43</v>
      </c>
      <c r="AF167" s="66">
        <v>0.56999999999999995</v>
      </c>
      <c r="AG167" s="66">
        <v>0.38</v>
      </c>
      <c r="AH167" s="12">
        <v>53</v>
      </c>
      <c r="AI167" s="12">
        <v>8</v>
      </c>
      <c r="AJ167" s="40">
        <v>0.06</v>
      </c>
      <c r="AK167" s="40">
        <v>0.55000000000000004</v>
      </c>
      <c r="AL167" s="40">
        <v>0.38</v>
      </c>
      <c r="AM167" s="40">
        <v>0.01</v>
      </c>
      <c r="AN167" s="40">
        <v>0.23</v>
      </c>
      <c r="AO167" s="40">
        <v>0.41</v>
      </c>
      <c r="AP167" s="40">
        <v>0.62</v>
      </c>
      <c r="AQ167" s="40">
        <v>0.39</v>
      </c>
      <c r="AR167" s="40">
        <v>0.5</v>
      </c>
      <c r="AS167" s="40">
        <v>0.49</v>
      </c>
      <c r="AT167" s="40">
        <v>0.44</v>
      </c>
      <c r="AU167" s="40">
        <v>0.41</v>
      </c>
      <c r="AV167" s="40">
        <v>0.63</v>
      </c>
      <c r="AW167" s="40">
        <v>0.49</v>
      </c>
      <c r="AX167" s="40">
        <v>0.53</v>
      </c>
      <c r="AY167" s="40">
        <v>0.3</v>
      </c>
      <c r="AZ167" s="40">
        <v>0.24</v>
      </c>
      <c r="BA167" s="40">
        <v>0.39</v>
      </c>
      <c r="BB167" s="40">
        <v>0.69</v>
      </c>
      <c r="BC167" s="40">
        <v>0.65</v>
      </c>
      <c r="BD167" s="40">
        <v>0.45</v>
      </c>
      <c r="BE167" s="40">
        <v>0.65</v>
      </c>
      <c r="BF167" s="40">
        <v>0.62</v>
      </c>
      <c r="BG167" s="40">
        <v>0.48</v>
      </c>
      <c r="BH167" s="40">
        <v>0.42</v>
      </c>
      <c r="BI167" s="40">
        <v>0.38</v>
      </c>
      <c r="BJ167" s="40">
        <v>0.35</v>
      </c>
      <c r="BK167" s="40">
        <v>0.44</v>
      </c>
      <c r="BL167" s="40">
        <v>0.49</v>
      </c>
      <c r="BM167" s="12">
        <v>54</v>
      </c>
      <c r="BN167" s="12">
        <v>8</v>
      </c>
      <c r="BO167" s="66">
        <v>0.04</v>
      </c>
      <c r="BP167" s="66">
        <v>0.51</v>
      </c>
      <c r="BQ167" s="66">
        <v>0.45</v>
      </c>
      <c r="BR167" s="66">
        <v>0</v>
      </c>
      <c r="BS167" s="66">
        <v>0.33</v>
      </c>
      <c r="BT167" s="66">
        <v>0.47</v>
      </c>
      <c r="BU167" s="66">
        <v>0.56000000000000005</v>
      </c>
      <c r="BV167" s="66">
        <v>0.26</v>
      </c>
      <c r="BW167" s="66">
        <v>0.61</v>
      </c>
      <c r="BX167" s="66">
        <v>0.28000000000000003</v>
      </c>
      <c r="BY167" s="66">
        <v>0.42</v>
      </c>
      <c r="BZ167" s="66">
        <v>0.53</v>
      </c>
      <c r="CA167" s="66">
        <v>0.43</v>
      </c>
      <c r="CB167" s="66">
        <v>0.31</v>
      </c>
      <c r="CC167" s="66">
        <v>0.17</v>
      </c>
      <c r="CD167" s="66">
        <v>0.33</v>
      </c>
      <c r="CE167" s="66">
        <v>0.25</v>
      </c>
      <c r="CF167" s="66">
        <v>0.6</v>
      </c>
      <c r="CG167" s="66">
        <v>0.61</v>
      </c>
      <c r="CH167" s="66">
        <v>0.35</v>
      </c>
      <c r="CI167" s="66">
        <v>0.51</v>
      </c>
      <c r="CJ167" s="66">
        <v>0.26</v>
      </c>
      <c r="CK167" s="66">
        <v>0.67</v>
      </c>
      <c r="CL167" s="66">
        <v>0.18</v>
      </c>
      <c r="CM167" s="66">
        <v>0.37</v>
      </c>
      <c r="CN167" s="66">
        <v>0.35</v>
      </c>
      <c r="CO167" s="66">
        <v>0.39</v>
      </c>
      <c r="CP167" s="66">
        <v>0.31</v>
      </c>
      <c r="CQ167" s="66">
        <v>0.5</v>
      </c>
      <c r="CR167" s="66">
        <v>0.61</v>
      </c>
      <c r="CS167" s="12">
        <v>53</v>
      </c>
      <c r="CT167" s="12">
        <v>9</v>
      </c>
      <c r="CU167" s="63">
        <v>0.08</v>
      </c>
      <c r="CV167" s="63">
        <v>0.62</v>
      </c>
      <c r="CW167" s="63">
        <v>0.26</v>
      </c>
      <c r="CX167" s="63">
        <v>0.04</v>
      </c>
      <c r="CY167" s="63">
        <v>0.42</v>
      </c>
      <c r="CZ167" s="63">
        <v>0.23</v>
      </c>
      <c r="DA167" s="63">
        <v>0.55000000000000004</v>
      </c>
      <c r="DB167" s="63">
        <v>0.33</v>
      </c>
      <c r="DC167" s="63">
        <v>0.43</v>
      </c>
      <c r="DD167" s="63">
        <v>0.61</v>
      </c>
      <c r="DE167" s="63">
        <v>0.44</v>
      </c>
      <c r="DF167" s="63">
        <v>0.48</v>
      </c>
      <c r="DG167" s="63">
        <v>0.47</v>
      </c>
      <c r="DH167" s="63">
        <v>0.35</v>
      </c>
      <c r="DI167" s="63">
        <v>0.44</v>
      </c>
      <c r="DJ167" s="63">
        <v>0.48</v>
      </c>
      <c r="DK167" s="63">
        <v>0.32</v>
      </c>
      <c r="DL167" s="63">
        <v>0.39</v>
      </c>
      <c r="DM167" s="63">
        <v>0.41</v>
      </c>
      <c r="DN167" s="63">
        <v>0.4</v>
      </c>
      <c r="DO167" s="63">
        <v>0.34</v>
      </c>
      <c r="DP167" s="63">
        <v>0.4</v>
      </c>
      <c r="DQ167" s="63">
        <v>0.53</v>
      </c>
      <c r="DR167" s="63">
        <v>0.11</v>
      </c>
      <c r="DS167" s="63">
        <v>0.36</v>
      </c>
      <c r="DT167" s="63">
        <v>0.62</v>
      </c>
      <c r="DU167" s="63">
        <v>0.45</v>
      </c>
      <c r="DV167" s="63">
        <v>0.54</v>
      </c>
      <c r="DW167" s="63">
        <v>0.33</v>
      </c>
      <c r="DX167" s="35">
        <v>52</v>
      </c>
      <c r="DY167" s="35">
        <v>7</v>
      </c>
      <c r="DZ167" s="40">
        <v>7.0000000000000007E-2</v>
      </c>
      <c r="EA167" s="40">
        <v>0.59</v>
      </c>
      <c r="EB167" s="40">
        <v>0.34</v>
      </c>
      <c r="EC167" s="40">
        <v>0</v>
      </c>
      <c r="ED167" s="40">
        <v>0.45</v>
      </c>
      <c r="EE167" s="40">
        <v>0.47</v>
      </c>
      <c r="EF167" s="40">
        <v>0.43</v>
      </c>
      <c r="EG167" s="40">
        <v>0.22</v>
      </c>
      <c r="EH167" s="40">
        <v>0.37</v>
      </c>
      <c r="EI167" s="40">
        <v>0.46</v>
      </c>
      <c r="EJ167" s="40">
        <v>0.54</v>
      </c>
      <c r="EK167" s="40">
        <v>0.2</v>
      </c>
      <c r="EL167" s="40">
        <v>0.41</v>
      </c>
      <c r="EM167" s="40">
        <v>0.63</v>
      </c>
      <c r="EN167" s="40">
        <v>0.39</v>
      </c>
      <c r="EO167" s="40">
        <v>0.52</v>
      </c>
      <c r="EP167" s="40">
        <v>0.32</v>
      </c>
      <c r="EQ167" s="40">
        <v>0.2</v>
      </c>
      <c r="ER167" s="40">
        <v>0.53</v>
      </c>
      <c r="ES167" s="40">
        <v>0.32</v>
      </c>
      <c r="ET167" s="40">
        <v>0.3</v>
      </c>
      <c r="EU167" s="40">
        <v>0.54</v>
      </c>
      <c r="EV167" s="40">
        <v>0.42</v>
      </c>
      <c r="EW167" s="40">
        <v>0.28999999999999998</v>
      </c>
      <c r="EX167" s="40">
        <v>0.75</v>
      </c>
      <c r="EY167" s="40">
        <v>0.54</v>
      </c>
      <c r="EZ167" s="40">
        <v>0.22</v>
      </c>
      <c r="FA167" s="40">
        <v>0.54</v>
      </c>
      <c r="FB167" s="247">
        <v>52</v>
      </c>
      <c r="FC167" s="247" t="s">
        <v>874</v>
      </c>
      <c r="FD167" s="247">
        <v>7</v>
      </c>
      <c r="FE167" s="247" t="s">
        <v>874</v>
      </c>
      <c r="FF167" s="264">
        <v>7.0000000000000007E-2</v>
      </c>
      <c r="FG167" s="264">
        <v>0.55000000000000004</v>
      </c>
      <c r="FH167" s="264">
        <v>0.38</v>
      </c>
      <c r="FI167" s="264">
        <v>0</v>
      </c>
      <c r="FJ167" s="264">
        <v>0.36</v>
      </c>
      <c r="FK167" s="264">
        <v>0.64</v>
      </c>
      <c r="FL167" s="264">
        <v>0.43</v>
      </c>
      <c r="FM167" s="264">
        <v>0.38</v>
      </c>
      <c r="FN167" s="264">
        <v>0.25</v>
      </c>
      <c r="FO167" s="264">
        <v>0.32</v>
      </c>
      <c r="FP167" s="264">
        <v>0.35</v>
      </c>
      <c r="FQ167" s="264">
        <v>0.37</v>
      </c>
      <c r="FR167" s="264">
        <v>0.66</v>
      </c>
      <c r="FS167" s="264">
        <v>0.42</v>
      </c>
      <c r="FT167" s="264">
        <v>0.48</v>
      </c>
      <c r="FU167" s="264">
        <v>0.35</v>
      </c>
      <c r="FV167" s="264">
        <v>0.52</v>
      </c>
      <c r="FW167" s="264">
        <v>0.47</v>
      </c>
      <c r="FX167" s="264">
        <v>0.34</v>
      </c>
      <c r="FY167" s="264">
        <v>0.24</v>
      </c>
      <c r="FZ167" s="264">
        <v>0.45</v>
      </c>
      <c r="GA167" s="264">
        <v>0.48</v>
      </c>
      <c r="GB167" s="264">
        <v>0.48</v>
      </c>
      <c r="GC167" s="264">
        <v>0.35</v>
      </c>
      <c r="GD167" s="264">
        <v>0.56999999999999995</v>
      </c>
      <c r="GE167" s="264">
        <v>0.52</v>
      </c>
      <c r="GF167" s="264">
        <v>0.5</v>
      </c>
      <c r="GG167" s="264">
        <v>0.46</v>
      </c>
      <c r="GH167" s="264">
        <v>0.6</v>
      </c>
      <c r="GI167" s="264">
        <v>0.22</v>
      </c>
      <c r="GJ167" s="311">
        <v>53</v>
      </c>
      <c r="GK167" s="311" t="s">
        <v>874</v>
      </c>
      <c r="GL167" s="311">
        <v>8</v>
      </c>
      <c r="GM167" s="311" t="s">
        <v>874</v>
      </c>
      <c r="GN167" s="329">
        <v>0.08</v>
      </c>
      <c r="GO167" s="329">
        <v>0.55000000000000004</v>
      </c>
      <c r="GP167" s="329">
        <v>0.36</v>
      </c>
      <c r="GQ167" s="329">
        <v>0.01</v>
      </c>
      <c r="GR167" s="329">
        <v>0.42</v>
      </c>
      <c r="GS167" s="329">
        <v>0.46</v>
      </c>
      <c r="GT167" s="329">
        <v>0.6</v>
      </c>
      <c r="GU167" s="329">
        <v>0.16</v>
      </c>
      <c r="GV167" s="329">
        <v>0.53</v>
      </c>
      <c r="GW167" s="329">
        <v>0.39</v>
      </c>
      <c r="GX167" s="329">
        <v>0.45</v>
      </c>
      <c r="GY167" s="311" t="s">
        <v>283</v>
      </c>
      <c r="GZ167" s="329">
        <v>0.25</v>
      </c>
      <c r="HA167" s="329">
        <v>0.7</v>
      </c>
      <c r="HB167" s="329">
        <v>0.44</v>
      </c>
      <c r="HC167" s="329">
        <v>0.49</v>
      </c>
      <c r="HD167" s="329">
        <v>0.51</v>
      </c>
      <c r="HE167" s="329">
        <v>0.46</v>
      </c>
      <c r="HF167" s="329">
        <v>0.44</v>
      </c>
      <c r="HG167" s="329">
        <v>0.62</v>
      </c>
      <c r="HH167" s="329">
        <v>0.34</v>
      </c>
      <c r="HI167" s="329">
        <v>0.44</v>
      </c>
      <c r="HJ167" s="329">
        <v>0.55000000000000004</v>
      </c>
      <c r="HK167" s="329">
        <v>0.44</v>
      </c>
      <c r="HL167" s="329">
        <v>0.43</v>
      </c>
      <c r="HM167" s="329">
        <v>0.49</v>
      </c>
      <c r="HN167" s="329">
        <v>0.43</v>
      </c>
      <c r="HO167" s="329">
        <v>0.4</v>
      </c>
      <c r="HP167" s="311" t="s">
        <v>283</v>
      </c>
      <c r="HQ167" s="329">
        <v>0.33</v>
      </c>
      <c r="HR167" s="426">
        <v>53</v>
      </c>
      <c r="HS167" s="426" t="s">
        <v>874</v>
      </c>
      <c r="HT167" s="426">
        <v>9</v>
      </c>
      <c r="HU167" s="426" t="s">
        <v>874</v>
      </c>
      <c r="HV167" s="430">
        <v>0.1</v>
      </c>
      <c r="HW167" s="430">
        <v>0.44</v>
      </c>
      <c r="HX167" s="430">
        <v>0.44</v>
      </c>
      <c r="HY167" s="430">
        <v>0.02</v>
      </c>
      <c r="HZ167" s="430">
        <v>0.33</v>
      </c>
      <c r="IA167" s="430">
        <v>0.51</v>
      </c>
      <c r="IB167" s="430">
        <v>0.4</v>
      </c>
      <c r="IC167" s="430">
        <v>0.48</v>
      </c>
      <c r="ID167" s="430">
        <v>0.62</v>
      </c>
      <c r="IE167" s="430">
        <v>0.31</v>
      </c>
      <c r="IF167" s="430">
        <v>0.4</v>
      </c>
      <c r="IG167" s="430">
        <v>0.51</v>
      </c>
      <c r="IH167" s="430">
        <v>0.43</v>
      </c>
      <c r="II167" s="430">
        <v>0.33</v>
      </c>
      <c r="IJ167" s="430">
        <v>0.2</v>
      </c>
      <c r="IK167" s="430">
        <v>0.59</v>
      </c>
      <c r="IL167" s="430">
        <v>0.33</v>
      </c>
      <c r="IM167" s="430">
        <v>0.59</v>
      </c>
      <c r="IN167" s="430">
        <v>0.41</v>
      </c>
      <c r="IO167" s="430">
        <v>0.45</v>
      </c>
      <c r="IP167" s="430">
        <v>0.33</v>
      </c>
      <c r="IQ167" s="430">
        <v>0.64</v>
      </c>
      <c r="IR167" s="430">
        <v>0.46</v>
      </c>
      <c r="IS167" s="430">
        <v>0.5</v>
      </c>
      <c r="IT167" s="430">
        <v>0.43</v>
      </c>
      <c r="IU167" s="426" t="s">
        <v>283</v>
      </c>
      <c r="IV167" s="430">
        <v>0.55000000000000004</v>
      </c>
      <c r="IW167" s="430">
        <v>0.37</v>
      </c>
      <c r="IX167" s="430">
        <v>0.53</v>
      </c>
      <c r="IY167" s="430">
        <v>0.49</v>
      </c>
      <c r="IZ167" s="466">
        <v>54</v>
      </c>
      <c r="JA167" s="466" t="s">
        <v>874</v>
      </c>
      <c r="JB167" s="466">
        <v>10</v>
      </c>
      <c r="JC167" s="466" t="s">
        <v>874</v>
      </c>
      <c r="JD167" s="480">
        <v>7.0000000000000007E-2</v>
      </c>
      <c r="JE167" s="480">
        <v>0.47</v>
      </c>
      <c r="JF167" s="480">
        <v>0.44</v>
      </c>
      <c r="JG167" s="480">
        <v>0.02</v>
      </c>
      <c r="JH167" s="480">
        <v>0.39</v>
      </c>
      <c r="JI167" s="480">
        <v>0.38</v>
      </c>
      <c r="JJ167" s="480">
        <v>0.42</v>
      </c>
      <c r="JK167" s="480">
        <v>0.41</v>
      </c>
      <c r="JL167" s="480">
        <v>0.41</v>
      </c>
      <c r="JM167" s="480">
        <v>0.46</v>
      </c>
      <c r="JN167" s="480">
        <v>0.35</v>
      </c>
      <c r="JO167" s="480">
        <v>0.36</v>
      </c>
      <c r="JP167" s="480">
        <v>0.53</v>
      </c>
      <c r="JQ167" s="480">
        <v>0.21</v>
      </c>
      <c r="JR167" s="480">
        <v>0.46</v>
      </c>
      <c r="JS167" s="480">
        <v>0.48</v>
      </c>
      <c r="JT167" s="480">
        <v>0.43</v>
      </c>
      <c r="JU167" s="480">
        <v>0.52</v>
      </c>
      <c r="JV167" s="480">
        <v>0.42</v>
      </c>
      <c r="JW167" s="480">
        <v>0.44</v>
      </c>
      <c r="JX167" s="480">
        <v>0.4</v>
      </c>
      <c r="JY167" s="480">
        <v>0.42</v>
      </c>
      <c r="JZ167" s="480">
        <v>0.39</v>
      </c>
      <c r="KA167" s="480">
        <v>0.63</v>
      </c>
      <c r="KB167" s="480">
        <v>0.37</v>
      </c>
      <c r="KC167" s="480">
        <v>0.68</v>
      </c>
      <c r="KD167" s="480">
        <v>0.26</v>
      </c>
      <c r="KE167" s="480">
        <v>0.49</v>
      </c>
      <c r="KF167" s="480">
        <v>0.32</v>
      </c>
      <c r="KG167" s="480">
        <v>0.47</v>
      </c>
    </row>
    <row r="168" spans="1:293" ht="24.95" customHeight="1" x14ac:dyDescent="0.2">
      <c r="A168" s="126" t="s">
        <v>207</v>
      </c>
      <c r="B168" s="1" t="s">
        <v>221</v>
      </c>
      <c r="C168" s="2">
        <v>4</v>
      </c>
      <c r="D168" s="12">
        <v>58</v>
      </c>
      <c r="E168" s="12">
        <v>5</v>
      </c>
      <c r="F168" s="66">
        <v>0</v>
      </c>
      <c r="G168" s="66">
        <v>0.33</v>
      </c>
      <c r="H168" s="66">
        <v>0.67</v>
      </c>
      <c r="I168" s="66">
        <v>0</v>
      </c>
      <c r="J168" s="66">
        <v>0.08</v>
      </c>
      <c r="K168" s="66">
        <v>0.08</v>
      </c>
      <c r="L168" s="66">
        <v>0.79</v>
      </c>
      <c r="M168" s="66">
        <v>0.33</v>
      </c>
      <c r="N168" s="66">
        <v>0.18</v>
      </c>
      <c r="O168" s="66">
        <v>0.51</v>
      </c>
      <c r="P168" s="66">
        <v>0.25</v>
      </c>
      <c r="Q168" s="66">
        <v>0.38</v>
      </c>
      <c r="R168" s="66">
        <v>0.4</v>
      </c>
      <c r="S168" s="66">
        <v>0.54</v>
      </c>
      <c r="T168" s="66">
        <v>0.33</v>
      </c>
      <c r="U168" s="66">
        <v>0.25</v>
      </c>
      <c r="V168" s="66">
        <v>0</v>
      </c>
      <c r="W168" s="66">
        <v>0.08</v>
      </c>
      <c r="X168" s="66">
        <v>0.48</v>
      </c>
      <c r="Y168" s="66">
        <v>0.42</v>
      </c>
      <c r="Z168" s="12" t="s">
        <v>283</v>
      </c>
      <c r="AA168" s="66">
        <v>0</v>
      </c>
      <c r="AB168" s="66">
        <v>0.5</v>
      </c>
      <c r="AC168" s="66">
        <v>0.08</v>
      </c>
      <c r="AD168" s="66">
        <v>0.35</v>
      </c>
      <c r="AE168" s="66">
        <v>0.5</v>
      </c>
      <c r="AF168" s="66">
        <v>0.46</v>
      </c>
      <c r="AG168" s="66">
        <v>0.5</v>
      </c>
      <c r="AH168" s="12">
        <v>58</v>
      </c>
      <c r="AI168" s="12">
        <v>7</v>
      </c>
      <c r="AJ168" s="40">
        <v>0</v>
      </c>
      <c r="AK168" s="40">
        <v>0.38</v>
      </c>
      <c r="AL168" s="40">
        <v>0.63</v>
      </c>
      <c r="AM168" s="40">
        <v>0</v>
      </c>
      <c r="AN168" s="40">
        <v>0.11</v>
      </c>
      <c r="AO168" s="40">
        <v>0.39</v>
      </c>
      <c r="AP168" s="40">
        <v>0.52</v>
      </c>
      <c r="AQ168" s="40">
        <v>0.28999999999999998</v>
      </c>
      <c r="AR168" s="40">
        <v>0.25</v>
      </c>
      <c r="AS168" s="40">
        <v>0.45</v>
      </c>
      <c r="AT168" s="40">
        <v>0.44</v>
      </c>
      <c r="AU168" s="40">
        <v>0.37</v>
      </c>
      <c r="AV168" s="40">
        <v>0.59</v>
      </c>
      <c r="AW168" s="40">
        <v>0.17</v>
      </c>
      <c r="AX168" s="40">
        <v>0.56000000000000005</v>
      </c>
      <c r="AY168" s="40">
        <v>0.23</v>
      </c>
      <c r="AZ168" s="40">
        <v>0.1</v>
      </c>
      <c r="BA168" s="40">
        <v>0.47</v>
      </c>
      <c r="BB168" s="40">
        <v>0.46</v>
      </c>
      <c r="BC168" s="40">
        <v>0.66</v>
      </c>
      <c r="BD168" s="40">
        <v>0.31</v>
      </c>
      <c r="BE168" s="40">
        <v>0.55000000000000004</v>
      </c>
      <c r="BF168" s="40">
        <v>0.25</v>
      </c>
      <c r="BG168" s="40">
        <v>0.32</v>
      </c>
      <c r="BH168" s="40">
        <v>0.34</v>
      </c>
      <c r="BI168" s="40">
        <v>0.28999999999999998</v>
      </c>
      <c r="BJ168" s="40">
        <v>0.28000000000000003</v>
      </c>
      <c r="BK168" s="40">
        <v>0.38</v>
      </c>
      <c r="BL168" s="40">
        <v>0.5</v>
      </c>
      <c r="BM168" s="12">
        <v>54</v>
      </c>
      <c r="BN168" s="12">
        <v>6</v>
      </c>
      <c r="BO168" s="66">
        <v>0</v>
      </c>
      <c r="BP168" s="66">
        <v>0.6</v>
      </c>
      <c r="BQ168" s="66">
        <v>0.4</v>
      </c>
      <c r="BR168" s="66">
        <v>0</v>
      </c>
      <c r="BS168" s="66">
        <v>0.05</v>
      </c>
      <c r="BT168" s="66">
        <v>0.63</v>
      </c>
      <c r="BU168" s="66">
        <v>0.69</v>
      </c>
      <c r="BV168" s="66">
        <v>0.22</v>
      </c>
      <c r="BW168" s="66">
        <v>0.68</v>
      </c>
      <c r="BX168" s="66">
        <v>0.21</v>
      </c>
      <c r="BY168" s="66">
        <v>0.38</v>
      </c>
      <c r="BZ168" s="66">
        <v>0.53</v>
      </c>
      <c r="CA168" s="66">
        <v>0.42</v>
      </c>
      <c r="CB168" s="66">
        <v>0.27</v>
      </c>
      <c r="CC168" s="66">
        <v>0.17</v>
      </c>
      <c r="CD168" s="66">
        <v>0.26</v>
      </c>
      <c r="CE168" s="66">
        <v>0.1</v>
      </c>
      <c r="CF168" s="66">
        <v>0.64</v>
      </c>
      <c r="CG168" s="66">
        <v>0.42</v>
      </c>
      <c r="CH168" s="66">
        <v>0.45</v>
      </c>
      <c r="CI168" s="66">
        <v>0.62</v>
      </c>
      <c r="CJ168" s="66">
        <v>0.31</v>
      </c>
      <c r="CK168" s="66">
        <v>0.7</v>
      </c>
      <c r="CL168" s="66">
        <v>0.33</v>
      </c>
      <c r="CM168" s="66">
        <v>0.33</v>
      </c>
      <c r="CN168" s="66">
        <v>0.52</v>
      </c>
      <c r="CO168" s="66">
        <v>0.45</v>
      </c>
      <c r="CP168" s="66">
        <v>0.38</v>
      </c>
      <c r="CQ168" s="66">
        <v>0.51</v>
      </c>
      <c r="CR168" s="66">
        <v>0.53</v>
      </c>
      <c r="CS168" s="12">
        <v>55</v>
      </c>
      <c r="CT168" s="12">
        <v>8</v>
      </c>
      <c r="CU168" s="63">
        <v>0.06</v>
      </c>
      <c r="CV168" s="63">
        <v>0.5</v>
      </c>
      <c r="CW168" s="63">
        <v>0.44</v>
      </c>
      <c r="CX168" s="63">
        <v>0</v>
      </c>
      <c r="CY168" s="63">
        <v>0.39</v>
      </c>
      <c r="CZ168" s="63">
        <v>0.28999999999999998</v>
      </c>
      <c r="DA168" s="63">
        <v>0.55000000000000004</v>
      </c>
      <c r="DB168" s="63">
        <v>0.13</v>
      </c>
      <c r="DC168" s="63">
        <v>0.38</v>
      </c>
      <c r="DD168" s="63">
        <v>0.46</v>
      </c>
      <c r="DE168" s="63">
        <v>0.35</v>
      </c>
      <c r="DF168" s="63">
        <v>0.42</v>
      </c>
      <c r="DG168" s="63">
        <v>0.32</v>
      </c>
      <c r="DH168" s="63">
        <v>0.25</v>
      </c>
      <c r="DI168" s="63">
        <v>0.28000000000000003</v>
      </c>
      <c r="DJ168" s="63">
        <v>0.36</v>
      </c>
      <c r="DK168" s="63">
        <v>0.32</v>
      </c>
      <c r="DL168" s="63">
        <v>0.38</v>
      </c>
      <c r="DM168" s="63">
        <v>0.43</v>
      </c>
      <c r="DN168" s="63">
        <v>0.42</v>
      </c>
      <c r="DO168" s="63">
        <v>0.37</v>
      </c>
      <c r="DP168" s="63">
        <v>0.34</v>
      </c>
      <c r="DQ168" s="63">
        <v>0.53</v>
      </c>
      <c r="DR168" s="63">
        <v>0.21</v>
      </c>
      <c r="DS168" s="63">
        <v>0.31</v>
      </c>
      <c r="DT168" s="63">
        <v>0.28999999999999998</v>
      </c>
      <c r="DU168" s="63">
        <v>0.44</v>
      </c>
      <c r="DV168" s="63">
        <v>0.55000000000000004</v>
      </c>
      <c r="DW168" s="63">
        <v>0.4</v>
      </c>
      <c r="DX168" s="35">
        <v>49</v>
      </c>
      <c r="DY168" s="35">
        <v>11</v>
      </c>
      <c r="DZ168" s="40">
        <v>0.25</v>
      </c>
      <c r="EA168" s="40">
        <v>0.44</v>
      </c>
      <c r="EB168" s="40">
        <v>0.31</v>
      </c>
      <c r="EC168" s="40">
        <v>0</v>
      </c>
      <c r="ED168" s="40">
        <v>0.57999999999999996</v>
      </c>
      <c r="EE168" s="40">
        <v>0.39</v>
      </c>
      <c r="EF168" s="40">
        <v>0.44</v>
      </c>
      <c r="EG168" s="40">
        <v>0.25</v>
      </c>
      <c r="EH168" s="40">
        <v>0.48</v>
      </c>
      <c r="EI168" s="40">
        <v>0.57999999999999996</v>
      </c>
      <c r="EJ168" s="40">
        <v>0.64</v>
      </c>
      <c r="EK168" s="40">
        <v>0.37</v>
      </c>
      <c r="EL168" s="40">
        <v>0.42</v>
      </c>
      <c r="EM168" s="40">
        <v>0.46</v>
      </c>
      <c r="EN168" s="40">
        <v>0.37</v>
      </c>
      <c r="EO168" s="40">
        <v>0.54</v>
      </c>
      <c r="EP168" s="40">
        <v>0.44</v>
      </c>
      <c r="EQ168" s="40">
        <v>0.47</v>
      </c>
      <c r="ER168" s="40">
        <v>0.56999999999999995</v>
      </c>
      <c r="ES168" s="40">
        <v>0.38</v>
      </c>
      <c r="ET168" s="40">
        <v>0.33</v>
      </c>
      <c r="EU168" s="40">
        <v>0.61</v>
      </c>
      <c r="EV168" s="40">
        <v>0.4</v>
      </c>
      <c r="EW168" s="40">
        <v>0.21</v>
      </c>
      <c r="EX168" s="40">
        <v>0.75</v>
      </c>
      <c r="EY168" s="40">
        <v>0.63</v>
      </c>
      <c r="EZ168" s="40">
        <v>0.3</v>
      </c>
      <c r="FA168" s="40">
        <v>0.65</v>
      </c>
      <c r="FB168" s="247">
        <v>53</v>
      </c>
      <c r="FC168" s="247" t="s">
        <v>874</v>
      </c>
      <c r="FD168" s="247">
        <v>7</v>
      </c>
      <c r="FE168" s="247" t="s">
        <v>874</v>
      </c>
      <c r="FF168" s="264">
        <v>0.06</v>
      </c>
      <c r="FG168" s="264">
        <v>0.63</v>
      </c>
      <c r="FH168" s="264">
        <v>0.31</v>
      </c>
      <c r="FI168" s="264">
        <v>0</v>
      </c>
      <c r="FJ168" s="264">
        <v>0.41</v>
      </c>
      <c r="FK168" s="264">
        <v>0.44</v>
      </c>
      <c r="FL168" s="264">
        <v>0.39</v>
      </c>
      <c r="FM168" s="264">
        <v>0.5</v>
      </c>
      <c r="FN168" s="264">
        <v>0.2</v>
      </c>
      <c r="FO168" s="264">
        <v>0.34</v>
      </c>
      <c r="FP168" s="264">
        <v>0.39</v>
      </c>
      <c r="FQ168" s="264">
        <v>0.4</v>
      </c>
      <c r="FR168" s="264">
        <v>0.49</v>
      </c>
      <c r="FS168" s="264">
        <v>0.67</v>
      </c>
      <c r="FT168" s="264">
        <v>0.44</v>
      </c>
      <c r="FU168" s="264">
        <v>0.15</v>
      </c>
      <c r="FV168" s="264">
        <v>0.38</v>
      </c>
      <c r="FW168" s="264">
        <v>0.51</v>
      </c>
      <c r="FX168" s="264">
        <v>0.4</v>
      </c>
      <c r="FY168" s="264">
        <v>0.36</v>
      </c>
      <c r="FZ168" s="264">
        <v>0.39</v>
      </c>
      <c r="GA168" s="264">
        <v>0.52</v>
      </c>
      <c r="GB168" s="264">
        <v>0.61</v>
      </c>
      <c r="GC168" s="264">
        <v>0.33</v>
      </c>
      <c r="GD168" s="264">
        <v>0.47</v>
      </c>
      <c r="GE168" s="264">
        <v>0.28999999999999998</v>
      </c>
      <c r="GF168" s="264">
        <v>0.56000000000000005</v>
      </c>
      <c r="GG168" s="264">
        <v>0.37</v>
      </c>
      <c r="GH168" s="264">
        <v>0.68</v>
      </c>
      <c r="GI168" s="264">
        <v>0.13</v>
      </c>
      <c r="GJ168" s="311">
        <v>54</v>
      </c>
      <c r="GK168" s="311" t="s">
        <v>874</v>
      </c>
      <c r="GL168" s="311">
        <v>9</v>
      </c>
      <c r="GM168" s="311" t="s">
        <v>874</v>
      </c>
      <c r="GN168" s="329">
        <v>0.11</v>
      </c>
      <c r="GO168" s="329">
        <v>0.37</v>
      </c>
      <c r="GP168" s="329">
        <v>0.53</v>
      </c>
      <c r="GQ168" s="329">
        <v>0</v>
      </c>
      <c r="GR168" s="329">
        <v>0.53</v>
      </c>
      <c r="GS168" s="329">
        <v>0.42</v>
      </c>
      <c r="GT168" s="329">
        <v>0.61</v>
      </c>
      <c r="GU168" s="329">
        <v>0.1</v>
      </c>
      <c r="GV168" s="329">
        <v>0.55000000000000004</v>
      </c>
      <c r="GW168" s="329">
        <v>0.28000000000000003</v>
      </c>
      <c r="GX168" s="329">
        <v>0.49</v>
      </c>
      <c r="GY168" s="311" t="s">
        <v>283</v>
      </c>
      <c r="GZ168" s="329">
        <v>0.24</v>
      </c>
      <c r="HA168" s="329">
        <v>0.6</v>
      </c>
      <c r="HB168" s="329">
        <v>0.32</v>
      </c>
      <c r="HC168" s="329">
        <v>0.62</v>
      </c>
      <c r="HD168" s="329">
        <v>0.5</v>
      </c>
      <c r="HE168" s="329">
        <v>0.5</v>
      </c>
      <c r="HF168" s="329">
        <v>0.38</v>
      </c>
      <c r="HG168" s="329">
        <v>0.69</v>
      </c>
      <c r="HH168" s="329">
        <v>0.22</v>
      </c>
      <c r="HI168" s="329">
        <v>0.65</v>
      </c>
      <c r="HJ168" s="329">
        <v>0.56999999999999995</v>
      </c>
      <c r="HK168" s="329">
        <v>0.32</v>
      </c>
      <c r="HL168" s="329">
        <v>0.27</v>
      </c>
      <c r="HM168" s="329">
        <v>0.32</v>
      </c>
      <c r="HN168" s="329">
        <v>0.42</v>
      </c>
      <c r="HO168" s="329">
        <v>0.27</v>
      </c>
      <c r="HP168" s="311" t="s">
        <v>283</v>
      </c>
      <c r="HQ168" s="329">
        <v>0.31</v>
      </c>
      <c r="HR168" s="426">
        <v>53</v>
      </c>
      <c r="HS168" s="426" t="s">
        <v>874</v>
      </c>
      <c r="HT168" s="426">
        <v>9</v>
      </c>
      <c r="HU168" s="426" t="s">
        <v>874</v>
      </c>
      <c r="HV168" s="430">
        <v>0.09</v>
      </c>
      <c r="HW168" s="430">
        <v>0.48</v>
      </c>
      <c r="HX168" s="430">
        <v>0.39</v>
      </c>
      <c r="HY168" s="430">
        <v>0.04</v>
      </c>
      <c r="HZ168" s="430">
        <v>0.32</v>
      </c>
      <c r="IA168" s="430">
        <v>0.49</v>
      </c>
      <c r="IB168" s="430">
        <v>0.42</v>
      </c>
      <c r="IC168" s="430">
        <v>0.56999999999999995</v>
      </c>
      <c r="ID168" s="430">
        <v>0.62</v>
      </c>
      <c r="IE168" s="430">
        <v>0.27</v>
      </c>
      <c r="IF168" s="430">
        <v>0.27</v>
      </c>
      <c r="IG168" s="430">
        <v>0.39</v>
      </c>
      <c r="IH168" s="430">
        <v>0.53</v>
      </c>
      <c r="II168" s="430">
        <v>0.25</v>
      </c>
      <c r="IJ168" s="430">
        <v>0.22</v>
      </c>
      <c r="IK168" s="430">
        <v>0.52</v>
      </c>
      <c r="IL168" s="430">
        <v>0.26</v>
      </c>
      <c r="IM168" s="430">
        <v>0.47</v>
      </c>
      <c r="IN168" s="430">
        <v>0.5</v>
      </c>
      <c r="IO168" s="430">
        <v>0.4</v>
      </c>
      <c r="IP168" s="430">
        <v>0.48</v>
      </c>
      <c r="IQ168" s="430">
        <v>0.52</v>
      </c>
      <c r="IR168" s="430">
        <v>0.61</v>
      </c>
      <c r="IS168" s="430">
        <v>0.51</v>
      </c>
      <c r="IT168" s="430">
        <v>0.45</v>
      </c>
      <c r="IU168" s="426" t="s">
        <v>283</v>
      </c>
      <c r="IV168" s="430">
        <v>0.56000000000000005</v>
      </c>
      <c r="IW168" s="430">
        <v>0.32</v>
      </c>
      <c r="IX168" s="430">
        <v>0.48</v>
      </c>
      <c r="IY168" s="430">
        <v>0.45</v>
      </c>
      <c r="IZ168" s="466">
        <v>57</v>
      </c>
      <c r="JA168" s="466" t="s">
        <v>874</v>
      </c>
      <c r="JB168" s="466">
        <v>9</v>
      </c>
      <c r="JC168" s="466" t="s">
        <v>874</v>
      </c>
      <c r="JD168" s="480">
        <v>0</v>
      </c>
      <c r="JE168" s="480">
        <v>0.5</v>
      </c>
      <c r="JF168" s="480">
        <v>0.46</v>
      </c>
      <c r="JG168" s="480">
        <v>0.04</v>
      </c>
      <c r="JH168" s="480">
        <v>0.42</v>
      </c>
      <c r="JI168" s="480">
        <v>0.35</v>
      </c>
      <c r="JJ168" s="480">
        <v>0.37</v>
      </c>
      <c r="JK168" s="480">
        <v>0.32</v>
      </c>
      <c r="JL168" s="480">
        <v>0.44</v>
      </c>
      <c r="JM168" s="480">
        <v>0.4</v>
      </c>
      <c r="JN168" s="480">
        <v>0.31</v>
      </c>
      <c r="JO168" s="480">
        <v>0.49</v>
      </c>
      <c r="JP168" s="480">
        <v>0.5</v>
      </c>
      <c r="JQ168" s="480">
        <v>0.11</v>
      </c>
      <c r="JR168" s="480">
        <v>0.57999999999999996</v>
      </c>
      <c r="JS168" s="480">
        <v>0.5</v>
      </c>
      <c r="JT168" s="480">
        <v>0.31</v>
      </c>
      <c r="JU168" s="480">
        <v>0.28999999999999998</v>
      </c>
      <c r="JV168" s="480">
        <v>0.44</v>
      </c>
      <c r="JW168" s="480">
        <v>0.31</v>
      </c>
      <c r="JX168" s="480">
        <v>0.44</v>
      </c>
      <c r="JY168" s="480">
        <v>0.32</v>
      </c>
      <c r="JZ168" s="480">
        <v>0.39</v>
      </c>
      <c r="KA168" s="480">
        <v>0.43</v>
      </c>
      <c r="KB168" s="480">
        <v>0.31</v>
      </c>
      <c r="KC168" s="480">
        <v>0.55000000000000004</v>
      </c>
      <c r="KD168" s="480">
        <v>0.2</v>
      </c>
      <c r="KE168" s="480">
        <v>0.24</v>
      </c>
      <c r="KF168" s="480">
        <v>0.3</v>
      </c>
      <c r="KG168" s="480">
        <v>0.41</v>
      </c>
    </row>
    <row r="169" spans="1:293" ht="24.95" customHeight="1" x14ac:dyDescent="0.2">
      <c r="A169" s="126" t="s">
        <v>99</v>
      </c>
      <c r="B169" s="1" t="s">
        <v>221</v>
      </c>
      <c r="C169" s="2">
        <v>5</v>
      </c>
      <c r="D169" s="12">
        <v>59</v>
      </c>
      <c r="E169" s="12">
        <v>8</v>
      </c>
      <c r="F169" s="66">
        <v>0</v>
      </c>
      <c r="G169" s="66">
        <v>0.37</v>
      </c>
      <c r="H169" s="66">
        <v>0.57999999999999996</v>
      </c>
      <c r="I169" s="66">
        <v>0.05</v>
      </c>
      <c r="J169" s="66">
        <v>0.1</v>
      </c>
      <c r="K169" s="66">
        <v>0.27</v>
      </c>
      <c r="L169" s="66">
        <v>0.59</v>
      </c>
      <c r="M169" s="66">
        <v>0.2</v>
      </c>
      <c r="N169" s="66">
        <v>0.23</v>
      </c>
      <c r="O169" s="66">
        <v>0.66</v>
      </c>
      <c r="P169" s="66">
        <v>0.27</v>
      </c>
      <c r="Q169" s="66">
        <v>0.38</v>
      </c>
      <c r="R169" s="66">
        <v>0.5</v>
      </c>
      <c r="S169" s="66">
        <v>0.46</v>
      </c>
      <c r="T169" s="66">
        <v>0.33</v>
      </c>
      <c r="U169" s="66">
        <v>0.38</v>
      </c>
      <c r="V169" s="66">
        <v>0</v>
      </c>
      <c r="W169" s="66">
        <v>0.03</v>
      </c>
      <c r="X169" s="66">
        <v>0.49</v>
      </c>
      <c r="Y169" s="66">
        <v>0.51</v>
      </c>
      <c r="Z169" s="66">
        <v>0</v>
      </c>
      <c r="AA169" s="66">
        <v>7.0000000000000007E-2</v>
      </c>
      <c r="AB169" s="66">
        <v>0.42</v>
      </c>
      <c r="AC169" s="66">
        <v>0.36</v>
      </c>
      <c r="AD169" s="66">
        <v>0.43</v>
      </c>
      <c r="AE169" s="66">
        <v>0.44</v>
      </c>
      <c r="AF169" s="66">
        <v>0.33</v>
      </c>
      <c r="AG169" s="66">
        <v>0.28000000000000003</v>
      </c>
      <c r="AH169" s="12">
        <v>55</v>
      </c>
      <c r="AI169" s="12">
        <v>8</v>
      </c>
      <c r="AJ169" s="40">
        <v>0.08</v>
      </c>
      <c r="AK169" s="40">
        <v>0.21</v>
      </c>
      <c r="AL169" s="40">
        <v>0.71</v>
      </c>
      <c r="AM169" s="40">
        <v>0</v>
      </c>
      <c r="AN169" s="40">
        <v>0.24</v>
      </c>
      <c r="AO169" s="40">
        <v>0.49</v>
      </c>
      <c r="AP169" s="40">
        <v>0.55000000000000004</v>
      </c>
      <c r="AQ169" s="40">
        <v>0.32</v>
      </c>
      <c r="AR169" s="40">
        <v>0.39</v>
      </c>
      <c r="AS169" s="40">
        <v>0.44</v>
      </c>
      <c r="AT169" s="40">
        <v>0.39</v>
      </c>
      <c r="AU169" s="40">
        <v>0.38</v>
      </c>
      <c r="AV169" s="40">
        <v>0.61</v>
      </c>
      <c r="AW169" s="40">
        <v>0</v>
      </c>
      <c r="AX169" s="40">
        <v>0.55000000000000004</v>
      </c>
      <c r="AY169" s="40">
        <v>0.25</v>
      </c>
      <c r="AZ169" s="40">
        <v>0.19</v>
      </c>
      <c r="BA169" s="40">
        <v>0.45</v>
      </c>
      <c r="BB169" s="40">
        <v>0.64</v>
      </c>
      <c r="BC169" s="40">
        <v>0.69</v>
      </c>
      <c r="BD169" s="40">
        <v>0.46</v>
      </c>
      <c r="BE169" s="40">
        <v>0.5</v>
      </c>
      <c r="BF169" s="40">
        <v>0.53</v>
      </c>
      <c r="BG169" s="40">
        <v>0.37</v>
      </c>
      <c r="BH169" s="40">
        <v>0.33</v>
      </c>
      <c r="BI169" s="40">
        <v>0.36</v>
      </c>
      <c r="BJ169" s="40">
        <v>0.38</v>
      </c>
      <c r="BK169" s="40">
        <v>0.31</v>
      </c>
      <c r="BL169" s="40">
        <v>0.55000000000000004</v>
      </c>
      <c r="BM169" s="12">
        <v>54</v>
      </c>
      <c r="BN169" s="12">
        <v>6</v>
      </c>
      <c r="BO169" s="66">
        <v>0</v>
      </c>
      <c r="BP169" s="66">
        <v>0.71</v>
      </c>
      <c r="BQ169" s="66">
        <v>0.28999999999999998</v>
      </c>
      <c r="BR169" s="66">
        <v>0</v>
      </c>
      <c r="BS169" s="66">
        <v>0.35</v>
      </c>
      <c r="BT169" s="66">
        <v>0.63</v>
      </c>
      <c r="BU169" s="66">
        <v>0.83</v>
      </c>
      <c r="BV169" s="66">
        <v>0.23</v>
      </c>
      <c r="BW169" s="66">
        <v>0.75</v>
      </c>
      <c r="BX169" s="66">
        <v>0.24</v>
      </c>
      <c r="BY169" s="66">
        <v>0.45</v>
      </c>
      <c r="BZ169" s="66">
        <v>0.47</v>
      </c>
      <c r="CA169" s="66">
        <v>0.61</v>
      </c>
      <c r="CB169" s="66">
        <v>0.27</v>
      </c>
      <c r="CC169" s="66">
        <v>0.21</v>
      </c>
      <c r="CD169" s="66">
        <v>0.43</v>
      </c>
      <c r="CE169" s="66">
        <v>0.34</v>
      </c>
      <c r="CF169" s="66">
        <v>0.53</v>
      </c>
      <c r="CG169" s="66">
        <v>0.48</v>
      </c>
      <c r="CH169" s="66">
        <v>0.28999999999999998</v>
      </c>
      <c r="CI169" s="66">
        <v>0.48</v>
      </c>
      <c r="CJ169" s="66">
        <v>0.31</v>
      </c>
      <c r="CK169" s="66">
        <v>0.63</v>
      </c>
      <c r="CL169" s="66">
        <v>0.19</v>
      </c>
      <c r="CM169" s="66">
        <v>0.39</v>
      </c>
      <c r="CN169" s="66">
        <v>0.33</v>
      </c>
      <c r="CO169" s="66">
        <v>0.41</v>
      </c>
      <c r="CP169" s="66">
        <v>0.28000000000000003</v>
      </c>
      <c r="CQ169" s="66">
        <v>0.51</v>
      </c>
      <c r="CR169" s="66">
        <v>0.52</v>
      </c>
      <c r="CS169" s="12">
        <v>55</v>
      </c>
      <c r="CT169" s="12">
        <v>9</v>
      </c>
      <c r="CU169" s="63">
        <v>0.05</v>
      </c>
      <c r="CV169" s="63">
        <v>0.52</v>
      </c>
      <c r="CW169" s="63">
        <v>0.38</v>
      </c>
      <c r="CX169" s="63">
        <v>0.05</v>
      </c>
      <c r="CY169" s="63">
        <v>0.42</v>
      </c>
      <c r="CZ169" s="63">
        <v>0.17</v>
      </c>
      <c r="DA169" s="63">
        <v>0.33</v>
      </c>
      <c r="DB169" s="63">
        <v>0.2</v>
      </c>
      <c r="DC169" s="63">
        <v>0.28999999999999998</v>
      </c>
      <c r="DD169" s="63">
        <v>0.68</v>
      </c>
      <c r="DE169" s="63">
        <v>0.24</v>
      </c>
      <c r="DF169" s="63">
        <v>0.48</v>
      </c>
      <c r="DG169" s="63">
        <v>0.37</v>
      </c>
      <c r="DH169" s="63">
        <v>0.28999999999999998</v>
      </c>
      <c r="DI169" s="63">
        <v>0.32</v>
      </c>
      <c r="DJ169" s="63">
        <v>0.36</v>
      </c>
      <c r="DK169" s="63">
        <v>0.19</v>
      </c>
      <c r="DL169" s="63">
        <v>0.22</v>
      </c>
      <c r="DM169" s="63">
        <v>0.45</v>
      </c>
      <c r="DN169" s="63">
        <v>0.46</v>
      </c>
      <c r="DO169" s="63">
        <v>0.48</v>
      </c>
      <c r="DP169" s="63">
        <v>0.32</v>
      </c>
      <c r="DQ169" s="63">
        <v>0.56999999999999995</v>
      </c>
      <c r="DR169" s="63">
        <v>0.2</v>
      </c>
      <c r="DS169" s="63">
        <v>0.35</v>
      </c>
      <c r="DT169" s="63">
        <v>0.68</v>
      </c>
      <c r="DU169" s="63">
        <v>0.42</v>
      </c>
      <c r="DV169" s="63">
        <v>0.4</v>
      </c>
      <c r="DW169" s="63">
        <v>0.27</v>
      </c>
      <c r="DX169" s="35">
        <v>55</v>
      </c>
      <c r="DY169" s="35">
        <v>9</v>
      </c>
      <c r="DZ169" s="40">
        <v>0.05</v>
      </c>
      <c r="EA169" s="40">
        <v>0.42</v>
      </c>
      <c r="EB169" s="40">
        <v>0.53</v>
      </c>
      <c r="EC169" s="40">
        <v>0</v>
      </c>
      <c r="ED169" s="40">
        <v>0.54</v>
      </c>
      <c r="EE169" s="40">
        <v>0.51</v>
      </c>
      <c r="EF169" s="40">
        <v>0.35</v>
      </c>
      <c r="EG169" s="40">
        <v>0.22</v>
      </c>
      <c r="EH169" s="40">
        <v>0.21</v>
      </c>
      <c r="EI169" s="40">
        <v>0.46</v>
      </c>
      <c r="EJ169" s="40">
        <v>0.37</v>
      </c>
      <c r="EK169" s="40">
        <v>0.12</v>
      </c>
      <c r="EL169" s="40">
        <v>0.13</v>
      </c>
      <c r="EM169" s="40">
        <v>0.73</v>
      </c>
      <c r="EN169" s="40">
        <v>0.38</v>
      </c>
      <c r="EO169" s="40">
        <v>0.64</v>
      </c>
      <c r="EP169" s="40">
        <v>0.28999999999999998</v>
      </c>
      <c r="EQ169" s="40">
        <v>0.12</v>
      </c>
      <c r="ER169" s="40">
        <v>0.6</v>
      </c>
      <c r="ES169" s="40">
        <v>0.33</v>
      </c>
      <c r="ET169" s="40">
        <v>0.24</v>
      </c>
      <c r="EU169" s="40">
        <v>0.33</v>
      </c>
      <c r="EV169" s="40">
        <v>0.17</v>
      </c>
      <c r="EW169" s="40">
        <v>0.26</v>
      </c>
      <c r="EX169" s="40">
        <v>0.44</v>
      </c>
      <c r="EY169" s="40">
        <v>0.48</v>
      </c>
      <c r="EZ169" s="40">
        <v>0.06</v>
      </c>
      <c r="FA169" s="40">
        <v>0.55000000000000004</v>
      </c>
      <c r="FB169" s="247">
        <v>51</v>
      </c>
      <c r="FC169" s="247" t="s">
        <v>874</v>
      </c>
      <c r="FD169" s="247">
        <v>7</v>
      </c>
      <c r="FE169" s="247" t="s">
        <v>874</v>
      </c>
      <c r="FF169" s="264">
        <v>0.08</v>
      </c>
      <c r="FG169" s="264">
        <v>0.62</v>
      </c>
      <c r="FH169" s="264">
        <v>0.31</v>
      </c>
      <c r="FI169" s="264">
        <v>0</v>
      </c>
      <c r="FJ169" s="264">
        <v>0.5</v>
      </c>
      <c r="FK169" s="264">
        <v>0.64</v>
      </c>
      <c r="FL169" s="264">
        <v>0.43</v>
      </c>
      <c r="FM169" s="264">
        <v>0.37</v>
      </c>
      <c r="FN169" s="264">
        <v>0.12</v>
      </c>
      <c r="FO169" s="264">
        <v>0.37</v>
      </c>
      <c r="FP169" s="264">
        <v>0.44</v>
      </c>
      <c r="FQ169" s="264">
        <v>0.36</v>
      </c>
      <c r="FR169" s="264">
        <v>0.62</v>
      </c>
      <c r="FS169" s="264">
        <v>0.47</v>
      </c>
      <c r="FT169" s="264">
        <v>0.48</v>
      </c>
      <c r="FU169" s="264">
        <v>0.47</v>
      </c>
      <c r="FV169" s="264">
        <v>0.62</v>
      </c>
      <c r="FW169" s="264">
        <v>0.46</v>
      </c>
      <c r="FX169" s="264">
        <v>0.46</v>
      </c>
      <c r="FY169" s="264">
        <v>0.33</v>
      </c>
      <c r="FZ169" s="264">
        <v>0.28999999999999998</v>
      </c>
      <c r="GA169" s="264">
        <v>0.44</v>
      </c>
      <c r="GB169" s="264">
        <v>0.54</v>
      </c>
      <c r="GC169" s="264">
        <v>0.39</v>
      </c>
      <c r="GD169" s="264">
        <v>0.5</v>
      </c>
      <c r="GE169" s="264">
        <v>0.53</v>
      </c>
      <c r="GF169" s="264">
        <v>0.49</v>
      </c>
      <c r="GG169" s="264">
        <v>0.36</v>
      </c>
      <c r="GH169" s="264">
        <v>0.65</v>
      </c>
      <c r="GI169" s="264">
        <v>0.32</v>
      </c>
      <c r="GJ169" s="311">
        <v>56</v>
      </c>
      <c r="GK169" s="311" t="s">
        <v>874</v>
      </c>
      <c r="GL169" s="311">
        <v>8</v>
      </c>
      <c r="GM169" s="311" t="s">
        <v>874</v>
      </c>
      <c r="GN169" s="329">
        <v>0</v>
      </c>
      <c r="GO169" s="329">
        <v>0.52</v>
      </c>
      <c r="GP169" s="329">
        <v>0.48</v>
      </c>
      <c r="GQ169" s="329">
        <v>0</v>
      </c>
      <c r="GR169" s="329">
        <v>0.38</v>
      </c>
      <c r="GS169" s="329">
        <v>0.37</v>
      </c>
      <c r="GT169" s="329">
        <v>0.52</v>
      </c>
      <c r="GU169" s="329">
        <v>0.23</v>
      </c>
      <c r="GV169" s="329">
        <v>0.49</v>
      </c>
      <c r="GW169" s="329">
        <v>0.33</v>
      </c>
      <c r="GX169" s="329">
        <v>0.42</v>
      </c>
      <c r="GY169" s="311" t="s">
        <v>283</v>
      </c>
      <c r="GZ169" s="329">
        <v>0.18</v>
      </c>
      <c r="HA169" s="329">
        <v>0.67</v>
      </c>
      <c r="HB169" s="329">
        <v>0.42</v>
      </c>
      <c r="HC169" s="329">
        <v>0.44</v>
      </c>
      <c r="HD169" s="329">
        <v>0.48</v>
      </c>
      <c r="HE169" s="329">
        <v>0.39</v>
      </c>
      <c r="HF169" s="329">
        <v>0.32</v>
      </c>
      <c r="HG169" s="329">
        <v>0.51</v>
      </c>
      <c r="HH169" s="329">
        <v>0.27</v>
      </c>
      <c r="HI169" s="329">
        <v>0.4</v>
      </c>
      <c r="HJ169" s="329">
        <v>0.56000000000000005</v>
      </c>
      <c r="HK169" s="329">
        <v>0.51</v>
      </c>
      <c r="HL169" s="329">
        <v>0.31</v>
      </c>
      <c r="HM169" s="329">
        <v>0.56000000000000005</v>
      </c>
      <c r="HN169" s="329">
        <v>0.4</v>
      </c>
      <c r="HO169" s="329">
        <v>0.31</v>
      </c>
      <c r="HP169" s="311" t="s">
        <v>283</v>
      </c>
      <c r="HQ169" s="329">
        <v>0.25</v>
      </c>
      <c r="HR169" s="426">
        <v>54</v>
      </c>
      <c r="HS169" s="426" t="s">
        <v>874</v>
      </c>
      <c r="HT169" s="426">
        <v>12</v>
      </c>
      <c r="HU169" s="426" t="s">
        <v>874</v>
      </c>
      <c r="HV169" s="430">
        <v>0.14000000000000001</v>
      </c>
      <c r="HW169" s="430">
        <v>0.43</v>
      </c>
      <c r="HX169" s="430">
        <v>0.33</v>
      </c>
      <c r="HY169" s="430">
        <v>0.1</v>
      </c>
      <c r="HZ169" s="430">
        <v>0.35</v>
      </c>
      <c r="IA169" s="430">
        <v>0.54</v>
      </c>
      <c r="IB169" s="430">
        <v>0.06</v>
      </c>
      <c r="IC169" s="430">
        <v>0.6</v>
      </c>
      <c r="ID169" s="430">
        <v>0.42</v>
      </c>
      <c r="IE169" s="430">
        <v>0.24</v>
      </c>
      <c r="IF169" s="430">
        <v>0.32</v>
      </c>
      <c r="IG169" s="430">
        <v>0.59</v>
      </c>
      <c r="IH169" s="430">
        <v>0.51</v>
      </c>
      <c r="II169" s="430">
        <v>0.27</v>
      </c>
      <c r="IJ169" s="430">
        <v>0.26</v>
      </c>
      <c r="IK169" s="430">
        <v>0.33</v>
      </c>
      <c r="IL169" s="430">
        <v>0.27</v>
      </c>
      <c r="IM169" s="430">
        <v>0.6</v>
      </c>
      <c r="IN169" s="430">
        <v>0.4</v>
      </c>
      <c r="IO169" s="430">
        <v>0.45</v>
      </c>
      <c r="IP169" s="430">
        <v>0.45</v>
      </c>
      <c r="IQ169" s="430">
        <v>0.63</v>
      </c>
      <c r="IR169" s="430">
        <v>0.42</v>
      </c>
      <c r="IS169" s="430">
        <v>0.5</v>
      </c>
      <c r="IT169" s="430">
        <v>0.37</v>
      </c>
      <c r="IU169" s="426" t="s">
        <v>283</v>
      </c>
      <c r="IV169" s="430">
        <v>0.57999999999999996</v>
      </c>
      <c r="IW169" s="430">
        <v>0.49</v>
      </c>
      <c r="IX169" s="430">
        <v>0.43</v>
      </c>
      <c r="IY169" s="430">
        <v>0.41</v>
      </c>
      <c r="IZ169" s="466">
        <v>53</v>
      </c>
      <c r="JA169" s="466" t="s">
        <v>874</v>
      </c>
      <c r="JB169" s="466">
        <v>11</v>
      </c>
      <c r="JC169" s="466" t="s">
        <v>874</v>
      </c>
      <c r="JD169" s="480">
        <v>0.18</v>
      </c>
      <c r="JE169" s="480">
        <v>0.39</v>
      </c>
      <c r="JF169" s="480">
        <v>0.36</v>
      </c>
      <c r="JG169" s="480">
        <v>7.0000000000000007E-2</v>
      </c>
      <c r="JH169" s="480">
        <v>0.39</v>
      </c>
      <c r="JI169" s="480">
        <v>0.39</v>
      </c>
      <c r="JJ169" s="480">
        <v>0.36</v>
      </c>
      <c r="JK169" s="480">
        <v>0.44</v>
      </c>
      <c r="JL169" s="480">
        <v>0.41</v>
      </c>
      <c r="JM169" s="480">
        <v>0.4</v>
      </c>
      <c r="JN169" s="480">
        <v>0.4</v>
      </c>
      <c r="JO169" s="480">
        <v>0.43</v>
      </c>
      <c r="JP169" s="480">
        <v>0.54</v>
      </c>
      <c r="JQ169" s="480">
        <v>0.3</v>
      </c>
      <c r="JR169" s="480">
        <v>0.6</v>
      </c>
      <c r="JS169" s="480">
        <v>0.52</v>
      </c>
      <c r="JT169" s="480">
        <v>0.35</v>
      </c>
      <c r="JU169" s="480">
        <v>0.5</v>
      </c>
      <c r="JV169" s="480">
        <v>0.47</v>
      </c>
      <c r="JW169" s="480">
        <v>0.39</v>
      </c>
      <c r="JX169" s="480">
        <v>0.44</v>
      </c>
      <c r="JY169" s="480">
        <v>0.45</v>
      </c>
      <c r="JZ169" s="480">
        <v>0.45</v>
      </c>
      <c r="KA169" s="480">
        <v>0.67</v>
      </c>
      <c r="KB169" s="480">
        <v>0.51</v>
      </c>
      <c r="KC169" s="480">
        <v>0.69</v>
      </c>
      <c r="KD169" s="480">
        <v>0.24</v>
      </c>
      <c r="KE169" s="480">
        <v>0.5</v>
      </c>
      <c r="KF169" s="480">
        <v>0.37</v>
      </c>
      <c r="KG169" s="480">
        <v>0.42</v>
      </c>
    </row>
    <row r="170" spans="1:293" ht="24.95" customHeight="1" x14ac:dyDescent="0.2">
      <c r="A170" s="126" t="s">
        <v>73</v>
      </c>
      <c r="B170" s="1" t="s">
        <v>221</v>
      </c>
      <c r="C170" s="2">
        <v>2</v>
      </c>
      <c r="D170" s="12">
        <v>53</v>
      </c>
      <c r="E170" s="12">
        <v>7</v>
      </c>
      <c r="F170" s="66">
        <v>0.05</v>
      </c>
      <c r="G170" s="66">
        <v>0.59</v>
      </c>
      <c r="H170" s="66">
        <v>0.36</v>
      </c>
      <c r="I170" s="66">
        <v>0</v>
      </c>
      <c r="J170" s="66">
        <v>0.51</v>
      </c>
      <c r="K170" s="66">
        <v>0.23</v>
      </c>
      <c r="L170" s="66">
        <v>0.8</v>
      </c>
      <c r="M170" s="66">
        <v>0.31</v>
      </c>
      <c r="N170" s="66">
        <v>0.28000000000000003</v>
      </c>
      <c r="O170" s="66">
        <v>0.78</v>
      </c>
      <c r="P170" s="66">
        <v>0.3</v>
      </c>
      <c r="Q170" s="66">
        <v>0.42</v>
      </c>
      <c r="R170" s="66">
        <v>0.49</v>
      </c>
      <c r="S170" s="66">
        <v>0.62</v>
      </c>
      <c r="T170" s="66">
        <v>0.32</v>
      </c>
      <c r="U170" s="66">
        <v>0.73</v>
      </c>
      <c r="V170" s="66">
        <v>0.14000000000000001</v>
      </c>
      <c r="W170" s="66">
        <v>0.23</v>
      </c>
      <c r="X170" s="66">
        <v>0.56000000000000005</v>
      </c>
      <c r="Y170" s="66">
        <v>0.45</v>
      </c>
      <c r="Z170" s="12" t="s">
        <v>283</v>
      </c>
      <c r="AA170" s="66">
        <v>0.05</v>
      </c>
      <c r="AB170" s="66">
        <v>0.53</v>
      </c>
      <c r="AC170" s="66">
        <v>0.3</v>
      </c>
      <c r="AD170" s="66">
        <v>0.54</v>
      </c>
      <c r="AE170" s="66">
        <v>0.35</v>
      </c>
      <c r="AF170" s="66">
        <v>0.34</v>
      </c>
      <c r="AG170" s="66">
        <v>0.42</v>
      </c>
      <c r="AH170" s="12">
        <v>54</v>
      </c>
      <c r="AI170" s="12">
        <v>7</v>
      </c>
      <c r="AJ170" s="40">
        <v>0</v>
      </c>
      <c r="AK170" s="40">
        <v>0.6</v>
      </c>
      <c r="AL170" s="40">
        <v>0.4</v>
      </c>
      <c r="AM170" s="40">
        <v>0</v>
      </c>
      <c r="AN170" s="40">
        <v>0.31</v>
      </c>
      <c r="AO170" s="40">
        <v>0.39</v>
      </c>
      <c r="AP170" s="40">
        <v>0.63</v>
      </c>
      <c r="AQ170" s="40">
        <v>0.35</v>
      </c>
      <c r="AR170" s="40">
        <v>0.55000000000000004</v>
      </c>
      <c r="AS170" s="40">
        <v>0.49</v>
      </c>
      <c r="AT170" s="40">
        <v>0.54</v>
      </c>
      <c r="AU170" s="40">
        <v>0.39</v>
      </c>
      <c r="AV170" s="40">
        <v>0.62</v>
      </c>
      <c r="AW170" s="40">
        <v>0.36</v>
      </c>
      <c r="AX170" s="40">
        <v>0.62</v>
      </c>
      <c r="AY170" s="40">
        <v>0.23</v>
      </c>
      <c r="AZ170" s="40">
        <v>0.35</v>
      </c>
      <c r="BA170" s="40">
        <v>0.45</v>
      </c>
      <c r="BB170" s="40">
        <v>0.6</v>
      </c>
      <c r="BC170" s="40">
        <v>0.69</v>
      </c>
      <c r="BD170" s="40">
        <v>0.43</v>
      </c>
      <c r="BE170" s="40">
        <v>0.71</v>
      </c>
      <c r="BF170" s="40">
        <v>0.64</v>
      </c>
      <c r="BG170" s="40">
        <v>0.41</v>
      </c>
      <c r="BH170" s="40">
        <v>0.41</v>
      </c>
      <c r="BI170" s="40">
        <v>0.38</v>
      </c>
      <c r="BJ170" s="40">
        <v>0.39</v>
      </c>
      <c r="BK170" s="40">
        <v>0.44</v>
      </c>
      <c r="BL170" s="40">
        <v>0.38</v>
      </c>
      <c r="BM170" s="12">
        <v>51</v>
      </c>
      <c r="BN170" s="12">
        <v>8</v>
      </c>
      <c r="BO170" s="66">
        <v>0.08</v>
      </c>
      <c r="BP170" s="66">
        <v>0.61</v>
      </c>
      <c r="BQ170" s="66">
        <v>0.31</v>
      </c>
      <c r="BR170" s="66">
        <v>0</v>
      </c>
      <c r="BS170" s="66">
        <v>0.32</v>
      </c>
      <c r="BT170" s="66">
        <v>0.54</v>
      </c>
      <c r="BU170" s="66">
        <v>0.6</v>
      </c>
      <c r="BV170" s="66">
        <v>0.25</v>
      </c>
      <c r="BW170" s="66">
        <v>0.67</v>
      </c>
      <c r="BX170" s="66">
        <v>0.43</v>
      </c>
      <c r="BY170" s="66">
        <v>0.41</v>
      </c>
      <c r="BZ170" s="66">
        <v>0.52</v>
      </c>
      <c r="CA170" s="66">
        <v>0.54</v>
      </c>
      <c r="CB170" s="66">
        <v>0.31</v>
      </c>
      <c r="CC170" s="66">
        <v>0.15</v>
      </c>
      <c r="CD170" s="66">
        <v>0.47</v>
      </c>
      <c r="CE170" s="66">
        <v>0.32</v>
      </c>
      <c r="CF170" s="66">
        <v>0.53</v>
      </c>
      <c r="CG170" s="66">
        <v>0.68</v>
      </c>
      <c r="CH170" s="66">
        <v>0.5</v>
      </c>
      <c r="CI170" s="66">
        <v>0.5</v>
      </c>
      <c r="CJ170" s="66">
        <v>0.32</v>
      </c>
      <c r="CK170" s="66">
        <v>0.77</v>
      </c>
      <c r="CL170" s="66">
        <v>0.28000000000000003</v>
      </c>
      <c r="CM170" s="66">
        <v>0.38</v>
      </c>
      <c r="CN170" s="66">
        <v>0.5</v>
      </c>
      <c r="CO170" s="66">
        <v>0.44</v>
      </c>
      <c r="CP170" s="66">
        <v>0.31</v>
      </c>
      <c r="CQ170" s="66">
        <v>0.48</v>
      </c>
      <c r="CR170" s="66">
        <v>0.49</v>
      </c>
      <c r="CS170" s="12">
        <v>49</v>
      </c>
      <c r="CT170" s="12">
        <v>9</v>
      </c>
      <c r="CU170" s="63">
        <v>0.22</v>
      </c>
      <c r="CV170" s="63">
        <v>0.61</v>
      </c>
      <c r="CW170" s="63">
        <v>0.17</v>
      </c>
      <c r="CX170" s="63">
        <v>0</v>
      </c>
      <c r="CY170" s="63">
        <v>0.46</v>
      </c>
      <c r="CZ170" s="63">
        <v>0.32</v>
      </c>
      <c r="DA170" s="63">
        <v>0.49</v>
      </c>
      <c r="DB170" s="63">
        <v>0.43</v>
      </c>
      <c r="DC170" s="63">
        <v>0.31</v>
      </c>
      <c r="DD170" s="63">
        <v>0.5</v>
      </c>
      <c r="DE170" s="63">
        <v>0.35</v>
      </c>
      <c r="DF170" s="63">
        <v>0.56000000000000005</v>
      </c>
      <c r="DG170" s="63">
        <v>0.54</v>
      </c>
      <c r="DH170" s="63">
        <v>0.36</v>
      </c>
      <c r="DI170" s="63">
        <v>0.68</v>
      </c>
      <c r="DJ170" s="63">
        <v>0.5</v>
      </c>
      <c r="DK170" s="63">
        <v>0.45</v>
      </c>
      <c r="DL170" s="63">
        <v>0.25</v>
      </c>
      <c r="DM170" s="63">
        <v>0.59</v>
      </c>
      <c r="DN170" s="63">
        <v>0.49</v>
      </c>
      <c r="DO170" s="63">
        <v>0.42</v>
      </c>
      <c r="DP170" s="63">
        <v>0.43</v>
      </c>
      <c r="DQ170" s="63">
        <v>0.54</v>
      </c>
      <c r="DR170" s="63">
        <v>0.2</v>
      </c>
      <c r="DS170" s="63">
        <v>0.42</v>
      </c>
      <c r="DT170" s="63">
        <v>0.62</v>
      </c>
      <c r="DU170" s="63">
        <v>0.63</v>
      </c>
      <c r="DV170" s="63">
        <v>0.51</v>
      </c>
      <c r="DW170" s="63">
        <v>0.48</v>
      </c>
      <c r="DX170" s="35">
        <v>48</v>
      </c>
      <c r="DY170" s="35">
        <v>7</v>
      </c>
      <c r="DZ170" s="40">
        <v>0.16</v>
      </c>
      <c r="EA170" s="40">
        <v>0.72</v>
      </c>
      <c r="EB170" s="40">
        <v>0.12</v>
      </c>
      <c r="EC170" s="40">
        <v>0</v>
      </c>
      <c r="ED170" s="40">
        <v>0.43</v>
      </c>
      <c r="EE170" s="40">
        <v>0.44</v>
      </c>
      <c r="EF170" s="40">
        <v>0.59</v>
      </c>
      <c r="EG170" s="40">
        <v>0.38</v>
      </c>
      <c r="EH170" s="40">
        <v>0.49</v>
      </c>
      <c r="EI170" s="40">
        <v>0.56000000000000005</v>
      </c>
      <c r="EJ170" s="40">
        <v>0.57999999999999996</v>
      </c>
      <c r="EK170" s="40">
        <v>0.14000000000000001</v>
      </c>
      <c r="EL170" s="40">
        <v>0.43</v>
      </c>
      <c r="EM170" s="40">
        <v>0.68</v>
      </c>
      <c r="EN170" s="40">
        <v>0.45</v>
      </c>
      <c r="EO170" s="40">
        <v>0.61</v>
      </c>
      <c r="EP170" s="40">
        <v>0.44</v>
      </c>
      <c r="EQ170" s="40">
        <v>0.48</v>
      </c>
      <c r="ER170" s="40">
        <v>0.61</v>
      </c>
      <c r="ES170" s="40">
        <v>0.46</v>
      </c>
      <c r="ET170" s="40">
        <v>0.4</v>
      </c>
      <c r="EU170" s="40">
        <v>0.62</v>
      </c>
      <c r="EV170" s="40">
        <v>0.62</v>
      </c>
      <c r="EW170" s="40">
        <v>0.28999999999999998</v>
      </c>
      <c r="EX170" s="40">
        <v>0.73</v>
      </c>
      <c r="EY170" s="40">
        <v>0.65</v>
      </c>
      <c r="EZ170" s="40">
        <v>0.08</v>
      </c>
      <c r="FA170" s="40">
        <v>0.65</v>
      </c>
      <c r="FB170" s="247">
        <v>48</v>
      </c>
      <c r="FC170" s="247" t="s">
        <v>874</v>
      </c>
      <c r="FD170" s="247">
        <v>9</v>
      </c>
      <c r="FE170" s="247" t="s">
        <v>874</v>
      </c>
      <c r="FF170" s="264">
        <v>0.17</v>
      </c>
      <c r="FG170" s="264">
        <v>0.63</v>
      </c>
      <c r="FH170" s="264">
        <v>0.2</v>
      </c>
      <c r="FI170" s="264">
        <v>0</v>
      </c>
      <c r="FJ170" s="264">
        <v>0.5</v>
      </c>
      <c r="FK170" s="264">
        <v>0.57999999999999996</v>
      </c>
      <c r="FL170" s="264">
        <v>0.48</v>
      </c>
      <c r="FM170" s="264">
        <v>0.43</v>
      </c>
      <c r="FN170" s="264">
        <v>0.39</v>
      </c>
      <c r="FO170" s="264">
        <v>0.35</v>
      </c>
      <c r="FP170" s="264">
        <v>0.41</v>
      </c>
      <c r="FQ170" s="264">
        <v>0.48</v>
      </c>
      <c r="FR170" s="264">
        <v>0.6</v>
      </c>
      <c r="FS170" s="264">
        <v>0.65</v>
      </c>
      <c r="FT170" s="264">
        <v>0.57999999999999996</v>
      </c>
      <c r="FU170" s="264">
        <v>0.66</v>
      </c>
      <c r="FV170" s="264">
        <v>0.45</v>
      </c>
      <c r="FW170" s="264">
        <v>0.57999999999999996</v>
      </c>
      <c r="FX170" s="264">
        <v>0.51</v>
      </c>
      <c r="FY170" s="264">
        <v>0.39</v>
      </c>
      <c r="FZ170" s="264">
        <v>0.45</v>
      </c>
      <c r="GA170" s="264">
        <v>0.47</v>
      </c>
      <c r="GB170" s="264">
        <v>0.49</v>
      </c>
      <c r="GC170" s="264">
        <v>0.44</v>
      </c>
      <c r="GD170" s="264">
        <v>0.56000000000000005</v>
      </c>
      <c r="GE170" s="264">
        <v>0.59</v>
      </c>
      <c r="GF170" s="264">
        <v>0.54</v>
      </c>
      <c r="GG170" s="264">
        <v>0.5</v>
      </c>
      <c r="GH170" s="264">
        <v>0.61</v>
      </c>
      <c r="GI170" s="264">
        <v>0.24</v>
      </c>
      <c r="GJ170" s="311">
        <v>52</v>
      </c>
      <c r="GK170" s="311" t="s">
        <v>874</v>
      </c>
      <c r="GL170" s="311">
        <v>10</v>
      </c>
      <c r="GM170" s="311" t="s">
        <v>874</v>
      </c>
      <c r="GN170" s="329">
        <v>0.08</v>
      </c>
      <c r="GO170" s="329">
        <v>0.56999999999999995</v>
      </c>
      <c r="GP170" s="329">
        <v>0.32</v>
      </c>
      <c r="GQ170" s="329">
        <v>0.03</v>
      </c>
      <c r="GR170" s="329">
        <v>0.53</v>
      </c>
      <c r="GS170" s="329">
        <v>0.48</v>
      </c>
      <c r="GT170" s="329">
        <v>0.59</v>
      </c>
      <c r="GU170" s="329">
        <v>0.11</v>
      </c>
      <c r="GV170" s="329">
        <v>0.55000000000000004</v>
      </c>
      <c r="GW170" s="329">
        <v>0.49</v>
      </c>
      <c r="GX170" s="329">
        <v>0.4</v>
      </c>
      <c r="GY170" s="311" t="s">
        <v>283</v>
      </c>
      <c r="GZ170" s="329">
        <v>0.12</v>
      </c>
      <c r="HA170" s="329">
        <v>0.56999999999999995</v>
      </c>
      <c r="HB170" s="329">
        <v>0.46</v>
      </c>
      <c r="HC170" s="329">
        <v>0.48</v>
      </c>
      <c r="HD170" s="329">
        <v>0.55000000000000004</v>
      </c>
      <c r="HE170" s="329">
        <v>0.43</v>
      </c>
      <c r="HF170" s="329">
        <v>0.49</v>
      </c>
      <c r="HG170" s="329">
        <v>0.57999999999999996</v>
      </c>
      <c r="HH170" s="329">
        <v>0.25</v>
      </c>
      <c r="HI170" s="329">
        <v>0.4</v>
      </c>
      <c r="HJ170" s="329">
        <v>0.53</v>
      </c>
      <c r="HK170" s="329">
        <v>0.56999999999999995</v>
      </c>
      <c r="HL170" s="329">
        <v>0.38</v>
      </c>
      <c r="HM170" s="329">
        <v>0.49</v>
      </c>
      <c r="HN170" s="329">
        <v>0.42</v>
      </c>
      <c r="HO170" s="329">
        <v>0.46</v>
      </c>
      <c r="HP170" s="311" t="s">
        <v>283</v>
      </c>
      <c r="HQ170" s="329">
        <v>0.42</v>
      </c>
      <c r="HR170" s="426">
        <v>54</v>
      </c>
      <c r="HS170" s="426" t="s">
        <v>874</v>
      </c>
      <c r="HT170" s="426">
        <v>9</v>
      </c>
      <c r="HU170" s="426" t="s">
        <v>874</v>
      </c>
      <c r="HV170" s="430">
        <v>0.05</v>
      </c>
      <c r="HW170" s="430">
        <v>0.43</v>
      </c>
      <c r="HX170" s="430">
        <v>0.5</v>
      </c>
      <c r="HY170" s="430">
        <v>0.02</v>
      </c>
      <c r="HZ170" s="430">
        <v>0.28999999999999998</v>
      </c>
      <c r="IA170" s="430">
        <v>0.41</v>
      </c>
      <c r="IB170" s="430">
        <v>0.36</v>
      </c>
      <c r="IC170" s="430">
        <v>0.51</v>
      </c>
      <c r="ID170" s="430">
        <v>0.53</v>
      </c>
      <c r="IE170" s="430">
        <v>0.21</v>
      </c>
      <c r="IF170" s="430">
        <v>0.37</v>
      </c>
      <c r="IG170" s="430">
        <v>0.49</v>
      </c>
      <c r="IH170" s="430">
        <v>0.51</v>
      </c>
      <c r="II170" s="430">
        <v>0.3</v>
      </c>
      <c r="IJ170" s="430">
        <v>0.26</v>
      </c>
      <c r="IK170" s="430">
        <v>0.52</v>
      </c>
      <c r="IL170" s="430">
        <v>0.28999999999999998</v>
      </c>
      <c r="IM170" s="430">
        <v>0.53</v>
      </c>
      <c r="IN170" s="430">
        <v>0.45</v>
      </c>
      <c r="IO170" s="430">
        <v>0.55000000000000004</v>
      </c>
      <c r="IP170" s="430">
        <v>0.34</v>
      </c>
      <c r="IQ170" s="430">
        <v>0.57999999999999996</v>
      </c>
      <c r="IR170" s="430">
        <v>0.45</v>
      </c>
      <c r="IS170" s="430">
        <v>0.38</v>
      </c>
      <c r="IT170" s="430">
        <v>0.38</v>
      </c>
      <c r="IU170" s="426" t="s">
        <v>283</v>
      </c>
      <c r="IV170" s="430">
        <v>0.63</v>
      </c>
      <c r="IW170" s="430">
        <v>0.28000000000000003</v>
      </c>
      <c r="IX170" s="430">
        <v>0.39</v>
      </c>
      <c r="IY170" s="430">
        <v>0.4</v>
      </c>
      <c r="IZ170" s="466">
        <v>51</v>
      </c>
      <c r="JA170" s="466" t="s">
        <v>874</v>
      </c>
      <c r="JB170" s="466">
        <v>10</v>
      </c>
      <c r="JC170" s="466" t="s">
        <v>874</v>
      </c>
      <c r="JD170" s="480">
        <v>0.18</v>
      </c>
      <c r="JE170" s="480">
        <v>0.47</v>
      </c>
      <c r="JF170" s="480">
        <v>0.33</v>
      </c>
      <c r="JG170" s="480">
        <v>0.02</v>
      </c>
      <c r="JH170" s="480">
        <v>0.5</v>
      </c>
      <c r="JI170" s="480">
        <v>0.41</v>
      </c>
      <c r="JJ170" s="480">
        <v>0.42</v>
      </c>
      <c r="JK170" s="480">
        <v>0.5</v>
      </c>
      <c r="JL170" s="480">
        <v>0.54</v>
      </c>
      <c r="JM170" s="480">
        <v>0.46</v>
      </c>
      <c r="JN170" s="480">
        <v>0.49</v>
      </c>
      <c r="JO170" s="480">
        <v>0.5</v>
      </c>
      <c r="JP170" s="480">
        <v>0.57999999999999996</v>
      </c>
      <c r="JQ170" s="480">
        <v>0.24</v>
      </c>
      <c r="JR170" s="480">
        <v>0.52</v>
      </c>
      <c r="JS170" s="480">
        <v>0.55000000000000004</v>
      </c>
      <c r="JT170" s="480">
        <v>0.46</v>
      </c>
      <c r="JU170" s="480">
        <v>0.49</v>
      </c>
      <c r="JV170" s="480">
        <v>0.46</v>
      </c>
      <c r="JW170" s="480">
        <v>0.51</v>
      </c>
      <c r="JX170" s="480">
        <v>0.44</v>
      </c>
      <c r="JY170" s="480">
        <v>0.48</v>
      </c>
      <c r="JZ170" s="480">
        <v>0.54</v>
      </c>
      <c r="KA170" s="480">
        <v>0.78</v>
      </c>
      <c r="KB170" s="480">
        <v>0.52</v>
      </c>
      <c r="KC170" s="480">
        <v>0.7</v>
      </c>
      <c r="KD170" s="480">
        <v>0.34</v>
      </c>
      <c r="KE170" s="480">
        <v>0.5</v>
      </c>
      <c r="KF170" s="480">
        <v>0.46</v>
      </c>
      <c r="KG170" s="480">
        <v>0.57999999999999996</v>
      </c>
    </row>
    <row r="171" spans="1:293" ht="24.95" customHeight="1" x14ac:dyDescent="0.2">
      <c r="A171" s="126" t="s">
        <v>1082</v>
      </c>
      <c r="B171" s="1" t="s">
        <v>221</v>
      </c>
      <c r="C171" s="2">
        <v>1</v>
      </c>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35"/>
      <c r="DY171" s="35"/>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35"/>
      <c r="EW171" s="40"/>
      <c r="EX171" s="40"/>
      <c r="EY171" s="40"/>
      <c r="EZ171" s="35"/>
      <c r="FA171" s="40"/>
      <c r="FB171" s="247"/>
      <c r="FC171" s="247"/>
      <c r="FD171" s="247"/>
      <c r="FE171" s="247"/>
      <c r="FF171" s="264"/>
      <c r="FG171" s="264"/>
      <c r="FH171" s="264"/>
      <c r="FI171" s="264"/>
      <c r="FJ171" s="264"/>
      <c r="FK171" s="264"/>
      <c r="FL171" s="264"/>
      <c r="FM171" s="264"/>
      <c r="FN171" s="264"/>
      <c r="FO171" s="264"/>
      <c r="FP171" s="264"/>
      <c r="FQ171" s="264"/>
      <c r="FR171" s="264"/>
      <c r="FS171" s="264"/>
      <c r="FT171" s="264"/>
      <c r="FU171" s="264"/>
      <c r="FV171" s="264"/>
      <c r="FW171" s="264"/>
      <c r="FX171" s="264"/>
      <c r="FY171" s="264"/>
      <c r="FZ171" s="264"/>
      <c r="GA171" s="247"/>
      <c r="GB171" s="264"/>
      <c r="GC171" s="264"/>
      <c r="GD171" s="264"/>
      <c r="GE171" s="264"/>
      <c r="GF171" s="264"/>
      <c r="GG171" s="264"/>
      <c r="GH171" s="264"/>
      <c r="GI171" s="264"/>
      <c r="GJ171" s="311"/>
      <c r="GK171" s="311"/>
      <c r="GL171" s="311"/>
      <c r="GM171" s="311"/>
      <c r="GN171" s="329"/>
      <c r="GO171" s="329"/>
      <c r="GP171" s="329"/>
      <c r="GQ171" s="329"/>
      <c r="GR171" s="329"/>
      <c r="GS171" s="329"/>
      <c r="GT171" s="329"/>
      <c r="GU171" s="329"/>
      <c r="GV171" s="329"/>
      <c r="GW171" s="329"/>
      <c r="GX171" s="329"/>
      <c r="GY171" s="311"/>
      <c r="GZ171" s="329"/>
      <c r="HA171" s="311"/>
      <c r="HB171" s="329"/>
      <c r="HC171" s="329"/>
      <c r="HD171" s="329"/>
      <c r="HE171" s="329"/>
      <c r="HF171" s="329"/>
      <c r="HG171" s="329"/>
      <c r="HH171" s="329"/>
      <c r="HI171" s="329"/>
      <c r="HJ171" s="329"/>
      <c r="HK171" s="329"/>
      <c r="HL171" s="329"/>
      <c r="HM171" s="329"/>
      <c r="HN171" s="329"/>
      <c r="HO171" s="329"/>
      <c r="HP171" s="311"/>
      <c r="HQ171" s="329"/>
      <c r="HR171" s="426"/>
      <c r="HS171" s="426"/>
      <c r="HT171" s="426"/>
      <c r="HU171" s="426"/>
      <c r="HV171" s="430"/>
      <c r="HW171" s="430"/>
      <c r="HX171" s="430"/>
      <c r="HY171" s="430"/>
      <c r="HZ171" s="430"/>
      <c r="IA171" s="430"/>
      <c r="IB171" s="430"/>
      <c r="IC171" s="430"/>
      <c r="ID171" s="430"/>
      <c r="IE171" s="430"/>
      <c r="IF171" s="430"/>
      <c r="IG171" s="430"/>
      <c r="IH171" s="430"/>
      <c r="II171" s="426"/>
      <c r="IJ171" s="430"/>
      <c r="IK171" s="430"/>
      <c r="IL171" s="430"/>
      <c r="IM171" s="430"/>
      <c r="IN171" s="430"/>
      <c r="IO171" s="430"/>
      <c r="IP171" s="430"/>
      <c r="IQ171" s="430"/>
      <c r="IR171" s="430"/>
      <c r="IS171" s="430"/>
      <c r="IT171" s="430"/>
      <c r="IU171" s="426"/>
      <c r="IV171" s="430"/>
      <c r="IW171" s="430"/>
      <c r="IX171" s="430"/>
      <c r="IY171" s="430"/>
      <c r="IZ171" s="466">
        <v>52</v>
      </c>
      <c r="JA171" s="466" t="s">
        <v>874</v>
      </c>
      <c r="JB171" s="466">
        <v>7</v>
      </c>
      <c r="JC171" s="466" t="s">
        <v>874</v>
      </c>
      <c r="JD171" s="480">
        <v>0.05</v>
      </c>
      <c r="JE171" s="480">
        <v>0.62</v>
      </c>
      <c r="JF171" s="480">
        <v>0.33</v>
      </c>
      <c r="JG171" s="480">
        <v>0</v>
      </c>
      <c r="JH171" s="480">
        <v>0.56999999999999995</v>
      </c>
      <c r="JI171" s="480">
        <v>0.44</v>
      </c>
      <c r="JJ171" s="480">
        <v>0.45</v>
      </c>
      <c r="JK171" s="480">
        <v>0.43</v>
      </c>
      <c r="JL171" s="480">
        <v>0.36</v>
      </c>
      <c r="JM171" s="480">
        <v>0.56000000000000005</v>
      </c>
      <c r="JN171" s="480">
        <v>0.35</v>
      </c>
      <c r="JO171" s="480">
        <v>0.49</v>
      </c>
      <c r="JP171" s="480">
        <v>0.44</v>
      </c>
      <c r="JQ171" s="480">
        <v>0.62</v>
      </c>
      <c r="JR171" s="480">
        <v>0.42</v>
      </c>
      <c r="JS171" s="480">
        <v>0.55000000000000004</v>
      </c>
      <c r="JT171" s="480">
        <v>0.38</v>
      </c>
      <c r="JU171" s="480">
        <v>0.26</v>
      </c>
      <c r="JV171" s="480">
        <v>0.45</v>
      </c>
      <c r="JW171" s="480">
        <v>0.62</v>
      </c>
      <c r="JX171" s="480">
        <v>0.38</v>
      </c>
      <c r="JY171" s="480">
        <v>0.28999999999999998</v>
      </c>
      <c r="JZ171" s="480">
        <v>0.42</v>
      </c>
      <c r="KA171" s="480">
        <v>0.48</v>
      </c>
      <c r="KB171" s="480">
        <v>0.42</v>
      </c>
      <c r="KC171" s="480">
        <v>0.4</v>
      </c>
      <c r="KD171" s="480">
        <v>0.51</v>
      </c>
      <c r="KE171" s="480">
        <v>0.55000000000000004</v>
      </c>
      <c r="KF171" s="480">
        <v>0.56000000000000005</v>
      </c>
      <c r="KG171" s="480">
        <v>0.38</v>
      </c>
    </row>
    <row r="172" spans="1:293" x14ac:dyDescent="0.2">
      <c r="A172" s="512"/>
    </row>
    <row r="174" spans="1:293" x14ac:dyDescent="0.2">
      <c r="AJ174" s="32"/>
    </row>
    <row r="175" spans="1:293" ht="12.75" customHeight="1" x14ac:dyDescent="0.2">
      <c r="E175" s="1021" t="s">
        <v>259</v>
      </c>
      <c r="F175" s="850"/>
      <c r="G175" s="850"/>
      <c r="H175" s="850"/>
      <c r="I175" s="850"/>
      <c r="J175" s="850"/>
      <c r="K175" s="850"/>
      <c r="L175" s="850"/>
      <c r="M175" s="850"/>
      <c r="N175" s="850"/>
      <c r="O175" s="850"/>
      <c r="P175" s="73"/>
      <c r="Z175" s="28" t="s">
        <v>259</v>
      </c>
      <c r="AA175" s="29"/>
      <c r="AB175" s="29"/>
      <c r="AC175" s="29"/>
      <c r="AD175" s="29"/>
      <c r="AE175" s="29"/>
      <c r="AF175" s="73"/>
      <c r="AG175" s="73"/>
      <c r="AH175" s="73"/>
      <c r="AI175" s="73"/>
      <c r="AJ175" s="32"/>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row>
    <row r="176" spans="1:293" x14ac:dyDescent="0.2">
      <c r="E176" s="989"/>
      <c r="F176" s="838">
        <v>2016</v>
      </c>
      <c r="G176" s="839"/>
      <c r="H176" s="838">
        <v>2017</v>
      </c>
      <c r="I176" s="839"/>
      <c r="J176" s="838">
        <v>2018</v>
      </c>
      <c r="K176" s="839"/>
      <c r="L176" s="838">
        <v>2019</v>
      </c>
      <c r="M176" s="839"/>
      <c r="N176" s="838">
        <v>2020</v>
      </c>
      <c r="O176" s="839"/>
      <c r="P176" s="838">
        <v>2021</v>
      </c>
      <c r="Q176" s="839"/>
      <c r="R176" s="838">
        <v>2022</v>
      </c>
      <c r="S176" s="839"/>
      <c r="T176" s="838">
        <v>2023</v>
      </c>
      <c r="U176" s="839"/>
      <c r="V176" s="838">
        <v>2024</v>
      </c>
      <c r="W176" s="839"/>
      <c r="Z176" s="28"/>
      <c r="AA176" s="28">
        <v>2016</v>
      </c>
      <c r="AB176" s="29">
        <v>2017</v>
      </c>
      <c r="AC176" s="28">
        <v>2018</v>
      </c>
      <c r="AD176" s="28">
        <v>2019</v>
      </c>
      <c r="AE176" s="28">
        <v>2020</v>
      </c>
      <c r="AF176" s="28">
        <v>2021</v>
      </c>
      <c r="AG176" s="28">
        <v>2022</v>
      </c>
      <c r="AH176" s="28">
        <v>2023</v>
      </c>
      <c r="AI176" s="28">
        <v>2024</v>
      </c>
      <c r="AJ176" s="3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row>
    <row r="177" spans="5:129" x14ac:dyDescent="0.2">
      <c r="E177" s="987"/>
      <c r="F177" s="7" t="s">
        <v>218</v>
      </c>
      <c r="G177" s="7" t="s">
        <v>251</v>
      </c>
      <c r="H177" s="7" t="s">
        <v>218</v>
      </c>
      <c r="I177" s="7" t="s">
        <v>251</v>
      </c>
      <c r="J177" s="7" t="s">
        <v>218</v>
      </c>
      <c r="K177" s="7" t="s">
        <v>251</v>
      </c>
      <c r="L177" s="7" t="s">
        <v>218</v>
      </c>
      <c r="M177" s="7" t="s">
        <v>251</v>
      </c>
      <c r="N177" s="7" t="s">
        <v>218</v>
      </c>
      <c r="O177" s="34" t="s">
        <v>251</v>
      </c>
      <c r="P177" s="7" t="s">
        <v>218</v>
      </c>
      <c r="Q177" s="34" t="s">
        <v>251</v>
      </c>
      <c r="R177" s="7" t="s">
        <v>218</v>
      </c>
      <c r="S177" s="34" t="s">
        <v>251</v>
      </c>
      <c r="T177" s="7" t="s">
        <v>218</v>
      </c>
      <c r="U177" s="34" t="s">
        <v>251</v>
      </c>
      <c r="V177" s="7" t="s">
        <v>218</v>
      </c>
      <c r="W177" s="34" t="s">
        <v>251</v>
      </c>
      <c r="Z177" s="27" t="s">
        <v>244</v>
      </c>
      <c r="AA177" s="27">
        <v>53.176470588235297</v>
      </c>
      <c r="AB177" s="27">
        <v>52.625</v>
      </c>
      <c r="AC177" s="27">
        <v>50.764705882352942</v>
      </c>
      <c r="AD177" s="27">
        <v>49.470588235294116</v>
      </c>
      <c r="AE177" s="27">
        <v>49.588235294117645</v>
      </c>
      <c r="AF177" s="27">
        <v>49.705882352941174</v>
      </c>
      <c r="AG177" s="27">
        <v>50.388888888888886</v>
      </c>
      <c r="AH177" s="27">
        <v>51.411764705882355</v>
      </c>
      <c r="AI177" s="27">
        <v>51.222222222222221</v>
      </c>
      <c r="AJ177" s="3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row>
    <row r="178" spans="5:129" x14ac:dyDescent="0.2">
      <c r="E178" s="5" t="s">
        <v>0</v>
      </c>
      <c r="F178" s="23">
        <v>54</v>
      </c>
      <c r="G178" s="23">
        <v>8</v>
      </c>
      <c r="H178" s="23">
        <v>53</v>
      </c>
      <c r="I178" s="23">
        <v>8</v>
      </c>
      <c r="J178" s="23">
        <v>51</v>
      </c>
      <c r="K178" s="23">
        <v>9</v>
      </c>
      <c r="L178" s="23">
        <v>50</v>
      </c>
      <c r="M178" s="23">
        <v>9</v>
      </c>
      <c r="N178" s="10">
        <v>50</v>
      </c>
      <c r="O178" s="75">
        <v>9</v>
      </c>
      <c r="P178" s="10">
        <v>50</v>
      </c>
      <c r="Q178" s="75">
        <v>9</v>
      </c>
      <c r="R178" s="10">
        <v>50</v>
      </c>
      <c r="S178" s="75">
        <v>9</v>
      </c>
      <c r="T178" s="10">
        <v>50</v>
      </c>
      <c r="U178" s="75">
        <v>9</v>
      </c>
      <c r="V178" s="23">
        <v>52</v>
      </c>
      <c r="W178" s="70">
        <v>9</v>
      </c>
      <c r="Z178" s="27" t="s">
        <v>245</v>
      </c>
      <c r="AA178" s="27">
        <v>54.6</v>
      </c>
      <c r="AB178" s="27">
        <v>52.89473684210526</v>
      </c>
      <c r="AC178" s="27">
        <v>51.684210526315788</v>
      </c>
      <c r="AD178" s="27">
        <v>51.25</v>
      </c>
      <c r="AE178" s="27">
        <v>49.75</v>
      </c>
      <c r="AF178" s="27">
        <v>50.18181818181818</v>
      </c>
      <c r="AG178" s="27">
        <v>51.52</v>
      </c>
      <c r="AH178" s="27">
        <v>51.384615384615387</v>
      </c>
      <c r="AI178" s="27">
        <v>52.375</v>
      </c>
      <c r="AJ178" s="32"/>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row>
    <row r="179" spans="5:129" x14ac:dyDescent="0.2">
      <c r="E179" s="27" t="s">
        <v>244</v>
      </c>
      <c r="F179" s="27">
        <f>AVERAGEIF($C$36:$C$171,"=1",D36:D171)</f>
        <v>53.176470588235297</v>
      </c>
      <c r="G179" s="27">
        <f>AVERAGEIF($C$36:$C$171,"=1",E36:E171)</f>
        <v>6.7647058823529411</v>
      </c>
      <c r="H179" s="27">
        <f>AVERAGEIF($C$36:$C$171,"=1",AH36:AH171)</f>
        <v>52.625</v>
      </c>
      <c r="I179" s="27">
        <f>AVERAGEIF($C$36:$C$171,"=1",AI36:AI171)</f>
        <v>7.375</v>
      </c>
      <c r="J179" s="27">
        <f>AVERAGEIF($C$36:$C$171,"=1",BM36:BM171)</f>
        <v>50.764705882352942</v>
      </c>
      <c r="K179" s="27">
        <f>AVERAGEIF($C$36:$C$171,"=1",BN36:BN171)</f>
        <v>7.6470588235294121</v>
      </c>
      <c r="L179" s="27">
        <f>AVERAGEIF($C$36:$C$171,"=1",CS36:CS171)</f>
        <v>49.470588235294116</v>
      </c>
      <c r="M179" s="27">
        <f>AVERAGEIF($C$36:$C$171,"=1",CT36:CT171)</f>
        <v>8</v>
      </c>
      <c r="N179" s="27">
        <f>AVERAGEIF($C$36:$C$171,"=1",$DX$36:$DX$171)</f>
        <v>49.588235294117645</v>
      </c>
      <c r="O179" s="27">
        <f>AVERAGEIF($C$36:$C$171,"=1",$DY$36:$DY$171)</f>
        <v>8.2941176470588243</v>
      </c>
      <c r="P179" s="27">
        <f>AVERAGEIF($C$36:$C$171,"=1",$FB$36:$FB$171)</f>
        <v>49.705882352941174</v>
      </c>
      <c r="Q179" s="27">
        <f>AVERAGEIF($C$36:$C$171,"=1",$FD$36:$FD$171)</f>
        <v>7.7647058823529411</v>
      </c>
      <c r="R179" s="27">
        <f>AVERAGEIF($C$36:$C$171,"=1",$GJ$36:$GJ$171)</f>
        <v>50.388888888888886</v>
      </c>
      <c r="S179" s="27">
        <f>AVERAGEIF($C$36:$C$171,"=1",$GL$36:$GL$171)</f>
        <v>8.6666666666666661</v>
      </c>
      <c r="T179" s="27">
        <f>AVERAGEIF($C$36:$C$171,"=1",$HR$36:$HR$171)</f>
        <v>51.411764705882355</v>
      </c>
      <c r="U179" s="27">
        <f>AVERAGEIF($C$36:$C$171,"=1",$HT$36:$HT$171)</f>
        <v>8.1764705882352935</v>
      </c>
      <c r="V179" s="27">
        <v>51.222222222222221</v>
      </c>
      <c r="W179" s="27">
        <v>8.5</v>
      </c>
      <c r="Z179" s="27" t="s">
        <v>246</v>
      </c>
      <c r="AA179" s="27">
        <v>55.0625</v>
      </c>
      <c r="AB179" s="27">
        <v>53.235294117647058</v>
      </c>
      <c r="AC179" s="27">
        <v>52.117647058823529</v>
      </c>
      <c r="AD179" s="27">
        <v>50.705882352941174</v>
      </c>
      <c r="AE179" s="27">
        <v>50.94736842105263</v>
      </c>
      <c r="AF179" s="27">
        <v>51</v>
      </c>
      <c r="AG179" s="27">
        <v>51.5</v>
      </c>
      <c r="AH179" s="27">
        <v>52.272727272727273</v>
      </c>
      <c r="AI179" s="27">
        <v>52.727272727272727</v>
      </c>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row>
    <row r="180" spans="5:129" x14ac:dyDescent="0.2">
      <c r="E180" s="27" t="s">
        <v>245</v>
      </c>
      <c r="F180" s="27">
        <f>AVERAGEIF($C$36:$C$171,"=2",D36:D171)</f>
        <v>54.6</v>
      </c>
      <c r="G180" s="27">
        <f>AVERAGEIF($C$36:$C$171,"=2",E36:E171)</f>
        <v>6.95</v>
      </c>
      <c r="H180" s="27">
        <f>AVERAGEIF($C$36:$C$171,"=2",AH36:AH171)</f>
        <v>52.89473684210526</v>
      </c>
      <c r="I180" s="27">
        <f>AVERAGEIF($C$36:$C$171,"=2",AI36:AI171)</f>
        <v>7.2631578947368425</v>
      </c>
      <c r="J180" s="27">
        <f>AVERAGEIF($C$36:$C$171,"=2",BM36:BM171)</f>
        <v>51.684210526315788</v>
      </c>
      <c r="K180" s="27">
        <f>AVERAGEIF($C$36:$C$171,"=2",BN36:BN171)</f>
        <v>8.1578947368421044</v>
      </c>
      <c r="L180" s="27">
        <f>AVERAGEIF($C$36:$C$171,"=2",CS36:CS171)</f>
        <v>51.25</v>
      </c>
      <c r="M180" s="27">
        <f>AVERAGEIF($C$36:$C$171,"=2",CT36:CT171)</f>
        <v>8.0500000000000007</v>
      </c>
      <c r="N180" s="27">
        <f>AVERAGEIF($C$36:$C$171,"=2",$DX$36:$DX$171)</f>
        <v>49.75</v>
      </c>
      <c r="O180" s="27">
        <f>AVERAGEIF($C$36:$C$171,"=2",$DY$36:$DY$171)</f>
        <v>7.208333333333333</v>
      </c>
      <c r="P180" s="27">
        <f>AVERAGEIF($C$36:$C$171,"=2",$FB$36:$FB$171)</f>
        <v>50.18181818181818</v>
      </c>
      <c r="Q180" s="27">
        <f>AVERAGEIF($C$36:$C$171,"=2",$FD$36:$FD$171)</f>
        <v>7.6818181818181817</v>
      </c>
      <c r="R180" s="27">
        <f>AVERAGEIF($C$36:$C$171,"=2",$GJ$36:$GJ$171)</f>
        <v>51.52</v>
      </c>
      <c r="S180" s="27">
        <f>AVERAGEIF($C$36:$C$171,"=2",$GL$36:$GL$171)</f>
        <v>7.88</v>
      </c>
      <c r="T180" s="27">
        <f>AVERAGEIF($C$36:$C$171,"=2",$HR$36:$HR$171)</f>
        <v>51.384615384615387</v>
      </c>
      <c r="U180" s="27">
        <f>AVERAGEIF($C$36:$C$171,"=2",$HT$36:$HT$171)</f>
        <v>7.8461538461538458</v>
      </c>
      <c r="V180" s="27">
        <v>52.375</v>
      </c>
      <c r="W180" s="27">
        <v>8.7916666666666661</v>
      </c>
      <c r="Z180" s="27" t="s">
        <v>247</v>
      </c>
      <c r="AA180" s="27">
        <v>51.142857142857146</v>
      </c>
      <c r="AB180" s="27">
        <v>51.2</v>
      </c>
      <c r="AC180" s="27">
        <v>49.266666666666666</v>
      </c>
      <c r="AD180" s="27">
        <v>47.714285714285715</v>
      </c>
      <c r="AE180" s="27">
        <v>47</v>
      </c>
      <c r="AF180" s="27">
        <v>47.571428571428569</v>
      </c>
      <c r="AG180" s="27">
        <v>48.5</v>
      </c>
      <c r="AH180" s="27">
        <v>48</v>
      </c>
      <c r="AI180" s="27">
        <v>49.615384615384613</v>
      </c>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row>
    <row r="181" spans="5:129" x14ac:dyDescent="0.2">
      <c r="E181" s="27" t="s">
        <v>246</v>
      </c>
      <c r="F181" s="27">
        <f>AVERAGEIF($C$36:$C$171,"=3",D36:D171)</f>
        <v>54.833333333333336</v>
      </c>
      <c r="G181" s="27">
        <f>AVERAGEIF($C$36:$C$171,"=3",E36:E171)</f>
        <v>7.117647058823529</v>
      </c>
      <c r="H181" s="27">
        <f>AVERAGEIF($C$36:$C$171,"=3",AH36:AH171)</f>
        <v>53.157894736842103</v>
      </c>
      <c r="I181" s="27">
        <f>AVERAGEIF($C$36:$C$171,"=3",AI36:AI171)</f>
        <v>7.7222222222222223</v>
      </c>
      <c r="J181" s="27">
        <f>AVERAGEIF($C$36:$C$171,"=3",BM36:BM171)</f>
        <v>52</v>
      </c>
      <c r="K181" s="27">
        <f>AVERAGEIF($C$36:$C$171,"=3",BN36:BN171)</f>
        <v>8.1111111111111107</v>
      </c>
      <c r="L181" s="27">
        <f>AVERAGEIF($C$36:$C$171,"=3",CS36:CS171)</f>
        <v>50.578947368421055</v>
      </c>
      <c r="M181" s="27">
        <f>AVERAGEIF($C$36:$C$171,"=3",CT36:CT171)</f>
        <v>8</v>
      </c>
      <c r="N181" s="27">
        <f>AVERAGEIF($C$36:$C$171,"=3",$DX$36:$DX$171)</f>
        <v>50.95</v>
      </c>
      <c r="O181" s="27">
        <f>AVERAGEIF($C$36:$C$171,"=3",$DY$36:$DY$171)</f>
        <v>8.5500000000000007</v>
      </c>
      <c r="P181" s="27">
        <f>AVERAGEIF($C$36:$C$171,"=3",$FB$36:$FB$171)</f>
        <v>51</v>
      </c>
      <c r="Q181" s="27">
        <f>AVERAGEIF($C$36:$C$171,"=3",$FD$36:$FD$171)</f>
        <v>7.85</v>
      </c>
      <c r="R181" s="27">
        <f>AVERAGEIF($C$36:$C$171,"=3",$GJ$36:$GJ$171)</f>
        <v>51.5</v>
      </c>
      <c r="S181" s="27">
        <f>AVERAGEIF($C$36:$C$171,"=3",$GL$36:$GL$171)</f>
        <v>8.6818181818181817</v>
      </c>
      <c r="T181" s="27">
        <f>AVERAGEIF($C$36:$C$171,"=3",$HR$36:$HR$171)</f>
        <v>52.272727272727273</v>
      </c>
      <c r="U181" s="27">
        <f>AVERAGEIF($C$36:$C$171,"=3",$HT$36:$HT$171)</f>
        <v>8.5</v>
      </c>
      <c r="V181" s="27">
        <v>52.727272727272727</v>
      </c>
      <c r="W181" s="27">
        <v>8.454545454545455</v>
      </c>
      <c r="Z181" s="27" t="s">
        <v>248</v>
      </c>
      <c r="AA181" s="27">
        <v>56.235294117647058</v>
      </c>
      <c r="AB181" s="27">
        <v>55</v>
      </c>
      <c r="AC181" s="27">
        <v>53.611111111111114</v>
      </c>
      <c r="AD181" s="27">
        <v>52.157894736842103</v>
      </c>
      <c r="AE181" s="27">
        <v>52.777777777777779</v>
      </c>
      <c r="AF181" s="27">
        <v>52.277777777777779</v>
      </c>
      <c r="AG181" s="27">
        <v>53.705882352941174</v>
      </c>
      <c r="AH181" s="27">
        <v>54.588235294117645</v>
      </c>
      <c r="AI181" s="27">
        <v>52.833333333333336</v>
      </c>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row>
    <row r="182" spans="5:129" x14ac:dyDescent="0.2">
      <c r="E182" s="27" t="s">
        <v>247</v>
      </c>
      <c r="F182" s="27">
        <f>AVERAGEIF($C$36:$C$171,"=4",D36:D171)</f>
        <v>51.142857142857146</v>
      </c>
      <c r="G182" s="27">
        <f>AVERAGEIF($C$36:$C$171,"=4",E36:E171)</f>
        <v>6.9285714285714288</v>
      </c>
      <c r="H182" s="27">
        <f>AVERAGEIF($C$36:$C$171,"=4",AH36:AH171)</f>
        <v>51.2</v>
      </c>
      <c r="I182" s="27">
        <f>AVERAGEIF($C$36:$C$171,"=4",AI36:AI171)</f>
        <v>7</v>
      </c>
      <c r="J182" s="27">
        <f>AVERAGEIF($C$36:$C$171,"=4",BM36:BM171)</f>
        <v>49.266666666666666</v>
      </c>
      <c r="K182" s="27">
        <f>AVERAGEIF($C$36:$C$171,"=4",BN36:BN171)</f>
        <v>7.4</v>
      </c>
      <c r="L182" s="27">
        <f>AVERAGEIF($C$36:$C$171,"=4",CS36:CS171)</f>
        <v>47.714285714285715</v>
      </c>
      <c r="M182" s="27">
        <f>AVERAGEIF($C$36:$C$171,"=4",CT36:CT171)</f>
        <v>7.7142857142857144</v>
      </c>
      <c r="N182" s="27">
        <f>AVERAGEIF($C$36:$C$171,"=4",$DX$36:$DX$171)</f>
        <v>47</v>
      </c>
      <c r="O182" s="27">
        <f>AVERAGEIF($C$36:$C$171,"=4",$DY$36:$DY$171)</f>
        <v>8.2307692307692299</v>
      </c>
      <c r="P182" s="27">
        <f>AVERAGEIF($C$36:$C$171,"=4",$FB$36:$FB$171)</f>
        <v>47.571428571428569</v>
      </c>
      <c r="Q182" s="27">
        <f>AVERAGEIF($C$36:$C$171,"=4",$FD$36:$FD$171)</f>
        <v>7.0714285714285712</v>
      </c>
      <c r="R182" s="27">
        <f>AVERAGEIF($C$36:$C$171,"=4",$GJ$36:$GJ$171)</f>
        <v>48.5</v>
      </c>
      <c r="S182" s="27">
        <f>AVERAGEIF($C$36:$C$171,"=4",$GL$36:$GL$171)</f>
        <v>8.5</v>
      </c>
      <c r="T182" s="27">
        <f>AVERAGEIF($C$36:$C$171,"=4",$HR$36:$HR$171)</f>
        <v>48</v>
      </c>
      <c r="U182" s="27">
        <f>AVERAGEIF($C$36:$C$171,"=4",$HT$36:$HT$171)</f>
        <v>8.3333333333333339</v>
      </c>
      <c r="V182" s="27">
        <v>49.615384615384613</v>
      </c>
      <c r="W182" s="27">
        <v>8.6923076923076916</v>
      </c>
      <c r="Z182" s="27" t="s">
        <v>249</v>
      </c>
      <c r="AA182" s="27">
        <v>55.06666666666667</v>
      </c>
      <c r="AB182" s="27">
        <v>52.06666666666667</v>
      </c>
      <c r="AC182" s="27">
        <v>51</v>
      </c>
      <c r="AD182" s="27">
        <v>50.333333333333336</v>
      </c>
      <c r="AE182" s="27">
        <v>49.235294117647058</v>
      </c>
      <c r="AF182" s="27">
        <v>49.235294117647058</v>
      </c>
      <c r="AG182" s="27">
        <v>49.736842105263158</v>
      </c>
      <c r="AH182" s="27">
        <v>50.9</v>
      </c>
      <c r="AI182" s="27">
        <v>51.055555555555557</v>
      </c>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row>
    <row r="183" spans="5:129" x14ac:dyDescent="0.2">
      <c r="E183" s="27" t="s">
        <v>248</v>
      </c>
      <c r="F183" s="27">
        <f>AVERAGEIF($C$36:$C$171,"=5",D36:D171)</f>
        <v>56.235294117647058</v>
      </c>
      <c r="G183" s="27">
        <f>AVERAGEIF($C$36:$C$171,"=5",E36:E171)</f>
        <v>6.6470588235294121</v>
      </c>
      <c r="H183" s="27">
        <f>AVERAGEIF($C$36:$C$171,"=5",AH36:AH171)</f>
        <v>55</v>
      </c>
      <c r="I183" s="27">
        <f>AVERAGEIF($C$36:$C$171,"=5",AI36:AI171)</f>
        <v>7.7058823529411766</v>
      </c>
      <c r="J183" s="27">
        <f>AVERAGEIF($C$36:$C$171,"=5",BM36:BM171)</f>
        <v>53.611111111111114</v>
      </c>
      <c r="K183" s="27">
        <f>AVERAGEIF($C$36:$C$171,"=5",BN36:BN171)</f>
        <v>7.8888888888888893</v>
      </c>
      <c r="L183" s="27">
        <f>AVERAGEIF($C$36:$C$171,"=5",CS36:CS171)</f>
        <v>52.157894736842103</v>
      </c>
      <c r="M183" s="27">
        <f>AVERAGEIF($C$36:$C$171,"=5",CT36:CT171)</f>
        <v>8.2631578947368425</v>
      </c>
      <c r="N183" s="27">
        <f>AVERAGEIF($C$36:$C$171,"=5",$DX$36:$DX$171)</f>
        <v>52.777777777777779</v>
      </c>
      <c r="O183" s="27">
        <f>AVERAGEIF($C$36:$C$171,"=5",$DY$36:$DY$171)</f>
        <v>7.7222222222222223</v>
      </c>
      <c r="P183" s="27">
        <f>AVERAGEIF($C$36:$C$171,"=5",$FB$36:$FB$171)</f>
        <v>52.277777777777779</v>
      </c>
      <c r="Q183" s="27">
        <f>AVERAGEIF($C$36:$C$171,"=5",$FD$36:$FD$171)</f>
        <v>8</v>
      </c>
      <c r="R183" s="27">
        <f>AVERAGEIF($C$36:$C$171,"=5",$GJ$36:$GJ$171)</f>
        <v>53.705882352941174</v>
      </c>
      <c r="S183" s="27">
        <f>AVERAGEIF($C$36:$C$171,"=5",$GL$36:$GL$171)</f>
        <v>8.117647058823529</v>
      </c>
      <c r="T183" s="27">
        <f>AVERAGEIF($C$36:$C$171,"=5",$HR$36:$HR$171)</f>
        <v>54.588235294117645</v>
      </c>
      <c r="U183" s="27">
        <f>AVERAGEIF($C$36:$C$171,"=5",$HT$36:$HT$171)</f>
        <v>8.235294117647058</v>
      </c>
      <c r="V183" s="27">
        <v>52.833333333333336</v>
      </c>
      <c r="W183" s="27">
        <v>8.7222222222222214</v>
      </c>
      <c r="X183" s="32"/>
      <c r="Y183" s="32"/>
      <c r="Z183" s="32"/>
      <c r="AA183" s="32"/>
      <c r="AB183" s="32"/>
      <c r="AC183" s="32"/>
      <c r="AD183" s="32"/>
      <c r="AE183" s="32"/>
      <c r="AF183" s="32"/>
      <c r="AG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row>
    <row r="184" spans="5:129" x14ac:dyDescent="0.2">
      <c r="E184" s="27" t="s">
        <v>249</v>
      </c>
      <c r="F184" s="27">
        <f>AVERAGEIF($C$36:$C$171,"=6",D36:D171)</f>
        <v>55.06666666666667</v>
      </c>
      <c r="G184" s="27">
        <f>AVERAGEIF($C$36:$C$171,"=6",E36:E171)</f>
        <v>5.8</v>
      </c>
      <c r="H184" s="27">
        <f>AVERAGEIF($C$36:$C$171,"=6",AH36:AH171)</f>
        <v>52.06666666666667</v>
      </c>
      <c r="I184" s="27">
        <f>AVERAGEIF($C$36:$C$171,"=6",AI36:AI171)</f>
        <v>7.9333333333333336</v>
      </c>
      <c r="J184" s="27">
        <f>AVERAGEIF($C$36:$C$171,"=6",BM36:BM171)</f>
        <v>51</v>
      </c>
      <c r="K184" s="27">
        <f>AVERAGEIF($C$36:$C$171,"=6",BN36:BN171)</f>
        <v>8.4285714285714288</v>
      </c>
      <c r="L184" s="27">
        <f>AVERAGEIF($C$36:$C$171,"=6",CS36:CS171)</f>
        <v>50.333333333333336</v>
      </c>
      <c r="M184" s="27">
        <f>AVERAGEIF($C$36:$C$171,"=6",CT36:CT171)</f>
        <v>8.1333333333333329</v>
      </c>
      <c r="N184" s="27">
        <f>AVERAGEIF($C$36:$C$171,"=6",$DX$36:$DX$171)</f>
        <v>49.235294117647058</v>
      </c>
      <c r="O184" s="27">
        <f>AVERAGEIF($C$36:$C$171,"=6",$DY$36:$DY$171)</f>
        <v>7.8235294117647056</v>
      </c>
      <c r="P184" s="27">
        <f>AVERAGEIF($C$36:$C$171,"=6",$FB$36:$FB$171)</f>
        <v>49.235294117647058</v>
      </c>
      <c r="Q184" s="27">
        <f>AVERAGEIF($C$36:$C$171,"=6",$FD$36:$FD$171)</f>
        <v>6.882352941176471</v>
      </c>
      <c r="R184" s="27">
        <f>AVERAGEIF($C$36:$C$171,"=6",$GJ$36:$GJ$171)</f>
        <v>49.736842105263158</v>
      </c>
      <c r="S184" s="27">
        <f>AVERAGEIF($C$36:$C$171,"=6",$GL$36:$GL$171)</f>
        <v>8.5789473684210531</v>
      </c>
      <c r="T184" s="27">
        <f>AVERAGEIF($C$36:$C$171,"=6",$HR$36:$HR$171)</f>
        <v>50.9</v>
      </c>
      <c r="U184" s="27">
        <f>AVERAGEIF($C$36:$C$171,"=6",$HT$36:$HT$171)</f>
        <v>8.3000000000000007</v>
      </c>
      <c r="V184" s="27">
        <v>51.055555555555557</v>
      </c>
      <c r="W184" s="27">
        <v>9.1666666666666661</v>
      </c>
      <c r="X184" s="32"/>
      <c r="Y184" s="32"/>
      <c r="Z184" s="32"/>
      <c r="AA184" s="32"/>
      <c r="AB184" s="32"/>
      <c r="AC184" s="32"/>
      <c r="AD184" s="32"/>
      <c r="AE184" s="32"/>
      <c r="AF184" s="32"/>
      <c r="AG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row>
    <row r="185" spans="5:129" x14ac:dyDescent="0.2">
      <c r="AI185" t="s">
        <v>256</v>
      </c>
    </row>
    <row r="187" spans="5:129" x14ac:dyDescent="0.2">
      <c r="E187" s="28"/>
      <c r="F187" s="854">
        <v>2016</v>
      </c>
      <c r="G187" s="855"/>
      <c r="H187" s="855"/>
      <c r="I187" s="972"/>
      <c r="J187" s="854">
        <v>2017</v>
      </c>
      <c r="K187" s="855"/>
      <c r="L187" s="855"/>
      <c r="M187" s="972"/>
      <c r="N187" s="842">
        <v>2018</v>
      </c>
      <c r="O187" s="845"/>
      <c r="P187" s="845"/>
      <c r="Q187" s="843"/>
      <c r="R187" s="842">
        <v>2019</v>
      </c>
      <c r="S187" s="845"/>
      <c r="T187" s="845"/>
      <c r="U187" s="843"/>
      <c r="V187" s="854">
        <v>2020</v>
      </c>
      <c r="W187" s="855"/>
      <c r="X187" s="855"/>
      <c r="Y187" s="855"/>
      <c r="Z187" s="854">
        <v>2021</v>
      </c>
      <c r="AA187" s="855"/>
      <c r="AB187" s="855"/>
      <c r="AC187" s="855"/>
      <c r="AD187" s="854">
        <v>2022</v>
      </c>
      <c r="AE187" s="855"/>
      <c r="AF187" s="855"/>
      <c r="AG187" s="855"/>
      <c r="AH187" s="854">
        <v>2023</v>
      </c>
      <c r="AI187" s="855"/>
      <c r="AJ187" s="855"/>
      <c r="AK187" s="855"/>
      <c r="AL187" s="854">
        <v>2024</v>
      </c>
      <c r="AM187" s="855"/>
      <c r="AN187" s="855"/>
      <c r="AO187" s="855"/>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844">
        <v>2017</v>
      </c>
      <c r="CT187" s="844"/>
      <c r="CU187" s="844"/>
      <c r="CV187" s="844"/>
      <c r="CW187" s="844"/>
      <c r="CX187" s="844"/>
      <c r="CY187" s="844"/>
      <c r="CZ187" s="844"/>
      <c r="DA187" s="844"/>
      <c r="DB187" s="844"/>
      <c r="DC187" s="844"/>
      <c r="DD187" s="844"/>
      <c r="DE187" s="844"/>
      <c r="DF187" s="844"/>
      <c r="DG187" s="844"/>
      <c r="DH187" s="844"/>
      <c r="DI187" s="844"/>
      <c r="DJ187" s="844"/>
      <c r="DK187" s="844"/>
      <c r="DL187" s="844"/>
      <c r="DM187" s="844"/>
      <c r="DN187" s="844"/>
      <c r="DO187" s="844"/>
      <c r="DP187" s="844"/>
      <c r="DQ187" s="844"/>
      <c r="DR187" s="844"/>
      <c r="DS187" s="844"/>
      <c r="DT187" s="844"/>
      <c r="DU187" s="844"/>
      <c r="DV187" s="844"/>
      <c r="DW187" s="844"/>
      <c r="DX187" s="844"/>
      <c r="DY187" s="844"/>
    </row>
    <row r="188" spans="5:129" x14ac:dyDescent="0.2">
      <c r="E188" s="28"/>
      <c r="F188" s="842" t="s">
        <v>252</v>
      </c>
      <c r="G188" s="843"/>
      <c r="H188" s="842" t="s">
        <v>253</v>
      </c>
      <c r="I188" s="843"/>
      <c r="J188" s="842" t="s">
        <v>252</v>
      </c>
      <c r="K188" s="843"/>
      <c r="L188" s="842" t="s">
        <v>253</v>
      </c>
      <c r="M188" s="843"/>
      <c r="N188" s="842" t="s">
        <v>252</v>
      </c>
      <c r="O188" s="843"/>
      <c r="P188" s="842" t="s">
        <v>253</v>
      </c>
      <c r="Q188" s="843"/>
      <c r="R188" s="842" t="s">
        <v>252</v>
      </c>
      <c r="S188" s="843"/>
      <c r="T188" s="842" t="s">
        <v>253</v>
      </c>
      <c r="U188" s="843"/>
      <c r="V188" s="842" t="s">
        <v>252</v>
      </c>
      <c r="W188" s="843"/>
      <c r="X188" s="842" t="s">
        <v>253</v>
      </c>
      <c r="Y188" s="845"/>
      <c r="Z188" s="842" t="s">
        <v>252</v>
      </c>
      <c r="AA188" s="843"/>
      <c r="AB188" s="842" t="s">
        <v>253</v>
      </c>
      <c r="AC188" s="845"/>
      <c r="AD188" s="842" t="s">
        <v>252</v>
      </c>
      <c r="AE188" s="843"/>
      <c r="AF188" s="842" t="s">
        <v>253</v>
      </c>
      <c r="AG188" s="845"/>
      <c r="AH188" s="842" t="s">
        <v>252</v>
      </c>
      <c r="AI188" s="843"/>
      <c r="AJ188" s="842" t="s">
        <v>253</v>
      </c>
      <c r="AK188" s="845"/>
      <c r="AL188" s="842" t="s">
        <v>252</v>
      </c>
      <c r="AM188" s="843"/>
      <c r="AN188" s="842" t="s">
        <v>253</v>
      </c>
      <c r="AO188" s="845"/>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row>
    <row r="189" spans="5:129" x14ac:dyDescent="0.2">
      <c r="E189" s="28"/>
      <c r="F189" s="7" t="s">
        <v>218</v>
      </c>
      <c r="G189" s="7" t="s">
        <v>251</v>
      </c>
      <c r="H189" s="7" t="s">
        <v>218</v>
      </c>
      <c r="I189" s="7" t="s">
        <v>251</v>
      </c>
      <c r="J189" s="7" t="s">
        <v>218</v>
      </c>
      <c r="K189" s="7" t="s">
        <v>251</v>
      </c>
      <c r="L189" s="7" t="s">
        <v>218</v>
      </c>
      <c r="M189" s="7" t="s">
        <v>251</v>
      </c>
      <c r="N189" s="7" t="s">
        <v>218</v>
      </c>
      <c r="O189" s="7" t="s">
        <v>251</v>
      </c>
      <c r="P189" s="7" t="s">
        <v>218</v>
      </c>
      <c r="Q189" s="7" t="s">
        <v>251</v>
      </c>
      <c r="R189" s="7" t="s">
        <v>218</v>
      </c>
      <c r="S189" s="7" t="s">
        <v>251</v>
      </c>
      <c r="T189" s="7" t="s">
        <v>218</v>
      </c>
      <c r="U189" s="7" t="s">
        <v>251</v>
      </c>
      <c r="V189" s="7" t="s">
        <v>218</v>
      </c>
      <c r="W189" s="7" t="s">
        <v>251</v>
      </c>
      <c r="X189" s="7" t="s">
        <v>218</v>
      </c>
      <c r="Y189" s="34" t="s">
        <v>251</v>
      </c>
      <c r="Z189" s="7" t="s">
        <v>218</v>
      </c>
      <c r="AA189" s="7" t="s">
        <v>251</v>
      </c>
      <c r="AB189" s="7" t="s">
        <v>218</v>
      </c>
      <c r="AC189" s="34" t="s">
        <v>251</v>
      </c>
      <c r="AD189" s="7" t="s">
        <v>218</v>
      </c>
      <c r="AE189" s="7" t="s">
        <v>251</v>
      </c>
      <c r="AF189" s="7" t="s">
        <v>218</v>
      </c>
      <c r="AG189" s="34" t="s">
        <v>251</v>
      </c>
      <c r="AH189" s="7" t="s">
        <v>218</v>
      </c>
      <c r="AI189" s="7" t="s">
        <v>251</v>
      </c>
      <c r="AJ189" s="7" t="s">
        <v>218</v>
      </c>
      <c r="AK189" s="34" t="s">
        <v>251</v>
      </c>
      <c r="AL189" s="7" t="s">
        <v>218</v>
      </c>
      <c r="AM189" s="7" t="s">
        <v>251</v>
      </c>
      <c r="AN189" s="7" t="s">
        <v>218</v>
      </c>
      <c r="AO189" s="34" t="s">
        <v>251</v>
      </c>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row>
    <row r="190" spans="5:129" x14ac:dyDescent="0.2">
      <c r="E190" s="5" t="s">
        <v>0</v>
      </c>
      <c r="F190" s="10">
        <v>53</v>
      </c>
      <c r="G190" s="10">
        <v>7</v>
      </c>
      <c r="H190" s="10">
        <v>55</v>
      </c>
      <c r="I190" s="10">
        <v>8</v>
      </c>
      <c r="J190" s="10">
        <v>51</v>
      </c>
      <c r="K190" s="10">
        <v>7</v>
      </c>
      <c r="L190" s="10">
        <v>54</v>
      </c>
      <c r="M190" s="10">
        <v>8</v>
      </c>
      <c r="N190" s="30">
        <v>50</v>
      </c>
      <c r="O190" s="30">
        <v>8</v>
      </c>
      <c r="P190" s="30">
        <v>53</v>
      </c>
      <c r="Q190" s="30">
        <v>9</v>
      </c>
      <c r="R190" s="30">
        <v>49</v>
      </c>
      <c r="S190" s="30">
        <v>9</v>
      </c>
      <c r="T190" s="30">
        <v>52</v>
      </c>
      <c r="U190" s="30">
        <v>9</v>
      </c>
      <c r="V190" s="10">
        <v>49</v>
      </c>
      <c r="W190" s="10">
        <v>9</v>
      </c>
      <c r="X190" s="10">
        <v>51</v>
      </c>
      <c r="Y190" s="75">
        <v>9</v>
      </c>
      <c r="Z190" s="10">
        <v>49</v>
      </c>
      <c r="AA190" s="10">
        <v>9</v>
      </c>
      <c r="AB190" s="10">
        <v>51</v>
      </c>
      <c r="AC190" s="75">
        <v>9</v>
      </c>
      <c r="AD190" s="10">
        <v>49</v>
      </c>
      <c r="AE190" s="10">
        <v>9</v>
      </c>
      <c r="AF190" s="10">
        <v>51</v>
      </c>
      <c r="AG190" s="75">
        <v>9</v>
      </c>
      <c r="AH190" s="10">
        <v>49</v>
      </c>
      <c r="AI190" s="10">
        <v>9</v>
      </c>
      <c r="AJ190" s="10">
        <v>51</v>
      </c>
      <c r="AK190" s="75">
        <v>9</v>
      </c>
      <c r="AL190" s="10">
        <v>50</v>
      </c>
      <c r="AM190" s="10">
        <v>9</v>
      </c>
      <c r="AN190" s="10">
        <v>54</v>
      </c>
      <c r="AO190" s="75">
        <v>9</v>
      </c>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row>
    <row r="191" spans="5:129" x14ac:dyDescent="0.2">
      <c r="E191" s="27" t="s">
        <v>244</v>
      </c>
      <c r="F191" s="27">
        <f>AVERAGEIFS(D36:D171,$C$36:$C$171,"=1", $B$36:$B$171,"OFICIAL")</f>
        <v>54</v>
      </c>
      <c r="G191" s="27">
        <f>AVERAGEIFS(E36:E171,$C$36:$C$171,"=1", $B$36:$B$171,"OFICIAL")</f>
        <v>7.25</v>
      </c>
      <c r="H191" s="27">
        <f>AVERAGEIFS(D36:D171,$C$36:$C$171,"=1", $B$36:$B$171,"NO OFICIAL")</f>
        <v>52.92307692307692</v>
      </c>
      <c r="I191" s="27">
        <f>AVERAGEIFS(E36:E171,$C$36:$C$171,"=1", $B$36:$B$171,"NO OFICIAL")</f>
        <v>6.615384615384615</v>
      </c>
      <c r="J191" s="27">
        <f>AVERAGEIFS($AH$36:$AH$171,$C$36:$C$171,"=1", $B$36:$B$171,"OFICIAL")</f>
        <v>53</v>
      </c>
      <c r="K191" s="27">
        <f>AVERAGEIFS($AI$36:$AI$171,$C$36:$C$171,"=1", $B$36:$B$171,"OFICIAL")</f>
        <v>7.25</v>
      </c>
      <c r="L191" s="27">
        <f>AVERAGEIFS($AH$36:$AH$171,$C$36:$C$171,"=1", $B$36:$B$171,"NO OFICIAL")</f>
        <v>52.5</v>
      </c>
      <c r="M191" s="27">
        <f>AVERAGEIFS($AI$36:$AI$171,$C$36:$C$171,"=1", $B$36:$B$171,"NO OFICIAL")</f>
        <v>7.416666666666667</v>
      </c>
      <c r="N191" s="27">
        <f>AVERAGEIFS($BM$36:$BM$171,$C$36:$C$171,"=1", $B$36:$B$171,"OFICIAL")</f>
        <v>50.5</v>
      </c>
      <c r="O191" s="27">
        <f>AVERAGEIFS($BN$36:$BN$171,$C$36:$C$171,"=1", $B$36:$B$171,"OFICIAL")</f>
        <v>8</v>
      </c>
      <c r="P191" s="27">
        <f>AVERAGEIFS($BM$36:$BM$171,$C$36:$C$171,"=1", $B$36:$B$171,"NO OFICIAL")</f>
        <v>50.846153846153847</v>
      </c>
      <c r="Q191" s="27">
        <f>AVERAGEIFS($BN$36:$BN$171,$C$36:$C$171,"=1", $B$36:$B$171,"NO OFICIAL")</f>
        <v>7.5384615384615383</v>
      </c>
      <c r="R191" s="27">
        <f>AVERAGEIFS($CS$36:$CS$171,$C$36:$C$171,"=1", $B$36:$B$171,"OFICIAL")</f>
        <v>49.5</v>
      </c>
      <c r="S191" s="27">
        <f>AVERAGEIFS($CT$36:$CT$171,$C$36:$C$171,"=1", $B$36:$B$171,"OFICIAL")</f>
        <v>8.75</v>
      </c>
      <c r="T191" s="27">
        <f>AVERAGEIFS($CS$36:$CS$171,$C$36:$C$171,"=1", $B$36:$B$171,"NO OFICIAL")</f>
        <v>49.46153846153846</v>
      </c>
      <c r="U191" s="27">
        <f>AVERAGEIFS($CT$36:$CT$171,$C$36:$C$171,"=1", $B$36:$B$171,"NO OFICIAL")</f>
        <v>7.7692307692307692</v>
      </c>
      <c r="V191" s="27">
        <f>AVERAGEIFS($DX$36:$DX$171,$C$36:$C$171,"=1", $B$36:$B$171,"OFICIAL")</f>
        <v>49</v>
      </c>
      <c r="W191" s="27">
        <f>AVERAGEIFS($DY$36:$DY$171,$C$36:$C$171,"=1", $B$36:$B$171,"OFICIAL")</f>
        <v>8.25</v>
      </c>
      <c r="X191" s="27">
        <f>AVERAGEIFS($DX$36:$DX$171,$C$36:$C$171,"=1", $B$36:$B$171,"NO OFICIAL")</f>
        <v>49.769230769230766</v>
      </c>
      <c r="Y191" s="27">
        <f>AVERAGEIFS($DY$36:$DY$171,$C$36:$C$171,"=1", $B$36:$B$171,"NO OFICIAL")</f>
        <v>8.3076923076923084</v>
      </c>
      <c r="Z191" s="27">
        <f>AVERAGEIFS($FB$36:$FB$171,$C$36:$C$171,"=1", $B$36:$B$171,"OFICIAL")</f>
        <v>48.75</v>
      </c>
      <c r="AA191" s="27">
        <f>AVERAGEIFS($FD$36:$FD$171,$C$36:$C$171,"=1", $B$36:$B$171,"OFICIAL")</f>
        <v>8</v>
      </c>
      <c r="AB191" s="27">
        <f>AVERAGEIFS($FB$36:$FB$171,$C$36:$C$171,"=1", $B$36:$B$171,"NO OFICIAL")</f>
        <v>50</v>
      </c>
      <c r="AC191" s="27">
        <f>AVERAGEIFS($FD$36:$FD$171,$C$36:$C$171,"=1", $B$36:$B$171,"NO OFICIAL")</f>
        <v>7.6923076923076925</v>
      </c>
      <c r="AD191" s="27">
        <f>AVERAGEIFS($GJ$36:$GJ$171,$C$36:$C$171,"=1", $B$36:$B$171,"OFICIAL")</f>
        <v>49.2</v>
      </c>
      <c r="AE191" s="27">
        <f>AVERAGEIFS($GL$36:$GL$171,$C$36:$C$171,"=1", $B$36:$B$171,"OFICIAL")</f>
        <v>8.6</v>
      </c>
      <c r="AF191" s="27">
        <f>AVERAGEIFS($GJ$36:$GJ$171,$C$36:$C$171,"=1", $B$36:$B$171,"NO OFICIAL")</f>
        <v>50.846153846153847</v>
      </c>
      <c r="AG191" s="27">
        <f>AVERAGEIFS($GL$36:$GL$171,$C$36:$C$171,"=1", $B$36:$B$171,"NO OFICIAL")</f>
        <v>8.6923076923076916</v>
      </c>
      <c r="AH191" s="27">
        <f>AVERAGEIFS($HR$36:$HR$171,$C$36:$C$171,"=1", $B$36:$B$171,"OFICIAL")</f>
        <v>50</v>
      </c>
      <c r="AI191" s="27">
        <f>AVERAGEIFS($HT$36:$HT$171,$C$36:$C$171,"=1", $B$36:$B$171,"OFICIAL")</f>
        <v>8</v>
      </c>
      <c r="AJ191" s="27">
        <f>AVERAGEIFS($HR$36:$HR$171,$C$36:$C$171,"=1", $B$36:$B$171,"NO OFICIAL")</f>
        <v>52</v>
      </c>
      <c r="AK191" s="27">
        <f>AVERAGEIFS($HT$36:$HT$171,$C$36:$C$171,"=1", $B$36:$B$171,"NO OFICIAL")</f>
        <v>8.25</v>
      </c>
      <c r="AL191" s="27">
        <v>50.4</v>
      </c>
      <c r="AM191" s="27">
        <v>8.6</v>
      </c>
      <c r="AN191" s="27">
        <v>51.53846153846154</v>
      </c>
      <c r="AO191" s="27">
        <v>8.4615384615384617</v>
      </c>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row>
    <row r="192" spans="5:129" x14ac:dyDescent="0.2">
      <c r="E192" s="27" t="s">
        <v>245</v>
      </c>
      <c r="F192" s="27">
        <f>AVERAGEIFS(D36:D171,$C$36:$C$171,"=2", $B$36:$B$171,"OFICIAL")</f>
        <v>54</v>
      </c>
      <c r="G192" s="27">
        <f>AVERAGEIFS(E36:E171,$C$36:$C$171,"=2", $B$36:$B$171,"OFICIAL")</f>
        <v>7.5</v>
      </c>
      <c r="H192" s="27">
        <f>AVERAGEIFS(D36:D171,$C$36:$C$171,"=2", $B$36:$B$171,"NO OFICIAL")</f>
        <v>54.666666666666664</v>
      </c>
      <c r="I192" s="27">
        <f>AVERAGEIFS(E36:E171,$C$36:$C$171,"=2", $B$36:$B$171,"NO OFICIAL")</f>
        <v>6.8888888888888893</v>
      </c>
      <c r="J192" s="27">
        <f>AVERAGEIFS($AH$36:$AH$171,$C$36:$C$171,"=2", $B$36:$B$171,"OFICIAL")</f>
        <v>53.5</v>
      </c>
      <c r="K192" s="27">
        <f>AVERAGEIFS($AI$36:$AI$171,$C$36:$C$171,"=2", $B$36:$B$171,"OFICIAL")</f>
        <v>8</v>
      </c>
      <c r="L192" s="27">
        <f>AVERAGEIFS($AH$36:$AH$171,$C$36:$C$171,"=2", $B$36:$B$171,"NO OFICIAL")</f>
        <v>52.823529411764703</v>
      </c>
      <c r="M192" s="27">
        <f>AVERAGEIFS($AI$36:$AI$171,$C$36:$C$171,"=2", $B$36:$B$171,"NO OFICIAL")</f>
        <v>7.1764705882352944</v>
      </c>
      <c r="N192" s="27">
        <f>AVERAGEIFS($BM$36:$BM$171,$C$36:$C$171,"=2", $B$36:$B$171,"OFICIAL")</f>
        <v>51</v>
      </c>
      <c r="O192" s="27">
        <f>AVERAGEIFS($BN$36:$BN$171,$C$36:$C$171,"=2", $B$36:$B$171,"OFICIAL")</f>
        <v>9</v>
      </c>
      <c r="P192" s="27">
        <f>AVERAGEIFS($BM$36:$BM$171,$C$36:$C$171,"=2", $B$36:$B$171,"NO OFICIAL")</f>
        <v>51.764705882352942</v>
      </c>
      <c r="Q192" s="27">
        <f>AVERAGEIFS($BN$36:$BN$171,$C$36:$C$171,"=2", $B$36:$B$171,"NO OFICIAL")</f>
        <v>8.0588235294117645</v>
      </c>
      <c r="R192" s="27">
        <f>AVERAGEIFS($CS$36:$CS$171,$C$36:$C$171,"=2", $B$36:$B$171,"OFICIAL")</f>
        <v>49</v>
      </c>
      <c r="S192" s="27">
        <f>AVERAGEIFS($CT$36:$CT$171,$C$36:$C$171,"=2", $B$36:$B$171,"OFICIAL")</f>
        <v>9</v>
      </c>
      <c r="T192" s="27">
        <f>AVERAGEIFS($CS$36:$CS$171,$C$36:$C$171,"=2", $B$36:$B$171,"NO OFICIAL")</f>
        <v>51.5</v>
      </c>
      <c r="U192" s="27">
        <f>AVERAGEIFS($CT$36:$CT$171,$C$36:$C$171,"=2", $B$36:$B$171,"NO OFICIAL")</f>
        <v>7.9444444444444446</v>
      </c>
      <c r="V192" s="27">
        <f>AVERAGEIFS($DX$36:$DX$171,$C$36:$C$171,"=2", $B$36:$B$171,"OFICIAL")</f>
        <v>49</v>
      </c>
      <c r="W192" s="27">
        <f>AVERAGEIFS($DY$36:$DY$171,$C$36:$C$171,"=2", $B$36:$B$171,"OFICIAL")</f>
        <v>8.5</v>
      </c>
      <c r="X192" s="27">
        <f>AVERAGEIFS($DX$36:$DX$171,$C$36:$C$171,"=2", $B$36:$B$171,"NO OFICIAL")</f>
        <v>49.81818181818182</v>
      </c>
      <c r="Y192" s="27">
        <f>AVERAGEIFS($DY$36:$DY$171,$C$36:$C$171,"=2", $B$36:$B$171,"NO OFICIAL")</f>
        <v>7.0909090909090908</v>
      </c>
      <c r="Z192" s="27">
        <f>AVERAGEIFS($FB$36:$FB$171,$C$36:$C$171,"=2", $B$36:$B$171,"OFICIAL")</f>
        <v>49</v>
      </c>
      <c r="AA192" s="27">
        <f>AVERAGEIFS($FD$36:$FD$171,$C$36:$C$171,"=2", $B$36:$B$171,"OFICIAL")</f>
        <v>7.5</v>
      </c>
      <c r="AB192" s="27">
        <f>AVERAGEIFS($FB$36:$FB$171,$C$36:$C$171,"=2", $B$36:$B$171,"NO OFICIAL")</f>
        <v>50.3</v>
      </c>
      <c r="AC192" s="27">
        <f>AVERAGEIFS($FD$36:$FD$171,$C$36:$C$171,"=2", $B$36:$B$171,"NO OFICIAL")</f>
        <v>7.7</v>
      </c>
      <c r="AD192" s="27">
        <f>AVERAGEIFS($GJ$36:$GJ$171,$C$36:$C$171,"=2", $B$36:$B$171,"OFICIAL")</f>
        <v>49.75</v>
      </c>
      <c r="AE192" s="27">
        <f>AVERAGEIFS($GL$36:$GL$171,$C$36:$C$171,"=2", $B$36:$B$171,"OFICIAL")</f>
        <v>8</v>
      </c>
      <c r="AF192" s="27">
        <f>AVERAGEIFS($GJ$36:$GJ$171,$C$36:$C$171,"=2", $B$36:$B$171,"NO OFICIAL")</f>
        <v>51.857142857142854</v>
      </c>
      <c r="AG192" s="27">
        <f>AVERAGEIFS($GL$36:$GL$171,$C$36:$C$171,"=2", $B$36:$B$171,"NO OFICIAL")</f>
        <v>7.8571428571428568</v>
      </c>
      <c r="AH192" s="27">
        <f>AVERAGEIFS($HR$36:$HR$171,$C$36:$C$171,"=2", $B$36:$B$171,"OFICIAL")</f>
        <v>49.75</v>
      </c>
      <c r="AI192" s="27">
        <f>AVERAGEIFS($HT$36:$HT$171,$C$36:$C$171,"=2", $B$36:$B$171,"OFICIAL")</f>
        <v>8.5</v>
      </c>
      <c r="AJ192" s="27">
        <f>AVERAGEIFS($HR$36:$HR$171,$C$36:$C$171,"=2", $B$36:$B$171,"NO OFICIAL")</f>
        <v>51.68181818181818</v>
      </c>
      <c r="AK192" s="27">
        <f>AVERAGEIFS($HT$36:$HT$171,$C$36:$C$171,"=2", $B$36:$B$171,"NO OFICIAL")</f>
        <v>7.7272727272727275</v>
      </c>
      <c r="AL192" s="27">
        <v>51</v>
      </c>
      <c r="AM192" s="27">
        <v>9</v>
      </c>
      <c r="AN192" s="27">
        <v>52.65</v>
      </c>
      <c r="AO192" s="27">
        <v>8.75</v>
      </c>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row>
    <row r="193" spans="5:137" x14ac:dyDescent="0.2">
      <c r="E193" s="27" t="s">
        <v>246</v>
      </c>
      <c r="F193" s="27">
        <f>AVERAGEIFS(D36:D171,$C$36:$C$171,"=3", $B$36:$B$171,"OFICIAL")</f>
        <v>53.2</v>
      </c>
      <c r="G193" s="27">
        <f>AVERAGEIFS(E36:E171,$C$36:$C$171,"=3", $B$36:$B$171,"OFICIAL")</f>
        <v>7.25</v>
      </c>
      <c r="H193" s="27">
        <f>AVERAGEIFS(D36:D171,$C$36:$C$171,"=3", $B$36:$B$171,"NO OFICIAL")</f>
        <v>55.46153846153846</v>
      </c>
      <c r="I193" s="27">
        <f>AVERAGEIFS(E36:E171,$C$36:$C$171,"=3", $B$36:$B$171,"NO OFICIAL")</f>
        <v>7.0769230769230766</v>
      </c>
      <c r="J193" s="27">
        <f>AVERAGEIFS($AH$36:$AH$171,$C$36:$C$171,"=3", $B$36:$B$171,"OFICIAL")</f>
        <v>51.8</v>
      </c>
      <c r="K193" s="27">
        <f>AVERAGEIFS($AI$36:$AI$171,$C$36:$C$171,"=3", $B$36:$B$171,"OFICIAL")</f>
        <v>8</v>
      </c>
      <c r="L193" s="27">
        <f>AVERAGEIFS($AH$36:$AH$171,$C$36:$C$171,"=3", $B$36:$B$171,"NO OFICIAL")</f>
        <v>53.642857142857146</v>
      </c>
      <c r="M193" s="27">
        <f>AVERAGEIFS($AI$36:$AI$171,$C$36:$C$171,"=3", $B$36:$B$171,"NO OFICIAL")</f>
        <v>7.6428571428571432</v>
      </c>
      <c r="N193" s="27">
        <f>AVERAGEIFS($BM$36:$BM$171,$C$36:$C$171,"=3", $B$36:$B$171,"OFICIAL")</f>
        <v>50.8</v>
      </c>
      <c r="O193" s="27">
        <f>AVERAGEIFS($BN$36:$BN$171,$C$36:$C$171,"=3", $B$36:$B$171,"OFICIAL")</f>
        <v>8.25</v>
      </c>
      <c r="P193" s="27">
        <f>AVERAGEIFS($BM$36:$BM$171,$C$36:$C$171,"=3", $B$36:$B$171,"NO OFICIAL")</f>
        <v>52.428571428571431</v>
      </c>
      <c r="Q193" s="27">
        <f>AVERAGEIFS($BN$36:$BN$171,$C$36:$C$171,"=3", $B$36:$B$171,"NO OFICIAL")</f>
        <v>8.0714285714285712</v>
      </c>
      <c r="R193" s="27">
        <f>AVERAGEIFS($CS$36:$CS$171,$C$36:$C$171,"=3", $B$36:$B$171,"OFICIAL")</f>
        <v>49</v>
      </c>
      <c r="S193" s="27">
        <f>AVERAGEIFS($CT$36:$CT$171,$C$36:$C$171,"=3", $B$36:$B$171,"OFICIAL")</f>
        <v>8.25</v>
      </c>
      <c r="T193" s="27">
        <f>AVERAGEIFS($CS$36:$CS$171,$C$36:$C$171,"=3", $B$36:$B$171,"NO OFICIAL")</f>
        <v>51.142857142857146</v>
      </c>
      <c r="U193" s="27">
        <f>AVERAGEIFS($CT$36:$CT$171,$C$36:$C$171,"=3", $B$36:$B$171,"NO OFICIAL")</f>
        <v>7.9285714285714288</v>
      </c>
      <c r="V193" s="27">
        <f>AVERAGEIFS($DX$36:$DX$171,$C$36:$C$171,"=3", $B$36:$B$171,"OFICIAL")</f>
        <v>49.6</v>
      </c>
      <c r="W193" s="27">
        <f>AVERAGEIFS($DY$36:$DY$171,$C$36:$C$171,"=3", $B$36:$B$171,"OFICIAL")</f>
        <v>8.8000000000000007</v>
      </c>
      <c r="X193" s="27">
        <f>AVERAGEIFS($DX$36:$DX$171,$C$36:$C$171,"=3", $B$36:$B$171,"NO OFICIAL")</f>
        <v>51.4</v>
      </c>
      <c r="Y193" s="27">
        <f>AVERAGEIFS($DY$36:$DY$171,$C$36:$C$171,"=3", $B$36:$B$171,"NO OFICIAL")</f>
        <v>8.4666666666666668</v>
      </c>
      <c r="Z193" s="27">
        <f>AVERAGEIFS($FB$36:$FB$171,$C$36:$C$171,"=3", $B$36:$B$171,"OFICIAL")</f>
        <v>49</v>
      </c>
      <c r="AA193" s="27">
        <f>AVERAGEIFS($FD$36:$FD$171,$C$36:$C$171,"=3", $B$36:$B$171,"OFICIAL")</f>
        <v>8</v>
      </c>
      <c r="AB193" s="27">
        <f>AVERAGEIFS($FB$36:$FB$171,$C$36:$C$171,"=3", $B$36:$B$171,"NO OFICIAL")</f>
        <v>51.666666666666664</v>
      </c>
      <c r="AC193" s="27">
        <f>AVERAGEIFS($FD$36:$FD$171,$C$36:$C$171,"=3", $B$36:$B$171,"NO OFICIAL")</f>
        <v>7.8</v>
      </c>
      <c r="AD193" s="27">
        <f>AVERAGEIFS($GJ$36:$GJ$171,$C$36:$C$171,"=3", $B$36:$B$171,"OFICIAL")</f>
        <v>49.833333333333336</v>
      </c>
      <c r="AE193" s="27">
        <f>AVERAGEIFS($GL$36:$GL$171,$C$36:$C$171,"=3", $B$36:$B$171,"OFICIAL")</f>
        <v>8.8333333333333339</v>
      </c>
      <c r="AF193" s="27">
        <f>AVERAGEIFS($GJ$36:$GJ$171,$C$36:$C$171,"=3", $B$36:$B$171,"NO OFICIAL")</f>
        <v>52.125</v>
      </c>
      <c r="AG193" s="27">
        <f>AVERAGEIFS($GL$36:$GL$171,$C$36:$C$171,"=3", $B$36:$B$171,"NO OFICIAL")</f>
        <v>8.625</v>
      </c>
      <c r="AH193" s="27">
        <f>AVERAGEIFS($HR$36:$HR$171,$C$36:$C$171,"=3", $B$36:$B$171,"OFICIAL")</f>
        <v>50.5</v>
      </c>
      <c r="AI193" s="27">
        <f>AVERAGEIFS($HT$36:$HT$171,$C$36:$C$171,"=3", $B$36:$B$171,"OFICIAL")</f>
        <v>8.5</v>
      </c>
      <c r="AJ193" s="27">
        <f>AVERAGEIFS($HR$36:$HR$171,$C$36:$C$171,"=3", $B$36:$B$171,"NO OFICIAL")</f>
        <v>52.9375</v>
      </c>
      <c r="AK193" s="27">
        <f>AVERAGEIFS($HT$36:$HT$171,$C$36:$C$171,"=3", $B$36:$B$171,"NO OFICIAL")</f>
        <v>8.5</v>
      </c>
      <c r="AL193" s="27">
        <v>51</v>
      </c>
      <c r="AM193" s="27">
        <v>8.8333333333333339</v>
      </c>
      <c r="AN193" s="27">
        <v>53.375</v>
      </c>
      <c r="AO193" s="27">
        <v>8.3125</v>
      </c>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row>
    <row r="194" spans="5:137" x14ac:dyDescent="0.2">
      <c r="E194" s="27" t="s">
        <v>247</v>
      </c>
      <c r="F194" s="27">
        <f>AVERAGEIFS(D36:D171,$C$36:$C$171,"=4", $B$36:$B$171,"OFICIAL")</f>
        <v>50.5</v>
      </c>
      <c r="G194" s="27">
        <f>AVERAGEIFS(E36:E171,$C$36:$C$171,"=4", $B$36:$B$171,"OFICIAL")</f>
        <v>7.166666666666667</v>
      </c>
      <c r="H194" s="27">
        <f>AVERAGEIFS(D36:D171,$C$36:$C$171,"=4", $B$36:$B$171,"NO OFICIAL")</f>
        <v>51.625</v>
      </c>
      <c r="I194" s="27">
        <f>AVERAGEIFS(E36:E171,$C$36:$C$171,"=4", $B$36:$B$171,"NO OFICIAL")</f>
        <v>6.75</v>
      </c>
      <c r="J194" s="27">
        <f>AVERAGEIFS($AH$36:$AH$171,$C$36:$C$171,"=4", $B$36:$B$171,"OFICIAL")</f>
        <v>49.833333333333336</v>
      </c>
      <c r="K194" s="27">
        <f>AVERAGEIFS($AI$36:$AI$171,$C$36:$C$171,"=4", $B$36:$B$171,"OFICIAL")</f>
        <v>7.833333333333333</v>
      </c>
      <c r="L194" s="27">
        <f>AVERAGEIFS($AH$36:$AH$171,$C$36:$C$171,"=4", $B$36:$B$171,"NO OFICIAL")</f>
        <v>52.111111111111114</v>
      </c>
      <c r="M194" s="27">
        <f>AVERAGEIFS($AI$36:$AI$171,$C$36:$C$171,"=4", $B$36:$B$171,"NO OFICIAL")</f>
        <v>6.4444444444444446</v>
      </c>
      <c r="N194" s="27">
        <f>AVERAGEIFS($BM$36:$BM$171,$C$36:$C$171,"=4", $B$36:$B$171,"OFICIAL")</f>
        <v>46.5</v>
      </c>
      <c r="O194" s="27">
        <f>AVERAGEIFS($BN$36:$BN$171,$C$36:$C$171,"=4", $B$36:$B$171,"OFICIAL")</f>
        <v>8</v>
      </c>
      <c r="P194" s="27">
        <f>AVERAGEIFS($BM$36:$BM$171,$C$36:$C$171,"=4", $B$36:$B$171,"NO OFICIAL")</f>
        <v>51.111111111111114</v>
      </c>
      <c r="Q194" s="27">
        <f>AVERAGEIFS($BN$36:$BN$171,$C$36:$C$171,"=4", $B$36:$B$171,"NO OFICIAL")</f>
        <v>7</v>
      </c>
      <c r="R194" s="27">
        <f>AVERAGEIFS($CS$36:$CS$171,$C$36:$C$171,"=4", $B$36:$B$171,"OFICIAL")</f>
        <v>45.5</v>
      </c>
      <c r="S194" s="27">
        <f>AVERAGEIFS($CT$36:$CT$171,$C$36:$C$171,"=4", $B$36:$B$171,"OFICIAL")</f>
        <v>8.3333333333333339</v>
      </c>
      <c r="T194" s="27">
        <f>AVERAGEIFS($CS$36:$CS$171,$C$36:$C$171,"=4", $B$36:$B$171,"NO OFICIAL")</f>
        <v>49.375</v>
      </c>
      <c r="U194" s="27">
        <f>AVERAGEIFS($CT$36:$CT$171,$C$36:$C$171,"=4", $B$36:$B$171,"NO OFICIAL")</f>
        <v>7.25</v>
      </c>
      <c r="V194" s="27">
        <f>AVERAGEIFS($DX$36:$DX$171,$C$36:$C$171,"=4", $B$36:$B$171,"OFICIAL")</f>
        <v>45.166666666666664</v>
      </c>
      <c r="W194" s="27">
        <f>AVERAGEIFS($DY$36:$DY$171,$C$36:$C$171,"=4", $B$36:$B$171,"OFICIAL")</f>
        <v>8.1666666666666661</v>
      </c>
      <c r="X194" s="27">
        <f>AVERAGEIFS($DX$36:$DX$171,$C$36:$C$171,"=4", $B$36:$B$171,"NO OFICIAL")</f>
        <v>48.571428571428569</v>
      </c>
      <c r="Y194" s="27">
        <f>AVERAGEIFS($DY$36:$DY$171,$C$36:$C$171,"=4", $B$36:$B$171,"NO OFICIAL")</f>
        <v>8.2857142857142865</v>
      </c>
      <c r="Z194" s="27">
        <f>AVERAGEIFS($FB$36:$FB$171,$C$36:$C$171,"=4", $B$36:$B$171,"OFICIAL")</f>
        <v>46</v>
      </c>
      <c r="AA194" s="27">
        <f>AVERAGEIFS($FD$36:$FD$171,$C$36:$C$171,"=4", $B$36:$B$171,"OFICIAL")</f>
        <v>7.333333333333333</v>
      </c>
      <c r="AB194" s="27">
        <f>AVERAGEIFS($FB$36:$FB$171,$C$36:$C$171,"=4", $B$36:$B$171,"NO OFICIAL")</f>
        <v>48.75</v>
      </c>
      <c r="AC194" s="27">
        <f>AVERAGEIFS($FD$36:$FD$171,$C$36:$C$171,"=4", $B$36:$B$171,"NO OFICIAL")</f>
        <v>6.875</v>
      </c>
      <c r="AD194" s="27">
        <f>AVERAGEIFS($GJ$36:$GJ$171,$C$36:$C$171,"=4", $B$36:$B$171,"OFICIAL")</f>
        <v>46.166666666666664</v>
      </c>
      <c r="AE194" s="27">
        <f>AVERAGEIFS($GL$36:$GL$171,$C$36:$C$171,"=4", $B$36:$B$171,"OFICIAL")</f>
        <v>8.6666666666666661</v>
      </c>
      <c r="AF194" s="27">
        <f>AVERAGEIFS($GJ$36:$GJ$171,$C$36:$C$171,"=4", $B$36:$B$171,"NO OFICIAL")</f>
        <v>50.25</v>
      </c>
      <c r="AG194" s="27">
        <f>AVERAGEIFS($GL$36:$GL$171,$C$36:$C$171,"=4", $B$36:$B$171,"NO OFICIAL")</f>
        <v>8.375</v>
      </c>
      <c r="AH194" s="27">
        <f>AVERAGEIFS($HR$36:$HR$171,$C$36:$C$171,"=4", $B$36:$B$171,"OFICIAL")</f>
        <v>46.666666666666664</v>
      </c>
      <c r="AI194" s="27">
        <f>AVERAGEIFS($HT$36:$HT$171,$C$36:$C$171,"=4", $B$36:$B$171,"OFICIAL")</f>
        <v>9.1666666666666661</v>
      </c>
      <c r="AJ194" s="27">
        <f>AVERAGEIFS($HR$36:$HR$171,$C$36:$C$171,"=4", $B$36:$B$171,"NO OFICIAL")</f>
        <v>48.888888888888886</v>
      </c>
      <c r="AK194" s="27">
        <f>AVERAGEIFS($HT$36:$HT$171,$C$36:$C$171,"=4", $B$36:$B$171,"NO OFICIAL")</f>
        <v>7.7777777777777777</v>
      </c>
      <c r="AL194" s="27">
        <v>47</v>
      </c>
      <c r="AM194" s="27">
        <v>8.3333333333333339</v>
      </c>
      <c r="AN194" s="27">
        <v>51.857142857142854</v>
      </c>
      <c r="AO194" s="27">
        <v>9</v>
      </c>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row>
    <row r="195" spans="5:137" x14ac:dyDescent="0.2">
      <c r="E195" s="27" t="s">
        <v>248</v>
      </c>
      <c r="F195" s="27">
        <f>AVERAGEIFS(D36:D171,$C$36:$C$171,"=5", $B$36:$B$171,"OFICIAL")</f>
        <v>54.333333333333336</v>
      </c>
      <c r="G195" s="27">
        <f>AVERAGEIFS(E36:E171,$C$36:$C$171,"=5", $B$36:$B$171,"OFICIAL")</f>
        <v>7</v>
      </c>
      <c r="H195" s="27">
        <f>AVERAGEIFS(D36:D171,$C$36:$C$171,"=5", $B$36:$B$171,"NO OFICIAL")</f>
        <v>56.642857142857146</v>
      </c>
      <c r="I195" s="27">
        <f>AVERAGEIFS(E36:E171,$C$36:$C$171,"=5", $B$36:$B$171,"NO OFICIAL")</f>
        <v>6.5714285714285712</v>
      </c>
      <c r="J195" s="27">
        <f>AVERAGEIFS($AH$36:$AH$171,$C$36:$C$171,"=5", $B$36:$B$171,"OFICIAL")</f>
        <v>53.333333333333336</v>
      </c>
      <c r="K195" s="27">
        <f>AVERAGEIFS($AI$36:$AI$171,$C$36:$C$171,"=5", $B$36:$B$171,"OFICIAL")</f>
        <v>7.666666666666667</v>
      </c>
      <c r="L195" s="27">
        <f>AVERAGEIFS($AH$36:$AH$171,$C$36:$C$171,"=5", $B$36:$B$171,"NO OFICIAL")</f>
        <v>55.357142857142854</v>
      </c>
      <c r="M195" s="27">
        <f>AVERAGEIFS($AI$36:$AI$171,$C$36:$C$171,"=5", $B$36:$B$171,"NO OFICIAL")</f>
        <v>7.7142857142857144</v>
      </c>
      <c r="N195" s="27">
        <f>AVERAGEIFS($BM$36:$BM$171,$C$36:$C$171,"=5", $B$36:$B$171,"OFICIAL")</f>
        <v>50.666666666666664</v>
      </c>
      <c r="O195" s="27">
        <f>AVERAGEIFS($BN$36:$BN$171,$C$36:$C$171,"=5", $B$36:$B$171,"OFICIAL")</f>
        <v>8.3333333333333339</v>
      </c>
      <c r="P195" s="27">
        <f>AVERAGEIFS($BM$36:$BM$171,$C$36:$C$171,"=5", $B$36:$B$171,"NO OFICIAL")</f>
        <v>54.2</v>
      </c>
      <c r="Q195" s="27">
        <f>AVERAGEIFS($BN$36:$BN$171,$C$36:$C$171,"=5", $B$36:$B$171,"NO OFICIAL")</f>
        <v>7.8</v>
      </c>
      <c r="R195" s="27">
        <f>AVERAGEIFS($CS$36:$CS$171,$C$36:$C$171,"=5", $B$36:$B$171,"OFICIAL")</f>
        <v>51.333333333333336</v>
      </c>
      <c r="S195" s="27">
        <f>AVERAGEIFS($CT$36:$CT$171,$C$36:$C$171,"=5", $B$36:$B$171,"OFICIAL")</f>
        <v>8.3333333333333339</v>
      </c>
      <c r="T195" s="27">
        <f>AVERAGEIFS($CS$36:$CS$171,$C$36:$C$171,"=5", $B$36:$B$171,"NO OFICIAL")</f>
        <v>52.3125</v>
      </c>
      <c r="U195" s="27">
        <f>AVERAGEIFS($CT$36:$CT$171,$C$36:$C$171,"=5", $B$36:$B$171,"NO OFICIAL")</f>
        <v>8.25</v>
      </c>
      <c r="V195" s="27">
        <f>AVERAGEIFS($DX$36:$DX$171,$C$36:$C$171,"=5", $B$36:$B$171,"OFICIAL")</f>
        <v>51.666666666666664</v>
      </c>
      <c r="W195" s="27">
        <f>AVERAGEIFS($DY$36:$DY$171,$C$36:$C$171,"=5", $B$36:$B$171,"OFICIAL")</f>
        <v>8</v>
      </c>
      <c r="X195" s="27">
        <f>AVERAGEIFS($DX$36:$DX$171,$C$36:$C$171,"=5", $B$36:$B$171,"NO OFICIAL")</f>
        <v>53</v>
      </c>
      <c r="Y195" s="27">
        <f>AVERAGEIFS($DY$36:$DY$171,$C$36:$C$171,"=5", $B$36:$B$171,"NO OFICIAL")</f>
        <v>7.666666666666667</v>
      </c>
      <c r="Z195" s="27">
        <f>AVERAGEIFS($FB$36:$FB$171,$C$36:$C$171,"=5", $B$36:$B$171,"OFICIAL")</f>
        <v>50.333333333333336</v>
      </c>
      <c r="AA195" s="27">
        <f>AVERAGEIFS($FD$36:$FD$171,$C$36:$C$171,"=5", $B$36:$B$171,"OFICIAL")</f>
        <v>8</v>
      </c>
      <c r="AB195" s="27">
        <f>AVERAGEIFS($FB$36:$FB$171,$C$36:$C$171,"=5", $B$36:$B$171,"NO OFICIAL")</f>
        <v>52.666666666666664</v>
      </c>
      <c r="AC195" s="27">
        <f>AVERAGEIFS($FD$36:$FD$171,$C$36:$C$171,"=5", $B$36:$B$171,"NO OFICIAL")</f>
        <v>8</v>
      </c>
      <c r="AD195" s="27">
        <f>AVERAGEIFS($GJ$36:$GJ$171,$C$36:$C$171,"=5", $B$36:$B$171,"OFICIAL")</f>
        <v>52.666666666666664</v>
      </c>
      <c r="AE195" s="27">
        <f>AVERAGEIFS($GL$36:$GL$171,$C$36:$C$171,"=5", $B$36:$B$171,"OFICIAL")</f>
        <v>8.3333333333333339</v>
      </c>
      <c r="AF195" s="27">
        <f>AVERAGEIFS($GJ$36:$GJ$171,$C$36:$C$171,"=5", $B$36:$B$171,"NO OFICIAL")</f>
        <v>53.928571428571431</v>
      </c>
      <c r="AG195" s="27">
        <f>AVERAGEIFS($GL$36:$GL$171,$C$36:$C$171,"=5", $B$36:$B$171,"NO OFICIAL")</f>
        <v>8.0714285714285712</v>
      </c>
      <c r="AH195" s="27">
        <f>AVERAGEIFS($HR$36:$HR$171,$C$36:$C$171,"=5", $B$36:$B$171,"OFICIAL")</f>
        <v>52</v>
      </c>
      <c r="AI195" s="27">
        <f>AVERAGEIFS($HT$36:$HT$171,$C$36:$C$171,"=5", $B$36:$B$171,"OFICIAL")</f>
        <v>8.3333333333333339</v>
      </c>
      <c r="AJ195" s="27">
        <f>AVERAGEIFS($HR$36:$HR$171,$C$36:$C$171,"=5", $B$36:$B$171,"NO OFICIAL")</f>
        <v>55.142857142857146</v>
      </c>
      <c r="AK195" s="27">
        <f>AVERAGEIFS($HT$36:$HT$171,$C$36:$C$171,"=5", $B$36:$B$171,"NO OFICIAL")</f>
        <v>8.2142857142857135</v>
      </c>
      <c r="AL195" s="27">
        <v>52.666666666666664</v>
      </c>
      <c r="AM195" s="27">
        <v>9</v>
      </c>
      <c r="AN195" s="27">
        <v>52.866666666666667</v>
      </c>
      <c r="AO195" s="27">
        <v>8.6666666666666661</v>
      </c>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row>
    <row r="196" spans="5:137" x14ac:dyDescent="0.2">
      <c r="E196" s="27" t="s">
        <v>249</v>
      </c>
      <c r="F196" s="27">
        <f>AVERAGEIFS(D36:D171,$C$36:$C$171,"=6", $B$36:$B$171,"OFICIAL")</f>
        <v>53</v>
      </c>
      <c r="G196" s="27">
        <f>AVERAGEIFS(E36:E171,$C$36:$C$171,"=6", $B$36:$B$171,"OFICIAL")</f>
        <v>7.25</v>
      </c>
      <c r="H196" s="27">
        <f>AVERAGEIFS(D36:D171,$C$36:$C$171,"=6", $B$36:$B$171,"NO OFICIAL")</f>
        <v>55.81818181818182</v>
      </c>
      <c r="I196" s="27">
        <f>AVERAGEIFS(E36:E171,$C$36:$C$171,"=6", $B$36:$B$171,"NO OFICIAL")</f>
        <v>5.2727272727272725</v>
      </c>
      <c r="J196" s="27">
        <f>AVERAGEIFS($AH$36:$AH$171,$C$36:$C$171,"=6", $B$36:$B$171,"OFICIAL")</f>
        <v>52</v>
      </c>
      <c r="K196" s="27">
        <f>AVERAGEIFS($AI$36:$AI$171,$C$36:$C$171,"=6", $B$36:$B$171,"OFICIAL")</f>
        <v>7.75</v>
      </c>
      <c r="L196" s="27">
        <f>AVERAGEIFS($AH$36:$AH$171,$C$36:$C$171,"=6", $B$36:$B$171,"NO OFICIAL")</f>
        <v>52.090909090909093</v>
      </c>
      <c r="M196" s="27">
        <f>AVERAGEIFS($AI$36:$AI$171,$C$36:$C$171,"=6", $B$36:$B$171,"NO OFICIAL")</f>
        <v>8</v>
      </c>
      <c r="N196" s="27">
        <f>AVERAGEIFS($BM$36:$BM$171,$C$36:$C$171,"=6", $B$36:$B$171,"OFICIAL")</f>
        <v>50.25</v>
      </c>
      <c r="O196" s="27">
        <f>AVERAGEIFS($BN$36:$BN$171,$C$36:$C$171,"=6", $B$36:$B$171,"OFICIAL")</f>
        <v>8</v>
      </c>
      <c r="P196" s="27">
        <f>AVERAGEIFS($BM$36:$BM$171,$C$36:$C$171,"=6", $B$36:$B$171,"NO OFICIAL")</f>
        <v>51.3</v>
      </c>
      <c r="Q196" s="27">
        <f>AVERAGEIFS($BN$36:$BN$171,$C$36:$C$171,"=6", $B$36:$B$171,"NO OFICIAL")</f>
        <v>8.6</v>
      </c>
      <c r="R196" s="27">
        <f>AVERAGEIFS($CS$36:$CS$171,$C$36:$C$171,"=6", $B$36:$B$171,"OFICIAL")</f>
        <v>48.25</v>
      </c>
      <c r="S196" s="27">
        <f>AVERAGEIFS($CT$36:$CT$171,$C$36:$C$171,"=6", $B$36:$B$171,"OFICIAL")</f>
        <v>8</v>
      </c>
      <c r="T196" s="27">
        <f>AVERAGEIFS($CS$36:$CS$171,$C$36:$C$171,"=6", $B$36:$B$171,"NO OFICIAL")</f>
        <v>51.090909090909093</v>
      </c>
      <c r="U196" s="27">
        <f>AVERAGEIFS($CT$36:$CT$171,$C$36:$C$171,"=6", $B$36:$B$171,"NO OFICIAL")</f>
        <v>8.1818181818181817</v>
      </c>
      <c r="V196" s="27">
        <f>AVERAGEIFS($DX$36:$DX$171,$C$36:$C$171,"=6", $B$36:$B$171,"OFICIAL")</f>
        <v>48.5</v>
      </c>
      <c r="W196" s="27">
        <f>AVERAGEIFS($DY$36:$DY$171,$C$36:$C$171,"=6", $B$36:$B$171,"OFICIAL")</f>
        <v>8.5</v>
      </c>
      <c r="X196" s="27">
        <f>AVERAGEIFS($DX$36:$DX$171,$C$36:$C$171,"=6", $B$36:$B$171,"NO OFICIAL")</f>
        <v>49.46153846153846</v>
      </c>
      <c r="Y196" s="27">
        <f>AVERAGEIFS($DY$36:$DY$171,$C$36:$C$171,"=6", $B$36:$B$171,"NO OFICIAL")</f>
        <v>7.615384615384615</v>
      </c>
      <c r="Z196" s="27">
        <f>AVERAGEIFS($FB$36:$FB$171,$C$36:$C$171,"=6", $B$36:$B$171,"OFICIAL")</f>
        <v>47.75</v>
      </c>
      <c r="AA196" s="27">
        <f>AVERAGEIFS($FD$36:$FD$171,$C$36:$C$171,"=6", $B$36:$B$171,"OFICIAL")</f>
        <v>7.5</v>
      </c>
      <c r="AB196" s="27">
        <f>AVERAGEIFS($FB$36:$FB$171,$C$36:$C$171,"=6", $B$36:$B$171,"NO OFICIAL")</f>
        <v>49.692307692307693</v>
      </c>
      <c r="AC196" s="27">
        <f>AVERAGEIFS($FD$36:$FD$171,$C$36:$C$171,"=6", $B$36:$B$171,"NO OFICIAL")</f>
        <v>6.6923076923076925</v>
      </c>
      <c r="AD196" s="27">
        <f>AVERAGEIFS($GJ$36:$GJ$171,$C$36:$C$171,"=6", $B$36:$B$171,"OFICIAL")</f>
        <v>48.5</v>
      </c>
      <c r="AE196" s="27">
        <f>AVERAGEIFS($GL$36:$GL$171,$C$36:$C$171,"=6", $B$36:$B$171,"OFICIAL")</f>
        <v>8.5</v>
      </c>
      <c r="AF196" s="27">
        <f>AVERAGEIFS($GJ$36:$GJ$171,$C$36:$C$171,"=6", $B$36:$B$171,"NO OFICIAL")</f>
        <v>50.06666666666667</v>
      </c>
      <c r="AG196" s="27">
        <f>AVERAGEIFS($GL$36:$GL$171,$C$36:$C$171,"=6", $B$36:$B$171,"NO OFICIAL")</f>
        <v>8.6</v>
      </c>
      <c r="AH196" s="27">
        <f>AVERAGEIFS($HR$36:$HR$171,$C$36:$C$171,"=6", $B$36:$B$171,"OFICIAL")</f>
        <v>49</v>
      </c>
      <c r="AI196" s="27">
        <f>AVERAGEIFS($HT$36:$HT$171,$C$36:$C$171,"=6", $B$36:$B$171,"OFICIAL")</f>
        <v>8.5</v>
      </c>
      <c r="AJ196" s="27">
        <f>AVERAGEIFS($HR$36:$HR$171,$C$36:$C$171,"=6", $B$36:$B$171,"NO OFICIAL")</f>
        <v>51.375</v>
      </c>
      <c r="AK196" s="27">
        <f>AVERAGEIFS($HT$36:$HT$171,$C$36:$C$171,"=6", $B$36:$B$171,"NO OFICIAL")</f>
        <v>8.25</v>
      </c>
      <c r="AL196" s="27">
        <v>49.5</v>
      </c>
      <c r="AM196" s="27">
        <v>8.75</v>
      </c>
      <c r="AN196" s="27">
        <v>51.5</v>
      </c>
      <c r="AO196" s="27">
        <v>9.2857142857142865</v>
      </c>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row>
    <row r="197" spans="5:137" x14ac:dyDescent="0.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row>
    <row r="198" spans="5:137" x14ac:dyDescent="0.2">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row>
    <row r="199" spans="5:137" x14ac:dyDescent="0.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row>
    <row r="200" spans="5:137" ht="12.75" customHeight="1" x14ac:dyDescent="0.2">
      <c r="E200" s="839" t="s">
        <v>253</v>
      </c>
      <c r="F200" s="839"/>
      <c r="G200" s="839"/>
      <c r="H200" s="839"/>
      <c r="I200" s="839"/>
      <c r="J200" s="839"/>
      <c r="U200" s="839" t="s">
        <v>252</v>
      </c>
      <c r="V200" s="839"/>
      <c r="W200" s="839"/>
      <c r="X200" s="839"/>
      <c r="Y200" s="839"/>
      <c r="Z200" s="839"/>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row>
    <row r="201" spans="5:137" x14ac:dyDescent="0.2">
      <c r="E201" s="28"/>
      <c r="F201" s="28">
        <v>2016</v>
      </c>
      <c r="G201" s="29">
        <v>2017</v>
      </c>
      <c r="H201" s="28">
        <v>2018</v>
      </c>
      <c r="I201" s="28">
        <v>2019</v>
      </c>
      <c r="J201" s="28">
        <v>2020</v>
      </c>
      <c r="K201" s="29">
        <v>2021</v>
      </c>
      <c r="L201" s="29">
        <v>2022</v>
      </c>
      <c r="M201" s="29">
        <v>2023</v>
      </c>
      <c r="N201" s="29">
        <v>2024</v>
      </c>
      <c r="U201" s="28"/>
      <c r="V201" s="28">
        <v>2016</v>
      </c>
      <c r="W201" s="29">
        <v>2017</v>
      </c>
      <c r="X201" s="28">
        <v>2018</v>
      </c>
      <c r="Y201" s="28">
        <v>2019</v>
      </c>
      <c r="Z201" s="29">
        <v>2020</v>
      </c>
      <c r="AA201" s="29">
        <v>2021</v>
      </c>
      <c r="AB201" s="29">
        <v>2022</v>
      </c>
      <c r="AC201" s="29">
        <v>2023</v>
      </c>
      <c r="AD201" s="29">
        <v>2024</v>
      </c>
      <c r="AJ201" s="26"/>
      <c r="AK201" s="26"/>
      <c r="AL201" s="26"/>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row>
    <row r="202" spans="5:137" x14ac:dyDescent="0.2">
      <c r="E202" s="27" t="s">
        <v>244</v>
      </c>
      <c r="F202" s="27">
        <v>52.92307692307692</v>
      </c>
      <c r="G202" s="27">
        <v>52.5</v>
      </c>
      <c r="H202" s="27">
        <v>50.846153846153847</v>
      </c>
      <c r="I202" s="27">
        <v>49.46153846153846</v>
      </c>
      <c r="J202" s="27">
        <v>49.769230769230766</v>
      </c>
      <c r="K202" s="27">
        <v>50</v>
      </c>
      <c r="L202" s="27">
        <v>50.846153846153847</v>
      </c>
      <c r="M202" s="27">
        <v>52</v>
      </c>
      <c r="N202" s="27">
        <v>51.53846153846154</v>
      </c>
      <c r="U202" s="27" t="s">
        <v>244</v>
      </c>
      <c r="V202" s="27">
        <v>54</v>
      </c>
      <c r="W202" s="27">
        <v>53</v>
      </c>
      <c r="X202" s="27">
        <v>50.5</v>
      </c>
      <c r="Y202" s="27">
        <v>49.5</v>
      </c>
      <c r="Z202" s="71">
        <v>49</v>
      </c>
      <c r="AA202" s="27">
        <v>48.75</v>
      </c>
      <c r="AB202" s="27">
        <v>49.2</v>
      </c>
      <c r="AC202" s="27">
        <v>50</v>
      </c>
      <c r="AD202" s="27">
        <v>50.4</v>
      </c>
      <c r="AJ202" s="26"/>
      <c r="AK202" s="26"/>
      <c r="AL202" s="26"/>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row>
    <row r="203" spans="5:137" x14ac:dyDescent="0.2">
      <c r="E203" s="27" t="s">
        <v>245</v>
      </c>
      <c r="F203" s="27">
        <v>54.666666666666664</v>
      </c>
      <c r="G203" s="27">
        <v>52.823529411764703</v>
      </c>
      <c r="H203" s="27">
        <v>51.764705882352942</v>
      </c>
      <c r="I203" s="27">
        <v>51.5</v>
      </c>
      <c r="J203" s="27">
        <v>49.81818181818182</v>
      </c>
      <c r="K203" s="27">
        <v>50.3</v>
      </c>
      <c r="L203" s="27">
        <v>51.857142857142854</v>
      </c>
      <c r="M203" s="27">
        <v>51.68181818181818</v>
      </c>
      <c r="N203" s="27">
        <v>52.65</v>
      </c>
      <c r="U203" s="27" t="s">
        <v>245</v>
      </c>
      <c r="V203" s="27">
        <v>54</v>
      </c>
      <c r="W203" s="27">
        <v>53.5</v>
      </c>
      <c r="X203" s="27">
        <v>51</v>
      </c>
      <c r="Y203" s="27">
        <v>49</v>
      </c>
      <c r="Z203" s="71">
        <v>49</v>
      </c>
      <c r="AA203" s="27">
        <v>49</v>
      </c>
      <c r="AB203" s="27">
        <v>49.75</v>
      </c>
      <c r="AC203" s="27">
        <v>49.75</v>
      </c>
      <c r="AD203" s="27">
        <v>51</v>
      </c>
      <c r="AJ203" s="26"/>
      <c r="AK203" s="26"/>
      <c r="AL203" s="26"/>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row>
    <row r="204" spans="5:137" x14ac:dyDescent="0.2">
      <c r="E204" s="27" t="s">
        <v>246</v>
      </c>
      <c r="F204" s="27">
        <v>55.46153846153846</v>
      </c>
      <c r="G204" s="27">
        <v>53.642857142857146</v>
      </c>
      <c r="H204" s="27">
        <v>52.428571428571431</v>
      </c>
      <c r="I204" s="27">
        <v>51.142857142857146</v>
      </c>
      <c r="J204" s="27">
        <v>51.4</v>
      </c>
      <c r="K204" s="27">
        <v>51.666666666666664</v>
      </c>
      <c r="L204" s="27">
        <v>52.125</v>
      </c>
      <c r="M204" s="27">
        <v>52.9375</v>
      </c>
      <c r="N204" s="27">
        <v>53.375</v>
      </c>
      <c r="U204" s="27" t="s">
        <v>246</v>
      </c>
      <c r="V204" s="27">
        <v>53.333333333333336</v>
      </c>
      <c r="W204" s="27">
        <v>51.333333333333336</v>
      </c>
      <c r="X204" s="27">
        <v>50.666666666666664</v>
      </c>
      <c r="Y204" s="27">
        <v>48.666666666666664</v>
      </c>
      <c r="Z204" s="71">
        <v>49.25</v>
      </c>
      <c r="AA204" s="27">
        <v>49</v>
      </c>
      <c r="AB204" s="27">
        <v>49.833333333333336</v>
      </c>
      <c r="AC204" s="27">
        <v>50.5</v>
      </c>
      <c r="AD204" s="27">
        <v>51</v>
      </c>
      <c r="AJ204" s="26"/>
      <c r="AK204" s="26"/>
      <c r="AL204" s="26"/>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row>
    <row r="205" spans="5:137" x14ac:dyDescent="0.2">
      <c r="E205" s="27" t="s">
        <v>247</v>
      </c>
      <c r="F205" s="27">
        <v>51.625</v>
      </c>
      <c r="G205" s="27">
        <v>52.111111111111114</v>
      </c>
      <c r="H205" s="27">
        <v>51.111111111111114</v>
      </c>
      <c r="I205" s="27">
        <v>49.375</v>
      </c>
      <c r="J205" s="27">
        <v>48.571428571428569</v>
      </c>
      <c r="K205" s="27">
        <v>48.75</v>
      </c>
      <c r="L205" s="27">
        <v>50.25</v>
      </c>
      <c r="M205" s="27">
        <v>48.888888888888886</v>
      </c>
      <c r="N205" s="27">
        <v>51.857142857142854</v>
      </c>
      <c r="U205" s="27" t="s">
        <v>247</v>
      </c>
      <c r="V205" s="27">
        <v>50.5</v>
      </c>
      <c r="W205" s="27">
        <v>49.833333333333336</v>
      </c>
      <c r="X205" s="27">
        <v>46.5</v>
      </c>
      <c r="Y205" s="27">
        <v>45.5</v>
      </c>
      <c r="Z205" s="71">
        <v>45.166666666666664</v>
      </c>
      <c r="AA205" s="27">
        <v>46</v>
      </c>
      <c r="AB205" s="27">
        <v>46.166666666666664</v>
      </c>
      <c r="AC205" s="27">
        <v>46.666666666666664</v>
      </c>
      <c r="AD205" s="27">
        <v>47</v>
      </c>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row>
    <row r="206" spans="5:137" x14ac:dyDescent="0.2">
      <c r="E206" s="27" t="s">
        <v>248</v>
      </c>
      <c r="F206" s="27">
        <v>56.533333333333331</v>
      </c>
      <c r="G206" s="27">
        <v>55.466666666666669</v>
      </c>
      <c r="H206" s="27">
        <v>54.125</v>
      </c>
      <c r="I206" s="27">
        <v>52.470588235294116</v>
      </c>
      <c r="J206" s="27">
        <v>53.25</v>
      </c>
      <c r="K206" s="27">
        <v>52.75</v>
      </c>
      <c r="L206" s="27">
        <v>54.133333333333333</v>
      </c>
      <c r="M206" s="27">
        <v>55.133333333333333</v>
      </c>
      <c r="N206" s="27">
        <v>52.866666666666667</v>
      </c>
      <c r="U206" s="27" t="s">
        <v>248</v>
      </c>
      <c r="V206" s="27">
        <v>54</v>
      </c>
      <c r="W206" s="27">
        <v>51.5</v>
      </c>
      <c r="X206" s="27">
        <v>49.5</v>
      </c>
      <c r="Y206" s="27">
        <v>49.5</v>
      </c>
      <c r="Z206" s="71">
        <v>49</v>
      </c>
      <c r="AA206" s="27">
        <v>48.5</v>
      </c>
      <c r="AB206" s="27">
        <v>50.5</v>
      </c>
      <c r="AC206" s="27">
        <v>50.5</v>
      </c>
      <c r="AD206" s="27">
        <v>52.666666666666664</v>
      </c>
    </row>
    <row r="207" spans="5:137" x14ac:dyDescent="0.2">
      <c r="E207" s="27" t="s">
        <v>249</v>
      </c>
      <c r="F207" s="27">
        <v>55.5</v>
      </c>
      <c r="G207" s="27">
        <v>52.083333333333336</v>
      </c>
      <c r="H207" s="27">
        <v>51.18181818181818</v>
      </c>
      <c r="I207" s="27">
        <v>50.833333333333336</v>
      </c>
      <c r="J207" s="27">
        <v>49.428571428571431</v>
      </c>
      <c r="K207" s="27">
        <v>49.571428571428569</v>
      </c>
      <c r="L207" s="27">
        <v>49.875</v>
      </c>
      <c r="M207" s="27">
        <v>51.235294117647058</v>
      </c>
      <c r="N207" s="27">
        <v>51.5</v>
      </c>
      <c r="U207" s="27" t="s">
        <v>249</v>
      </c>
      <c r="V207" s="27">
        <v>53.333333333333336</v>
      </c>
      <c r="W207" s="27">
        <v>52</v>
      </c>
      <c r="X207" s="27">
        <v>50.333333333333336</v>
      </c>
      <c r="Y207" s="27">
        <v>48.333333333333336</v>
      </c>
      <c r="Z207" s="71">
        <v>48.333333333333336</v>
      </c>
      <c r="AA207" s="27">
        <v>47.666666666666664</v>
      </c>
      <c r="AB207" s="27">
        <v>49</v>
      </c>
      <c r="AC207" s="27">
        <v>49</v>
      </c>
      <c r="AD207" s="27">
        <v>49.5</v>
      </c>
    </row>
    <row r="236" spans="5:41" x14ac:dyDescent="0.2">
      <c r="E236" s="838" t="s">
        <v>1080</v>
      </c>
      <c r="F236" s="839"/>
      <c r="G236" s="839"/>
      <c r="H236" s="839"/>
      <c r="I236" s="839"/>
      <c r="J236" s="839"/>
      <c r="K236" s="839"/>
      <c r="L236" s="839"/>
      <c r="M236" s="839"/>
      <c r="N236" s="839"/>
      <c r="O236" s="839"/>
      <c r="P236" s="839"/>
      <c r="Q236" s="839"/>
      <c r="R236" s="839"/>
      <c r="S236" s="839"/>
      <c r="T236" s="839"/>
      <c r="U236" s="839"/>
      <c r="V236" s="839"/>
      <c r="W236" s="839"/>
      <c r="X236" s="839"/>
      <c r="Y236" s="839"/>
    </row>
    <row r="237" spans="5:41" x14ac:dyDescent="0.2">
      <c r="E237" s="28"/>
      <c r="F237" s="838">
        <v>2016</v>
      </c>
      <c r="G237" s="839"/>
      <c r="H237" s="839"/>
      <c r="I237" s="969"/>
      <c r="J237" s="838">
        <v>2017</v>
      </c>
      <c r="K237" s="839"/>
      <c r="L237" s="839"/>
      <c r="M237" s="969"/>
      <c r="N237" s="838">
        <v>2018</v>
      </c>
      <c r="O237" s="839"/>
      <c r="P237" s="839"/>
      <c r="Q237" s="969"/>
      <c r="R237" s="838">
        <v>2019</v>
      </c>
      <c r="S237" s="839"/>
      <c r="T237" s="839"/>
      <c r="U237" s="969"/>
      <c r="V237" s="838">
        <v>2020</v>
      </c>
      <c r="W237" s="839"/>
      <c r="X237" s="839"/>
      <c r="Y237" s="839"/>
      <c r="Z237" s="838">
        <v>2021</v>
      </c>
      <c r="AA237" s="839"/>
      <c r="AB237" s="839"/>
      <c r="AC237" s="839"/>
      <c r="AD237" s="838">
        <v>2022</v>
      </c>
      <c r="AE237" s="839"/>
      <c r="AF237" s="839"/>
      <c r="AG237" s="839"/>
      <c r="AH237" s="838">
        <v>2023</v>
      </c>
      <c r="AI237" s="839"/>
      <c r="AJ237" s="839"/>
      <c r="AK237" s="839"/>
      <c r="AL237" s="838">
        <v>2024</v>
      </c>
      <c r="AM237" s="839"/>
      <c r="AN237" s="839"/>
      <c r="AO237" s="839"/>
    </row>
    <row r="238" spans="5:41" x14ac:dyDescent="0.2">
      <c r="F238" s="67" t="s">
        <v>10</v>
      </c>
      <c r="G238" t="s">
        <v>0</v>
      </c>
      <c r="H238" t="s">
        <v>318</v>
      </c>
      <c r="I238" t="s">
        <v>319</v>
      </c>
      <c r="J238" s="67" t="s">
        <v>10</v>
      </c>
      <c r="K238" s="67" t="s">
        <v>0</v>
      </c>
      <c r="L238" t="s">
        <v>318</v>
      </c>
      <c r="M238" t="s">
        <v>319</v>
      </c>
      <c r="N238" s="67" t="s">
        <v>10</v>
      </c>
      <c r="O238" s="67" t="s">
        <v>0</v>
      </c>
      <c r="P238" t="s">
        <v>318</v>
      </c>
      <c r="Q238" t="s">
        <v>319</v>
      </c>
      <c r="R238" s="67" t="s">
        <v>10</v>
      </c>
      <c r="S238" s="67" t="s">
        <v>0</v>
      </c>
      <c r="T238" t="s">
        <v>318</v>
      </c>
      <c r="U238" t="s">
        <v>319</v>
      </c>
      <c r="V238" s="67" t="s">
        <v>10</v>
      </c>
      <c r="W238" s="67" t="s">
        <v>0</v>
      </c>
      <c r="X238" t="s">
        <v>318</v>
      </c>
      <c r="Y238" t="s">
        <v>319</v>
      </c>
      <c r="Z238" s="67" t="s">
        <v>10</v>
      </c>
      <c r="AA238" s="67" t="s">
        <v>0</v>
      </c>
      <c r="AB238" t="s">
        <v>318</v>
      </c>
      <c r="AC238" t="s">
        <v>319</v>
      </c>
      <c r="AD238" s="67" t="s">
        <v>10</v>
      </c>
      <c r="AE238" s="67" t="s">
        <v>0</v>
      </c>
      <c r="AF238" t="s">
        <v>318</v>
      </c>
      <c r="AG238" t="s">
        <v>319</v>
      </c>
      <c r="AH238" s="67" t="s">
        <v>10</v>
      </c>
      <c r="AI238" s="67" t="s">
        <v>0</v>
      </c>
      <c r="AJ238" t="s">
        <v>318</v>
      </c>
      <c r="AK238" t="s">
        <v>319</v>
      </c>
      <c r="AL238" s="67" t="s">
        <v>10</v>
      </c>
      <c r="AM238" s="67" t="s">
        <v>0</v>
      </c>
      <c r="AN238" t="s">
        <v>318</v>
      </c>
      <c r="AO238" t="s">
        <v>319</v>
      </c>
    </row>
    <row r="239" spans="5:41" x14ac:dyDescent="0.2">
      <c r="E239" s="26">
        <v>1</v>
      </c>
      <c r="F239" s="64">
        <f>$F10</f>
        <v>0.09</v>
      </c>
      <c r="G239" s="64">
        <f>$F11</f>
        <v>0.05</v>
      </c>
      <c r="H239" s="64">
        <f>$F12</f>
        <v>0.06</v>
      </c>
      <c r="I239" s="64">
        <f>$F14</f>
        <v>0.03</v>
      </c>
      <c r="J239" s="55">
        <f>$AJ10</f>
        <v>0.12</v>
      </c>
      <c r="K239" s="55">
        <f>$AJ11</f>
        <v>0.08</v>
      </c>
      <c r="L239" s="55">
        <f>$AJ12</f>
        <v>0.09</v>
      </c>
      <c r="M239" s="55">
        <f>$AJ14</f>
        <v>0.06</v>
      </c>
      <c r="N239" s="64">
        <f>$BO10</f>
        <v>0.17</v>
      </c>
      <c r="O239" s="64">
        <f>$BO11</f>
        <v>0.11</v>
      </c>
      <c r="P239" s="64">
        <f>$BO12</f>
        <v>0.14000000000000001</v>
      </c>
      <c r="Q239" s="64">
        <f>$BO14</f>
        <v>0.08</v>
      </c>
      <c r="R239" s="64">
        <f>$CU10</f>
        <v>0.21</v>
      </c>
      <c r="S239" s="64">
        <f>$CU11</f>
        <v>0.14000000000000001</v>
      </c>
      <c r="T239" s="64">
        <f>$CU12</f>
        <v>0.18</v>
      </c>
      <c r="U239" s="64">
        <f>$CU14</f>
        <v>0.1</v>
      </c>
      <c r="V239" s="58">
        <f>$DZ10</f>
        <v>0.23</v>
      </c>
      <c r="W239" s="58">
        <f>$DZ11</f>
        <v>0.16</v>
      </c>
      <c r="X239" s="58">
        <f>$DZ12</f>
        <v>0.19</v>
      </c>
      <c r="Y239" s="58">
        <f>$DZ14</f>
        <v>0.14000000000000001</v>
      </c>
      <c r="Z239" s="58">
        <f>$FF10</f>
        <v>0.22</v>
      </c>
      <c r="AA239" s="58">
        <f>$FF11</f>
        <v>0.14000000000000001</v>
      </c>
      <c r="AB239" s="58">
        <f>$FF12</f>
        <v>0.17</v>
      </c>
      <c r="AC239" s="58">
        <f>$FF14</f>
        <v>0.1</v>
      </c>
      <c r="AD239" s="289">
        <v>0.21</v>
      </c>
      <c r="AE239" s="290">
        <v>0.14000000000000001</v>
      </c>
      <c r="AF239" s="293">
        <v>0.17</v>
      </c>
      <c r="AG239" s="293">
        <v>0.12</v>
      </c>
      <c r="AH239" s="427">
        <v>0.19</v>
      </c>
      <c r="AI239" s="428">
        <v>0.13</v>
      </c>
      <c r="AJ239" s="429">
        <v>0.16</v>
      </c>
      <c r="AK239" s="429">
        <v>0.09</v>
      </c>
      <c r="AL239" s="427">
        <v>0.18</v>
      </c>
      <c r="AM239" s="428">
        <v>0.12</v>
      </c>
      <c r="AN239" s="429">
        <v>0.15</v>
      </c>
      <c r="AO239" s="479">
        <v>0.09</v>
      </c>
    </row>
    <row r="240" spans="5:41" x14ac:dyDescent="0.2">
      <c r="E240" s="26">
        <v>2</v>
      </c>
      <c r="F240" s="64">
        <f>$G10</f>
        <v>0.5</v>
      </c>
      <c r="G240" s="64">
        <f>$G11</f>
        <v>0.54</v>
      </c>
      <c r="H240" s="64">
        <f>$G12</f>
        <v>0.59</v>
      </c>
      <c r="I240" s="64">
        <f>$G14</f>
        <v>0.5</v>
      </c>
      <c r="J240" s="55">
        <f>$AK10</f>
        <v>0.49</v>
      </c>
      <c r="K240" s="55">
        <f>$AK11</f>
        <v>0.53</v>
      </c>
      <c r="L240" s="55">
        <f>$AK12</f>
        <v>0.56999999999999995</v>
      </c>
      <c r="M240" s="55">
        <f>$AK14</f>
        <v>0.49</v>
      </c>
      <c r="N240" s="64">
        <f>$BP10</f>
        <v>0.5</v>
      </c>
      <c r="O240" s="64">
        <f>$BP11</f>
        <v>0.56999999999999995</v>
      </c>
      <c r="P240" s="64">
        <f>$BP12</f>
        <v>0.6</v>
      </c>
      <c r="Q240" s="64">
        <f>$BP14</f>
        <v>0.53</v>
      </c>
      <c r="R240" s="64">
        <f>$CV10</f>
        <v>0.5</v>
      </c>
      <c r="S240" s="64">
        <f>$CV11</f>
        <v>0.6</v>
      </c>
      <c r="T240" s="64">
        <f>$CV12</f>
        <v>0.61</v>
      </c>
      <c r="U240" s="64">
        <f>$CV14</f>
        <v>0.56999999999999995</v>
      </c>
      <c r="V240" s="58">
        <f>$EA10</f>
        <v>0.5</v>
      </c>
      <c r="W240" s="58">
        <f>$EA11</f>
        <v>0.56000000000000005</v>
      </c>
      <c r="X240" s="58">
        <f>$EA12</f>
        <v>0.59</v>
      </c>
      <c r="Y240" s="58">
        <f>$EA14</f>
        <v>0.53</v>
      </c>
      <c r="Z240" s="58">
        <f>$FG10</f>
        <v>0.53</v>
      </c>
      <c r="AA240" s="58">
        <f>$FG11</f>
        <v>0.6</v>
      </c>
      <c r="AB240" s="58">
        <f>$FG12</f>
        <v>0.64</v>
      </c>
      <c r="AC240" s="58">
        <f>$FG14</f>
        <v>0.56999999999999995</v>
      </c>
      <c r="AD240" s="289">
        <v>0.5</v>
      </c>
      <c r="AE240" s="290">
        <v>0.55000000000000004</v>
      </c>
      <c r="AF240" s="293">
        <v>0.59</v>
      </c>
      <c r="AG240" s="293">
        <v>0.5</v>
      </c>
      <c r="AH240" s="427">
        <v>0.49</v>
      </c>
      <c r="AI240" s="428">
        <v>0.54</v>
      </c>
      <c r="AJ240" s="429">
        <v>0.57999999999999996</v>
      </c>
      <c r="AK240" s="429">
        <v>0.49</v>
      </c>
      <c r="AL240" s="427">
        <v>0.47</v>
      </c>
      <c r="AM240" s="428">
        <v>0.52</v>
      </c>
      <c r="AN240" s="429">
        <v>0.55000000000000004</v>
      </c>
      <c r="AO240" s="479">
        <v>0.47</v>
      </c>
    </row>
    <row r="241" spans="5:41" x14ac:dyDescent="0.2">
      <c r="E241" s="26">
        <v>3</v>
      </c>
      <c r="F241" s="64">
        <f>$H10</f>
        <v>0.38</v>
      </c>
      <c r="G241" s="64">
        <f>$H11</f>
        <v>0.4</v>
      </c>
      <c r="H241" s="64">
        <f>$H12</f>
        <v>0.35</v>
      </c>
      <c r="I241" s="64">
        <f>$H14</f>
        <v>0.46</v>
      </c>
      <c r="J241" s="55">
        <f>$AL10</f>
        <v>0.36</v>
      </c>
      <c r="K241" s="55">
        <f>$AL11</f>
        <v>0.38</v>
      </c>
      <c r="L241" s="55">
        <f>$AL12</f>
        <v>0.33</v>
      </c>
      <c r="M241" s="55">
        <f>$AL14</f>
        <v>0.44</v>
      </c>
      <c r="N241" s="64">
        <f>$BQ10</f>
        <v>0.31</v>
      </c>
      <c r="O241" s="64">
        <f>$BQ11</f>
        <v>0.31</v>
      </c>
      <c r="P241" s="64">
        <f>$BQ12</f>
        <v>0.25</v>
      </c>
      <c r="Q241" s="64">
        <f>$BQ14</f>
        <v>0.38</v>
      </c>
      <c r="R241" s="64">
        <f>$CW10</f>
        <v>0.27</v>
      </c>
      <c r="S241" s="64">
        <f>$CW11</f>
        <v>0.25</v>
      </c>
      <c r="T241" s="64">
        <f>$CW12</f>
        <v>0.2</v>
      </c>
      <c r="U241" s="64">
        <f>$CW14</f>
        <v>0.31</v>
      </c>
      <c r="V241" s="58">
        <f>$EB10</f>
        <v>0.25</v>
      </c>
      <c r="W241" s="58">
        <f>$EB11</f>
        <v>0.27</v>
      </c>
      <c r="X241" s="58">
        <f>$EB12</f>
        <v>0.22</v>
      </c>
      <c r="Y241" s="58">
        <f>$EB14</f>
        <v>0.32</v>
      </c>
      <c r="Z241" s="58">
        <f>$FH10</f>
        <v>0.23</v>
      </c>
      <c r="AA241" s="58">
        <f>$FH11</f>
        <v>0.25</v>
      </c>
      <c r="AB241" s="58">
        <f>$FH12</f>
        <v>0.18</v>
      </c>
      <c r="AC241" s="58">
        <f>$FH14</f>
        <v>0.32</v>
      </c>
      <c r="AD241" s="289">
        <v>0.27</v>
      </c>
      <c r="AE241" s="290">
        <v>0.28999999999999998</v>
      </c>
      <c r="AF241" s="293">
        <v>0.23</v>
      </c>
      <c r="AG241" s="293">
        <v>0.36</v>
      </c>
      <c r="AH241" s="427">
        <v>0.28999999999999998</v>
      </c>
      <c r="AI241" s="428">
        <v>0.32</v>
      </c>
      <c r="AJ241" s="429">
        <v>0.25</v>
      </c>
      <c r="AK241" s="429">
        <v>0.4</v>
      </c>
      <c r="AL241" s="427">
        <v>0.31</v>
      </c>
      <c r="AM241" s="428">
        <v>0.34</v>
      </c>
      <c r="AN241" s="429">
        <v>0.28000000000000003</v>
      </c>
      <c r="AO241" s="479">
        <v>0.41</v>
      </c>
    </row>
    <row r="242" spans="5:41" x14ac:dyDescent="0.2">
      <c r="E242" s="26">
        <v>4</v>
      </c>
      <c r="F242" s="64">
        <f>$I10</f>
        <v>0.03</v>
      </c>
      <c r="G242" s="64">
        <f>$I11</f>
        <v>0.01</v>
      </c>
      <c r="H242" s="64">
        <f>$I12</f>
        <v>0.01</v>
      </c>
      <c r="I242" s="64">
        <f>$I14</f>
        <v>0.01</v>
      </c>
      <c r="J242" s="55">
        <f>$AM10</f>
        <v>0.03</v>
      </c>
      <c r="K242" s="55">
        <f>$AM11</f>
        <v>0.01</v>
      </c>
      <c r="L242" s="55">
        <f>$AM12</f>
        <v>0.01</v>
      </c>
      <c r="M242" s="55">
        <f>$AM14</f>
        <v>0.02</v>
      </c>
      <c r="N242" s="64">
        <f>$BR10</f>
        <v>0.03</v>
      </c>
      <c r="O242" s="64">
        <f>$BR11</f>
        <v>0.01</v>
      </c>
      <c r="P242" s="64">
        <f>$BR12</f>
        <v>0.01</v>
      </c>
      <c r="Q242" s="64">
        <f>$BR14</f>
        <v>0.02</v>
      </c>
      <c r="R242" s="64">
        <f>$CX10</f>
        <v>0.03</v>
      </c>
      <c r="S242" s="64">
        <f>$CX11</f>
        <v>0.01</v>
      </c>
      <c r="T242" s="64">
        <f>$CX12</f>
        <v>0.01</v>
      </c>
      <c r="U242" s="64">
        <f>$CX14</f>
        <v>0.02</v>
      </c>
      <c r="V242" s="58">
        <f>$EC10</f>
        <v>0.02</v>
      </c>
      <c r="W242" s="58">
        <f>$EC11</f>
        <v>0.01</v>
      </c>
      <c r="X242" s="58">
        <f>$EC12</f>
        <v>0.01</v>
      </c>
      <c r="Y242" s="58">
        <f>$EC14</f>
        <v>0.01</v>
      </c>
      <c r="Z242" s="58">
        <f>$FI10</f>
        <v>0.02</v>
      </c>
      <c r="AA242" s="58">
        <f>$FI11</f>
        <v>0.01</v>
      </c>
      <c r="AB242" s="58">
        <f>$FI12</f>
        <v>0</v>
      </c>
      <c r="AC242" s="58">
        <f>$FI14</f>
        <v>0.01</v>
      </c>
      <c r="AD242" s="289">
        <v>0.03</v>
      </c>
      <c r="AE242" s="290">
        <v>0.01</v>
      </c>
      <c r="AF242" s="293">
        <v>0.01</v>
      </c>
      <c r="AG242" s="293">
        <v>0.02</v>
      </c>
      <c r="AH242" s="427">
        <v>0.03</v>
      </c>
      <c r="AI242" s="428">
        <v>0.02</v>
      </c>
      <c r="AJ242" s="429">
        <v>0.01</v>
      </c>
      <c r="AK242" s="429">
        <v>0.02</v>
      </c>
      <c r="AL242" s="427">
        <v>0.04</v>
      </c>
      <c r="AM242" s="428">
        <v>0.02</v>
      </c>
      <c r="AN242" s="429">
        <v>0.01</v>
      </c>
      <c r="AO242" s="479">
        <v>0.02</v>
      </c>
    </row>
  </sheetData>
  <sheetProtection algorithmName="SHA-512" hashValue="OG+kRthaRlmYvXa0jb9Vh3DZgzxUPwF1gM+2v2hF1i2eVdjfdV7fYaBP1RJ+mJdM/w7kJzFkSWZ39zvXKMGVzw==" saltValue="YCk9kLPTuoTlKiE0QPFf4Q==" spinCount="100000" sheet="1" objects="1" scenarios="1"/>
  <autoFilter ref="A9:KG171" xr:uid="{F75F01BB-1505-4CBF-A4B9-28BC67D2AFF9}"/>
  <sortState ref="A38:CT171">
    <sortCondition ref="A38:A171"/>
  </sortState>
  <mergeCells count="95">
    <mergeCell ref="AL188:AM188"/>
    <mergeCell ref="AN188:AO188"/>
    <mergeCell ref="V176:W176"/>
    <mergeCell ref="GJ6:HQ6"/>
    <mergeCell ref="GJ7:GJ8"/>
    <mergeCell ref="GL7:GL8"/>
    <mergeCell ref="GN7:GQ7"/>
    <mergeCell ref="GR7:HQ7"/>
    <mergeCell ref="FB7:FB8"/>
    <mergeCell ref="FD7:FD8"/>
    <mergeCell ref="FJ7:GI7"/>
    <mergeCell ref="FF7:FI7"/>
    <mergeCell ref="CY7:DW7"/>
    <mergeCell ref="DX7:DX8"/>
    <mergeCell ref="CS187:DY187"/>
    <mergeCell ref="AD237:AG237"/>
    <mergeCell ref="AD187:AG187"/>
    <mergeCell ref="AD188:AE188"/>
    <mergeCell ref="AF188:AG188"/>
    <mergeCell ref="AH187:AK187"/>
    <mergeCell ref="AH188:AI188"/>
    <mergeCell ref="AJ188:AK188"/>
    <mergeCell ref="AH237:AK237"/>
    <mergeCell ref="AL237:AO237"/>
    <mergeCell ref="AL187:AO187"/>
    <mergeCell ref="FB6:GI6"/>
    <mergeCell ref="U200:Z200"/>
    <mergeCell ref="E200:J200"/>
    <mergeCell ref="Z187:AC187"/>
    <mergeCell ref="AB188:AC188"/>
    <mergeCell ref="DX6:FA6"/>
    <mergeCell ref="DY7:DY8"/>
    <mergeCell ref="F188:G188"/>
    <mergeCell ref="H188:I188"/>
    <mergeCell ref="J188:K188"/>
    <mergeCell ref="E236:Y236"/>
    <mergeCell ref="F237:I237"/>
    <mergeCell ref="J237:M237"/>
    <mergeCell ref="N237:Q237"/>
    <mergeCell ref="D7:D8"/>
    <mergeCell ref="AN7:BL7"/>
    <mergeCell ref="BM6:CR6"/>
    <mergeCell ref="CS7:CS8"/>
    <mergeCell ref="CS6:DW6"/>
    <mergeCell ref="BO7:BR7"/>
    <mergeCell ref="AI7:AI8"/>
    <mergeCell ref="BS7:CR7"/>
    <mergeCell ref="CU7:CX7"/>
    <mergeCell ref="CT7:CT8"/>
    <mergeCell ref="R237:U237"/>
    <mergeCell ref="V237:Y237"/>
    <mergeCell ref="Z188:AA188"/>
    <mergeCell ref="Z237:AC237"/>
    <mergeCell ref="A1:AI1"/>
    <mergeCell ref="A2:AI2"/>
    <mergeCell ref="A3:AI3"/>
    <mergeCell ref="D6:AG6"/>
    <mergeCell ref="AH6:BL6"/>
    <mergeCell ref="C6:C8"/>
    <mergeCell ref="B6:B8"/>
    <mergeCell ref="A6:A8"/>
    <mergeCell ref="F7:I7"/>
    <mergeCell ref="J7:AG7"/>
    <mergeCell ref="J176:K176"/>
    <mergeCell ref="F187:I187"/>
    <mergeCell ref="N187:Q187"/>
    <mergeCell ref="R187:U187"/>
    <mergeCell ref="N176:O176"/>
    <mergeCell ref="V187:Y187"/>
    <mergeCell ref="P176:Q176"/>
    <mergeCell ref="R176:S176"/>
    <mergeCell ref="T176:U176"/>
    <mergeCell ref="E176:E177"/>
    <mergeCell ref="L176:M176"/>
    <mergeCell ref="AJ7:AM7"/>
    <mergeCell ref="L188:M188"/>
    <mergeCell ref="N188:O188"/>
    <mergeCell ref="P188:Q188"/>
    <mergeCell ref="E175:O175"/>
    <mergeCell ref="AH7:AH8"/>
    <mergeCell ref="R188:S188"/>
    <mergeCell ref="X188:Y188"/>
    <mergeCell ref="V188:W188"/>
    <mergeCell ref="T188:U188"/>
    <mergeCell ref="E7:E8"/>
    <mergeCell ref="F176:G176"/>
    <mergeCell ref="H176:I176"/>
    <mergeCell ref="J187:M187"/>
    <mergeCell ref="IZ6:KG6"/>
    <mergeCell ref="JH7:KG7"/>
    <mergeCell ref="HR6:IY6"/>
    <mergeCell ref="HR7:HR8"/>
    <mergeCell ref="HT7:HT8"/>
    <mergeCell ref="HV7:HY7"/>
    <mergeCell ref="HZ7:IY7"/>
  </mergeCells>
  <phoneticPr fontId="23" type="noConversion"/>
  <conditionalFormatting sqref="A130">
    <cfRule type="duplicateValues" dxfId="38" priority="1"/>
    <cfRule type="duplicateValues" dxfId="37" priority="2"/>
  </conditionalFormatting>
  <conditionalFormatting sqref="A163">
    <cfRule type="duplicateValues" dxfId="36" priority="3"/>
    <cfRule type="duplicateValues" dxfId="35" priority="4"/>
  </conditionalFormatting>
  <pageMargins left="0.75" right="0.75" top="1" bottom="1" header="0.5" footer="0.5"/>
  <pageSetup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BV297"/>
  <sheetViews>
    <sheetView topLeftCell="A98" zoomScale="80" zoomScaleNormal="80" workbookViewId="0">
      <pane xSplit="1" topLeftCell="AW1" activePane="topRight" state="frozen"/>
      <selection activeCell="K23" sqref="K23"/>
      <selection pane="topRight" activeCell="BG119" sqref="BG119"/>
    </sheetView>
  </sheetViews>
  <sheetFormatPr baseColWidth="10" defaultColWidth="9.140625" defaultRowHeight="12.75" x14ac:dyDescent="0.2"/>
  <cols>
    <col min="1" max="1" width="71.42578125" bestFit="1" customWidth="1"/>
    <col min="2" max="2" width="14.7109375" customWidth="1"/>
    <col min="3" max="3" width="11.42578125" customWidth="1"/>
    <col min="4" max="4" width="12.28515625" customWidth="1"/>
    <col min="5" max="10" width="11.7109375" customWidth="1"/>
    <col min="11" max="11" width="11" customWidth="1"/>
    <col min="12" max="17" width="11.5703125" customWidth="1"/>
    <col min="18" max="18" width="10.7109375" customWidth="1"/>
    <col min="19" max="24" width="12.140625" customWidth="1"/>
    <col min="25" max="25" width="11.140625" customWidth="1"/>
    <col min="26" max="31" width="12" customWidth="1"/>
    <col min="32" max="32" width="12.5703125" customWidth="1"/>
    <col min="33" max="34" width="12" customWidth="1"/>
    <col min="35" max="36" width="11.5703125" customWidth="1"/>
    <col min="37" max="37" width="12" customWidth="1"/>
    <col min="38" max="38" width="11.42578125" customWidth="1"/>
    <col min="39" max="40" width="12.42578125" customWidth="1"/>
    <col min="41" max="42" width="13.85546875" customWidth="1"/>
    <col min="43" max="43" width="13.140625" customWidth="1"/>
  </cols>
  <sheetData>
    <row r="1" spans="1:74" x14ac:dyDescent="0.2">
      <c r="A1" s="846"/>
      <c r="B1" s="846"/>
      <c r="C1" s="846"/>
      <c r="D1" s="846"/>
      <c r="E1" s="846"/>
      <c r="F1" s="846"/>
      <c r="G1" s="846"/>
      <c r="H1" s="846"/>
      <c r="I1" s="846"/>
      <c r="J1" s="846"/>
      <c r="K1" s="846"/>
      <c r="L1" s="846"/>
    </row>
    <row r="3" spans="1:74" x14ac:dyDescent="0.2">
      <c r="A3" s="846"/>
      <c r="B3" s="846"/>
      <c r="C3" s="846"/>
      <c r="D3" s="846"/>
      <c r="E3" s="846"/>
      <c r="F3" s="846"/>
      <c r="G3" s="846"/>
      <c r="H3" s="846"/>
      <c r="I3" s="846"/>
      <c r="J3" s="846"/>
      <c r="K3" s="846"/>
      <c r="L3" s="846"/>
    </row>
    <row r="4" spans="1:74" x14ac:dyDescent="0.2">
      <c r="A4" s="846"/>
      <c r="B4" s="846"/>
      <c r="C4" s="846"/>
      <c r="D4" s="846"/>
      <c r="E4" s="846"/>
      <c r="F4" s="846"/>
      <c r="G4" s="846"/>
      <c r="H4" s="846"/>
      <c r="I4" s="846"/>
      <c r="J4" s="846"/>
      <c r="K4" s="846"/>
      <c r="L4" s="846"/>
    </row>
    <row r="6" spans="1:74" x14ac:dyDescent="0.2">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54</v>
      </c>
      <c r="BC6">
        <v>55</v>
      </c>
      <c r="BD6">
        <v>56</v>
      </c>
      <c r="BE6">
        <v>57</v>
      </c>
      <c r="BF6">
        <v>58</v>
      </c>
      <c r="BG6">
        <v>59</v>
      </c>
      <c r="BH6">
        <v>60</v>
      </c>
      <c r="BI6">
        <v>61</v>
      </c>
      <c r="BJ6">
        <v>62</v>
      </c>
      <c r="BK6">
        <v>63</v>
      </c>
      <c r="BL6">
        <v>64</v>
      </c>
      <c r="BM6">
        <v>65</v>
      </c>
      <c r="BN6">
        <v>66</v>
      </c>
      <c r="BO6">
        <v>67</v>
      </c>
      <c r="BP6">
        <v>68</v>
      </c>
      <c r="BQ6">
        <v>69</v>
      </c>
      <c r="BR6">
        <v>70</v>
      </c>
      <c r="BS6">
        <v>71</v>
      </c>
      <c r="BT6">
        <v>72</v>
      </c>
      <c r="BU6">
        <v>73</v>
      </c>
      <c r="BV6">
        <v>74</v>
      </c>
    </row>
    <row r="7" spans="1:74" x14ac:dyDescent="0.2">
      <c r="A7" s="839" t="s">
        <v>5</v>
      </c>
      <c r="B7" s="839" t="s">
        <v>242</v>
      </c>
      <c r="C7" s="839" t="s">
        <v>243</v>
      </c>
      <c r="D7" s="838">
        <v>2016</v>
      </c>
      <c r="E7" s="839"/>
      <c r="F7" s="839"/>
      <c r="G7" s="839"/>
      <c r="H7" s="839"/>
      <c r="I7" s="839"/>
      <c r="J7" s="839"/>
      <c r="K7" s="1023">
        <v>2017</v>
      </c>
      <c r="L7" s="970"/>
      <c r="M7" s="970"/>
      <c r="N7" s="970"/>
      <c r="O7" s="970"/>
      <c r="P7" s="970"/>
      <c r="Q7" s="970"/>
      <c r="R7" s="838">
        <v>2018</v>
      </c>
      <c r="S7" s="839"/>
      <c r="T7" s="839"/>
      <c r="U7" s="839"/>
      <c r="V7" s="839"/>
      <c r="W7" s="839"/>
      <c r="X7" s="839"/>
      <c r="Y7" s="838">
        <v>2019</v>
      </c>
      <c r="Z7" s="839"/>
      <c r="AA7" s="839"/>
      <c r="AB7" s="839"/>
      <c r="AC7" s="839"/>
      <c r="AD7" s="839"/>
      <c r="AE7" s="839"/>
      <c r="AF7" s="838">
        <v>2020</v>
      </c>
      <c r="AG7" s="839"/>
      <c r="AH7" s="839"/>
      <c r="AI7" s="839"/>
      <c r="AJ7" s="839"/>
      <c r="AK7" s="839"/>
      <c r="AL7" s="839"/>
      <c r="AM7" s="838">
        <v>2021</v>
      </c>
      <c r="AN7" s="839"/>
      <c r="AO7" s="839"/>
      <c r="AP7" s="839"/>
      <c r="AQ7" s="839"/>
      <c r="AR7" s="839"/>
      <c r="AS7" s="839"/>
      <c r="AT7" s="839"/>
      <c r="AU7" s="839"/>
      <c r="AV7" s="838">
        <v>2022</v>
      </c>
      <c r="AW7" s="839"/>
      <c r="AX7" s="839"/>
      <c r="AY7" s="839"/>
      <c r="AZ7" s="839"/>
      <c r="BA7" s="839"/>
      <c r="BB7" s="839"/>
      <c r="BC7" s="839"/>
      <c r="BD7" s="839"/>
      <c r="BE7" s="838">
        <v>2023</v>
      </c>
      <c r="BF7" s="839"/>
      <c r="BG7" s="839"/>
      <c r="BH7" s="839"/>
      <c r="BI7" s="839"/>
      <c r="BJ7" s="839"/>
      <c r="BK7" s="839"/>
      <c r="BL7" s="839"/>
      <c r="BM7" s="839"/>
      <c r="BN7" s="838">
        <v>2024</v>
      </c>
      <c r="BO7" s="839"/>
      <c r="BP7" s="839"/>
      <c r="BQ7" s="839"/>
      <c r="BR7" s="839"/>
      <c r="BS7" s="839"/>
      <c r="BT7" s="839"/>
      <c r="BU7" s="839"/>
      <c r="BV7" s="839"/>
    </row>
    <row r="8" spans="1:74" x14ac:dyDescent="0.2">
      <c r="A8" s="839"/>
      <c r="B8" s="839"/>
      <c r="C8" s="839"/>
      <c r="D8" s="970" t="s">
        <v>218</v>
      </c>
      <c r="E8" s="969" t="s">
        <v>217</v>
      </c>
      <c r="F8" s="973" t="s">
        <v>278</v>
      </c>
      <c r="G8" s="983"/>
      <c r="H8" s="983"/>
      <c r="I8" s="983"/>
      <c r="J8" s="983"/>
      <c r="K8" s="970" t="s">
        <v>218</v>
      </c>
      <c r="L8" s="969" t="s">
        <v>217</v>
      </c>
      <c r="M8" s="982" t="s">
        <v>278</v>
      </c>
      <c r="N8" s="983"/>
      <c r="O8" s="983"/>
      <c r="P8" s="983"/>
      <c r="Q8" s="983"/>
      <c r="R8" s="970" t="s">
        <v>218</v>
      </c>
      <c r="S8" s="969" t="s">
        <v>217</v>
      </c>
      <c r="T8" s="973" t="s">
        <v>278</v>
      </c>
      <c r="U8" s="846"/>
      <c r="V8" s="846"/>
      <c r="W8" s="846"/>
      <c r="X8" s="846"/>
      <c r="Y8" s="970" t="s">
        <v>218</v>
      </c>
      <c r="Z8" s="969" t="s">
        <v>217</v>
      </c>
      <c r="AA8" s="973" t="s">
        <v>278</v>
      </c>
      <c r="AB8" s="846"/>
      <c r="AC8" s="846"/>
      <c r="AD8" s="846"/>
      <c r="AE8" s="846"/>
      <c r="AF8" s="1016" t="s">
        <v>218</v>
      </c>
      <c r="AG8" s="1016" t="s">
        <v>217</v>
      </c>
      <c r="AH8" s="51" t="s">
        <v>278</v>
      </c>
      <c r="AI8" s="52"/>
      <c r="AJ8" s="52"/>
      <c r="AK8" s="52"/>
      <c r="AL8" s="52"/>
      <c r="AM8" s="1016" t="s">
        <v>218</v>
      </c>
      <c r="AN8" s="243"/>
      <c r="AO8" s="1016" t="s">
        <v>217</v>
      </c>
      <c r="AP8" s="242"/>
      <c r="AQ8" s="51" t="s">
        <v>278</v>
      </c>
      <c r="AR8" s="52"/>
      <c r="AS8" s="52"/>
      <c r="AT8" s="52"/>
      <c r="AU8" s="52"/>
      <c r="AV8" s="1016" t="s">
        <v>218</v>
      </c>
      <c r="AW8" s="243"/>
      <c r="AX8" s="1016" t="s">
        <v>217</v>
      </c>
      <c r="AY8" s="242"/>
      <c r="AZ8" s="51" t="s">
        <v>278</v>
      </c>
      <c r="BA8" s="52"/>
      <c r="BB8" s="52"/>
      <c r="BC8" s="52"/>
      <c r="BD8" s="52"/>
      <c r="BE8" s="1016" t="s">
        <v>218</v>
      </c>
      <c r="BF8" s="243"/>
      <c r="BG8" s="1016" t="s">
        <v>217</v>
      </c>
      <c r="BH8" s="242"/>
      <c r="BI8" s="51" t="s">
        <v>278</v>
      </c>
      <c r="BJ8" s="52"/>
      <c r="BK8" s="52"/>
      <c r="BL8" s="52"/>
      <c r="BM8" s="52"/>
      <c r="BN8" s="1016" t="s">
        <v>218</v>
      </c>
      <c r="BO8" s="1025" t="s">
        <v>1078</v>
      </c>
      <c r="BP8" s="1016" t="s">
        <v>217</v>
      </c>
      <c r="BQ8" s="1024" t="s">
        <v>1077</v>
      </c>
      <c r="BR8" s="1026" t="s">
        <v>278</v>
      </c>
      <c r="BS8" s="1027"/>
      <c r="BT8" s="1027"/>
      <c r="BU8" s="1027"/>
      <c r="BV8" s="1027"/>
    </row>
    <row r="9" spans="1:74" ht="24.95" customHeight="1" x14ac:dyDescent="0.2">
      <c r="A9" s="855"/>
      <c r="B9" s="855"/>
      <c r="C9" s="855"/>
      <c r="D9" s="971"/>
      <c r="E9" s="972"/>
      <c r="F9" s="7" t="s">
        <v>310</v>
      </c>
      <c r="G9" s="7" t="s">
        <v>311</v>
      </c>
      <c r="H9" s="7" t="s">
        <v>312</v>
      </c>
      <c r="I9" s="7" t="s">
        <v>313</v>
      </c>
      <c r="J9" s="7" t="s">
        <v>314</v>
      </c>
      <c r="K9" s="971"/>
      <c r="L9" s="972"/>
      <c r="M9" s="16" t="s">
        <v>310</v>
      </c>
      <c r="N9" s="16" t="s">
        <v>311</v>
      </c>
      <c r="O9" s="16" t="s">
        <v>312</v>
      </c>
      <c r="P9" s="16" t="s">
        <v>313</v>
      </c>
      <c r="Q9" s="16" t="s">
        <v>314</v>
      </c>
      <c r="R9" s="971"/>
      <c r="S9" s="972"/>
      <c r="T9" s="7" t="s">
        <v>310</v>
      </c>
      <c r="U9" s="7" t="s">
        <v>311</v>
      </c>
      <c r="V9" s="7" t="s">
        <v>312</v>
      </c>
      <c r="W9" s="7" t="s">
        <v>313</v>
      </c>
      <c r="X9" s="7" t="s">
        <v>314</v>
      </c>
      <c r="Y9" s="971"/>
      <c r="Z9" s="972"/>
      <c r="AA9" s="7" t="s">
        <v>310</v>
      </c>
      <c r="AB9" s="7" t="s">
        <v>311</v>
      </c>
      <c r="AC9" s="7" t="s">
        <v>312</v>
      </c>
      <c r="AD9" s="7" t="s">
        <v>313</v>
      </c>
      <c r="AE9" s="7" t="s">
        <v>314</v>
      </c>
      <c r="AF9" s="1017"/>
      <c r="AG9" s="1017"/>
      <c r="AH9" s="54" t="s">
        <v>310</v>
      </c>
      <c r="AI9" s="54" t="s">
        <v>311</v>
      </c>
      <c r="AJ9" s="54" t="s">
        <v>312</v>
      </c>
      <c r="AK9" s="54" t="s">
        <v>313</v>
      </c>
      <c r="AL9" s="54" t="s">
        <v>314</v>
      </c>
      <c r="AM9" s="1017"/>
      <c r="AN9" s="265"/>
      <c r="AO9" s="1017"/>
      <c r="AP9" s="243"/>
      <c r="AQ9" s="54" t="s">
        <v>310</v>
      </c>
      <c r="AR9" s="54" t="s">
        <v>311</v>
      </c>
      <c r="AS9" s="54" t="s">
        <v>312</v>
      </c>
      <c r="AT9" s="54" t="s">
        <v>313</v>
      </c>
      <c r="AU9" s="54" t="s">
        <v>314</v>
      </c>
      <c r="AV9" s="1017"/>
      <c r="AW9" s="265"/>
      <c r="AX9" s="1017"/>
      <c r="AY9" s="243"/>
      <c r="AZ9" s="54" t="s">
        <v>310</v>
      </c>
      <c r="BA9" s="54" t="s">
        <v>311</v>
      </c>
      <c r="BB9" s="54" t="s">
        <v>312</v>
      </c>
      <c r="BC9" s="54" t="s">
        <v>313</v>
      </c>
      <c r="BD9" s="54" t="s">
        <v>314</v>
      </c>
      <c r="BE9" s="1017"/>
      <c r="BF9" s="265"/>
      <c r="BG9" s="1017"/>
      <c r="BH9" s="243"/>
      <c r="BI9" s="54" t="s">
        <v>310</v>
      </c>
      <c r="BJ9" s="54" t="s">
        <v>311</v>
      </c>
      <c r="BK9" s="54" t="s">
        <v>312</v>
      </c>
      <c r="BL9" s="54" t="s">
        <v>313</v>
      </c>
      <c r="BM9" s="54" t="s">
        <v>314</v>
      </c>
      <c r="BN9" s="1017"/>
      <c r="BO9" s="1025" t="s">
        <v>11</v>
      </c>
      <c r="BP9" s="1017"/>
      <c r="BQ9" s="1024" t="s">
        <v>11</v>
      </c>
      <c r="BR9" s="54" t="s">
        <v>310</v>
      </c>
      <c r="BS9" s="54" t="s">
        <v>311</v>
      </c>
      <c r="BT9" s="54" t="s">
        <v>312</v>
      </c>
      <c r="BU9" s="54" t="s">
        <v>313</v>
      </c>
      <c r="BV9" s="54" t="s">
        <v>314</v>
      </c>
    </row>
    <row r="10" spans="1:74" ht="24.95" customHeight="1" x14ac:dyDescent="0.2">
      <c r="A10" s="3" t="s">
        <v>10</v>
      </c>
      <c r="B10" s="3"/>
      <c r="C10" s="3"/>
      <c r="D10" s="17">
        <v>53</v>
      </c>
      <c r="E10" s="17">
        <v>12</v>
      </c>
      <c r="F10" s="64">
        <v>0.36</v>
      </c>
      <c r="G10" s="64">
        <v>0.33</v>
      </c>
      <c r="H10" s="64">
        <v>0.19</v>
      </c>
      <c r="I10" s="64">
        <v>0.1</v>
      </c>
      <c r="J10" s="64">
        <v>0.02</v>
      </c>
      <c r="K10" s="17">
        <v>51</v>
      </c>
      <c r="L10" s="17">
        <v>11</v>
      </c>
      <c r="M10" s="58">
        <v>0.44</v>
      </c>
      <c r="N10" s="58">
        <v>0.3</v>
      </c>
      <c r="O10" s="58">
        <v>0.16</v>
      </c>
      <c r="P10" s="58">
        <v>0.08</v>
      </c>
      <c r="Q10" s="58">
        <v>0.02</v>
      </c>
      <c r="R10" s="17">
        <v>52</v>
      </c>
      <c r="S10" s="17">
        <v>11</v>
      </c>
      <c r="T10" s="37">
        <v>0.37</v>
      </c>
      <c r="U10" s="37">
        <v>0.34</v>
      </c>
      <c r="V10" s="37">
        <v>0.19</v>
      </c>
      <c r="W10" s="37">
        <v>0.08</v>
      </c>
      <c r="X10" s="37">
        <v>0.02</v>
      </c>
      <c r="Y10" s="17">
        <v>50</v>
      </c>
      <c r="Z10" s="17">
        <v>12</v>
      </c>
      <c r="AA10" s="37">
        <v>0.44</v>
      </c>
      <c r="AB10" s="37">
        <v>0.3</v>
      </c>
      <c r="AC10" s="37">
        <v>0.17</v>
      </c>
      <c r="AD10" s="37">
        <v>7.0000000000000007E-2</v>
      </c>
      <c r="AE10" s="37">
        <v>0.02</v>
      </c>
      <c r="AF10" s="18">
        <v>48</v>
      </c>
      <c r="AG10" s="18">
        <v>11</v>
      </c>
      <c r="AH10" s="58">
        <v>0.56999999999999995</v>
      </c>
      <c r="AI10" s="58">
        <v>0.27</v>
      </c>
      <c r="AJ10" s="58">
        <v>0.09</v>
      </c>
      <c r="AK10" s="58">
        <v>0.06</v>
      </c>
      <c r="AL10" s="58">
        <v>0.01</v>
      </c>
      <c r="AM10" s="246">
        <v>50</v>
      </c>
      <c r="AN10" s="246" t="s">
        <v>874</v>
      </c>
      <c r="AO10" s="246">
        <v>13</v>
      </c>
      <c r="AP10" s="246" t="s">
        <v>875</v>
      </c>
      <c r="AQ10" s="261">
        <v>0.47</v>
      </c>
      <c r="AR10" s="261">
        <v>0.28000000000000003</v>
      </c>
      <c r="AS10" s="261">
        <v>0.15</v>
      </c>
      <c r="AT10" s="261">
        <v>0.08</v>
      </c>
      <c r="AU10" s="261">
        <v>0.02</v>
      </c>
      <c r="AV10" s="315">
        <v>51</v>
      </c>
      <c r="AW10" s="315" t="s">
        <v>874</v>
      </c>
      <c r="AX10" s="315">
        <v>13</v>
      </c>
      <c r="AY10" s="315" t="s">
        <v>875</v>
      </c>
      <c r="AZ10" s="289">
        <v>0.44</v>
      </c>
      <c r="BA10" s="289">
        <v>0.28000000000000003</v>
      </c>
      <c r="BB10" s="289">
        <v>0.17</v>
      </c>
      <c r="BC10" s="289">
        <v>0.09</v>
      </c>
      <c r="BD10" s="289">
        <v>0.02</v>
      </c>
      <c r="BE10" s="423">
        <v>52</v>
      </c>
      <c r="BF10" s="423" t="s">
        <v>874</v>
      </c>
      <c r="BG10" s="423">
        <v>12</v>
      </c>
      <c r="BH10" s="423" t="s">
        <v>874</v>
      </c>
      <c r="BI10" s="427">
        <v>0.42</v>
      </c>
      <c r="BJ10" s="427">
        <v>0.31</v>
      </c>
      <c r="BK10" s="427">
        <v>0.16</v>
      </c>
      <c r="BL10" s="427">
        <v>0.09</v>
      </c>
      <c r="BM10" s="427">
        <v>0.03</v>
      </c>
      <c r="BN10" s="423">
        <v>52</v>
      </c>
      <c r="BO10" s="423" t="s">
        <v>874</v>
      </c>
      <c r="BP10" s="423">
        <v>13</v>
      </c>
      <c r="BQ10" s="423" t="s">
        <v>875</v>
      </c>
      <c r="BR10" s="427">
        <v>0.39</v>
      </c>
      <c r="BS10" s="427">
        <v>0.3</v>
      </c>
      <c r="BT10" s="427">
        <v>0.17</v>
      </c>
      <c r="BU10" s="427">
        <v>0.1</v>
      </c>
      <c r="BV10" s="427">
        <v>0.03</v>
      </c>
    </row>
    <row r="11" spans="1:74" ht="24.95" customHeight="1" x14ac:dyDescent="0.2">
      <c r="A11" s="4" t="s">
        <v>0</v>
      </c>
      <c r="B11" s="4"/>
      <c r="C11" s="4"/>
      <c r="D11" s="19">
        <v>54</v>
      </c>
      <c r="E11" s="19">
        <v>10</v>
      </c>
      <c r="F11" s="62">
        <v>0.28999999999999998</v>
      </c>
      <c r="G11" s="62">
        <v>0.4</v>
      </c>
      <c r="H11" s="62">
        <v>0.24</v>
      </c>
      <c r="I11" s="62">
        <v>0.08</v>
      </c>
      <c r="J11" s="62">
        <v>0</v>
      </c>
      <c r="K11" s="19">
        <v>51</v>
      </c>
      <c r="L11" s="19">
        <v>10</v>
      </c>
      <c r="M11" s="59">
        <v>0.38</v>
      </c>
      <c r="N11" s="59">
        <v>0.36</v>
      </c>
      <c r="O11" s="59">
        <v>0.2</v>
      </c>
      <c r="P11" s="59">
        <v>0.05</v>
      </c>
      <c r="Q11" s="59">
        <v>0</v>
      </c>
      <c r="R11" s="19">
        <v>52</v>
      </c>
      <c r="S11" s="19">
        <v>9</v>
      </c>
      <c r="T11" s="38">
        <v>0.31</v>
      </c>
      <c r="U11" s="38">
        <v>0.42</v>
      </c>
      <c r="V11" s="38">
        <v>0.21</v>
      </c>
      <c r="W11" s="38">
        <v>0.06</v>
      </c>
      <c r="X11" s="38">
        <v>0.01</v>
      </c>
      <c r="Y11" s="19">
        <v>51</v>
      </c>
      <c r="Z11" s="19">
        <v>10</v>
      </c>
      <c r="AA11" s="38">
        <v>0.35</v>
      </c>
      <c r="AB11" s="38">
        <v>0.39</v>
      </c>
      <c r="AC11" s="38">
        <v>0.2</v>
      </c>
      <c r="AD11" s="38">
        <v>0.06</v>
      </c>
      <c r="AE11" s="38">
        <v>0</v>
      </c>
      <c r="AF11" s="20">
        <v>48</v>
      </c>
      <c r="AG11" s="20">
        <v>9</v>
      </c>
      <c r="AH11" s="59">
        <v>0.51</v>
      </c>
      <c r="AI11" s="59">
        <v>0.34</v>
      </c>
      <c r="AJ11" s="59">
        <v>0.1</v>
      </c>
      <c r="AK11" s="59">
        <v>0.04</v>
      </c>
      <c r="AL11" s="59">
        <v>0</v>
      </c>
      <c r="AM11" s="244">
        <v>52</v>
      </c>
      <c r="AN11" s="244" t="s">
        <v>11</v>
      </c>
      <c r="AO11" s="244">
        <v>11</v>
      </c>
      <c r="AP11" s="244" t="s">
        <v>11</v>
      </c>
      <c r="AQ11" s="262">
        <v>0.35</v>
      </c>
      <c r="AR11" s="262">
        <v>0.37</v>
      </c>
      <c r="AS11" s="262">
        <v>0.2</v>
      </c>
      <c r="AT11" s="262">
        <v>7.0000000000000007E-2</v>
      </c>
      <c r="AU11" s="262">
        <v>0.01</v>
      </c>
      <c r="AV11" s="316">
        <v>53</v>
      </c>
      <c r="AW11" s="316" t="s">
        <v>11</v>
      </c>
      <c r="AX11" s="316">
        <v>11</v>
      </c>
      <c r="AY11" s="316" t="s">
        <v>11</v>
      </c>
      <c r="AZ11" s="290">
        <v>0.3</v>
      </c>
      <c r="BA11" s="290">
        <v>0.36</v>
      </c>
      <c r="BB11" s="290">
        <v>0.24</v>
      </c>
      <c r="BC11" s="290">
        <v>0.09</v>
      </c>
      <c r="BD11" s="290">
        <v>0.01</v>
      </c>
      <c r="BE11" s="424">
        <v>53</v>
      </c>
      <c r="BF11" s="424" t="s">
        <v>11</v>
      </c>
      <c r="BG11" s="424">
        <v>11</v>
      </c>
      <c r="BH11" s="424" t="s">
        <v>11</v>
      </c>
      <c r="BI11" s="428">
        <v>0.31</v>
      </c>
      <c r="BJ11" s="428">
        <v>0.37</v>
      </c>
      <c r="BK11" s="428">
        <v>0.22</v>
      </c>
      <c r="BL11" s="428">
        <v>0.09</v>
      </c>
      <c r="BM11" s="428">
        <v>0.01</v>
      </c>
      <c r="BN11" s="424">
        <v>54</v>
      </c>
      <c r="BO11" s="424" t="s">
        <v>11</v>
      </c>
      <c r="BP11" s="424">
        <v>11</v>
      </c>
      <c r="BQ11" s="424" t="s">
        <v>11</v>
      </c>
      <c r="BR11" s="428">
        <v>0.28999999999999998</v>
      </c>
      <c r="BS11" s="428">
        <v>0.36</v>
      </c>
      <c r="BT11" s="428">
        <v>0.23</v>
      </c>
      <c r="BU11" s="428">
        <v>0.1</v>
      </c>
      <c r="BV11" s="428">
        <v>0.02</v>
      </c>
    </row>
    <row r="12" spans="1:74" ht="24.95" customHeight="1" x14ac:dyDescent="0.2">
      <c r="A12" s="6" t="s">
        <v>12</v>
      </c>
      <c r="B12" s="6"/>
      <c r="C12" s="6"/>
      <c r="D12" s="21">
        <v>52</v>
      </c>
      <c r="E12" s="21">
        <v>9</v>
      </c>
      <c r="F12" s="65">
        <v>0.35</v>
      </c>
      <c r="G12" s="65">
        <v>0.41</v>
      </c>
      <c r="H12" s="65">
        <v>0.2</v>
      </c>
      <c r="I12" s="65">
        <v>0.04</v>
      </c>
      <c r="J12" s="65">
        <v>0</v>
      </c>
      <c r="K12" s="21">
        <v>49</v>
      </c>
      <c r="L12" s="21">
        <v>9</v>
      </c>
      <c r="M12" s="60">
        <v>0.45</v>
      </c>
      <c r="N12" s="60">
        <v>0.36</v>
      </c>
      <c r="O12" s="60">
        <v>0.16</v>
      </c>
      <c r="P12" s="60">
        <v>0.03</v>
      </c>
      <c r="Q12" s="60">
        <v>0</v>
      </c>
      <c r="R12" s="21">
        <v>50</v>
      </c>
      <c r="S12" s="21">
        <v>9</v>
      </c>
      <c r="T12" s="39">
        <v>0.37</v>
      </c>
      <c r="U12" s="39">
        <v>0.43</v>
      </c>
      <c r="V12" s="39">
        <v>0.16</v>
      </c>
      <c r="W12" s="39">
        <v>0.03</v>
      </c>
      <c r="X12" s="39">
        <v>0</v>
      </c>
      <c r="Y12" s="21">
        <v>49</v>
      </c>
      <c r="Z12" s="21">
        <v>10</v>
      </c>
      <c r="AA12" s="39">
        <v>0.43</v>
      </c>
      <c r="AB12" s="39">
        <v>0.38</v>
      </c>
      <c r="AC12" s="39">
        <v>0.15</v>
      </c>
      <c r="AD12" s="39">
        <v>0.03</v>
      </c>
      <c r="AE12" s="39">
        <v>0</v>
      </c>
      <c r="AF12" s="22">
        <v>46</v>
      </c>
      <c r="AG12" s="22">
        <v>9</v>
      </c>
      <c r="AH12" s="60">
        <v>0.59</v>
      </c>
      <c r="AI12" s="60">
        <v>0.32</v>
      </c>
      <c r="AJ12" s="60">
        <v>7.0000000000000007E-2</v>
      </c>
      <c r="AK12" s="60">
        <v>0.02</v>
      </c>
      <c r="AL12" s="60">
        <v>0</v>
      </c>
      <c r="AM12" s="245">
        <v>49</v>
      </c>
      <c r="AN12" s="245" t="s">
        <v>874</v>
      </c>
      <c r="AO12" s="245">
        <v>10</v>
      </c>
      <c r="AP12" s="245" t="s">
        <v>874</v>
      </c>
      <c r="AQ12" s="263">
        <v>0.44</v>
      </c>
      <c r="AR12" s="263">
        <v>0.37</v>
      </c>
      <c r="AS12" s="263">
        <v>0.15</v>
      </c>
      <c r="AT12" s="263">
        <v>0.04</v>
      </c>
      <c r="AU12" s="263">
        <v>0</v>
      </c>
      <c r="AV12" s="317">
        <v>51</v>
      </c>
      <c r="AW12" s="317" t="s">
        <v>874</v>
      </c>
      <c r="AX12" s="317">
        <v>10</v>
      </c>
      <c r="AY12" s="317" t="s">
        <v>874</v>
      </c>
      <c r="AZ12" s="293">
        <v>0.39</v>
      </c>
      <c r="BA12" s="293">
        <v>0.36</v>
      </c>
      <c r="BB12" s="293">
        <v>0.19</v>
      </c>
      <c r="BC12" s="293">
        <v>0.05</v>
      </c>
      <c r="BD12" s="293">
        <v>0</v>
      </c>
      <c r="BE12" s="425">
        <v>51</v>
      </c>
      <c r="BF12" s="425" t="s">
        <v>874</v>
      </c>
      <c r="BG12" s="425">
        <v>10</v>
      </c>
      <c r="BH12" s="425" t="s">
        <v>874</v>
      </c>
      <c r="BI12" s="429">
        <v>0.39</v>
      </c>
      <c r="BJ12" s="429">
        <v>0.39</v>
      </c>
      <c r="BK12" s="429">
        <v>0.17</v>
      </c>
      <c r="BL12" s="429">
        <v>0.05</v>
      </c>
      <c r="BM12" s="429">
        <v>0</v>
      </c>
      <c r="BN12" s="425">
        <v>52</v>
      </c>
      <c r="BO12" s="425" t="s">
        <v>874</v>
      </c>
      <c r="BP12" s="425">
        <v>10</v>
      </c>
      <c r="BQ12" s="425" t="s">
        <v>874</v>
      </c>
      <c r="BR12" s="429">
        <v>0.36</v>
      </c>
      <c r="BS12" s="429">
        <v>0.38</v>
      </c>
      <c r="BT12" s="429">
        <v>0.18</v>
      </c>
      <c r="BU12" s="429">
        <v>7.0000000000000007E-2</v>
      </c>
      <c r="BV12" s="429">
        <v>0.01</v>
      </c>
    </row>
    <row r="13" spans="1:74" ht="24.95" customHeight="1" x14ac:dyDescent="0.2">
      <c r="A13" s="6" t="s">
        <v>13</v>
      </c>
      <c r="B13" s="6"/>
      <c r="C13" s="6"/>
      <c r="D13" s="21">
        <v>48</v>
      </c>
      <c r="E13" s="21">
        <v>7</v>
      </c>
      <c r="F13" s="65">
        <v>0.51</v>
      </c>
      <c r="G13" s="65">
        <v>0.41</v>
      </c>
      <c r="H13" s="65">
        <v>7.0000000000000007E-2</v>
      </c>
      <c r="I13" s="65">
        <v>0</v>
      </c>
      <c r="J13" s="65">
        <v>0</v>
      </c>
      <c r="K13" s="21">
        <v>44</v>
      </c>
      <c r="L13" s="21">
        <v>7</v>
      </c>
      <c r="M13" s="60">
        <v>0.81</v>
      </c>
      <c r="N13" s="60">
        <v>0.17</v>
      </c>
      <c r="O13" s="60">
        <v>0.02</v>
      </c>
      <c r="P13" s="60">
        <v>0</v>
      </c>
      <c r="Q13" s="60">
        <v>0</v>
      </c>
      <c r="R13" s="21">
        <v>45</v>
      </c>
      <c r="S13" s="21">
        <v>12</v>
      </c>
      <c r="T13" s="39">
        <v>0.59</v>
      </c>
      <c r="U13" s="39">
        <v>0.28999999999999998</v>
      </c>
      <c r="V13" s="39">
        <v>0.12</v>
      </c>
      <c r="W13" s="39">
        <v>0</v>
      </c>
      <c r="X13" s="39">
        <v>0</v>
      </c>
      <c r="Y13" s="21">
        <v>45</v>
      </c>
      <c r="Z13" s="21">
        <v>10</v>
      </c>
      <c r="AA13" s="39">
        <v>0.55000000000000004</v>
      </c>
      <c r="AB13" s="39">
        <v>0.37</v>
      </c>
      <c r="AC13" s="39">
        <v>0.08</v>
      </c>
      <c r="AD13" s="39">
        <v>0</v>
      </c>
      <c r="AE13" s="39">
        <v>0</v>
      </c>
      <c r="AF13" s="22">
        <v>42</v>
      </c>
      <c r="AG13" s="22">
        <v>6</v>
      </c>
      <c r="AH13" s="60">
        <v>0.82</v>
      </c>
      <c r="AI13" s="60">
        <v>0.18</v>
      </c>
      <c r="AJ13" s="60">
        <v>0</v>
      </c>
      <c r="AK13" s="60">
        <v>0</v>
      </c>
      <c r="AL13" s="60">
        <v>0</v>
      </c>
      <c r="AM13" s="245">
        <v>44</v>
      </c>
      <c r="AN13" s="245" t="s">
        <v>876</v>
      </c>
      <c r="AO13" s="245">
        <v>9</v>
      </c>
      <c r="AP13" s="245" t="s">
        <v>876</v>
      </c>
      <c r="AQ13" s="263">
        <v>0.61</v>
      </c>
      <c r="AR13" s="263">
        <v>0.32</v>
      </c>
      <c r="AS13" s="263">
        <v>7.0000000000000007E-2</v>
      </c>
      <c r="AT13" s="263">
        <v>0</v>
      </c>
      <c r="AU13" s="263">
        <v>0</v>
      </c>
      <c r="AV13" s="317">
        <v>49</v>
      </c>
      <c r="AW13" s="317" t="s">
        <v>876</v>
      </c>
      <c r="AX13" s="317">
        <v>10</v>
      </c>
      <c r="AY13" s="317" t="s">
        <v>874</v>
      </c>
      <c r="AZ13" s="293">
        <v>0.45</v>
      </c>
      <c r="BA13" s="293">
        <v>0.38</v>
      </c>
      <c r="BB13" s="293">
        <v>0.13</v>
      </c>
      <c r="BC13" s="293">
        <v>0.03</v>
      </c>
      <c r="BD13" s="293">
        <v>0.03</v>
      </c>
      <c r="BE13" s="425">
        <v>47</v>
      </c>
      <c r="BF13" s="425" t="s">
        <v>876</v>
      </c>
      <c r="BG13" s="425">
        <v>8</v>
      </c>
      <c r="BH13" s="425" t="s">
        <v>876</v>
      </c>
      <c r="BI13" s="429">
        <v>0.52</v>
      </c>
      <c r="BJ13" s="429">
        <v>0.38</v>
      </c>
      <c r="BK13" s="429">
        <v>0.1</v>
      </c>
      <c r="BL13" s="429">
        <v>0</v>
      </c>
      <c r="BM13" s="429">
        <v>0</v>
      </c>
      <c r="BN13" s="425">
        <v>48</v>
      </c>
      <c r="BO13" s="425" t="s">
        <v>876</v>
      </c>
      <c r="BP13" s="425">
        <v>7</v>
      </c>
      <c r="BQ13" s="425" t="s">
        <v>876</v>
      </c>
      <c r="BR13" s="429">
        <v>0.47</v>
      </c>
      <c r="BS13" s="429">
        <v>0.43</v>
      </c>
      <c r="BT13" s="429">
        <v>0.11</v>
      </c>
      <c r="BU13" s="429">
        <v>0</v>
      </c>
      <c r="BV13" s="429">
        <v>0</v>
      </c>
    </row>
    <row r="14" spans="1:74" ht="24.95" customHeight="1" x14ac:dyDescent="0.2">
      <c r="A14" s="6" t="s">
        <v>14</v>
      </c>
      <c r="B14" s="6"/>
      <c r="C14" s="6"/>
      <c r="D14" s="21">
        <v>56</v>
      </c>
      <c r="E14" s="21">
        <v>10</v>
      </c>
      <c r="F14" s="65">
        <v>0.22</v>
      </c>
      <c r="G14" s="65">
        <v>0.38</v>
      </c>
      <c r="H14" s="65">
        <v>0.28000000000000003</v>
      </c>
      <c r="I14" s="65">
        <v>0.11</v>
      </c>
      <c r="J14" s="65">
        <v>0</v>
      </c>
      <c r="K14" s="21">
        <v>53</v>
      </c>
      <c r="L14" s="21">
        <v>10</v>
      </c>
      <c r="M14" s="60">
        <v>0.3</v>
      </c>
      <c r="N14" s="60">
        <v>0.36</v>
      </c>
      <c r="O14" s="60">
        <v>0.25</v>
      </c>
      <c r="P14" s="60">
        <v>7.0000000000000007E-2</v>
      </c>
      <c r="Q14" s="60">
        <v>0.01</v>
      </c>
      <c r="R14" s="21">
        <v>55</v>
      </c>
      <c r="S14" s="21">
        <v>10</v>
      </c>
      <c r="T14" s="39">
        <v>0.23</v>
      </c>
      <c r="U14" s="39">
        <v>0.4</v>
      </c>
      <c r="V14" s="39">
        <v>0.28000000000000003</v>
      </c>
      <c r="W14" s="39">
        <v>0.08</v>
      </c>
      <c r="X14" s="39">
        <v>0.01</v>
      </c>
      <c r="Y14" s="21">
        <v>54</v>
      </c>
      <c r="Z14" s="21">
        <v>10</v>
      </c>
      <c r="AA14" s="39">
        <v>0.26</v>
      </c>
      <c r="AB14" s="39">
        <v>0.4</v>
      </c>
      <c r="AC14" s="39">
        <v>0.25</v>
      </c>
      <c r="AD14" s="39">
        <v>0.08</v>
      </c>
      <c r="AE14" s="39">
        <v>0.01</v>
      </c>
      <c r="AF14" s="22">
        <v>50</v>
      </c>
      <c r="AG14" s="22">
        <v>10</v>
      </c>
      <c r="AH14" s="60">
        <v>0.43</v>
      </c>
      <c r="AI14" s="60">
        <v>0.37</v>
      </c>
      <c r="AJ14" s="60">
        <v>0.14000000000000001</v>
      </c>
      <c r="AK14" s="60">
        <v>0.06</v>
      </c>
      <c r="AL14" s="60">
        <v>0</v>
      </c>
      <c r="AM14" s="245">
        <v>55</v>
      </c>
      <c r="AN14" s="245" t="s">
        <v>874</v>
      </c>
      <c r="AO14" s="245">
        <v>11</v>
      </c>
      <c r="AP14" s="245" t="s">
        <v>874</v>
      </c>
      <c r="AQ14" s="263">
        <v>0.24</v>
      </c>
      <c r="AR14" s="263">
        <v>0.37</v>
      </c>
      <c r="AS14" s="263">
        <v>0.27</v>
      </c>
      <c r="AT14" s="263">
        <v>0.11</v>
      </c>
      <c r="AU14" s="263">
        <v>0.01</v>
      </c>
      <c r="AV14" s="317">
        <v>56</v>
      </c>
      <c r="AW14" s="317" t="s">
        <v>874</v>
      </c>
      <c r="AX14" s="317">
        <v>11</v>
      </c>
      <c r="AY14" s="317" t="s">
        <v>874</v>
      </c>
      <c r="AZ14" s="293">
        <v>0.21</v>
      </c>
      <c r="BA14" s="293">
        <v>0.35</v>
      </c>
      <c r="BB14" s="293">
        <v>0.28999999999999998</v>
      </c>
      <c r="BC14" s="293">
        <v>0.13</v>
      </c>
      <c r="BD14" s="293">
        <v>0.01</v>
      </c>
      <c r="BE14" s="425">
        <v>56</v>
      </c>
      <c r="BF14" s="425" t="s">
        <v>874</v>
      </c>
      <c r="BG14" s="425">
        <v>11</v>
      </c>
      <c r="BH14" s="425" t="s">
        <v>874</v>
      </c>
      <c r="BI14" s="429">
        <v>0.22</v>
      </c>
      <c r="BJ14" s="429">
        <v>0.35</v>
      </c>
      <c r="BK14" s="429">
        <v>0.27</v>
      </c>
      <c r="BL14" s="429">
        <v>0.15</v>
      </c>
      <c r="BM14" s="429">
        <v>0.02</v>
      </c>
      <c r="BN14" s="425">
        <v>57</v>
      </c>
      <c r="BO14" s="425" t="s">
        <v>874</v>
      </c>
      <c r="BP14" s="425">
        <v>11</v>
      </c>
      <c r="BQ14" s="425" t="s">
        <v>874</v>
      </c>
      <c r="BR14" s="429">
        <v>0.2</v>
      </c>
      <c r="BS14" s="429">
        <v>0.34</v>
      </c>
      <c r="BT14" s="429">
        <v>0.28000000000000003</v>
      </c>
      <c r="BU14" s="429">
        <v>0.15</v>
      </c>
      <c r="BV14" s="429">
        <v>0.03</v>
      </c>
    </row>
    <row r="15" spans="1:74" ht="24.95" customHeight="1" x14ac:dyDescent="0.2">
      <c r="A15" s="6" t="s">
        <v>15</v>
      </c>
      <c r="B15" s="6"/>
      <c r="C15" s="6"/>
      <c r="D15" s="21">
        <v>51</v>
      </c>
      <c r="E15" s="21">
        <v>9</v>
      </c>
      <c r="F15" s="65">
        <v>0.38</v>
      </c>
      <c r="G15" s="65">
        <v>0.4</v>
      </c>
      <c r="H15" s="65">
        <v>0.18</v>
      </c>
      <c r="I15" s="65">
        <v>0.04</v>
      </c>
      <c r="J15" s="65">
        <v>0</v>
      </c>
      <c r="K15" s="21">
        <v>49</v>
      </c>
      <c r="L15" s="21">
        <v>9</v>
      </c>
      <c r="M15" s="60">
        <v>0.47</v>
      </c>
      <c r="N15" s="60">
        <v>0.35</v>
      </c>
      <c r="O15" s="60">
        <v>0.15</v>
      </c>
      <c r="P15" s="60">
        <v>0.03</v>
      </c>
      <c r="Q15" s="60">
        <v>0</v>
      </c>
      <c r="R15" s="21">
        <v>50</v>
      </c>
      <c r="S15" s="21">
        <v>9</v>
      </c>
      <c r="T15" s="39">
        <v>0.38</v>
      </c>
      <c r="U15" s="39">
        <v>0.43</v>
      </c>
      <c r="V15" s="39">
        <v>0.15</v>
      </c>
      <c r="W15" s="39">
        <v>0.04</v>
      </c>
      <c r="X15" s="39">
        <v>0</v>
      </c>
      <c r="Y15" s="21">
        <v>49</v>
      </c>
      <c r="Z15" s="21">
        <v>10</v>
      </c>
      <c r="AA15" s="39">
        <v>0.44</v>
      </c>
      <c r="AB15" s="39">
        <v>0.38</v>
      </c>
      <c r="AC15" s="39">
        <v>0.14000000000000001</v>
      </c>
      <c r="AD15" s="39">
        <v>0.03</v>
      </c>
      <c r="AE15" s="39">
        <v>0</v>
      </c>
      <c r="AF15" s="22">
        <v>46</v>
      </c>
      <c r="AG15" s="22">
        <v>8</v>
      </c>
      <c r="AH15" s="60">
        <v>0.63</v>
      </c>
      <c r="AI15" s="60">
        <v>0.3</v>
      </c>
      <c r="AJ15" s="60">
        <v>0.06</v>
      </c>
      <c r="AK15" s="60">
        <v>0.02</v>
      </c>
      <c r="AL15" s="60">
        <v>0</v>
      </c>
      <c r="AM15" s="245">
        <v>48</v>
      </c>
      <c r="AN15" s="245" t="s">
        <v>876</v>
      </c>
      <c r="AO15" s="245">
        <v>10</v>
      </c>
      <c r="AP15" s="245" t="s">
        <v>874</v>
      </c>
      <c r="AQ15" s="263">
        <v>0.47</v>
      </c>
      <c r="AR15" s="263">
        <v>0.36</v>
      </c>
      <c r="AS15" s="263">
        <v>0.13</v>
      </c>
      <c r="AT15" s="263">
        <v>0.04</v>
      </c>
      <c r="AU15" s="263">
        <v>0</v>
      </c>
      <c r="AV15" s="317">
        <v>50</v>
      </c>
      <c r="AW15" s="317" t="s">
        <v>874</v>
      </c>
      <c r="AX15" s="317">
        <v>10</v>
      </c>
      <c r="AY15" s="317" t="s">
        <v>874</v>
      </c>
      <c r="AZ15" s="293">
        <v>0.41</v>
      </c>
      <c r="BA15" s="293">
        <v>0.36</v>
      </c>
      <c r="BB15" s="293">
        <v>0.18</v>
      </c>
      <c r="BC15" s="293">
        <v>0.04</v>
      </c>
      <c r="BD15" s="293">
        <v>0</v>
      </c>
      <c r="BE15" s="425">
        <v>50</v>
      </c>
      <c r="BF15" s="425" t="s">
        <v>874</v>
      </c>
      <c r="BG15" s="425">
        <v>9</v>
      </c>
      <c r="BH15" s="425" t="s">
        <v>876</v>
      </c>
      <c r="BI15" s="429">
        <v>0.41</v>
      </c>
      <c r="BJ15" s="429">
        <v>0.39</v>
      </c>
      <c r="BK15" s="429">
        <v>0.16</v>
      </c>
      <c r="BL15" s="429">
        <v>0.04</v>
      </c>
      <c r="BM15" s="429">
        <v>0</v>
      </c>
      <c r="BN15" s="425">
        <v>50</v>
      </c>
      <c r="BO15" s="425" t="s">
        <v>876</v>
      </c>
      <c r="BP15" s="425">
        <v>10</v>
      </c>
      <c r="BQ15" s="425" t="s">
        <v>874</v>
      </c>
      <c r="BR15" s="429">
        <v>0.43</v>
      </c>
      <c r="BS15" s="429">
        <v>0.37</v>
      </c>
      <c r="BT15" s="429">
        <v>0.15</v>
      </c>
      <c r="BU15" s="429">
        <v>0.04</v>
      </c>
      <c r="BV15" s="429">
        <v>0</v>
      </c>
    </row>
    <row r="16" spans="1:74" ht="24.95" customHeight="1" x14ac:dyDescent="0.2">
      <c r="A16" s="6" t="s">
        <v>16</v>
      </c>
      <c r="B16" s="6"/>
      <c r="C16" s="6"/>
      <c r="D16" s="21">
        <v>55</v>
      </c>
      <c r="E16" s="21">
        <v>10</v>
      </c>
      <c r="F16" s="65">
        <v>0.24</v>
      </c>
      <c r="G16" s="65">
        <v>0.39</v>
      </c>
      <c r="H16" s="65">
        <v>0.27</v>
      </c>
      <c r="I16" s="65">
        <v>0.09</v>
      </c>
      <c r="J16" s="65">
        <v>0</v>
      </c>
      <c r="K16" s="21">
        <v>53</v>
      </c>
      <c r="L16" s="21">
        <v>10</v>
      </c>
      <c r="M16" s="60">
        <v>0.32</v>
      </c>
      <c r="N16" s="60">
        <v>0.37</v>
      </c>
      <c r="O16" s="60">
        <v>0.24</v>
      </c>
      <c r="P16" s="60">
        <v>0.06</v>
      </c>
      <c r="Q16" s="60">
        <v>0.01</v>
      </c>
      <c r="R16" s="21">
        <v>54</v>
      </c>
      <c r="S16" s="21">
        <v>10</v>
      </c>
      <c r="T16" s="39">
        <v>0.26</v>
      </c>
      <c r="U16" s="39">
        <v>0.41</v>
      </c>
      <c r="V16" s="39">
        <v>0.25</v>
      </c>
      <c r="W16" s="39">
        <v>7.0000000000000007E-2</v>
      </c>
      <c r="X16" s="39">
        <v>0.01</v>
      </c>
      <c r="Y16" s="21">
        <v>53</v>
      </c>
      <c r="Z16" s="21">
        <v>10</v>
      </c>
      <c r="AA16" s="39">
        <v>0.3</v>
      </c>
      <c r="AB16" s="39">
        <v>0.4</v>
      </c>
      <c r="AC16" s="39">
        <v>0.23</v>
      </c>
      <c r="AD16" s="39">
        <v>7.0000000000000007E-2</v>
      </c>
      <c r="AE16" s="39">
        <v>0.01</v>
      </c>
      <c r="AF16" s="22">
        <v>49</v>
      </c>
      <c r="AG16" s="22">
        <v>10</v>
      </c>
      <c r="AH16" s="60">
        <v>0.47</v>
      </c>
      <c r="AI16" s="60">
        <v>0.36</v>
      </c>
      <c r="AJ16" s="60">
        <v>0.12</v>
      </c>
      <c r="AK16" s="60">
        <v>0.05</v>
      </c>
      <c r="AL16" s="60">
        <v>0</v>
      </c>
      <c r="AM16" s="245">
        <v>53</v>
      </c>
      <c r="AN16" s="245" t="s">
        <v>874</v>
      </c>
      <c r="AO16" s="245">
        <v>11</v>
      </c>
      <c r="AP16" s="245" t="s">
        <v>874</v>
      </c>
      <c r="AQ16" s="263">
        <v>0.31</v>
      </c>
      <c r="AR16" s="263">
        <v>0.37</v>
      </c>
      <c r="AS16" s="263">
        <v>0.23</v>
      </c>
      <c r="AT16" s="263">
        <v>0.08</v>
      </c>
      <c r="AU16" s="263">
        <v>0.01</v>
      </c>
      <c r="AV16" s="317">
        <v>54</v>
      </c>
      <c r="AW16" s="317" t="s">
        <v>874</v>
      </c>
      <c r="AX16" s="317">
        <v>11</v>
      </c>
      <c r="AY16" s="317" t="s">
        <v>874</v>
      </c>
      <c r="AZ16" s="293">
        <v>0.26</v>
      </c>
      <c r="BA16" s="293">
        <v>0.35</v>
      </c>
      <c r="BB16" s="293">
        <v>0.27</v>
      </c>
      <c r="BC16" s="293">
        <v>0.11</v>
      </c>
      <c r="BD16" s="293">
        <v>0.01</v>
      </c>
      <c r="BE16" s="425">
        <v>55</v>
      </c>
      <c r="BF16" s="425" t="s">
        <v>874</v>
      </c>
      <c r="BG16" s="425">
        <v>11</v>
      </c>
      <c r="BH16" s="425" t="s">
        <v>874</v>
      </c>
      <c r="BI16" s="429">
        <v>0.26</v>
      </c>
      <c r="BJ16" s="429">
        <v>0.36</v>
      </c>
      <c r="BK16" s="429">
        <v>0.25</v>
      </c>
      <c r="BL16" s="429">
        <v>0.12</v>
      </c>
      <c r="BM16" s="429">
        <v>0.01</v>
      </c>
      <c r="BN16" s="425">
        <v>54</v>
      </c>
      <c r="BO16" s="425" t="s">
        <v>874</v>
      </c>
      <c r="BP16" s="425">
        <v>11</v>
      </c>
      <c r="BQ16" s="425" t="s">
        <v>874</v>
      </c>
      <c r="BR16" s="429">
        <v>0.27</v>
      </c>
      <c r="BS16" s="429">
        <v>0.36</v>
      </c>
      <c r="BT16" s="429">
        <v>0.24</v>
      </c>
      <c r="BU16" s="429">
        <v>0.11</v>
      </c>
      <c r="BV16" s="429">
        <v>0.02</v>
      </c>
    </row>
    <row r="17" spans="1:74" ht="24.95" customHeight="1" x14ac:dyDescent="0.2">
      <c r="A17" s="294" t="s">
        <v>17</v>
      </c>
      <c r="B17" s="294"/>
      <c r="C17" s="294"/>
      <c r="D17" s="318"/>
      <c r="E17" s="318"/>
      <c r="F17" s="327"/>
      <c r="G17" s="327"/>
      <c r="H17" s="327"/>
      <c r="I17" s="327"/>
      <c r="J17" s="327"/>
      <c r="K17" s="318"/>
      <c r="L17" s="318"/>
      <c r="M17" s="326"/>
      <c r="N17" s="326"/>
      <c r="O17" s="326"/>
      <c r="P17" s="326"/>
      <c r="Q17" s="326"/>
      <c r="R17" s="318"/>
      <c r="S17" s="318"/>
      <c r="T17" s="293"/>
      <c r="U17" s="293"/>
      <c r="V17" s="293"/>
      <c r="W17" s="293"/>
      <c r="X17" s="293"/>
      <c r="Y17" s="318"/>
      <c r="Z17" s="318"/>
      <c r="AA17" s="293"/>
      <c r="AB17" s="293"/>
      <c r="AC17" s="293"/>
      <c r="AD17" s="293"/>
      <c r="AE17" s="293"/>
      <c r="AF17" s="325"/>
      <c r="AG17" s="325"/>
      <c r="AH17" s="326"/>
      <c r="AI17" s="326"/>
      <c r="AJ17" s="326"/>
      <c r="AK17" s="326"/>
      <c r="AL17" s="326"/>
      <c r="AM17" s="320"/>
      <c r="AN17" s="338"/>
      <c r="AO17" s="320"/>
      <c r="AP17" s="338"/>
      <c r="AQ17" s="328"/>
      <c r="AR17" s="328"/>
      <c r="AS17" s="328"/>
      <c r="AT17" s="328"/>
      <c r="AU17" s="328"/>
      <c r="AV17" s="318">
        <v>66</v>
      </c>
      <c r="AW17" s="317" t="s">
        <v>875</v>
      </c>
      <c r="AX17" s="317">
        <v>7</v>
      </c>
      <c r="AY17" s="317" t="s">
        <v>876</v>
      </c>
      <c r="AZ17" s="293">
        <v>0</v>
      </c>
      <c r="BA17" s="293">
        <v>0</v>
      </c>
      <c r="BB17" s="293">
        <v>0.67</v>
      </c>
      <c r="BC17" s="293">
        <v>0.33</v>
      </c>
      <c r="BD17" s="293">
        <v>0</v>
      </c>
      <c r="BN17" s="425">
        <v>70</v>
      </c>
      <c r="BO17" s="425" t="s">
        <v>875</v>
      </c>
      <c r="BP17" s="425">
        <v>10</v>
      </c>
      <c r="BQ17" s="425" t="s">
        <v>874</v>
      </c>
      <c r="BR17" s="429">
        <v>0.03</v>
      </c>
      <c r="BS17" s="429">
        <v>0.08</v>
      </c>
      <c r="BT17" s="429">
        <v>0.28000000000000003</v>
      </c>
      <c r="BU17" s="429">
        <v>0.42</v>
      </c>
      <c r="BV17" s="429">
        <v>0.19</v>
      </c>
    </row>
    <row r="18" spans="1:74" ht="24.95" customHeight="1" x14ac:dyDescent="0.2">
      <c r="A18" s="6" t="s">
        <v>244</v>
      </c>
      <c r="B18" s="6"/>
      <c r="C18" s="6"/>
      <c r="D18" s="129">
        <f t="shared" ref="D18:AM18" si="0">AVERAGEIF($C$36:$C$171,"=1",D$36:D$171)</f>
        <v>52.647058823529413</v>
      </c>
      <c r="E18" s="129">
        <f t="shared" si="0"/>
        <v>8.235294117647058</v>
      </c>
      <c r="F18" s="39">
        <f t="shared" si="0"/>
        <v>0.29882352941176465</v>
      </c>
      <c r="G18" s="39">
        <f t="shared" si="0"/>
        <v>0.4611764705882353</v>
      </c>
      <c r="H18" s="39">
        <f t="shared" si="0"/>
        <v>0.18470588235294122</v>
      </c>
      <c r="I18" s="39">
        <f t="shared" si="0"/>
        <v>5.4705882352941181E-2</v>
      </c>
      <c r="J18" s="39">
        <f t="shared" si="0"/>
        <v>0</v>
      </c>
      <c r="K18" s="129">
        <f t="shared" si="0"/>
        <v>50.4375</v>
      </c>
      <c r="L18" s="129">
        <f t="shared" si="0"/>
        <v>8.6875</v>
      </c>
      <c r="M18" s="39">
        <f t="shared" si="0"/>
        <v>0.41125</v>
      </c>
      <c r="N18" s="39">
        <f t="shared" si="0"/>
        <v>0.38874999999999998</v>
      </c>
      <c r="O18" s="39">
        <f t="shared" si="0"/>
        <v>0.15812500000000004</v>
      </c>
      <c r="P18" s="39">
        <f t="shared" si="0"/>
        <v>4.2499999999999996E-2</v>
      </c>
      <c r="Q18" s="39">
        <f t="shared" si="0"/>
        <v>6.2500000000000001E-4</v>
      </c>
      <c r="R18" s="129">
        <f t="shared" si="0"/>
        <v>52.117647058823529</v>
      </c>
      <c r="S18" s="129">
        <f t="shared" si="0"/>
        <v>8.1764705882352935</v>
      </c>
      <c r="T18" s="39">
        <f t="shared" si="0"/>
        <v>0.30294117647058827</v>
      </c>
      <c r="U18" s="39">
        <f t="shared" si="0"/>
        <v>0.42352941176470588</v>
      </c>
      <c r="V18" s="39">
        <f t="shared" si="0"/>
        <v>0.24117647058823521</v>
      </c>
      <c r="W18" s="39">
        <f t="shared" si="0"/>
        <v>3.2352941176470591E-2</v>
      </c>
      <c r="X18" s="39">
        <f t="shared" si="0"/>
        <v>1.1764705882352942E-3</v>
      </c>
      <c r="Y18" s="129">
        <f t="shared" si="0"/>
        <v>50.058823529411768</v>
      </c>
      <c r="Z18" s="129">
        <f t="shared" si="0"/>
        <v>8.9411764705882355</v>
      </c>
      <c r="AA18" s="39">
        <f t="shared" si="0"/>
        <v>0.37470588235294122</v>
      </c>
      <c r="AB18" s="39">
        <f t="shared" si="0"/>
        <v>0.42352941176470582</v>
      </c>
      <c r="AC18" s="39">
        <f t="shared" si="0"/>
        <v>0.16705882352941182</v>
      </c>
      <c r="AD18" s="39">
        <f t="shared" si="0"/>
        <v>3.529411764705883E-2</v>
      </c>
      <c r="AE18" s="39">
        <f t="shared" si="0"/>
        <v>1.764705882352941E-3</v>
      </c>
      <c r="AF18" s="129">
        <f t="shared" si="0"/>
        <v>48.058823529411768</v>
      </c>
      <c r="AG18" s="129">
        <f t="shared" si="0"/>
        <v>8.882352941176471</v>
      </c>
      <c r="AH18" s="39">
        <f t="shared" si="0"/>
        <v>0.52176470588235302</v>
      </c>
      <c r="AI18" s="39">
        <f t="shared" si="0"/>
        <v>0.33882352941176475</v>
      </c>
      <c r="AJ18" s="39">
        <f t="shared" si="0"/>
        <v>0.10764705882352942</v>
      </c>
      <c r="AK18" s="39">
        <f t="shared" si="0"/>
        <v>2.9411764705882349E-2</v>
      </c>
      <c r="AL18" s="39">
        <f t="shared" si="0"/>
        <v>2.9411764705882353E-3</v>
      </c>
      <c r="AM18" s="129">
        <f t="shared" si="0"/>
        <v>52</v>
      </c>
      <c r="AO18" s="129">
        <f>AVERAGEIF($C$36:$C$171,"=1",AO$36:AO$171)</f>
        <v>9.4705882352941178</v>
      </c>
      <c r="AQ18" s="39">
        <f t="shared" ref="AQ18:AV18" si="1">AVERAGEIF($C$36:$C$171,"=1",AQ$36:AQ$171)</f>
        <v>0.30294117647058816</v>
      </c>
      <c r="AR18" s="39">
        <f t="shared" si="1"/>
        <v>0.40941176470588231</v>
      </c>
      <c r="AS18" s="39">
        <f t="shared" si="1"/>
        <v>0.23176470588235296</v>
      </c>
      <c r="AT18" s="39">
        <f t="shared" si="1"/>
        <v>5.2352941176470595E-2</v>
      </c>
      <c r="AU18" s="39">
        <f t="shared" si="1"/>
        <v>4.7058823529411769E-3</v>
      </c>
      <c r="AV18" s="129">
        <f t="shared" si="1"/>
        <v>52</v>
      </c>
      <c r="AX18" s="129">
        <f>AVERAGEIF($C$36:$C$171,"=1",AX$36:AX$171)</f>
        <v>10.055555555555555</v>
      </c>
      <c r="AZ18" s="344">
        <f t="shared" ref="AZ18:BE18" si="2">AVERAGEIF($C$36:$C$171,"=1",AZ$36:AZ$171)</f>
        <v>0.3288888888888889</v>
      </c>
      <c r="BA18" s="344">
        <f t="shared" si="2"/>
        <v>0.37388888888888883</v>
      </c>
      <c r="BB18" s="344">
        <f t="shared" si="2"/>
        <v>0.21944444444444444</v>
      </c>
      <c r="BC18" s="344">
        <f t="shared" si="2"/>
        <v>7.0555555555555552E-2</v>
      </c>
      <c r="BD18" s="344">
        <f t="shared" si="2"/>
        <v>8.333333333333335E-3</v>
      </c>
      <c r="BE18" s="129">
        <f t="shared" si="2"/>
        <v>53.058823529411768</v>
      </c>
      <c r="BG18" s="129">
        <f>AVERAGEIF($C$36:$C$171,"=1",BG$36:BG$171)</f>
        <v>9.4705882352941178</v>
      </c>
      <c r="BI18" s="344">
        <f t="shared" ref="BI18:BN18" si="3">AVERAGEIF($C$36:$C$171,"=1",BI$36:BI$171)</f>
        <v>0.29529411764705887</v>
      </c>
      <c r="BJ18" s="344">
        <f t="shared" si="3"/>
        <v>0.40352941176470591</v>
      </c>
      <c r="BK18" s="344">
        <f t="shared" si="3"/>
        <v>0.21647058823529414</v>
      </c>
      <c r="BL18" s="344">
        <f t="shared" si="3"/>
        <v>7.7058823529411763E-2</v>
      </c>
      <c r="BM18" s="344">
        <f t="shared" si="3"/>
        <v>7.6470588235294122E-3</v>
      </c>
      <c r="BN18" s="129">
        <f t="shared" si="3"/>
        <v>54</v>
      </c>
      <c r="BP18" s="129">
        <f>AVERAGEIF($C$36:$C$171,"=1",BP$36:BP$171)</f>
        <v>9.2222222222222214</v>
      </c>
      <c r="BR18" s="344">
        <f t="shared" ref="BR18:BV18" si="4">AVERAGEIF($C$36:$C$171,"=1",BR$36:BR$171)</f>
        <v>0.25722222222222224</v>
      </c>
      <c r="BS18" s="344">
        <f t="shared" si="4"/>
        <v>0.41166666666666663</v>
      </c>
      <c r="BT18" s="344">
        <f t="shared" si="4"/>
        <v>0.23777777777777775</v>
      </c>
      <c r="BU18" s="344">
        <f t="shared" si="4"/>
        <v>8.4444444444444461E-2</v>
      </c>
      <c r="BV18" s="344">
        <f t="shared" si="4"/>
        <v>8.8888888888888889E-3</v>
      </c>
    </row>
    <row r="19" spans="1:74" ht="24.95" customHeight="1" x14ac:dyDescent="0.2">
      <c r="A19" s="6" t="s">
        <v>245</v>
      </c>
      <c r="B19" s="6"/>
      <c r="C19" s="6"/>
      <c r="D19" s="129">
        <f t="shared" ref="D19:AM19" si="5">AVERAGEIF($C$36:$C$171,"=2",D$36:D$171)</f>
        <v>54.7</v>
      </c>
      <c r="E19" s="129">
        <f t="shared" si="5"/>
        <v>9.25</v>
      </c>
      <c r="F19" s="39">
        <f t="shared" si="5"/>
        <v>0.26199999999999996</v>
      </c>
      <c r="G19" s="39">
        <f t="shared" si="5"/>
        <v>0.36</v>
      </c>
      <c r="H19" s="39">
        <f t="shared" si="5"/>
        <v>0.27350000000000002</v>
      </c>
      <c r="I19" s="39">
        <f t="shared" si="5"/>
        <v>9.8000000000000004E-2</v>
      </c>
      <c r="J19" s="39">
        <f t="shared" si="5"/>
        <v>6.5000000000000006E-3</v>
      </c>
      <c r="K19" s="129">
        <f t="shared" si="5"/>
        <v>52.315789473684212</v>
      </c>
      <c r="L19" s="129">
        <f t="shared" si="5"/>
        <v>8.6842105263157894</v>
      </c>
      <c r="M19" s="39">
        <f t="shared" si="5"/>
        <v>0.35105263157894734</v>
      </c>
      <c r="N19" s="39">
        <f t="shared" si="5"/>
        <v>0.31894736842105259</v>
      </c>
      <c r="O19" s="39">
        <f t="shared" si="5"/>
        <v>0.2636842105263158</v>
      </c>
      <c r="P19" s="39">
        <f t="shared" si="5"/>
        <v>6.0000000000000005E-2</v>
      </c>
      <c r="Q19" s="39">
        <f t="shared" si="5"/>
        <v>5.7894736842105266E-3</v>
      </c>
      <c r="R19" s="129">
        <f t="shared" si="5"/>
        <v>54</v>
      </c>
      <c r="S19" s="129">
        <f t="shared" si="5"/>
        <v>8.6315789473684212</v>
      </c>
      <c r="T19" s="39">
        <f t="shared" si="5"/>
        <v>0.24578947368421053</v>
      </c>
      <c r="U19" s="39">
        <f t="shared" si="5"/>
        <v>0.41736842105263161</v>
      </c>
      <c r="V19" s="39">
        <f t="shared" si="5"/>
        <v>0.25105263157894742</v>
      </c>
      <c r="W19" s="39">
        <f t="shared" si="5"/>
        <v>7.4736842105263171E-2</v>
      </c>
      <c r="X19" s="39">
        <f t="shared" si="5"/>
        <v>8.9473684210526309E-3</v>
      </c>
      <c r="Y19" s="129">
        <f t="shared" si="5"/>
        <v>53.45</v>
      </c>
      <c r="Z19" s="129">
        <f t="shared" si="5"/>
        <v>9.6999999999999993</v>
      </c>
      <c r="AA19" s="39">
        <f t="shared" si="5"/>
        <v>0.27450000000000008</v>
      </c>
      <c r="AB19" s="39">
        <f t="shared" si="5"/>
        <v>0.38849999999999996</v>
      </c>
      <c r="AC19" s="39">
        <f t="shared" si="5"/>
        <v>0.24100000000000002</v>
      </c>
      <c r="AD19" s="39">
        <f t="shared" si="5"/>
        <v>8.5000000000000006E-2</v>
      </c>
      <c r="AE19" s="39">
        <f t="shared" si="5"/>
        <v>1.0999999999999999E-2</v>
      </c>
      <c r="AF19" s="129">
        <f t="shared" si="5"/>
        <v>48.583333333333336</v>
      </c>
      <c r="AG19" s="129">
        <f t="shared" si="5"/>
        <v>7.916666666666667</v>
      </c>
      <c r="AH19" s="39">
        <f t="shared" si="5"/>
        <v>0.50583333333333336</v>
      </c>
      <c r="AI19" s="39">
        <f t="shared" si="5"/>
        <v>0.31958333333333339</v>
      </c>
      <c r="AJ19" s="39">
        <f t="shared" si="5"/>
        <v>0.10124999999999999</v>
      </c>
      <c r="AK19" s="39">
        <f t="shared" si="5"/>
        <v>6.458333333333334E-2</v>
      </c>
      <c r="AL19" s="39">
        <f t="shared" si="5"/>
        <v>9.166666666666665E-3</v>
      </c>
      <c r="AM19" s="129">
        <f t="shared" si="5"/>
        <v>53.227272727272727</v>
      </c>
      <c r="AO19" s="129">
        <f>AVERAGEIF($C$36:$C$171,"=2",AO$36:AO$171)</f>
        <v>9.0909090909090917</v>
      </c>
      <c r="AQ19" s="39">
        <f t="shared" ref="AQ19:AV19" si="6">AVERAGEIF($C$36:$C$171,"=2",AQ$36:AQ$171)</f>
        <v>0.28499999999999998</v>
      </c>
      <c r="AR19" s="39">
        <f t="shared" si="6"/>
        <v>0.3736363636363636</v>
      </c>
      <c r="AS19" s="39">
        <f t="shared" si="6"/>
        <v>0.23727272727272722</v>
      </c>
      <c r="AT19" s="39">
        <f t="shared" si="6"/>
        <v>8.9090909090909096E-2</v>
      </c>
      <c r="AU19" s="39">
        <f t="shared" si="6"/>
        <v>1.3636363636363636E-2</v>
      </c>
      <c r="AV19" s="129">
        <f t="shared" si="6"/>
        <v>54.96</v>
      </c>
      <c r="AX19" s="129">
        <f>AVERAGEIF($C$36:$C$171,"=2",AX$36:AX$171)</f>
        <v>9.52</v>
      </c>
      <c r="AZ19" s="344">
        <f t="shared" ref="AZ19:BE19" si="7">AVERAGEIF($C$36:$C$171,"=2",AZ$36:AZ$171)</f>
        <v>0.25840000000000002</v>
      </c>
      <c r="BA19" s="344">
        <f t="shared" si="7"/>
        <v>0.28999999999999992</v>
      </c>
      <c r="BB19" s="344">
        <f t="shared" si="7"/>
        <v>0.3044</v>
      </c>
      <c r="BC19" s="344">
        <f t="shared" si="7"/>
        <v>0.13639999999999997</v>
      </c>
      <c r="BD19" s="344">
        <f t="shared" si="7"/>
        <v>1.2800000000000002E-2</v>
      </c>
      <c r="BE19" s="129">
        <f t="shared" si="7"/>
        <v>54.42307692307692</v>
      </c>
      <c r="BG19" s="129">
        <f>AVERAGEIF($C$36:$C$171,"=2",BG$36:BG$171)</f>
        <v>9.2692307692307701</v>
      </c>
      <c r="BI19" s="344">
        <f>AVERAGEIF($C$36:$C$171,"=2",BI$36:BI$171)</f>
        <v>0.30499999999999994</v>
      </c>
      <c r="BJ19" s="344">
        <f>AVERAGEIF($C$36:$C$171,"=2",BJ$36:BJ$171)</f>
        <v>0.32384615384615384</v>
      </c>
      <c r="BK19" s="344">
        <f>AVERAGEIF($C$36:$C$171,"=2",BK$36:BK$171)</f>
        <v>0.21269230769230768</v>
      </c>
      <c r="BL19" s="344">
        <f>AVERAGEIF($C$36:$C$171,"=2",BL$36:BL$171)</f>
        <v>0.14615384615384611</v>
      </c>
      <c r="BM19" s="344">
        <f>AVERAGEIF($C$36:$C$171,"=2",BM$36:BM$171)</f>
        <v>1.1538461538461537E-2</v>
      </c>
      <c r="BN19" s="129">
        <f t="shared" ref="BN19" si="8">AVERAGEIF($C$36:$C$171,"=2",BN$36:BN$171)</f>
        <v>56.041666666666664</v>
      </c>
      <c r="BP19" s="129">
        <f t="shared" ref="BP19" si="9">AVERAGEIF($C$36:$C$171,"=2",BP$36:BP$171)</f>
        <v>9.875</v>
      </c>
      <c r="BR19" s="344">
        <f t="shared" ref="BR19:BV19" si="10">AVERAGEIF($C$36:$C$171,"=2",BR$36:BR$171)</f>
        <v>0.25083333333333335</v>
      </c>
      <c r="BS19" s="344">
        <f t="shared" si="10"/>
        <v>0.32083333333333336</v>
      </c>
      <c r="BT19" s="344">
        <f t="shared" si="10"/>
        <v>0.25583333333333336</v>
      </c>
      <c r="BU19" s="344">
        <f t="shared" si="10"/>
        <v>0.14499999999999999</v>
      </c>
      <c r="BV19" s="344">
        <f t="shared" si="10"/>
        <v>2.7083333333333334E-2</v>
      </c>
    </row>
    <row r="20" spans="1:74" ht="24.95" customHeight="1" x14ac:dyDescent="0.2">
      <c r="A20" s="6" t="s">
        <v>246</v>
      </c>
      <c r="B20" s="6"/>
      <c r="C20" s="6"/>
      <c r="D20" s="129">
        <f t="shared" ref="D20:AM20" si="11">AVERAGEIF($C$36:$C$171,"=3",D$36:D$171)</f>
        <v>54.222222222222221</v>
      </c>
      <c r="E20" s="129">
        <f t="shared" si="11"/>
        <v>8.9444444444444446</v>
      </c>
      <c r="F20" s="39">
        <f t="shared" si="11"/>
        <v>0.25222222222222229</v>
      </c>
      <c r="G20" s="39">
        <f t="shared" si="11"/>
        <v>0.4005555555555555</v>
      </c>
      <c r="H20" s="39">
        <f t="shared" si="11"/>
        <v>0.27055555555555555</v>
      </c>
      <c r="I20" s="39">
        <f t="shared" si="11"/>
        <v>7.6666666666666661E-2</v>
      </c>
      <c r="J20" s="39">
        <f t="shared" si="11"/>
        <v>2.7777777777777779E-3</v>
      </c>
      <c r="K20" s="129">
        <f t="shared" si="11"/>
        <v>51.157894736842103</v>
      </c>
      <c r="L20" s="129">
        <f t="shared" si="11"/>
        <v>9.0526315789473681</v>
      </c>
      <c r="M20" s="39">
        <f t="shared" si="11"/>
        <v>0.3568421052631579</v>
      </c>
      <c r="N20" s="39">
        <f t="shared" si="11"/>
        <v>0.3936842105263158</v>
      </c>
      <c r="O20" s="39">
        <f t="shared" si="11"/>
        <v>0.19789473684210526</v>
      </c>
      <c r="P20" s="39">
        <f t="shared" si="11"/>
        <v>4.9473684210526329E-2</v>
      </c>
      <c r="Q20" s="39">
        <f t="shared" si="11"/>
        <v>3.6842105263157898E-3</v>
      </c>
      <c r="R20" s="129">
        <f t="shared" si="11"/>
        <v>52.842105263157897</v>
      </c>
      <c r="S20" s="129">
        <f t="shared" si="11"/>
        <v>8.7368421052631575</v>
      </c>
      <c r="T20" s="39">
        <f t="shared" si="11"/>
        <v>0.28526315789473689</v>
      </c>
      <c r="U20" s="39">
        <f t="shared" si="11"/>
        <v>0.41421052631578942</v>
      </c>
      <c r="V20" s="39">
        <f t="shared" si="11"/>
        <v>0.24684210526315792</v>
      </c>
      <c r="W20" s="39">
        <f t="shared" si="11"/>
        <v>4.7894736842105282E-2</v>
      </c>
      <c r="X20" s="39">
        <f t="shared" si="11"/>
        <v>4.7368421052631574E-3</v>
      </c>
      <c r="Y20" s="129">
        <f t="shared" si="11"/>
        <v>51.578947368421055</v>
      </c>
      <c r="Z20" s="129">
        <f t="shared" si="11"/>
        <v>9.473684210526315</v>
      </c>
      <c r="AA20" s="39">
        <f t="shared" si="11"/>
        <v>0.33473684210526317</v>
      </c>
      <c r="AB20" s="39">
        <f t="shared" si="11"/>
        <v>0.3978947368421053</v>
      </c>
      <c r="AC20" s="39">
        <f t="shared" si="11"/>
        <v>0.21000000000000002</v>
      </c>
      <c r="AD20" s="39">
        <f t="shared" si="11"/>
        <v>5.6842105263157895E-2</v>
      </c>
      <c r="AE20" s="39">
        <f t="shared" si="11"/>
        <v>1.5789473684210526E-3</v>
      </c>
      <c r="AF20" s="129">
        <f t="shared" si="11"/>
        <v>49.05</v>
      </c>
      <c r="AG20" s="129">
        <f t="shared" si="11"/>
        <v>8.5</v>
      </c>
      <c r="AH20" s="39">
        <f t="shared" si="11"/>
        <v>0.48</v>
      </c>
      <c r="AI20" s="39">
        <f t="shared" si="11"/>
        <v>0.35749999999999998</v>
      </c>
      <c r="AJ20" s="39">
        <f t="shared" si="11"/>
        <v>0.11499999999999999</v>
      </c>
      <c r="AK20" s="39">
        <f t="shared" si="11"/>
        <v>4.5999999999999999E-2</v>
      </c>
      <c r="AL20" s="39">
        <f t="shared" si="11"/>
        <v>1.5E-3</v>
      </c>
      <c r="AM20" s="129">
        <f t="shared" si="11"/>
        <v>52.25</v>
      </c>
      <c r="AO20" s="129">
        <f>AVERAGEIF($C$36:$C$171,"=3",AO$36:AO$171)</f>
        <v>10.1</v>
      </c>
      <c r="AQ20" s="39">
        <f t="shared" ref="AQ20:AV20" si="12">AVERAGEIF($C$36:$C$171,"=3",AQ$36:AQ$171)</f>
        <v>0.34799999999999998</v>
      </c>
      <c r="AR20" s="39">
        <f t="shared" si="12"/>
        <v>0.34050000000000002</v>
      </c>
      <c r="AS20" s="39">
        <f t="shared" si="12"/>
        <v>0.21599999999999997</v>
      </c>
      <c r="AT20" s="39">
        <f t="shared" si="12"/>
        <v>8.7000000000000008E-2</v>
      </c>
      <c r="AU20" s="39">
        <f t="shared" si="12"/>
        <v>9.0000000000000011E-3</v>
      </c>
      <c r="AV20" s="129">
        <f t="shared" si="12"/>
        <v>54.363636363636367</v>
      </c>
      <c r="AX20" s="129">
        <f>AVERAGEIF($C$36:$C$171,"=3",AX$36:AX$171)</f>
        <v>10.090909090909092</v>
      </c>
      <c r="AZ20" s="344">
        <f t="shared" ref="AZ20:BE20" si="13">AVERAGEIF($C$36:$C$171,"=3",AZ$36:AZ$171)</f>
        <v>0.27590909090909094</v>
      </c>
      <c r="BA20" s="344">
        <f t="shared" si="13"/>
        <v>0.33909090909090911</v>
      </c>
      <c r="BB20" s="344">
        <f t="shared" si="13"/>
        <v>0.25090909090909091</v>
      </c>
      <c r="BC20" s="344">
        <f t="shared" si="13"/>
        <v>0.12590909090909086</v>
      </c>
      <c r="BD20" s="344">
        <f t="shared" si="13"/>
        <v>1.0454545454545456E-2</v>
      </c>
      <c r="BE20" s="129">
        <f t="shared" si="13"/>
        <v>54.409090909090907</v>
      </c>
      <c r="BG20" s="129">
        <f>AVERAGEIF($C$36:$C$171,"=3",BG$36:BG$171)</f>
        <v>9.8636363636363633</v>
      </c>
      <c r="BI20" s="344">
        <f>AVERAGEIF($C$36:$C$171,"=3",BI$36:BI$171)</f>
        <v>0.26500000000000001</v>
      </c>
      <c r="BJ20" s="344">
        <f>AVERAGEIF($C$36:$C$171,"=3",BJ$36:BJ$171)</f>
        <v>0.36409090909090908</v>
      </c>
      <c r="BK20" s="344">
        <f>AVERAGEIF($C$36:$C$171,"=3",BK$36:BK$171)</f>
        <v>0.25727272727272732</v>
      </c>
      <c r="BL20" s="344">
        <f>AVERAGEIF($C$36:$C$171,"=3",BL$36:BL$171)</f>
        <v>9.6818181818181831E-2</v>
      </c>
      <c r="BM20" s="344">
        <f>AVERAGEIF($C$36:$C$171,"=3",BM$36:BM$171)</f>
        <v>1.6818181818181822E-2</v>
      </c>
      <c r="BN20" s="129">
        <f t="shared" ref="BN20" si="14">AVERAGEIF($C$36:$C$171,"=3",BN$36:BN$171)</f>
        <v>55.227272727272727</v>
      </c>
      <c r="BP20" s="129">
        <f t="shared" ref="BP20" si="15">AVERAGEIF($C$36:$C$171,"=3",BP$36:BP$171)</f>
        <v>10.045454545454545</v>
      </c>
      <c r="BR20" s="344">
        <f t="shared" ref="BR20:BV20" si="16">AVERAGEIF($C$36:$C$171,"=3",BR$36:BR$171)</f>
        <v>0.2372727272727273</v>
      </c>
      <c r="BS20" s="344">
        <f t="shared" si="16"/>
        <v>0.36227272727272725</v>
      </c>
      <c r="BT20" s="344">
        <f t="shared" si="16"/>
        <v>0.26090909090909098</v>
      </c>
      <c r="BU20" s="344">
        <f t="shared" si="16"/>
        <v>0.11909090909090909</v>
      </c>
      <c r="BV20" s="344">
        <f t="shared" si="16"/>
        <v>2.0000000000000004E-2</v>
      </c>
    </row>
    <row r="21" spans="1:74" ht="24.95" customHeight="1" x14ac:dyDescent="0.2">
      <c r="A21" s="6" t="s">
        <v>247</v>
      </c>
      <c r="B21" s="6"/>
      <c r="C21" s="6"/>
      <c r="D21" s="129">
        <f t="shared" ref="D21:AM21" si="17">AVERAGEIF($C$36:$C$171,"=4",D$36:D$171)</f>
        <v>50.785714285714285</v>
      </c>
      <c r="E21" s="129">
        <f t="shared" si="17"/>
        <v>8.4285714285714288</v>
      </c>
      <c r="F21" s="39">
        <f t="shared" si="17"/>
        <v>0.41285714285714292</v>
      </c>
      <c r="G21" s="39">
        <f t="shared" si="17"/>
        <v>0.36928571428571433</v>
      </c>
      <c r="H21" s="39">
        <f t="shared" si="17"/>
        <v>0.15928571428571428</v>
      </c>
      <c r="I21" s="39">
        <f t="shared" si="17"/>
        <v>5.8571428571428573E-2</v>
      </c>
      <c r="J21" s="39">
        <f t="shared" si="17"/>
        <v>7.1428571428571429E-4</v>
      </c>
      <c r="K21" s="129">
        <f t="shared" si="17"/>
        <v>49.466666666666669</v>
      </c>
      <c r="L21" s="129">
        <f t="shared" si="17"/>
        <v>7.4666666666666668</v>
      </c>
      <c r="M21" s="39">
        <f t="shared" si="17"/>
        <v>0.46666666666666667</v>
      </c>
      <c r="N21" s="39">
        <f t="shared" si="17"/>
        <v>0.32333333333333331</v>
      </c>
      <c r="O21" s="39">
        <f t="shared" si="17"/>
        <v>0.19533333333333333</v>
      </c>
      <c r="P21" s="39">
        <f t="shared" si="17"/>
        <v>1.6E-2</v>
      </c>
      <c r="Q21" s="39">
        <f t="shared" si="17"/>
        <v>6.6666666666666664E-4</v>
      </c>
      <c r="R21" s="129">
        <f t="shared" si="17"/>
        <v>52.133333333333333</v>
      </c>
      <c r="S21" s="129">
        <f t="shared" si="17"/>
        <v>8.2666666666666675</v>
      </c>
      <c r="T21" s="39">
        <f t="shared" si="17"/>
        <v>0.35133333333333339</v>
      </c>
      <c r="U21" s="39">
        <f t="shared" si="17"/>
        <v>0.37066666666666664</v>
      </c>
      <c r="V21" s="39">
        <f t="shared" si="17"/>
        <v>0.19400000000000001</v>
      </c>
      <c r="W21" s="39">
        <f t="shared" si="17"/>
        <v>7.8666666666666676E-2</v>
      </c>
      <c r="X21" s="39">
        <f t="shared" si="17"/>
        <v>4.6666666666666671E-3</v>
      </c>
      <c r="Y21" s="129">
        <f t="shared" si="17"/>
        <v>48.785714285714285</v>
      </c>
      <c r="Z21" s="129">
        <f t="shared" si="17"/>
        <v>8.7142857142857135</v>
      </c>
      <c r="AA21" s="39">
        <f t="shared" si="17"/>
        <v>0.45857142857142863</v>
      </c>
      <c r="AB21" s="39">
        <f t="shared" si="17"/>
        <v>0.36857142857142861</v>
      </c>
      <c r="AC21" s="39">
        <f t="shared" si="17"/>
        <v>0.15071428571428572</v>
      </c>
      <c r="AD21" s="39">
        <f t="shared" si="17"/>
        <v>2.2142857142857141E-2</v>
      </c>
      <c r="AE21" s="39">
        <f t="shared" si="17"/>
        <v>1.4285714285714286E-3</v>
      </c>
      <c r="AF21" s="129">
        <f t="shared" si="17"/>
        <v>45.846153846153847</v>
      </c>
      <c r="AG21" s="129">
        <f t="shared" si="17"/>
        <v>8.0769230769230766</v>
      </c>
      <c r="AH21" s="39">
        <f t="shared" si="17"/>
        <v>0.57923076923076922</v>
      </c>
      <c r="AI21" s="39">
        <f t="shared" si="17"/>
        <v>0.32692307692307693</v>
      </c>
      <c r="AJ21" s="39">
        <f t="shared" si="17"/>
        <v>8.3846153846153848E-2</v>
      </c>
      <c r="AK21" s="39">
        <f t="shared" si="17"/>
        <v>1.0769230769230771E-2</v>
      </c>
      <c r="AL21" s="39">
        <f t="shared" si="17"/>
        <v>0</v>
      </c>
      <c r="AM21" s="129">
        <f t="shared" si="17"/>
        <v>48.857142857142854</v>
      </c>
      <c r="AO21" s="129">
        <f>AVERAGEIF($C$36:$C$171,"=4",AO$36:AO$171)</f>
        <v>8.7142857142857135</v>
      </c>
      <c r="AQ21" s="39">
        <f t="shared" ref="AQ21:AV21" si="18">AVERAGEIF($C$36:$C$171,"=4",AQ$36:AQ$171)</f>
        <v>0.42928571428571433</v>
      </c>
      <c r="AR21" s="39">
        <f t="shared" si="18"/>
        <v>0.3978571428571428</v>
      </c>
      <c r="AS21" s="39">
        <f t="shared" si="18"/>
        <v>0.1357142857142857</v>
      </c>
      <c r="AT21" s="39">
        <f t="shared" si="18"/>
        <v>3.2857142857142856E-2</v>
      </c>
      <c r="AU21" s="39">
        <f t="shared" si="18"/>
        <v>4.2857142857142859E-3</v>
      </c>
      <c r="AV21" s="129">
        <f t="shared" si="18"/>
        <v>49.785714285714285</v>
      </c>
      <c r="AX21" s="129">
        <f>AVERAGEIF($C$36:$C$171,"=4",AX$36:AX$171)</f>
        <v>9.3571428571428577</v>
      </c>
      <c r="AZ21" s="344">
        <f t="shared" ref="AZ21:BE21" si="19">AVERAGEIF($C$36:$C$171,"=4",AZ$36:AZ$171)</f>
        <v>0.40571428571428575</v>
      </c>
      <c r="BA21" s="344">
        <f t="shared" si="19"/>
        <v>0.37499999999999994</v>
      </c>
      <c r="BB21" s="344">
        <f t="shared" si="19"/>
        <v>0.17</v>
      </c>
      <c r="BC21" s="344">
        <f t="shared" si="19"/>
        <v>4.9285714285714287E-2</v>
      </c>
      <c r="BD21" s="344">
        <f t="shared" si="19"/>
        <v>0</v>
      </c>
      <c r="BE21" s="129">
        <f t="shared" si="19"/>
        <v>49.266666666666666</v>
      </c>
      <c r="BG21" s="129">
        <f>AVERAGEIF($C$36:$C$171,"=4",BG$36:BG$171)</f>
        <v>8.9333333333333336</v>
      </c>
      <c r="BI21" s="344">
        <f>AVERAGEIF($C$36:$C$171,"=4",BI$36:BI$171)</f>
        <v>0.4433333333333333</v>
      </c>
      <c r="BJ21" s="344">
        <f>AVERAGEIF($C$36:$C$171,"=4",BJ$36:BJ$171)</f>
        <v>0.34933333333333327</v>
      </c>
      <c r="BK21" s="344">
        <f>AVERAGEIF($C$36:$C$171,"=4",BK$36:BK$171)</f>
        <v>0.16466666666666666</v>
      </c>
      <c r="BL21" s="344">
        <f>AVERAGEIF($C$36:$C$171,"=4",BL$36:BL$171)</f>
        <v>3.8666666666666669E-2</v>
      </c>
      <c r="BM21" s="344">
        <f>AVERAGEIF($C$36:$C$171,"=4",BM$36:BM$171)</f>
        <v>2E-3</v>
      </c>
      <c r="BN21" s="129">
        <f t="shared" ref="BN21" si="20">AVERAGEIF($C$36:$C$171,"=4",BN$36:BN$171)</f>
        <v>50.692307692307693</v>
      </c>
      <c r="BP21" s="129">
        <f t="shared" ref="BP21" si="21">AVERAGEIF($C$36:$C$171,"=4",BP$36:BP$171)</f>
        <v>9.3076923076923084</v>
      </c>
      <c r="BR21" s="344">
        <f t="shared" ref="BR21:BV21" si="22">AVERAGEIF($C$36:$C$171,"=4",BR$36:BR$171)</f>
        <v>0.40538461538461534</v>
      </c>
      <c r="BS21" s="344">
        <f t="shared" si="22"/>
        <v>0.34230769230769226</v>
      </c>
      <c r="BT21" s="344">
        <f t="shared" si="22"/>
        <v>0.17076923076923078</v>
      </c>
      <c r="BU21" s="344">
        <f t="shared" si="22"/>
        <v>7.3846153846153839E-2</v>
      </c>
      <c r="BV21" s="344">
        <f t="shared" si="22"/>
        <v>5.3846153846153853E-3</v>
      </c>
    </row>
    <row r="22" spans="1:74" ht="24.95" customHeight="1" x14ac:dyDescent="0.2">
      <c r="A22" s="6" t="s">
        <v>248</v>
      </c>
      <c r="B22" s="6"/>
      <c r="C22" s="6"/>
      <c r="D22" s="129">
        <f t="shared" ref="D22:AM22" si="23">AVERAGEIF($C$36:$C$171,"=5",D$36:D$171)</f>
        <v>57</v>
      </c>
      <c r="E22" s="129">
        <f t="shared" si="23"/>
        <v>9.1764705882352935</v>
      </c>
      <c r="F22" s="39">
        <f t="shared" si="23"/>
        <v>0.19411764705882351</v>
      </c>
      <c r="G22" s="39">
        <f t="shared" si="23"/>
        <v>0.36411764705882355</v>
      </c>
      <c r="H22" s="39">
        <f t="shared" si="23"/>
        <v>0.27352941176470591</v>
      </c>
      <c r="I22" s="39">
        <f t="shared" si="23"/>
        <v>0.15882352941176472</v>
      </c>
      <c r="J22" s="39">
        <f t="shared" si="23"/>
        <v>1.0588235294117647E-2</v>
      </c>
      <c r="K22" s="129">
        <f t="shared" si="23"/>
        <v>55.411764705882355</v>
      </c>
      <c r="L22" s="129">
        <f t="shared" si="23"/>
        <v>8.764705882352942</v>
      </c>
      <c r="M22" s="39">
        <f t="shared" si="23"/>
        <v>0.22352941176470589</v>
      </c>
      <c r="N22" s="39">
        <f t="shared" si="23"/>
        <v>0.34411764705882358</v>
      </c>
      <c r="O22" s="39">
        <f t="shared" si="23"/>
        <v>0.33235294117647057</v>
      </c>
      <c r="P22" s="39">
        <f t="shared" si="23"/>
        <v>8.529411764705884E-2</v>
      </c>
      <c r="Q22" s="39">
        <f t="shared" si="23"/>
        <v>1.5882352941176472E-2</v>
      </c>
      <c r="R22" s="129">
        <f t="shared" si="23"/>
        <v>55.833333333333336</v>
      </c>
      <c r="S22" s="129">
        <f t="shared" si="23"/>
        <v>8.7222222222222214</v>
      </c>
      <c r="T22" s="39">
        <f t="shared" si="23"/>
        <v>0.19166666666666665</v>
      </c>
      <c r="U22" s="39">
        <f t="shared" si="23"/>
        <v>0.38500000000000001</v>
      </c>
      <c r="V22" s="39">
        <f t="shared" si="23"/>
        <v>0.27500000000000008</v>
      </c>
      <c r="W22" s="39">
        <f t="shared" si="23"/>
        <v>0.13</v>
      </c>
      <c r="X22" s="39">
        <f t="shared" si="23"/>
        <v>1.666666666666667E-2</v>
      </c>
      <c r="Y22" s="129">
        <f t="shared" si="23"/>
        <v>55.10526315789474</v>
      </c>
      <c r="Z22" s="129">
        <f t="shared" si="23"/>
        <v>9.1052631578947363</v>
      </c>
      <c r="AA22" s="39">
        <f t="shared" si="23"/>
        <v>0.24526315789473685</v>
      </c>
      <c r="AB22" s="39">
        <f t="shared" si="23"/>
        <v>0.34789473684210526</v>
      </c>
      <c r="AC22" s="39">
        <f t="shared" si="23"/>
        <v>0.29842105263157898</v>
      </c>
      <c r="AD22" s="39">
        <f t="shared" si="23"/>
        <v>0.10894736842105264</v>
      </c>
      <c r="AE22" s="39">
        <f t="shared" si="23"/>
        <v>1.0526315789473684E-3</v>
      </c>
      <c r="AF22" s="129">
        <f t="shared" si="23"/>
        <v>51.166666666666664</v>
      </c>
      <c r="AG22" s="129">
        <f t="shared" si="23"/>
        <v>9.0555555555555554</v>
      </c>
      <c r="AH22" s="39">
        <f t="shared" si="23"/>
        <v>0.34555555555555556</v>
      </c>
      <c r="AI22" s="39">
        <f t="shared" si="23"/>
        <v>0.41000000000000003</v>
      </c>
      <c r="AJ22" s="39">
        <f t="shared" si="23"/>
        <v>0.18277777777777779</v>
      </c>
      <c r="AK22" s="39">
        <f t="shared" si="23"/>
        <v>6.2222222222222227E-2</v>
      </c>
      <c r="AL22" s="39">
        <f t="shared" si="23"/>
        <v>5.5555555555555556E-4</v>
      </c>
      <c r="AM22" s="129">
        <f t="shared" si="23"/>
        <v>56.111111111111114</v>
      </c>
      <c r="AO22" s="129">
        <f>AVERAGEIF($C$36:$C$171,"=5",AO$36:AO$171)</f>
        <v>9.6111111111111107</v>
      </c>
      <c r="AQ22" s="39">
        <f t="shared" ref="AQ22:AV22" si="24">AVERAGEIF($C$36:$C$171,"=5",AQ$36:AQ$171)</f>
        <v>0.20277777777777775</v>
      </c>
      <c r="AR22" s="39">
        <f t="shared" si="24"/>
        <v>0.37888888888888883</v>
      </c>
      <c r="AS22" s="39">
        <f t="shared" si="24"/>
        <v>0.27277777777777779</v>
      </c>
      <c r="AT22" s="39">
        <f t="shared" si="24"/>
        <v>0.14000000000000001</v>
      </c>
      <c r="AU22" s="39">
        <f t="shared" si="24"/>
        <v>5.5555555555555558E-3</v>
      </c>
      <c r="AV22" s="129">
        <f t="shared" si="24"/>
        <v>57.117647058823529</v>
      </c>
      <c r="AX22" s="129">
        <f>AVERAGEIF($C$36:$C$171,"=5",AX$36:AX$171)</f>
        <v>9.4117647058823533</v>
      </c>
      <c r="AZ22" s="344">
        <f t="shared" ref="AZ22:BE22" si="25">AVERAGEIF($C$36:$C$171,"=5",AZ$36:AZ$171)</f>
        <v>0.15235294117647055</v>
      </c>
      <c r="BA22" s="344">
        <f t="shared" si="25"/>
        <v>0.36176470588235299</v>
      </c>
      <c r="BB22" s="344">
        <f t="shared" si="25"/>
        <v>0.32470588235294118</v>
      </c>
      <c r="BC22" s="344">
        <f t="shared" si="25"/>
        <v>0.14235294117647057</v>
      </c>
      <c r="BD22" s="344">
        <f t="shared" si="25"/>
        <v>1.7058823529411765E-2</v>
      </c>
      <c r="BE22" s="129">
        <f t="shared" si="25"/>
        <v>57.470588235294116</v>
      </c>
      <c r="BG22" s="129">
        <f>AVERAGEIF($C$36:$C$171,"=5",BG$36:BG$171)</f>
        <v>9.7058823529411757</v>
      </c>
      <c r="BI22" s="344">
        <f>AVERAGEIF($C$36:$C$171,"=5",BI$36:BI$171)</f>
        <v>0.19000000000000006</v>
      </c>
      <c r="BJ22" s="344">
        <f>AVERAGEIF($C$36:$C$171,"=5",BJ$36:BJ$171)</f>
        <v>0.30176470588235293</v>
      </c>
      <c r="BK22" s="344">
        <f>AVERAGEIF($C$36:$C$171,"=5",BK$36:BK$171)</f>
        <v>0.3294117647058824</v>
      </c>
      <c r="BL22" s="344">
        <f>AVERAGEIF($C$36:$C$171,"=5",BL$36:BL$171)</f>
        <v>0.15647058823529411</v>
      </c>
      <c r="BM22" s="344">
        <f>AVERAGEIF($C$36:$C$171,"=5",BM$36:BM$171)</f>
        <v>2.2941176470588236E-2</v>
      </c>
      <c r="BN22" s="129">
        <f t="shared" ref="BN22" si="26">AVERAGEIF($C$36:$C$171,"=5",BN$36:BN$171)</f>
        <v>56.222222222222221</v>
      </c>
      <c r="BP22" s="129">
        <f t="shared" ref="BP22" si="27">AVERAGEIF($C$36:$C$171,"=5",BP$36:BP$171)</f>
        <v>9.7777777777777786</v>
      </c>
      <c r="BR22" s="344">
        <f t="shared" ref="BR22:BV22" si="28">AVERAGEIF($C$36:$C$171,"=5",BR$36:BR$171)</f>
        <v>0.21166666666666661</v>
      </c>
      <c r="BS22" s="344">
        <f t="shared" si="28"/>
        <v>0.34277777777777785</v>
      </c>
      <c r="BT22" s="344">
        <f t="shared" si="28"/>
        <v>0.28444444444444444</v>
      </c>
      <c r="BU22" s="344">
        <f t="shared" si="28"/>
        <v>0.13666666666666666</v>
      </c>
      <c r="BV22" s="344">
        <f t="shared" si="28"/>
        <v>2.6666666666666665E-2</v>
      </c>
    </row>
    <row r="23" spans="1:74" ht="24.95" customHeight="1" x14ac:dyDescent="0.2">
      <c r="A23" s="6" t="s">
        <v>249</v>
      </c>
      <c r="B23" s="6"/>
      <c r="C23" s="6"/>
      <c r="D23" s="129">
        <f t="shared" ref="D23:AM23" si="29">AVERAGEIF($C$36:$C$171,"=6",D$36:D$171)</f>
        <v>54.2</v>
      </c>
      <c r="E23" s="129">
        <f t="shared" si="29"/>
        <v>8.3333333333333339</v>
      </c>
      <c r="F23" s="39">
        <f t="shared" si="29"/>
        <v>0.30066666666666664</v>
      </c>
      <c r="G23" s="39">
        <f t="shared" si="29"/>
        <v>0.34599999999999997</v>
      </c>
      <c r="H23" s="39">
        <f t="shared" si="29"/>
        <v>0.28066666666666668</v>
      </c>
      <c r="I23" s="39">
        <f t="shared" si="29"/>
        <v>6.6666666666666666E-2</v>
      </c>
      <c r="J23" s="39">
        <f t="shared" si="29"/>
        <v>4.0000000000000001E-3</v>
      </c>
      <c r="K23" s="129">
        <f t="shared" si="29"/>
        <v>50.93333333333333</v>
      </c>
      <c r="L23" s="129">
        <f t="shared" si="29"/>
        <v>9.3333333333333339</v>
      </c>
      <c r="M23" s="39">
        <f t="shared" si="29"/>
        <v>0.43199999999999988</v>
      </c>
      <c r="N23" s="39">
        <f t="shared" si="29"/>
        <v>0.34466666666666668</v>
      </c>
      <c r="O23" s="39">
        <f t="shared" si="29"/>
        <v>0.1566666666666667</v>
      </c>
      <c r="P23" s="39">
        <f t="shared" si="29"/>
        <v>6.0666666666666674E-2</v>
      </c>
      <c r="Q23" s="39">
        <f t="shared" si="29"/>
        <v>7.3333333333333332E-3</v>
      </c>
      <c r="R23" s="129">
        <f t="shared" si="29"/>
        <v>52.357142857142854</v>
      </c>
      <c r="S23" s="129">
        <f t="shared" si="29"/>
        <v>8.5714285714285712</v>
      </c>
      <c r="T23" s="39">
        <f t="shared" si="29"/>
        <v>0.29928571428571432</v>
      </c>
      <c r="U23" s="39">
        <f t="shared" si="29"/>
        <v>0.45714285714285713</v>
      </c>
      <c r="V23" s="39">
        <f t="shared" si="29"/>
        <v>0.17571428571428571</v>
      </c>
      <c r="W23" s="39">
        <f t="shared" si="29"/>
        <v>6.2857142857142848E-2</v>
      </c>
      <c r="X23" s="39">
        <f t="shared" si="29"/>
        <v>5.0000000000000001E-3</v>
      </c>
      <c r="Y23" s="129">
        <f t="shared" si="29"/>
        <v>51.733333333333334</v>
      </c>
      <c r="Z23" s="129">
        <f t="shared" si="29"/>
        <v>9.1999999999999993</v>
      </c>
      <c r="AA23" s="39">
        <f t="shared" si="29"/>
        <v>0.35933333333333334</v>
      </c>
      <c r="AB23" s="39">
        <f t="shared" si="29"/>
        <v>0.36866666666666664</v>
      </c>
      <c r="AC23" s="39">
        <f t="shared" si="29"/>
        <v>0.19466666666666665</v>
      </c>
      <c r="AD23" s="39">
        <f t="shared" si="29"/>
        <v>7.2000000000000022E-2</v>
      </c>
      <c r="AE23" s="39">
        <f t="shared" si="29"/>
        <v>8.0000000000000002E-3</v>
      </c>
      <c r="AF23" s="129">
        <f t="shared" si="29"/>
        <v>47.588235294117645</v>
      </c>
      <c r="AG23" s="129">
        <f t="shared" si="29"/>
        <v>9.0588235294117645</v>
      </c>
      <c r="AH23" s="39">
        <f t="shared" si="29"/>
        <v>0.53941176470588237</v>
      </c>
      <c r="AI23" s="39">
        <f t="shared" si="29"/>
        <v>0.30705882352941172</v>
      </c>
      <c r="AJ23" s="39">
        <f t="shared" si="29"/>
        <v>0.1123529411764706</v>
      </c>
      <c r="AK23" s="39">
        <f t="shared" si="29"/>
        <v>3.9411764705882354E-2</v>
      </c>
      <c r="AL23" s="39">
        <f t="shared" si="29"/>
        <v>2.9411764705882353E-3</v>
      </c>
      <c r="AM23" s="129">
        <f t="shared" si="29"/>
        <v>53.117647058823529</v>
      </c>
      <c r="AO23" s="129">
        <f>AVERAGEIF($C$36:$C$171,"=6",AO$36:AO$171)</f>
        <v>9.4117647058823533</v>
      </c>
      <c r="AQ23" s="39">
        <f t="shared" ref="AQ23:AV23" si="30">AVERAGEIF($C$36:$C$171,"=6",AQ$36:AQ$171)</f>
        <v>0.25588235294117645</v>
      </c>
      <c r="AR23" s="39">
        <f t="shared" si="30"/>
        <v>0.40705882352941175</v>
      </c>
      <c r="AS23" s="39">
        <f t="shared" si="30"/>
        <v>0.24529411764705883</v>
      </c>
      <c r="AT23" s="39">
        <f t="shared" si="30"/>
        <v>7.823529411764707E-2</v>
      </c>
      <c r="AU23" s="39">
        <f t="shared" si="30"/>
        <v>1.5294117647058824E-2</v>
      </c>
      <c r="AV23" s="129">
        <f t="shared" si="30"/>
        <v>53.842105263157897</v>
      </c>
      <c r="AX23" s="129">
        <f>AVERAGEIF($C$36:$C$171,"=6",AX$36:AX$171)</f>
        <v>9.8947368421052637</v>
      </c>
      <c r="AZ23" s="344">
        <f t="shared" ref="AZ23:BE23" si="31">AVERAGEIF($C$36:$C$171,"=6",AZ$36:AZ$171)</f>
        <v>0.28526315789473689</v>
      </c>
      <c r="BA23" s="344">
        <f t="shared" si="31"/>
        <v>0.37210526315789477</v>
      </c>
      <c r="BB23" s="344">
        <f t="shared" si="31"/>
        <v>0.23684210526315788</v>
      </c>
      <c r="BC23" s="344">
        <f t="shared" si="31"/>
        <v>9.736842105263159E-2</v>
      </c>
      <c r="BD23" s="344">
        <f t="shared" si="31"/>
        <v>8.4210526315789454E-3</v>
      </c>
      <c r="BE23" s="129">
        <f t="shared" si="31"/>
        <v>53.8</v>
      </c>
      <c r="BG23" s="129">
        <f>AVERAGEIF($C$36:$C$171,"=6",BG$36:BG$171)</f>
        <v>9.25</v>
      </c>
      <c r="BI23" s="344">
        <f>AVERAGEIF($C$36:$C$171,"=6",BI$36:BI$171)</f>
        <v>0.27999999999999997</v>
      </c>
      <c r="BJ23" s="344">
        <f>AVERAGEIF($C$36:$C$171,"=6",BJ$36:BJ$171)</f>
        <v>0.38849999999999996</v>
      </c>
      <c r="BK23" s="344">
        <f>AVERAGEIF($C$36:$C$171,"=6",BK$36:BK$171)</f>
        <v>0.21300000000000002</v>
      </c>
      <c r="BL23" s="344">
        <f>AVERAGEIF($C$36:$C$171,"=6",BL$36:BL$171)</f>
        <v>0.11150000000000002</v>
      </c>
      <c r="BM23" s="344">
        <f>AVERAGEIF($C$36:$C$171,"=6",BM$36:BM$171)</f>
        <v>6.5000000000000006E-3</v>
      </c>
      <c r="BN23" s="129">
        <f t="shared" ref="BN23" si="32">AVERAGEIF($C$36:$C$171,"=6",BN$36:BN$171)</f>
        <v>54.833333333333336</v>
      </c>
      <c r="BP23" s="129">
        <f t="shared" ref="BP23" si="33">AVERAGEIF($C$36:$C$171,"=6",BP$36:BP$171)</f>
        <v>10.166666666666666</v>
      </c>
      <c r="BR23" s="344">
        <f t="shared" ref="BR23:BV23" si="34">AVERAGEIF($C$36:$C$171,"=6",BR$36:BR$171)</f>
        <v>0.27333333333333321</v>
      </c>
      <c r="BS23" s="344">
        <f t="shared" si="34"/>
        <v>0.33722222222222226</v>
      </c>
      <c r="BT23" s="344">
        <f t="shared" si="34"/>
        <v>0.26222222222222219</v>
      </c>
      <c r="BU23" s="344">
        <f t="shared" si="34"/>
        <v>0.10944444444444448</v>
      </c>
      <c r="BV23" s="344">
        <f t="shared" si="34"/>
        <v>2.2222222222222223E-2</v>
      </c>
    </row>
    <row r="24" spans="1:74" ht="24.95" customHeight="1" x14ac:dyDescent="0.2">
      <c r="A24" s="6" t="s">
        <v>895</v>
      </c>
      <c r="B24" s="301"/>
      <c r="C24" s="301"/>
      <c r="D24" s="129">
        <f t="shared" ref="D24:AM24" si="35">AVERAGEIFS(D$36:D$171,$C$36:$C$171,"=1", $B$36:$B$171,"OFICIAL")</f>
        <v>52.25</v>
      </c>
      <c r="E24" s="129">
        <f t="shared" si="35"/>
        <v>8.5</v>
      </c>
      <c r="F24" s="39">
        <f t="shared" si="35"/>
        <v>0.31</v>
      </c>
      <c r="G24" s="39">
        <f t="shared" si="35"/>
        <v>0.41250000000000003</v>
      </c>
      <c r="H24" s="39">
        <f t="shared" si="35"/>
        <v>0.23750000000000002</v>
      </c>
      <c r="I24" s="39">
        <f t="shared" si="35"/>
        <v>3.7500000000000006E-2</v>
      </c>
      <c r="J24" s="39">
        <f t="shared" si="35"/>
        <v>0</v>
      </c>
      <c r="K24" s="129">
        <f t="shared" si="35"/>
        <v>49.5</v>
      </c>
      <c r="L24" s="129">
        <f t="shared" si="35"/>
        <v>8.25</v>
      </c>
      <c r="M24" s="39">
        <f t="shared" si="35"/>
        <v>0.43750000000000006</v>
      </c>
      <c r="N24" s="39">
        <f t="shared" si="35"/>
        <v>0.38</v>
      </c>
      <c r="O24" s="39">
        <f t="shared" si="35"/>
        <v>0.1575</v>
      </c>
      <c r="P24" s="39">
        <f t="shared" si="35"/>
        <v>2.5000000000000001E-2</v>
      </c>
      <c r="Q24" s="39">
        <f t="shared" si="35"/>
        <v>2.5000000000000001E-3</v>
      </c>
      <c r="R24" s="129">
        <f t="shared" si="35"/>
        <v>51.5</v>
      </c>
      <c r="S24" s="129">
        <f t="shared" si="35"/>
        <v>9</v>
      </c>
      <c r="T24" s="39">
        <f t="shared" si="35"/>
        <v>0.33499999999999996</v>
      </c>
      <c r="U24" s="39">
        <f t="shared" si="35"/>
        <v>0.41249999999999998</v>
      </c>
      <c r="V24" s="39">
        <f t="shared" si="35"/>
        <v>0.2</v>
      </c>
      <c r="W24" s="39">
        <f t="shared" si="35"/>
        <v>0.05</v>
      </c>
      <c r="X24" s="39">
        <f t="shared" si="35"/>
        <v>5.0000000000000001E-3</v>
      </c>
      <c r="Y24" s="129">
        <f t="shared" si="35"/>
        <v>50.25</v>
      </c>
      <c r="Z24" s="129">
        <f t="shared" si="35"/>
        <v>9.75</v>
      </c>
      <c r="AA24" s="39">
        <f t="shared" si="35"/>
        <v>0.38</v>
      </c>
      <c r="AB24" s="39">
        <f t="shared" si="35"/>
        <v>0.41</v>
      </c>
      <c r="AC24" s="39">
        <f t="shared" si="35"/>
        <v>0.16499999999999998</v>
      </c>
      <c r="AD24" s="39">
        <f t="shared" si="35"/>
        <v>0.04</v>
      </c>
      <c r="AE24" s="39">
        <f t="shared" si="35"/>
        <v>7.4999999999999997E-3</v>
      </c>
      <c r="AF24" s="129">
        <f t="shared" si="35"/>
        <v>46.5</v>
      </c>
      <c r="AG24" s="129">
        <f t="shared" si="35"/>
        <v>8.75</v>
      </c>
      <c r="AH24" s="39">
        <f t="shared" si="35"/>
        <v>0.60250000000000004</v>
      </c>
      <c r="AI24" s="39">
        <f t="shared" si="35"/>
        <v>0.29749999999999999</v>
      </c>
      <c r="AJ24" s="39">
        <f t="shared" si="35"/>
        <v>6.7500000000000004E-2</v>
      </c>
      <c r="AK24" s="39">
        <f t="shared" si="35"/>
        <v>0.03</v>
      </c>
      <c r="AL24" s="39">
        <f t="shared" si="35"/>
        <v>2.5000000000000001E-3</v>
      </c>
      <c r="AM24" s="129">
        <f t="shared" si="35"/>
        <v>49.5</v>
      </c>
      <c r="AO24" s="129">
        <f>AVERAGEIFS(AO$36:AO$171,$C$36:$C$171,"=1", $B$36:$B$171,"OFICIAL")</f>
        <v>9.75</v>
      </c>
      <c r="AQ24" s="39">
        <f t="shared" ref="AQ24:AV24" si="36">AVERAGEIFS(AQ$36:AQ$171,$C$36:$C$171,"=1", $B$36:$B$171,"OFICIAL")</f>
        <v>0.40500000000000003</v>
      </c>
      <c r="AR24" s="39">
        <f t="shared" si="36"/>
        <v>0.39749999999999996</v>
      </c>
      <c r="AS24" s="39">
        <f t="shared" si="36"/>
        <v>0.1575</v>
      </c>
      <c r="AT24" s="39">
        <f t="shared" si="36"/>
        <v>4.2500000000000003E-2</v>
      </c>
      <c r="AU24" s="39">
        <f t="shared" si="36"/>
        <v>0</v>
      </c>
      <c r="AV24" s="129">
        <f t="shared" si="36"/>
        <v>49.6</v>
      </c>
      <c r="AX24" s="129">
        <f>AVERAGEIFS(AX$36:AX$171,$C$36:$C$171,"=1", $B$36:$B$171,"OFICIAL")</f>
        <v>9.6</v>
      </c>
      <c r="AZ24" s="344">
        <f t="shared" ref="AZ24:BE24" si="37">AVERAGEIFS(AZ$36:AZ$171,$C$36:$C$171,"=1", $B$36:$B$171,"OFICIAL")</f>
        <v>0.42199999999999999</v>
      </c>
      <c r="BA24" s="344">
        <f t="shared" si="37"/>
        <v>0.38999999999999996</v>
      </c>
      <c r="BB24" s="344">
        <f t="shared" si="37"/>
        <v>0.152</v>
      </c>
      <c r="BC24" s="344">
        <f t="shared" si="37"/>
        <v>3.5999999999999997E-2</v>
      </c>
      <c r="BD24" s="344">
        <f t="shared" si="37"/>
        <v>2E-3</v>
      </c>
      <c r="BE24" s="129">
        <f t="shared" si="37"/>
        <v>49.8</v>
      </c>
      <c r="BG24" s="129">
        <f>AVERAGEIFS(BG$36:BG$171,$C$36:$C$171,"=1", $B$36:$B$171,"OFICIAL")</f>
        <v>9.4</v>
      </c>
      <c r="BI24" s="344">
        <f>AVERAGEIFS(BI$36:BI$171,$C$36:$C$171,"=1", $B$36:$B$171,"OFICIAL")</f>
        <v>0.39800000000000002</v>
      </c>
      <c r="BJ24" s="344">
        <f>AVERAGEIFS(BJ$36:BJ$171,$C$36:$C$171,"=1", $B$36:$B$171,"OFICIAL")</f>
        <v>0.41399999999999998</v>
      </c>
      <c r="BK24" s="344">
        <f>AVERAGEIFS(BK$36:BK$171,$C$36:$C$171,"=1", $B$36:$B$171,"OFICIAL")</f>
        <v>0.156</v>
      </c>
      <c r="BL24" s="344">
        <f>AVERAGEIFS(BL$36:BL$171,$C$36:$C$171,"=1", $B$36:$B$171,"OFICIAL")</f>
        <v>2.8000000000000004E-2</v>
      </c>
      <c r="BM24" s="344">
        <f>AVERAGEIFS(BM$36:BM$171,$C$36:$C$171,"=1", $B$36:$B$171,"OFICIAL")</f>
        <v>6.0000000000000001E-3</v>
      </c>
      <c r="BN24" s="494">
        <f t="shared" ref="BN24" si="38">AVERAGEIFS(BN$36:BN$171,$C$36:$C$171,"=1", $B$36:$B$171,"OFICIAL")</f>
        <v>50.6</v>
      </c>
      <c r="BP24" s="302">
        <f>AVERAGEIFS(BP$36:BP$171,$C$36:$C$171,"=1", $B$36:$B$171,"OFICIAL")</f>
        <v>9.4</v>
      </c>
      <c r="BR24" s="345">
        <f t="shared" ref="BR24:BV24" si="39">AVERAGEIFS(BR$36:BR$171,$C$36:$C$171,"=1", $B$36:$B$171,"OFICIAL")</f>
        <v>0.39400000000000002</v>
      </c>
      <c r="BS24" s="345">
        <f t="shared" si="39"/>
        <v>0.39600000000000002</v>
      </c>
      <c r="BT24" s="345">
        <f t="shared" si="39"/>
        <v>0.154</v>
      </c>
      <c r="BU24" s="345">
        <f t="shared" si="39"/>
        <v>5.2000000000000005E-2</v>
      </c>
      <c r="BV24" s="345">
        <f t="shared" si="39"/>
        <v>2E-3</v>
      </c>
    </row>
    <row r="25" spans="1:74" ht="24.95" customHeight="1" x14ac:dyDescent="0.2">
      <c r="A25" s="6" t="s">
        <v>896</v>
      </c>
      <c r="B25" s="301"/>
      <c r="C25" s="301"/>
      <c r="D25" s="129">
        <f t="shared" ref="D25:AM25" si="40">AVERAGEIFS(D$36:D$171,$C$36:$C$171,"=2", $B$36:$B$171,"OFICIAL")</f>
        <v>52</v>
      </c>
      <c r="E25" s="129">
        <f t="shared" si="40"/>
        <v>8.5</v>
      </c>
      <c r="F25" s="39">
        <f t="shared" si="40"/>
        <v>0.33</v>
      </c>
      <c r="G25" s="39">
        <f t="shared" si="40"/>
        <v>0.41000000000000003</v>
      </c>
      <c r="H25" s="39">
        <f t="shared" si="40"/>
        <v>0.22500000000000001</v>
      </c>
      <c r="I25" s="39">
        <f t="shared" si="40"/>
        <v>0.04</v>
      </c>
      <c r="J25" s="39">
        <f t="shared" si="40"/>
        <v>0</v>
      </c>
      <c r="K25" s="129">
        <f t="shared" si="40"/>
        <v>50.5</v>
      </c>
      <c r="L25" s="129">
        <f t="shared" si="40"/>
        <v>9</v>
      </c>
      <c r="M25" s="39">
        <f t="shared" si="40"/>
        <v>0.39500000000000002</v>
      </c>
      <c r="N25" s="39">
        <f t="shared" si="40"/>
        <v>0.39</v>
      </c>
      <c r="O25" s="39">
        <f t="shared" si="40"/>
        <v>0.18</v>
      </c>
      <c r="P25" s="39">
        <f t="shared" si="40"/>
        <v>0.03</v>
      </c>
      <c r="Q25" s="39">
        <f t="shared" si="40"/>
        <v>0</v>
      </c>
      <c r="R25" s="129">
        <f t="shared" si="40"/>
        <v>51.5</v>
      </c>
      <c r="S25" s="129">
        <f t="shared" si="40"/>
        <v>9</v>
      </c>
      <c r="T25" s="39">
        <f t="shared" si="40"/>
        <v>0.34499999999999997</v>
      </c>
      <c r="U25" s="39">
        <f t="shared" si="40"/>
        <v>0.40500000000000003</v>
      </c>
      <c r="V25" s="39">
        <f t="shared" si="40"/>
        <v>0.2</v>
      </c>
      <c r="W25" s="39">
        <f t="shared" si="40"/>
        <v>4.4999999999999998E-2</v>
      </c>
      <c r="X25" s="39">
        <f t="shared" si="40"/>
        <v>0</v>
      </c>
      <c r="Y25" s="129">
        <f t="shared" si="40"/>
        <v>51</v>
      </c>
      <c r="Z25" s="129">
        <f t="shared" si="40"/>
        <v>9.5</v>
      </c>
      <c r="AA25" s="39">
        <f t="shared" si="40"/>
        <v>0.375</v>
      </c>
      <c r="AB25" s="39">
        <f t="shared" si="40"/>
        <v>0.39</v>
      </c>
      <c r="AC25" s="39">
        <f t="shared" si="40"/>
        <v>0.19</v>
      </c>
      <c r="AD25" s="39">
        <f t="shared" si="40"/>
        <v>4.4999999999999998E-2</v>
      </c>
      <c r="AE25" s="39">
        <f t="shared" si="40"/>
        <v>0</v>
      </c>
      <c r="AF25" s="129">
        <f t="shared" si="40"/>
        <v>47</v>
      </c>
      <c r="AG25" s="129">
        <f t="shared" si="40"/>
        <v>8.5</v>
      </c>
      <c r="AH25" s="39">
        <f t="shared" si="40"/>
        <v>0.57499999999999996</v>
      </c>
      <c r="AI25" s="39">
        <f t="shared" si="40"/>
        <v>0.32</v>
      </c>
      <c r="AJ25" s="39">
        <f t="shared" si="40"/>
        <v>0.08</v>
      </c>
      <c r="AK25" s="39">
        <f t="shared" si="40"/>
        <v>2.5000000000000001E-2</v>
      </c>
      <c r="AL25" s="39">
        <f t="shared" si="40"/>
        <v>0</v>
      </c>
      <c r="AM25" s="129">
        <f t="shared" si="40"/>
        <v>50</v>
      </c>
      <c r="AO25" s="129">
        <f>AVERAGEIFS(AO$36:AO$171,$C$36:$C$171,"=2", $B$36:$B$171,"OFICIAL")</f>
        <v>10</v>
      </c>
      <c r="AQ25" s="39">
        <f t="shared" ref="AQ25:AV25" si="41">AVERAGEIFS(AQ$36:AQ$171,$C$36:$C$171,"=2", $B$36:$B$171,"OFICIAL")</f>
        <v>0.40500000000000003</v>
      </c>
      <c r="AR25" s="39">
        <f t="shared" si="41"/>
        <v>0.38</v>
      </c>
      <c r="AS25" s="39">
        <f t="shared" si="41"/>
        <v>0.16500000000000001</v>
      </c>
      <c r="AT25" s="39">
        <f t="shared" si="41"/>
        <v>4.4999999999999998E-2</v>
      </c>
      <c r="AU25" s="39">
        <f t="shared" si="41"/>
        <v>0</v>
      </c>
      <c r="AV25" s="129">
        <f t="shared" si="41"/>
        <v>50.5</v>
      </c>
      <c r="AX25" s="129">
        <f>AVERAGEIFS(AX$36:AX$171,$C$36:$C$171,"=2", $B$36:$B$171,"OFICIAL")</f>
        <v>9.5</v>
      </c>
      <c r="AZ25" s="344">
        <f t="shared" ref="AZ25:BE25" si="42">AVERAGEIFS(AZ$36:AZ$171,$C$36:$C$171,"=2", $B$36:$B$171,"OFICIAL")</f>
        <v>0.39500000000000002</v>
      </c>
      <c r="BA25" s="344">
        <f t="shared" si="42"/>
        <v>0.35000000000000003</v>
      </c>
      <c r="BB25" s="344">
        <f t="shared" si="42"/>
        <v>0.20499999999999999</v>
      </c>
      <c r="BC25" s="344">
        <f t="shared" si="42"/>
        <v>5.2500000000000005E-2</v>
      </c>
      <c r="BD25" s="344">
        <f t="shared" si="42"/>
        <v>2.5000000000000001E-3</v>
      </c>
      <c r="BE25" s="129">
        <f t="shared" si="42"/>
        <v>51</v>
      </c>
      <c r="BG25" s="129">
        <f>AVERAGEIFS(BG$36:BG$171,$C$36:$C$171,"=2", $B$36:$B$171,"OFICIAL")</f>
        <v>9.5</v>
      </c>
      <c r="BI25" s="344">
        <f>AVERAGEIFS(BI$36:BI$171,$C$36:$C$171,"=2", $B$36:$B$171,"OFICIAL")</f>
        <v>0.38749999999999996</v>
      </c>
      <c r="BJ25" s="344">
        <f>AVERAGEIFS(BJ$36:BJ$171,$C$36:$C$171,"=2", $B$36:$B$171,"OFICIAL")</f>
        <v>0.38250000000000006</v>
      </c>
      <c r="BK25" s="344">
        <f>AVERAGEIFS(BK$36:BK$171,$C$36:$C$171,"=2", $B$36:$B$171,"OFICIAL")</f>
        <v>0.17500000000000002</v>
      </c>
      <c r="BL25" s="344">
        <f>AVERAGEIFS(BL$36:BL$171,$C$36:$C$171,"=2", $B$36:$B$171,"OFICIAL")</f>
        <v>5.5E-2</v>
      </c>
      <c r="BM25" s="344">
        <f>AVERAGEIFS(BM$36:BM$171,$C$36:$C$171,"=2", $B$36:$B$171,"OFICIAL")</f>
        <v>0</v>
      </c>
      <c r="BN25" s="494">
        <f t="shared" ref="BN25" si="43">AVERAGEIFS(BN$36:BN$171,$C$36:$C$171,"=2", $B$36:$B$171,"OFICIAL")</f>
        <v>53</v>
      </c>
      <c r="BP25" s="302">
        <f>AVERAGEIFS(BP$36:BP$171,$C$36:$C$171,"=2", $B$36:$B$171,"OFICIAL")</f>
        <v>9.75</v>
      </c>
      <c r="BR25" s="345">
        <f t="shared" ref="BR25:BV25" si="44">AVERAGEIFS(BR$36:BR$171,$C$36:$C$171,"=2", $B$36:$B$171,"OFICIAL")</f>
        <v>0.315</v>
      </c>
      <c r="BS25" s="345">
        <f t="shared" si="44"/>
        <v>0.40750000000000003</v>
      </c>
      <c r="BT25" s="345">
        <f t="shared" si="44"/>
        <v>0.19750000000000001</v>
      </c>
      <c r="BU25" s="345">
        <f t="shared" si="44"/>
        <v>7.0000000000000007E-2</v>
      </c>
      <c r="BV25" s="345">
        <f t="shared" si="44"/>
        <v>0.01</v>
      </c>
    </row>
    <row r="26" spans="1:74" ht="24.95" customHeight="1" x14ac:dyDescent="0.2">
      <c r="A26" s="6" t="s">
        <v>897</v>
      </c>
      <c r="B26" s="301"/>
      <c r="C26" s="301"/>
      <c r="D26" s="129">
        <f t="shared" ref="D26:AM26" si="45">AVERAGEIFS(D$36:D$171,$C$36:$C$171,"=3", $B$36:$B$171,"OFICIAL")</f>
        <v>51.8</v>
      </c>
      <c r="E26" s="129">
        <f t="shared" si="45"/>
        <v>9</v>
      </c>
      <c r="F26" s="39">
        <f t="shared" si="45"/>
        <v>0.36</v>
      </c>
      <c r="G26" s="39">
        <f t="shared" si="45"/>
        <v>0.38200000000000001</v>
      </c>
      <c r="H26" s="39">
        <f t="shared" si="45"/>
        <v>0.20800000000000002</v>
      </c>
      <c r="I26" s="39">
        <f t="shared" si="45"/>
        <v>4.4000000000000004E-2</v>
      </c>
      <c r="J26" s="39">
        <f t="shared" si="45"/>
        <v>8.0000000000000002E-3</v>
      </c>
      <c r="K26" s="129">
        <f t="shared" si="45"/>
        <v>50.4</v>
      </c>
      <c r="L26" s="129">
        <f t="shared" si="45"/>
        <v>9.4</v>
      </c>
      <c r="M26" s="39">
        <f t="shared" si="45"/>
        <v>0.39400000000000002</v>
      </c>
      <c r="N26" s="39">
        <f t="shared" si="45"/>
        <v>0.38800000000000007</v>
      </c>
      <c r="O26" s="39">
        <f t="shared" si="45"/>
        <v>0.17800000000000002</v>
      </c>
      <c r="P26" s="39">
        <f t="shared" si="45"/>
        <v>3.2000000000000001E-2</v>
      </c>
      <c r="Q26" s="39">
        <f t="shared" si="45"/>
        <v>6.0000000000000001E-3</v>
      </c>
      <c r="R26" s="129">
        <f t="shared" si="45"/>
        <v>51.6</v>
      </c>
      <c r="S26" s="129">
        <f t="shared" si="45"/>
        <v>9.1999999999999993</v>
      </c>
      <c r="T26" s="39">
        <f t="shared" si="45"/>
        <v>0.31999999999999995</v>
      </c>
      <c r="U26" s="39">
        <f t="shared" si="45"/>
        <v>0.44400000000000006</v>
      </c>
      <c r="V26" s="39">
        <f t="shared" si="45"/>
        <v>0.19199999999999998</v>
      </c>
      <c r="W26" s="39">
        <f t="shared" si="45"/>
        <v>3.9999999999999994E-2</v>
      </c>
      <c r="X26" s="39">
        <f t="shared" si="45"/>
        <v>2E-3</v>
      </c>
      <c r="Y26" s="129">
        <f t="shared" si="45"/>
        <v>49.4</v>
      </c>
      <c r="Z26" s="129">
        <f t="shared" si="45"/>
        <v>9.6</v>
      </c>
      <c r="AA26" s="39">
        <f t="shared" si="45"/>
        <v>0.43599999999999994</v>
      </c>
      <c r="AB26" s="39">
        <f t="shared" si="45"/>
        <v>0.376</v>
      </c>
      <c r="AC26" s="39">
        <f t="shared" si="45"/>
        <v>0.15</v>
      </c>
      <c r="AD26" s="39">
        <f t="shared" si="45"/>
        <v>3.5999999999999997E-2</v>
      </c>
      <c r="AE26" s="39">
        <f t="shared" si="45"/>
        <v>0</v>
      </c>
      <c r="AF26" s="129">
        <f t="shared" si="45"/>
        <v>47</v>
      </c>
      <c r="AG26" s="129">
        <f t="shared" si="45"/>
        <v>8.8000000000000007</v>
      </c>
      <c r="AH26" s="39">
        <f t="shared" si="45"/>
        <v>0.55399999999999994</v>
      </c>
      <c r="AI26" s="39">
        <f t="shared" si="45"/>
        <v>0.34</v>
      </c>
      <c r="AJ26" s="39">
        <f t="shared" si="45"/>
        <v>7.8E-2</v>
      </c>
      <c r="AK26" s="39">
        <f t="shared" si="45"/>
        <v>2.1999999999999999E-2</v>
      </c>
      <c r="AL26" s="39">
        <f t="shared" si="45"/>
        <v>2E-3</v>
      </c>
      <c r="AM26" s="129">
        <f t="shared" si="45"/>
        <v>49</v>
      </c>
      <c r="AO26" s="129">
        <f>AVERAGEIFS(AO$36:AO$171,$C$36:$C$171,"=3", $B$36:$B$171,"OFICIAL")</f>
        <v>10</v>
      </c>
      <c r="AQ26" s="39">
        <f t="shared" ref="AQ26:AV26" si="46">AVERAGEIFS(AQ$36:AQ$171,$C$36:$C$171,"=3", $B$36:$B$171,"OFICIAL")</f>
        <v>0.44400000000000006</v>
      </c>
      <c r="AR26" s="39">
        <f t="shared" si="46"/>
        <v>0.34</v>
      </c>
      <c r="AS26" s="39">
        <f t="shared" si="46"/>
        <v>0.17399999999999999</v>
      </c>
      <c r="AT26" s="39">
        <f t="shared" si="46"/>
        <v>3.7999999999999999E-2</v>
      </c>
      <c r="AU26" s="39">
        <f t="shared" si="46"/>
        <v>2E-3</v>
      </c>
      <c r="AV26" s="129">
        <f t="shared" si="46"/>
        <v>51.666666666666664</v>
      </c>
      <c r="AX26" s="129">
        <f>AVERAGEIFS(AX$36:AX$171,$C$36:$C$171,"=3", $B$36:$B$171,"OFICIAL")</f>
        <v>10.833333333333334</v>
      </c>
      <c r="AZ26" s="344">
        <f t="shared" ref="AZ26:BE26" si="47">AVERAGEIFS(AZ$36:AZ$171,$C$36:$C$171,"=3", $B$36:$B$171,"OFICIAL")</f>
        <v>0.36499999999999999</v>
      </c>
      <c r="BA26" s="344">
        <f t="shared" si="47"/>
        <v>0.35000000000000003</v>
      </c>
      <c r="BB26" s="344">
        <f t="shared" si="47"/>
        <v>0.21666666666666667</v>
      </c>
      <c r="BC26" s="344">
        <f t="shared" si="47"/>
        <v>6.1666666666666668E-2</v>
      </c>
      <c r="BD26" s="344">
        <f t="shared" si="47"/>
        <v>8.3333333333333332E-3</v>
      </c>
      <c r="BE26" s="129">
        <f t="shared" si="47"/>
        <v>51.333333333333336</v>
      </c>
      <c r="BG26" s="129">
        <f>AVERAGEIFS(BG$36:BG$171,$C$36:$C$171,"=3", $B$36:$B$171,"OFICIAL")</f>
        <v>9.6666666666666661</v>
      </c>
      <c r="BI26" s="344">
        <f>AVERAGEIFS(BI$36:BI$171,$C$36:$C$171,"=3", $B$36:$B$171,"OFICIAL")</f>
        <v>0.37166666666666665</v>
      </c>
      <c r="BJ26" s="344">
        <f>AVERAGEIFS(BJ$36:BJ$171,$C$36:$C$171,"=3", $B$36:$B$171,"OFICIAL")</f>
        <v>0.37333333333333329</v>
      </c>
      <c r="BK26" s="344">
        <f>AVERAGEIFS(BK$36:BK$171,$C$36:$C$171,"=3", $B$36:$B$171,"OFICIAL")</f>
        <v>0.19166666666666668</v>
      </c>
      <c r="BL26" s="344">
        <f>AVERAGEIFS(BL$36:BL$171,$C$36:$C$171,"=3", $B$36:$B$171,"OFICIAL")</f>
        <v>6.1666666666666668E-2</v>
      </c>
      <c r="BM26" s="344">
        <f>AVERAGEIFS(BM$36:BM$171,$C$36:$C$171,"=3", $B$36:$B$171,"OFICIAL")</f>
        <v>1.6666666666666668E-3</v>
      </c>
      <c r="BN26" s="494">
        <f t="shared" ref="BN26" si="48">AVERAGEIFS(BN$36:BN$171,$C$36:$C$171,"=3", $B$36:$B$171,"OFICIAL")</f>
        <v>52.333333333333336</v>
      </c>
      <c r="BP26" s="302">
        <f>AVERAGEIFS(BP$36:BP$171,$C$36:$C$171,"=3", $B$36:$B$171,"OFICIAL")</f>
        <v>10.833333333333334</v>
      </c>
      <c r="BR26" s="345">
        <f t="shared" ref="BR26:BV26" si="49">AVERAGEIFS(BR$36:BR$171,$C$36:$C$171,"=3", $B$36:$B$171,"OFICIAL")</f>
        <v>0.34666666666666662</v>
      </c>
      <c r="BS26" s="345">
        <f t="shared" si="49"/>
        <v>0.36499999999999999</v>
      </c>
      <c r="BT26" s="345">
        <f t="shared" si="49"/>
        <v>0.18833333333333335</v>
      </c>
      <c r="BU26" s="345">
        <f t="shared" si="49"/>
        <v>8.5000000000000006E-2</v>
      </c>
      <c r="BV26" s="345">
        <f t="shared" si="49"/>
        <v>1.3333333333333334E-2</v>
      </c>
    </row>
    <row r="27" spans="1:74" ht="24.95" customHeight="1" x14ac:dyDescent="0.2">
      <c r="A27" s="6" t="s">
        <v>898</v>
      </c>
      <c r="B27" s="301"/>
      <c r="C27" s="301"/>
      <c r="D27" s="129">
        <f t="shared" ref="D27:AM27" si="50">AVERAGEIFS(D$36:D$171,$C$36:$C$171,"=4", $B$36:$B$171,"OFICIAL")</f>
        <v>49.333333333333336</v>
      </c>
      <c r="E27" s="129">
        <f t="shared" si="50"/>
        <v>8.5</v>
      </c>
      <c r="F27" s="39">
        <f t="shared" si="50"/>
        <v>0.45999999999999996</v>
      </c>
      <c r="G27" s="39">
        <f t="shared" si="50"/>
        <v>0.39166666666666661</v>
      </c>
      <c r="H27" s="39">
        <f t="shared" si="50"/>
        <v>0.12666666666666668</v>
      </c>
      <c r="I27" s="39">
        <f t="shared" si="50"/>
        <v>1.8333333333333337E-2</v>
      </c>
      <c r="J27" s="39">
        <f t="shared" si="50"/>
        <v>1.6666666666666668E-3</v>
      </c>
      <c r="K27" s="129">
        <f t="shared" si="50"/>
        <v>47.333333333333336</v>
      </c>
      <c r="L27" s="129">
        <f t="shared" si="50"/>
        <v>8.8333333333333339</v>
      </c>
      <c r="M27" s="39">
        <f t="shared" si="50"/>
        <v>0.53333333333333333</v>
      </c>
      <c r="N27" s="39">
        <f t="shared" si="50"/>
        <v>0.33666666666666667</v>
      </c>
      <c r="O27" s="39">
        <f t="shared" si="50"/>
        <v>0.11666666666666668</v>
      </c>
      <c r="P27" s="39">
        <f t="shared" si="50"/>
        <v>1.1666666666666667E-2</v>
      </c>
      <c r="Q27" s="39">
        <f t="shared" si="50"/>
        <v>1.6666666666666668E-3</v>
      </c>
      <c r="R27" s="129">
        <f t="shared" si="50"/>
        <v>48.5</v>
      </c>
      <c r="S27" s="129">
        <f t="shared" si="50"/>
        <v>8.3333333333333339</v>
      </c>
      <c r="T27" s="39">
        <f t="shared" si="50"/>
        <v>0.44999999999999996</v>
      </c>
      <c r="U27" s="39">
        <f t="shared" si="50"/>
        <v>0.41833333333333339</v>
      </c>
      <c r="V27" s="39">
        <f t="shared" si="50"/>
        <v>0.10833333333333335</v>
      </c>
      <c r="W27" s="39">
        <f t="shared" si="50"/>
        <v>2.3333333333333334E-2</v>
      </c>
      <c r="X27" s="39">
        <f t="shared" si="50"/>
        <v>0</v>
      </c>
      <c r="Y27" s="129">
        <f t="shared" si="50"/>
        <v>46.833333333333336</v>
      </c>
      <c r="Z27" s="129">
        <f t="shared" si="50"/>
        <v>9.1666666666666661</v>
      </c>
      <c r="AA27" s="39">
        <f t="shared" si="50"/>
        <v>0.53500000000000003</v>
      </c>
      <c r="AB27" s="39">
        <f t="shared" si="50"/>
        <v>0.34999999999999992</v>
      </c>
      <c r="AC27" s="39">
        <f t="shared" si="50"/>
        <v>0.10166666666666667</v>
      </c>
      <c r="AD27" s="39">
        <f t="shared" si="50"/>
        <v>1.5000000000000001E-2</v>
      </c>
      <c r="AE27" s="39">
        <f t="shared" si="50"/>
        <v>0</v>
      </c>
      <c r="AF27" s="129">
        <f t="shared" si="50"/>
        <v>44</v>
      </c>
      <c r="AG27" s="129">
        <f t="shared" si="50"/>
        <v>7.5</v>
      </c>
      <c r="AH27" s="39">
        <f t="shared" si="50"/>
        <v>0.70333333333333348</v>
      </c>
      <c r="AI27" s="39">
        <f t="shared" si="50"/>
        <v>0.25666666666666665</v>
      </c>
      <c r="AJ27" s="39">
        <f t="shared" si="50"/>
        <v>3.3333333333333333E-2</v>
      </c>
      <c r="AK27" s="39">
        <f t="shared" si="50"/>
        <v>6.6666666666666671E-3</v>
      </c>
      <c r="AL27" s="39">
        <f t="shared" si="50"/>
        <v>0</v>
      </c>
      <c r="AM27" s="129">
        <f t="shared" si="50"/>
        <v>46</v>
      </c>
      <c r="AO27" s="129">
        <f>AVERAGEIFS(AO$36:AO$171,$C$36:$C$171,"=4", $B$36:$B$171,"OFICIAL")</f>
        <v>8.8333333333333339</v>
      </c>
      <c r="AQ27" s="39">
        <f t="shared" ref="AQ27:AV27" si="51">AVERAGEIFS(AQ$36:AQ$171,$C$36:$C$171,"=4", $B$36:$B$171,"OFICIAL")</f>
        <v>0.55333333333333334</v>
      </c>
      <c r="AR27" s="39">
        <f t="shared" si="51"/>
        <v>0.35000000000000003</v>
      </c>
      <c r="AS27" s="39">
        <f t="shared" si="51"/>
        <v>7.4999999999999997E-2</v>
      </c>
      <c r="AT27" s="39">
        <f t="shared" si="51"/>
        <v>1.8333333333333333E-2</v>
      </c>
      <c r="AU27" s="39">
        <f t="shared" si="51"/>
        <v>0</v>
      </c>
      <c r="AV27" s="129">
        <f t="shared" si="51"/>
        <v>48.333333333333336</v>
      </c>
      <c r="AX27" s="129">
        <f>AVERAGEIFS(AX$36:AX$171,$C$36:$C$171,"=4", $B$36:$B$171,"OFICIAL")</f>
        <v>9.3333333333333339</v>
      </c>
      <c r="AZ27" s="344">
        <f t="shared" ref="AZ27:BE27" si="52">AVERAGEIFS(AZ$36:AZ$171,$C$36:$C$171,"=4", $B$36:$B$171,"OFICIAL")</f>
        <v>0.47</v>
      </c>
      <c r="BA27" s="344">
        <f t="shared" si="52"/>
        <v>0.36833333333333335</v>
      </c>
      <c r="BB27" s="344">
        <f t="shared" si="52"/>
        <v>0.12833333333333333</v>
      </c>
      <c r="BC27" s="344">
        <f t="shared" si="52"/>
        <v>3.3333333333333333E-2</v>
      </c>
      <c r="BD27" s="344">
        <f t="shared" si="52"/>
        <v>0</v>
      </c>
      <c r="BE27" s="129">
        <f t="shared" si="52"/>
        <v>47.666666666666664</v>
      </c>
      <c r="BG27" s="129">
        <f>AVERAGEIFS(BG$36:BG$171,$C$36:$C$171,"=4", $B$36:$B$171,"OFICIAL")</f>
        <v>8.8333333333333339</v>
      </c>
      <c r="BI27" s="344">
        <f>AVERAGEIFS(BI$36:BI$171,$C$36:$C$171,"=4", $B$36:$B$171,"OFICIAL")</f>
        <v>0.50666666666666671</v>
      </c>
      <c r="BJ27" s="344">
        <f>AVERAGEIFS(BJ$36:BJ$171,$C$36:$C$171,"=4", $B$36:$B$171,"OFICIAL")</f>
        <v>0.3666666666666667</v>
      </c>
      <c r="BK27" s="344">
        <f>AVERAGEIFS(BK$36:BK$171,$C$36:$C$171,"=4", $B$36:$B$171,"OFICIAL")</f>
        <v>0.10000000000000002</v>
      </c>
      <c r="BL27" s="344">
        <f>AVERAGEIFS(BL$36:BL$171,$C$36:$C$171,"=4", $B$36:$B$171,"OFICIAL")</f>
        <v>2.6666666666666668E-2</v>
      </c>
      <c r="BM27" s="344">
        <f>AVERAGEIFS(BM$36:BM$171,$C$36:$C$171,"=4", $B$36:$B$171,"OFICIAL")</f>
        <v>0</v>
      </c>
      <c r="BN27" s="494">
        <f t="shared" ref="BN27" si="53">AVERAGEIFS(BN$36:BN$171,$C$36:$C$171,"=4", $B$36:$B$171,"OFICIAL")</f>
        <v>47.833333333333336</v>
      </c>
      <c r="BP27" s="302">
        <f>AVERAGEIFS(BP$36:BP$171,$C$36:$C$171,"=4", $B$36:$B$171,"OFICIAL")</f>
        <v>8.8333333333333339</v>
      </c>
      <c r="BR27" s="345">
        <f t="shared" ref="BR27:BV27" si="54">AVERAGEIFS(BR$36:BR$171,$C$36:$C$171,"=4", $B$36:$B$171,"OFICIAL")</f>
        <v>0.49833333333333335</v>
      </c>
      <c r="BS27" s="345">
        <f t="shared" si="54"/>
        <v>0.34833333333333333</v>
      </c>
      <c r="BT27" s="345">
        <f t="shared" si="54"/>
        <v>0.12166666666666669</v>
      </c>
      <c r="BU27" s="345">
        <f t="shared" si="54"/>
        <v>0.03</v>
      </c>
      <c r="BV27" s="345">
        <f t="shared" si="54"/>
        <v>0</v>
      </c>
    </row>
    <row r="28" spans="1:74" ht="24.95" customHeight="1" x14ac:dyDescent="0.2">
      <c r="A28" s="6" t="s">
        <v>899</v>
      </c>
      <c r="B28" s="301"/>
      <c r="C28" s="301"/>
      <c r="D28" s="129">
        <f t="shared" ref="D28:AM28" si="55">AVERAGEIFS(D$36:D$171,$C$36:$C$171,"=5", $B$36:$B$171,"OFICIAL")</f>
        <v>53.333333333333336</v>
      </c>
      <c r="E28" s="129">
        <f t="shared" si="55"/>
        <v>9</v>
      </c>
      <c r="F28" s="39">
        <f t="shared" si="55"/>
        <v>0.26</v>
      </c>
      <c r="G28" s="39">
        <f t="shared" si="55"/>
        <v>0.46333333333333332</v>
      </c>
      <c r="H28" s="39">
        <f t="shared" si="55"/>
        <v>0.20666666666666667</v>
      </c>
      <c r="I28" s="39">
        <f t="shared" si="55"/>
        <v>6.6666666666666666E-2</v>
      </c>
      <c r="J28" s="39">
        <f t="shared" si="55"/>
        <v>3.3333333333333335E-3</v>
      </c>
      <c r="K28" s="129">
        <f t="shared" si="55"/>
        <v>51.333333333333336</v>
      </c>
      <c r="L28" s="129">
        <f t="shared" si="55"/>
        <v>9</v>
      </c>
      <c r="M28" s="39">
        <f t="shared" si="55"/>
        <v>0.33666666666666667</v>
      </c>
      <c r="N28" s="39">
        <f t="shared" si="55"/>
        <v>0.39333333333333337</v>
      </c>
      <c r="O28" s="39">
        <f t="shared" si="55"/>
        <v>0.2233333333333333</v>
      </c>
      <c r="P28" s="39">
        <f t="shared" si="55"/>
        <v>4.3333333333333335E-2</v>
      </c>
      <c r="Q28" s="39">
        <f t="shared" si="55"/>
        <v>0</v>
      </c>
      <c r="R28" s="129">
        <f t="shared" si="55"/>
        <v>51.333333333333336</v>
      </c>
      <c r="S28" s="129">
        <f t="shared" si="55"/>
        <v>9</v>
      </c>
      <c r="T28" s="39">
        <f t="shared" si="55"/>
        <v>0.32</v>
      </c>
      <c r="U28" s="39">
        <f t="shared" si="55"/>
        <v>0.4466666666666666</v>
      </c>
      <c r="V28" s="39">
        <f t="shared" si="55"/>
        <v>0.19333333333333336</v>
      </c>
      <c r="W28" s="39">
        <f t="shared" si="55"/>
        <v>3.3333333333333333E-2</v>
      </c>
      <c r="X28" s="39">
        <f t="shared" si="55"/>
        <v>6.6666666666666671E-3</v>
      </c>
      <c r="Y28" s="129">
        <f t="shared" si="55"/>
        <v>52</v>
      </c>
      <c r="Z28" s="129">
        <f t="shared" si="55"/>
        <v>9.3333333333333339</v>
      </c>
      <c r="AA28" s="39">
        <f t="shared" si="55"/>
        <v>0.32666666666666666</v>
      </c>
      <c r="AB28" s="39">
        <f t="shared" si="55"/>
        <v>0.40666666666666668</v>
      </c>
      <c r="AC28" s="39">
        <f t="shared" si="55"/>
        <v>0.22</v>
      </c>
      <c r="AD28" s="39">
        <f t="shared" si="55"/>
        <v>5.000000000000001E-2</v>
      </c>
      <c r="AE28" s="39">
        <f t="shared" si="55"/>
        <v>3.3333333333333335E-3</v>
      </c>
      <c r="AF28" s="129">
        <f t="shared" si="55"/>
        <v>48.666666666666664</v>
      </c>
      <c r="AG28" s="129">
        <f t="shared" si="55"/>
        <v>8.3333333333333339</v>
      </c>
      <c r="AH28" s="39">
        <f t="shared" si="55"/>
        <v>0.43</v>
      </c>
      <c r="AI28" s="39">
        <f t="shared" si="55"/>
        <v>0.43333333333333329</v>
      </c>
      <c r="AJ28" s="39">
        <f t="shared" si="55"/>
        <v>0.10666666666666667</v>
      </c>
      <c r="AK28" s="39">
        <f t="shared" si="55"/>
        <v>2.6666666666666668E-2</v>
      </c>
      <c r="AL28" s="39">
        <f t="shared" si="55"/>
        <v>3.3333333333333335E-3</v>
      </c>
      <c r="AM28" s="129">
        <f t="shared" si="55"/>
        <v>52</v>
      </c>
      <c r="AO28" s="129">
        <f>AVERAGEIFS(AO$36:AO$171,$C$36:$C$171,"=5", $B$36:$B$171,"OFICIAL")</f>
        <v>9.3333333333333339</v>
      </c>
      <c r="AQ28" s="39">
        <f t="shared" ref="AQ28:AV28" si="56">AVERAGEIFS(AQ$36:AQ$171,$C$36:$C$171,"=5", $B$36:$B$171,"OFICIAL")</f>
        <v>0.31</v>
      </c>
      <c r="AR28" s="39">
        <f t="shared" si="56"/>
        <v>0.39999999999999997</v>
      </c>
      <c r="AS28" s="39">
        <f t="shared" si="56"/>
        <v>0.21333333333333335</v>
      </c>
      <c r="AT28" s="39">
        <f t="shared" si="56"/>
        <v>6.9999999999999993E-2</v>
      </c>
      <c r="AU28" s="39">
        <f t="shared" si="56"/>
        <v>3.3333333333333335E-3</v>
      </c>
      <c r="AV28" s="129">
        <f t="shared" si="56"/>
        <v>54.333333333333336</v>
      </c>
      <c r="AX28" s="129">
        <f>AVERAGEIFS(AX$36:AX$171,$C$36:$C$171,"=5", $B$36:$B$171,"OFICIAL")</f>
        <v>10.333333333333334</v>
      </c>
      <c r="AZ28" s="344">
        <f t="shared" ref="AZ28:BE28" si="57">AVERAGEIFS(AZ$36:AZ$171,$C$36:$C$171,"=5", $B$36:$B$171,"OFICIAL")</f>
        <v>0.25333333333333335</v>
      </c>
      <c r="BA28" s="344">
        <f t="shared" si="57"/>
        <v>0.36333333333333329</v>
      </c>
      <c r="BB28" s="344">
        <f t="shared" si="57"/>
        <v>0.27</v>
      </c>
      <c r="BC28" s="344">
        <f t="shared" si="57"/>
        <v>0.10666666666666667</v>
      </c>
      <c r="BD28" s="344">
        <f t="shared" si="57"/>
        <v>6.6666666666666671E-3</v>
      </c>
      <c r="BE28" s="129">
        <f t="shared" si="57"/>
        <v>54</v>
      </c>
      <c r="BG28" s="129">
        <f>AVERAGEIFS(BG$36:BG$171,$C$36:$C$171,"=5", $B$36:$B$171,"OFICIAL")</f>
        <v>10</v>
      </c>
      <c r="BI28" s="344">
        <f>AVERAGEIFS(BI$36:BI$171,$C$36:$C$171,"=5", $B$36:$B$171,"OFICIAL")</f>
        <v>0.28999999999999998</v>
      </c>
      <c r="BJ28" s="344">
        <f>AVERAGEIFS(BJ$36:BJ$171,$C$36:$C$171,"=5", $B$36:$B$171,"OFICIAL")</f>
        <v>0.38999999999999996</v>
      </c>
      <c r="BK28" s="344">
        <f>AVERAGEIFS(BK$36:BK$171,$C$36:$C$171,"=5", $B$36:$B$171,"OFICIAL")</f>
        <v>0.19666666666666668</v>
      </c>
      <c r="BL28" s="344">
        <f>AVERAGEIFS(BL$36:BL$171,$C$36:$C$171,"=5", $B$36:$B$171,"OFICIAL")</f>
        <v>0.10666666666666667</v>
      </c>
      <c r="BM28" s="344">
        <f>AVERAGEIFS(BM$36:BM$171,$C$36:$C$171,"=5", $B$36:$B$171,"OFICIAL")</f>
        <v>1.3333333333333334E-2</v>
      </c>
      <c r="BN28" s="494">
        <f t="shared" ref="BN28" si="58">AVERAGEIFS(BN$36:BN$171,$C$36:$C$171,"=5", $B$36:$B$171,"OFICIAL")</f>
        <v>54.666666666666664</v>
      </c>
      <c r="BP28" s="302">
        <f>AVERAGEIFS(BP$36:BP$171,$C$36:$C$171,"=5", $B$36:$B$171,"OFICIAL")</f>
        <v>10.333333333333334</v>
      </c>
      <c r="BR28" s="345">
        <f t="shared" ref="BR28:BV28" si="59">AVERAGEIFS(BR$36:BR$171,$C$36:$C$171,"=5", $B$36:$B$171,"OFICIAL")</f>
        <v>0.26666666666666666</v>
      </c>
      <c r="BS28" s="345">
        <f t="shared" si="59"/>
        <v>0.37333333333333335</v>
      </c>
      <c r="BT28" s="345">
        <f t="shared" si="59"/>
        <v>0.24666666666666667</v>
      </c>
      <c r="BU28" s="345">
        <f t="shared" si="59"/>
        <v>9.6666666666666679E-2</v>
      </c>
      <c r="BV28" s="345">
        <f t="shared" si="59"/>
        <v>1.6666666666666666E-2</v>
      </c>
    </row>
    <row r="29" spans="1:74" ht="24.6" customHeight="1" x14ac:dyDescent="0.2">
      <c r="A29" s="6" t="s">
        <v>900</v>
      </c>
      <c r="B29" s="301"/>
      <c r="C29" s="301"/>
      <c r="D29" s="129">
        <f t="shared" ref="D29:AM29" si="60">AVERAGEIFS(D$36:D$171,$C$36:$C$171,"=6", $B$36:$B$171,"OFICIAL")</f>
        <v>52.5</v>
      </c>
      <c r="E29" s="129">
        <f t="shared" si="60"/>
        <v>8.75</v>
      </c>
      <c r="F29" s="39">
        <f t="shared" si="60"/>
        <v>0.32</v>
      </c>
      <c r="G29" s="39">
        <f t="shared" si="60"/>
        <v>0.39749999999999996</v>
      </c>
      <c r="H29" s="39">
        <f t="shared" si="60"/>
        <v>0.23</v>
      </c>
      <c r="I29" s="39">
        <f t="shared" si="60"/>
        <v>5.5E-2</v>
      </c>
      <c r="J29" s="39">
        <f t="shared" si="60"/>
        <v>0</v>
      </c>
      <c r="K29" s="129">
        <f t="shared" si="60"/>
        <v>50</v>
      </c>
      <c r="L29" s="129">
        <f t="shared" si="60"/>
        <v>9.5</v>
      </c>
      <c r="M29" s="39">
        <f t="shared" si="60"/>
        <v>0.44750000000000001</v>
      </c>
      <c r="N29" s="39">
        <f t="shared" si="60"/>
        <v>0.33749999999999997</v>
      </c>
      <c r="O29" s="39">
        <f t="shared" si="60"/>
        <v>0.16500000000000001</v>
      </c>
      <c r="P29" s="39">
        <f t="shared" si="60"/>
        <v>4.4999999999999991E-2</v>
      </c>
      <c r="Q29" s="39">
        <f t="shared" si="60"/>
        <v>5.0000000000000001E-3</v>
      </c>
      <c r="R29" s="129">
        <f t="shared" si="60"/>
        <v>51</v>
      </c>
      <c r="S29" s="129">
        <f t="shared" si="60"/>
        <v>8.25</v>
      </c>
      <c r="T29" s="39">
        <f t="shared" si="60"/>
        <v>0.33250000000000002</v>
      </c>
      <c r="U29" s="39">
        <f t="shared" si="60"/>
        <v>0.45999999999999996</v>
      </c>
      <c r="V29" s="39">
        <f t="shared" si="60"/>
        <v>0.16250000000000001</v>
      </c>
      <c r="W29" s="39">
        <f t="shared" si="60"/>
        <v>4.4999999999999998E-2</v>
      </c>
      <c r="X29" s="39">
        <f t="shared" si="60"/>
        <v>0</v>
      </c>
      <c r="Y29" s="129">
        <f t="shared" si="60"/>
        <v>49.75</v>
      </c>
      <c r="Z29" s="129">
        <f t="shared" si="60"/>
        <v>9.75</v>
      </c>
      <c r="AA29" s="39">
        <f t="shared" si="60"/>
        <v>0.39749999999999996</v>
      </c>
      <c r="AB29" s="39">
        <f t="shared" si="60"/>
        <v>0.39999999999999997</v>
      </c>
      <c r="AC29" s="39">
        <f t="shared" si="60"/>
        <v>0.17</v>
      </c>
      <c r="AD29" s="39">
        <f t="shared" si="60"/>
        <v>0.04</v>
      </c>
      <c r="AE29" s="39">
        <f t="shared" si="60"/>
        <v>0</v>
      </c>
      <c r="AF29" s="129">
        <f t="shared" si="60"/>
        <v>47.25</v>
      </c>
      <c r="AG29" s="129">
        <f t="shared" si="60"/>
        <v>8.5</v>
      </c>
      <c r="AH29" s="39">
        <f t="shared" si="60"/>
        <v>0.55500000000000005</v>
      </c>
      <c r="AI29" s="39">
        <f t="shared" si="60"/>
        <v>0.33999999999999997</v>
      </c>
      <c r="AJ29" s="39">
        <f t="shared" si="60"/>
        <v>8.7500000000000008E-2</v>
      </c>
      <c r="AK29" s="39">
        <f t="shared" si="60"/>
        <v>1.4999999999999999E-2</v>
      </c>
      <c r="AL29" s="39">
        <f t="shared" si="60"/>
        <v>2.5000000000000001E-3</v>
      </c>
      <c r="AM29" s="129">
        <f t="shared" si="60"/>
        <v>50.25</v>
      </c>
      <c r="AO29" s="129">
        <f>AVERAGEIFS(AO$36:AO$171,$C$36:$C$171,"=6", $B$36:$B$171,"OFICIAL")</f>
        <v>10.5</v>
      </c>
      <c r="AQ29" s="39">
        <f t="shared" ref="AQ29:AV29" si="61">AVERAGEIFS(AQ$36:AQ$171,$C$36:$C$171,"=6", $B$36:$B$171,"OFICIAL")</f>
        <v>0.40249999999999997</v>
      </c>
      <c r="AR29" s="39">
        <f t="shared" si="61"/>
        <v>0.38750000000000001</v>
      </c>
      <c r="AS29" s="39">
        <f t="shared" si="61"/>
        <v>0.14500000000000002</v>
      </c>
      <c r="AT29" s="39">
        <f t="shared" si="61"/>
        <v>6.5000000000000002E-2</v>
      </c>
      <c r="AU29" s="39">
        <f t="shared" si="61"/>
        <v>2.5000000000000001E-3</v>
      </c>
      <c r="AV29" s="129">
        <f t="shared" si="61"/>
        <v>51.5</v>
      </c>
      <c r="AX29" s="129">
        <f>AVERAGEIFS(AX$36:AX$171,$C$36:$C$171,"=6", $B$36:$B$171,"OFICIAL")</f>
        <v>10</v>
      </c>
      <c r="AZ29" s="344">
        <f t="shared" ref="AZ29:BE29" si="62">AVERAGEIFS(AZ$36:AZ$171,$C$36:$C$171,"=6", $B$36:$B$171,"OFICIAL")</f>
        <v>0.32</v>
      </c>
      <c r="BA29" s="344">
        <f t="shared" si="62"/>
        <v>0.42</v>
      </c>
      <c r="BB29" s="344">
        <f t="shared" si="62"/>
        <v>0.19500000000000001</v>
      </c>
      <c r="BC29" s="344">
        <f t="shared" si="62"/>
        <v>6.0000000000000005E-2</v>
      </c>
      <c r="BD29" s="344">
        <f t="shared" si="62"/>
        <v>5.0000000000000001E-3</v>
      </c>
      <c r="BE29" s="129">
        <f t="shared" si="62"/>
        <v>50.75</v>
      </c>
      <c r="BG29" s="129">
        <f>AVERAGEIFS(BG$36:BG$171,$C$36:$C$171,"=6", $B$36:$B$171,"OFICIAL")</f>
        <v>9.25</v>
      </c>
      <c r="BI29" s="344">
        <f>AVERAGEIFS(BI$36:BI$171,$C$36:$C$171,"=6", $B$36:$B$171,"OFICIAL")</f>
        <v>0.375</v>
      </c>
      <c r="BJ29" s="344">
        <f>AVERAGEIFS(BJ$36:BJ$171,$C$36:$C$171,"=6", $B$36:$B$171,"OFICIAL")</f>
        <v>0.41750000000000004</v>
      </c>
      <c r="BK29" s="344">
        <f>AVERAGEIFS(BK$36:BK$171,$C$36:$C$171,"=6", $B$36:$B$171,"OFICIAL")</f>
        <v>0.155</v>
      </c>
      <c r="BL29" s="344">
        <f>AVERAGEIFS(BL$36:BL$171,$C$36:$C$171,"=6", $B$36:$B$171,"OFICIAL")</f>
        <v>0.05</v>
      </c>
      <c r="BM29" s="344">
        <f>AVERAGEIFS(BM$36:BM$171,$C$36:$C$171,"=6", $B$36:$B$171,"OFICIAL")</f>
        <v>2.5000000000000001E-3</v>
      </c>
      <c r="BN29" s="494">
        <f t="shared" ref="BN29" si="63">AVERAGEIFS(BN$36:BN$171,$C$36:$C$171,"=6", $B$36:$B$171,"OFICIAL")</f>
        <v>51.75</v>
      </c>
      <c r="BP29" s="302">
        <f>AVERAGEIFS(BP$36:BP$171,$C$36:$C$171,"=6", $B$36:$B$171,"OFICIAL")</f>
        <v>10.25</v>
      </c>
      <c r="BR29" s="345">
        <f t="shared" ref="BR29:BV29" si="64">AVERAGEIFS(BR$36:BR$171,$C$36:$C$171,"=6", $B$36:$B$171,"OFICIAL")</f>
        <v>0.35</v>
      </c>
      <c r="BS29" s="345">
        <f t="shared" si="64"/>
        <v>0.37</v>
      </c>
      <c r="BT29" s="345">
        <f t="shared" si="64"/>
        <v>0.20249999999999999</v>
      </c>
      <c r="BU29" s="345">
        <f t="shared" si="64"/>
        <v>7.0000000000000007E-2</v>
      </c>
      <c r="BV29" s="345">
        <f t="shared" si="64"/>
        <v>0.01</v>
      </c>
    </row>
    <row r="30" spans="1:74" ht="24.6" customHeight="1" x14ac:dyDescent="0.2">
      <c r="A30" s="6" t="s">
        <v>901</v>
      </c>
      <c r="B30" s="301"/>
      <c r="C30" s="301"/>
      <c r="D30" s="129">
        <f t="shared" ref="D30:AM30" si="65">AVERAGEIFS(D$36:D$171,$C$36:$C$171,"=1", $B$36:$B$171,"NO OFICIAL")</f>
        <v>52.769230769230766</v>
      </c>
      <c r="E30" s="129">
        <f t="shared" si="65"/>
        <v>8.1538461538461533</v>
      </c>
      <c r="F30" s="39">
        <f t="shared" si="65"/>
        <v>0.29538461538461541</v>
      </c>
      <c r="G30" s="39">
        <f t="shared" si="65"/>
        <v>0.47615384615384621</v>
      </c>
      <c r="H30" s="39">
        <f t="shared" si="65"/>
        <v>0.16846153846153847</v>
      </c>
      <c r="I30" s="39">
        <f t="shared" si="65"/>
        <v>6.0000000000000005E-2</v>
      </c>
      <c r="J30" s="39">
        <f t="shared" si="65"/>
        <v>0</v>
      </c>
      <c r="K30" s="129">
        <f t="shared" si="65"/>
        <v>50.75</v>
      </c>
      <c r="L30" s="129">
        <f t="shared" si="65"/>
        <v>8.8333333333333339</v>
      </c>
      <c r="M30" s="39">
        <f t="shared" si="65"/>
        <v>0.40250000000000002</v>
      </c>
      <c r="N30" s="39">
        <f t="shared" si="65"/>
        <v>0.39166666666666666</v>
      </c>
      <c r="O30" s="39">
        <f t="shared" si="65"/>
        <v>0.15833333333333335</v>
      </c>
      <c r="P30" s="39">
        <f t="shared" si="65"/>
        <v>4.8333333333333318E-2</v>
      </c>
      <c r="Q30" s="39">
        <f t="shared" si="65"/>
        <v>0</v>
      </c>
      <c r="R30" s="129">
        <f t="shared" si="65"/>
        <v>52.307692307692307</v>
      </c>
      <c r="S30" s="129">
        <f t="shared" si="65"/>
        <v>7.9230769230769234</v>
      </c>
      <c r="T30" s="39">
        <f t="shared" si="65"/>
        <v>0.29307692307692307</v>
      </c>
      <c r="U30" s="39">
        <f t="shared" si="65"/>
        <v>0.42692307692307696</v>
      </c>
      <c r="V30" s="39">
        <f t="shared" si="65"/>
        <v>0.25384615384615383</v>
      </c>
      <c r="W30" s="39">
        <f t="shared" si="65"/>
        <v>2.6923076923076925E-2</v>
      </c>
      <c r="X30" s="39">
        <f t="shared" si="65"/>
        <v>0</v>
      </c>
      <c r="Y30" s="129">
        <f t="shared" si="65"/>
        <v>50</v>
      </c>
      <c r="Z30" s="129">
        <f t="shared" si="65"/>
        <v>8.6923076923076916</v>
      </c>
      <c r="AA30" s="39">
        <f t="shared" si="65"/>
        <v>0.37307692307692314</v>
      </c>
      <c r="AB30" s="39">
        <f t="shared" si="65"/>
        <v>0.4276923076923077</v>
      </c>
      <c r="AC30" s="39">
        <f t="shared" si="65"/>
        <v>0.1676923076923077</v>
      </c>
      <c r="AD30" s="39">
        <f t="shared" si="65"/>
        <v>3.3846153846153845E-2</v>
      </c>
      <c r="AE30" s="39">
        <f t="shared" si="65"/>
        <v>0</v>
      </c>
      <c r="AF30" s="129">
        <f t="shared" si="65"/>
        <v>48.53846153846154</v>
      </c>
      <c r="AG30" s="129">
        <f t="shared" si="65"/>
        <v>8.9230769230769234</v>
      </c>
      <c r="AH30" s="39">
        <f t="shared" si="65"/>
        <v>0.49692307692307697</v>
      </c>
      <c r="AI30" s="39">
        <f t="shared" si="65"/>
        <v>0.35153846153846147</v>
      </c>
      <c r="AJ30" s="39">
        <f t="shared" si="65"/>
        <v>0.11999999999999998</v>
      </c>
      <c r="AK30" s="39">
        <f t="shared" si="65"/>
        <v>2.923076923076923E-2</v>
      </c>
      <c r="AL30" s="39">
        <f t="shared" si="65"/>
        <v>3.0769230769230769E-3</v>
      </c>
      <c r="AM30" s="129">
        <f t="shared" si="65"/>
        <v>52.769230769230766</v>
      </c>
      <c r="AO30" s="129">
        <f>AVERAGEIFS(AO$36:AO$171,$C$36:$C$171,"=1", $B$36:$B$171,"NO OFICIAL")</f>
        <v>9.384615384615385</v>
      </c>
      <c r="AQ30" s="39">
        <f t="shared" ref="AQ30:AV30" si="66">AVERAGEIFS(AQ$36:AQ$171,$C$36:$C$171,"=1", $B$36:$B$171,"NO OFICIAL")</f>
        <v>0.27153846153846156</v>
      </c>
      <c r="AR30" s="39">
        <f t="shared" si="66"/>
        <v>0.41307692307692301</v>
      </c>
      <c r="AS30" s="39">
        <f t="shared" si="66"/>
        <v>0.25461538461538463</v>
      </c>
      <c r="AT30" s="39">
        <f t="shared" si="66"/>
        <v>5.5384615384615379E-2</v>
      </c>
      <c r="AU30" s="39">
        <f t="shared" si="66"/>
        <v>6.1538461538461538E-3</v>
      </c>
      <c r="AV30" s="129">
        <f t="shared" si="66"/>
        <v>52.92307692307692</v>
      </c>
      <c r="AX30" s="129">
        <f>AVERAGEIFS(AX$36:AX$171,$C$36:$C$171,"=1", $B$36:$B$171,"NO OFICIAL")</f>
        <v>10.23076923076923</v>
      </c>
      <c r="AZ30" s="344">
        <f t="shared" ref="AZ30:BE30" si="67">AVERAGEIFS(AZ$36:AZ$171,$C$36:$C$171,"=1", $B$36:$B$171,"NO OFICIAL")</f>
        <v>0.29307692307692307</v>
      </c>
      <c r="BA30" s="344">
        <f t="shared" si="67"/>
        <v>0.36769230769230765</v>
      </c>
      <c r="BB30" s="344">
        <f t="shared" si="67"/>
        <v>0.24538461538461542</v>
      </c>
      <c r="BC30" s="344">
        <f t="shared" si="67"/>
        <v>8.3846153846153834E-2</v>
      </c>
      <c r="BD30" s="344">
        <f t="shared" si="67"/>
        <v>1.0769230769230771E-2</v>
      </c>
      <c r="BE30" s="129">
        <f t="shared" si="67"/>
        <v>54.416666666666664</v>
      </c>
      <c r="BG30" s="129">
        <f>AVERAGEIFS(BG$36:BG$171,$C$36:$C$171,"=1", $B$36:$B$171,"NO OFICIAL")</f>
        <v>9.5</v>
      </c>
      <c r="BI30" s="344">
        <f>AVERAGEIFS(BI$36:BI$171,$C$36:$C$171,"=1", $B$36:$B$171,"NO OFICIAL")</f>
        <v>0.2525</v>
      </c>
      <c r="BJ30" s="344">
        <f>AVERAGEIFS(BJ$36:BJ$171,$C$36:$C$171,"=1", $B$36:$B$171,"NO OFICIAL")</f>
        <v>0.39916666666666673</v>
      </c>
      <c r="BK30" s="344">
        <f>AVERAGEIFS(BK$36:BK$171,$C$36:$C$171,"=1", $B$36:$B$171,"NO OFICIAL")</f>
        <v>0.24166666666666667</v>
      </c>
      <c r="BL30" s="344">
        <f>AVERAGEIFS(BL$36:BL$171,$C$36:$C$171,"=1", $B$36:$B$171,"NO OFICIAL")</f>
        <v>9.7500000000000017E-2</v>
      </c>
      <c r="BM30" s="344">
        <f>AVERAGEIFS(BM$36:BM$171,$C$36:$C$171,"=1", $B$36:$B$171,"NO OFICIAL")</f>
        <v>8.3333333333333332E-3</v>
      </c>
      <c r="BN30" s="494">
        <f t="shared" ref="BN30" si="68">AVERAGEIFS(BN$36:BN$171,$C$36:$C$171,"=1", $B$36:$B$171,"NO OFICIAL")</f>
        <v>55.307692307692307</v>
      </c>
      <c r="BP30" s="302">
        <f>AVERAGEIFS(BP$36:BP$171,$C$36:$C$171,"=1", $B$36:$B$171,"NO OFICIAL")</f>
        <v>9.1538461538461533</v>
      </c>
      <c r="BR30" s="345">
        <f t="shared" ref="BR30:BV30" si="69">AVERAGEIFS(BR$36:BR$171,$C$36:$C$171,"=1", $B$36:$B$171,"NO OFICIAL")</f>
        <v>0.20461538461538462</v>
      </c>
      <c r="BS30" s="345">
        <f t="shared" si="69"/>
        <v>0.4176923076923077</v>
      </c>
      <c r="BT30" s="345">
        <f t="shared" si="69"/>
        <v>0.27</v>
      </c>
      <c r="BU30" s="345">
        <f t="shared" si="69"/>
        <v>9.6923076923076917E-2</v>
      </c>
      <c r="BV30" s="345">
        <f t="shared" si="69"/>
        <v>1.1538461538461541E-2</v>
      </c>
    </row>
    <row r="31" spans="1:74" ht="24" customHeight="1" x14ac:dyDescent="0.2">
      <c r="A31" s="6" t="s">
        <v>902</v>
      </c>
      <c r="B31" s="301"/>
      <c r="C31" s="301"/>
      <c r="D31" s="129">
        <f t="shared" ref="D31:AM31" si="70">AVERAGEIFS(D$36:D$171,$C$36:$C$171,"=2", $B$36:$B$171,"NO OFICIAL")</f>
        <v>55</v>
      </c>
      <c r="E31" s="129">
        <f t="shared" si="70"/>
        <v>9.3333333333333339</v>
      </c>
      <c r="F31" s="39">
        <f t="shared" si="70"/>
        <v>0.25444444444444447</v>
      </c>
      <c r="G31" s="39">
        <f t="shared" si="70"/>
        <v>0.35444444444444451</v>
      </c>
      <c r="H31" s="39">
        <f t="shared" si="70"/>
        <v>0.27888888888888885</v>
      </c>
      <c r="I31" s="39">
        <f t="shared" si="70"/>
        <v>0.10444444444444445</v>
      </c>
      <c r="J31" s="39">
        <f t="shared" si="70"/>
        <v>7.2222222222222228E-3</v>
      </c>
      <c r="K31" s="129">
        <f t="shared" si="70"/>
        <v>52.529411764705884</v>
      </c>
      <c r="L31" s="129">
        <f t="shared" si="70"/>
        <v>8.6470588235294112</v>
      </c>
      <c r="M31" s="39">
        <f t="shared" si="70"/>
        <v>0.34588235294117653</v>
      </c>
      <c r="N31" s="39">
        <f t="shared" si="70"/>
        <v>0.31058823529411766</v>
      </c>
      <c r="O31" s="39">
        <f t="shared" si="70"/>
        <v>0.27352941176470591</v>
      </c>
      <c r="P31" s="39">
        <f t="shared" si="70"/>
        <v>6.352941176470589E-2</v>
      </c>
      <c r="Q31" s="39">
        <f t="shared" si="70"/>
        <v>6.4705882352941177E-3</v>
      </c>
      <c r="R31" s="129">
        <f t="shared" si="70"/>
        <v>54.294117647058826</v>
      </c>
      <c r="S31" s="129">
        <f t="shared" si="70"/>
        <v>8.5882352941176467</v>
      </c>
      <c r="T31" s="39">
        <f t="shared" si="70"/>
        <v>0.23411764705882351</v>
      </c>
      <c r="U31" s="39">
        <f t="shared" si="70"/>
        <v>0.41882352941176471</v>
      </c>
      <c r="V31" s="39">
        <f t="shared" si="70"/>
        <v>0.25705882352941184</v>
      </c>
      <c r="W31" s="39">
        <f t="shared" si="70"/>
        <v>7.823529411764707E-2</v>
      </c>
      <c r="X31" s="39">
        <f t="shared" si="70"/>
        <v>9.9999999999999985E-3</v>
      </c>
      <c r="Y31" s="129">
        <f t="shared" si="70"/>
        <v>53.722222222222221</v>
      </c>
      <c r="Z31" s="129">
        <f t="shared" si="70"/>
        <v>9.7222222222222214</v>
      </c>
      <c r="AA31" s="39">
        <f t="shared" si="70"/>
        <v>0.26333333333333342</v>
      </c>
      <c r="AB31" s="39">
        <f t="shared" si="70"/>
        <v>0.38833333333333331</v>
      </c>
      <c r="AC31" s="39">
        <f t="shared" si="70"/>
        <v>0.2466666666666667</v>
      </c>
      <c r="AD31" s="39">
        <f t="shared" si="70"/>
        <v>8.9444444444444451E-2</v>
      </c>
      <c r="AE31" s="39">
        <f t="shared" si="70"/>
        <v>1.2222222222222221E-2</v>
      </c>
      <c r="AF31" s="129">
        <f t="shared" si="70"/>
        <v>48.727272727272727</v>
      </c>
      <c r="AG31" s="129">
        <f t="shared" si="70"/>
        <v>7.8636363636363633</v>
      </c>
      <c r="AH31" s="39">
        <f t="shared" si="70"/>
        <v>0.49954545454545457</v>
      </c>
      <c r="AI31" s="39">
        <f t="shared" si="70"/>
        <v>0.31954545454545458</v>
      </c>
      <c r="AJ31" s="39">
        <f t="shared" si="70"/>
        <v>0.10318181818181818</v>
      </c>
      <c r="AK31" s="39">
        <f t="shared" si="70"/>
        <v>6.8181818181818177E-2</v>
      </c>
      <c r="AL31" s="39">
        <f t="shared" si="70"/>
        <v>9.9999999999999985E-3</v>
      </c>
      <c r="AM31" s="129">
        <f t="shared" si="70"/>
        <v>53.55</v>
      </c>
      <c r="AO31" s="129">
        <f>AVERAGEIFS(AO$36:AO$171,$C$36:$C$171,"=2", $B$36:$B$171,"NO OFICIAL")</f>
        <v>9</v>
      </c>
      <c r="AQ31" s="39">
        <f t="shared" ref="AQ31:AV31" si="71">AVERAGEIFS(AQ$36:AQ$171,$C$36:$C$171,"=2", $B$36:$B$171,"NO OFICIAL")</f>
        <v>0.27300000000000002</v>
      </c>
      <c r="AR31" s="39">
        <f t="shared" si="71"/>
        <v>0.373</v>
      </c>
      <c r="AS31" s="39">
        <f t="shared" si="71"/>
        <v>0.2445</v>
      </c>
      <c r="AT31" s="39">
        <f t="shared" si="71"/>
        <v>9.35E-2</v>
      </c>
      <c r="AU31" s="39">
        <f t="shared" si="71"/>
        <v>1.4999999999999999E-2</v>
      </c>
      <c r="AV31" s="129">
        <f t="shared" si="71"/>
        <v>55.80952380952381</v>
      </c>
      <c r="AX31" s="129">
        <f>AVERAGEIFS(AX$36:AX$171,$C$36:$C$171,"=2", $B$36:$B$171,"NO OFICIAL")</f>
        <v>9.5238095238095237</v>
      </c>
      <c r="AZ31" s="344">
        <f t="shared" ref="AZ31:BE31" si="72">AVERAGEIFS(AZ$36:AZ$171,$C$36:$C$171,"=2", $B$36:$B$171,"NO OFICIAL")</f>
        <v>0.23238095238095238</v>
      </c>
      <c r="BA31" s="344">
        <f t="shared" si="72"/>
        <v>0.27857142857142858</v>
      </c>
      <c r="BB31" s="344">
        <f t="shared" si="72"/>
        <v>0.32333333333333336</v>
      </c>
      <c r="BC31" s="344">
        <f t="shared" si="72"/>
        <v>0.15238095238095237</v>
      </c>
      <c r="BD31" s="344">
        <f t="shared" si="72"/>
        <v>1.4761904761904764E-2</v>
      </c>
      <c r="BE31" s="129">
        <f t="shared" si="72"/>
        <v>55.045454545454547</v>
      </c>
      <c r="BG31" s="129">
        <f>AVERAGEIFS(BG$36:BG$171,$C$36:$C$171,"=2", $B$36:$B$171,"NO OFICIAL")</f>
        <v>9.2272727272727266</v>
      </c>
      <c r="BI31" s="344">
        <f>AVERAGEIFS(BI$36:BI$171,$C$36:$C$171,"=2", $B$36:$B$171,"NO OFICIAL")</f>
        <v>0.28999999999999998</v>
      </c>
      <c r="BJ31" s="344">
        <f>AVERAGEIFS(BJ$36:BJ$171,$C$36:$C$171,"=2", $B$36:$B$171,"NO OFICIAL")</f>
        <v>0.31318181818181823</v>
      </c>
      <c r="BK31" s="344">
        <f>AVERAGEIFS(BK$36:BK$171,$C$36:$C$171,"=2", $B$36:$B$171,"NO OFICIAL")</f>
        <v>0.21954545454545446</v>
      </c>
      <c r="BL31" s="344">
        <f>AVERAGEIFS(BL$36:BL$171,$C$36:$C$171,"=2", $B$36:$B$171,"NO OFICIAL")</f>
        <v>0.16272727272727269</v>
      </c>
      <c r="BM31" s="344">
        <f>AVERAGEIFS(BM$36:BM$171,$C$36:$C$171,"=2", $B$36:$B$171,"NO OFICIAL")</f>
        <v>1.3636363636363636E-2</v>
      </c>
      <c r="BN31" s="494">
        <f t="shared" ref="BN31" si="73">AVERAGEIFS(BN$36:BN$171,$C$36:$C$171,"=2", $B$36:$B$171,"NO OFICIAL")</f>
        <v>56.65</v>
      </c>
      <c r="BP31" s="302">
        <f>AVERAGEIFS(BP$36:BP$171,$C$36:$C$171,"=2", $B$36:$B$171,"NO OFICIAL")</f>
        <v>9.9</v>
      </c>
      <c r="BR31" s="345">
        <f t="shared" ref="BR31:BV31" si="74">AVERAGEIFS(BR$36:BR$171,$C$36:$C$171,"=2", $B$36:$B$171,"NO OFICIAL")</f>
        <v>0.23799999999999999</v>
      </c>
      <c r="BS31" s="345">
        <f t="shared" si="74"/>
        <v>0.30349999999999999</v>
      </c>
      <c r="BT31" s="345">
        <f t="shared" si="74"/>
        <v>0.26749999999999996</v>
      </c>
      <c r="BU31" s="345">
        <f t="shared" si="74"/>
        <v>0.16</v>
      </c>
      <c r="BV31" s="345">
        <f t="shared" si="74"/>
        <v>3.0499999999999999E-2</v>
      </c>
    </row>
    <row r="32" spans="1:74" ht="24" customHeight="1" x14ac:dyDescent="0.2">
      <c r="A32" s="6" t="s">
        <v>903</v>
      </c>
      <c r="B32" s="301"/>
      <c r="C32" s="301"/>
      <c r="D32" s="129">
        <f t="shared" ref="D32:AM32" si="75">AVERAGEIFS(D$36:D$171,$C$36:$C$171,"=3", $B$36:$B$171,"NO OFICIAL")</f>
        <v>55.153846153846153</v>
      </c>
      <c r="E32" s="129">
        <f t="shared" si="75"/>
        <v>8.9230769230769234</v>
      </c>
      <c r="F32" s="39">
        <f t="shared" si="75"/>
        <v>0.21076923076923076</v>
      </c>
      <c r="G32" s="39">
        <f t="shared" si="75"/>
        <v>0.40769230769230763</v>
      </c>
      <c r="H32" s="39">
        <f t="shared" si="75"/>
        <v>0.29461538461538467</v>
      </c>
      <c r="I32" s="39">
        <f t="shared" si="75"/>
        <v>8.9230769230769211E-2</v>
      </c>
      <c r="J32" s="39">
        <f t="shared" si="75"/>
        <v>7.6923076923076923E-4</v>
      </c>
      <c r="K32" s="129">
        <f t="shared" si="75"/>
        <v>51.428571428571431</v>
      </c>
      <c r="L32" s="129">
        <f t="shared" si="75"/>
        <v>8.9285714285714288</v>
      </c>
      <c r="M32" s="39">
        <f t="shared" si="75"/>
        <v>0.34357142857142858</v>
      </c>
      <c r="N32" s="39">
        <f t="shared" si="75"/>
        <v>0.39571428571428563</v>
      </c>
      <c r="O32" s="39">
        <f t="shared" si="75"/>
        <v>0.20499999999999999</v>
      </c>
      <c r="P32" s="39">
        <f t="shared" si="75"/>
        <v>5.5714285714285723E-2</v>
      </c>
      <c r="Q32" s="39">
        <f t="shared" si="75"/>
        <v>2.8571428571428571E-3</v>
      </c>
      <c r="R32" s="129">
        <f t="shared" si="75"/>
        <v>53.285714285714285</v>
      </c>
      <c r="S32" s="129">
        <f t="shared" si="75"/>
        <v>8.5714285714285712</v>
      </c>
      <c r="T32" s="39">
        <f t="shared" si="75"/>
        <v>0.27285714285714285</v>
      </c>
      <c r="U32" s="39">
        <f t="shared" si="75"/>
        <v>0.40357142857142853</v>
      </c>
      <c r="V32" s="39">
        <f t="shared" si="75"/>
        <v>0.2664285714285714</v>
      </c>
      <c r="W32" s="39">
        <f t="shared" si="75"/>
        <v>5.0714285714285726E-2</v>
      </c>
      <c r="X32" s="39">
        <f t="shared" si="75"/>
        <v>5.7142857142857143E-3</v>
      </c>
      <c r="Y32" s="129">
        <f t="shared" si="75"/>
        <v>52.357142857142854</v>
      </c>
      <c r="Z32" s="129">
        <f t="shared" si="75"/>
        <v>9.4285714285714288</v>
      </c>
      <c r="AA32" s="39">
        <f t="shared" si="75"/>
        <v>0.2985714285714286</v>
      </c>
      <c r="AB32" s="39">
        <f t="shared" si="75"/>
        <v>0.40571428571428575</v>
      </c>
      <c r="AC32" s="39">
        <f t="shared" si="75"/>
        <v>0.23142857142857146</v>
      </c>
      <c r="AD32" s="39">
        <f t="shared" si="75"/>
        <v>6.4285714285714279E-2</v>
      </c>
      <c r="AE32" s="39">
        <f t="shared" si="75"/>
        <v>2.142857142857143E-3</v>
      </c>
      <c r="AF32" s="129">
        <f t="shared" si="75"/>
        <v>49.733333333333334</v>
      </c>
      <c r="AG32" s="129">
        <f t="shared" si="75"/>
        <v>8.4</v>
      </c>
      <c r="AH32" s="39">
        <f t="shared" si="75"/>
        <v>0.45533333333333326</v>
      </c>
      <c r="AI32" s="39">
        <f t="shared" si="75"/>
        <v>0.36333333333333334</v>
      </c>
      <c r="AJ32" s="39">
        <f t="shared" si="75"/>
        <v>0.12733333333333335</v>
      </c>
      <c r="AK32" s="39">
        <f t="shared" si="75"/>
        <v>5.3999999999999999E-2</v>
      </c>
      <c r="AL32" s="39">
        <f t="shared" si="75"/>
        <v>1.3333333333333333E-3</v>
      </c>
      <c r="AM32" s="129">
        <f t="shared" si="75"/>
        <v>53.333333333333336</v>
      </c>
      <c r="AO32" s="129">
        <f>AVERAGEIFS(AO$36:AO$171,$C$36:$C$171,"=3", $B$36:$B$171,"NO OFICIAL")</f>
        <v>10.133333333333333</v>
      </c>
      <c r="AQ32" s="39">
        <f t="shared" ref="AQ32:AV32" si="76">AVERAGEIFS(AQ$36:AQ$171,$C$36:$C$171,"=3", $B$36:$B$171,"NO OFICIAL")</f>
        <v>0.31599999999999995</v>
      </c>
      <c r="AR32" s="39">
        <f t="shared" si="76"/>
        <v>0.34066666666666667</v>
      </c>
      <c r="AS32" s="39">
        <f t="shared" si="76"/>
        <v>0.23</v>
      </c>
      <c r="AT32" s="39">
        <f t="shared" si="76"/>
        <v>0.10333333333333333</v>
      </c>
      <c r="AU32" s="39">
        <f t="shared" si="76"/>
        <v>1.1333333333333334E-2</v>
      </c>
      <c r="AV32" s="129">
        <f t="shared" si="76"/>
        <v>55.375</v>
      </c>
      <c r="AX32" s="129">
        <f>AVERAGEIFS(AX$36:AX$171,$C$36:$C$171,"=3", $B$36:$B$171,"NO OFICIAL")</f>
        <v>9.8125</v>
      </c>
      <c r="AZ32" s="344">
        <f t="shared" ref="AZ32:BE32" si="77">AVERAGEIFS(AZ$36:AZ$171,$C$36:$C$171,"=3", $B$36:$B$171,"NO OFICIAL")</f>
        <v>0.24249999999999999</v>
      </c>
      <c r="BA32" s="344">
        <f t="shared" si="77"/>
        <v>0.33500000000000002</v>
      </c>
      <c r="BB32" s="344">
        <f t="shared" si="77"/>
        <v>0.26374999999999998</v>
      </c>
      <c r="BC32" s="344">
        <f t="shared" si="77"/>
        <v>0.15</v>
      </c>
      <c r="BD32" s="344">
        <f t="shared" si="77"/>
        <v>1.125E-2</v>
      </c>
      <c r="BE32" s="129">
        <f t="shared" si="77"/>
        <v>55.5625</v>
      </c>
      <c r="BG32" s="129">
        <f>AVERAGEIFS(BG$36:BG$171,$C$36:$C$171,"=3", $B$36:$B$171,"NO OFICIAL")</f>
        <v>9.9375</v>
      </c>
      <c r="BI32" s="344">
        <f>AVERAGEIFS(BI$36:BI$171,$C$36:$C$171,"=3", $B$36:$B$171,"NO OFICIAL")</f>
        <v>0.22500000000000001</v>
      </c>
      <c r="BJ32" s="344">
        <f>AVERAGEIFS(BJ$36:BJ$171,$C$36:$C$171,"=3", $B$36:$B$171,"NO OFICIAL")</f>
        <v>0.36062500000000003</v>
      </c>
      <c r="BK32" s="344">
        <f>AVERAGEIFS(BK$36:BK$171,$C$36:$C$171,"=3", $B$36:$B$171,"NO OFICIAL")</f>
        <v>0.28187500000000004</v>
      </c>
      <c r="BL32" s="344">
        <f>AVERAGEIFS(BL$36:BL$171,$C$36:$C$171,"=3", $B$36:$B$171,"NO OFICIAL")</f>
        <v>0.11000000000000001</v>
      </c>
      <c r="BM32" s="344">
        <f>AVERAGEIFS(BM$36:BM$171,$C$36:$C$171,"=3", $B$36:$B$171,"NO OFICIAL")</f>
        <v>2.2500000000000006E-2</v>
      </c>
      <c r="BN32" s="494">
        <f t="shared" ref="BN32" si="78">AVERAGEIFS(BN$36:BN$171,$C$36:$C$171,"=3", $B$36:$B$171,"NO OFICIAL")</f>
        <v>56.3125</v>
      </c>
      <c r="BP32" s="302">
        <f>AVERAGEIFS(BP$36:BP$171,$C$36:$C$171,"=3", $B$36:$B$171,"NO OFICIAL")</f>
        <v>9.75</v>
      </c>
      <c r="BR32" s="345">
        <f t="shared" ref="BR32:BV32" si="79">AVERAGEIFS(BR$36:BR$171,$C$36:$C$171,"=3", $B$36:$B$171,"NO OFICIAL")</f>
        <v>0.19625000000000001</v>
      </c>
      <c r="BS32" s="345">
        <f t="shared" si="79"/>
        <v>0.36124999999999996</v>
      </c>
      <c r="BT32" s="345">
        <f t="shared" si="79"/>
        <v>0.28812500000000002</v>
      </c>
      <c r="BU32" s="345">
        <f t="shared" si="79"/>
        <v>0.13187499999999999</v>
      </c>
      <c r="BV32" s="345">
        <f t="shared" si="79"/>
        <v>2.2499999999999999E-2</v>
      </c>
    </row>
    <row r="33" spans="1:74" ht="24" customHeight="1" x14ac:dyDescent="0.2">
      <c r="A33" s="6" t="s">
        <v>904</v>
      </c>
      <c r="B33" s="301"/>
      <c r="C33" s="301"/>
      <c r="D33" s="129">
        <f t="shared" ref="D33:AM33" si="80">AVERAGEIFS(D$36:D$171,$C$36:$C$171,"=4", $B$36:$B$171,"NO OFICIAL")</f>
        <v>51.875</v>
      </c>
      <c r="E33" s="129">
        <f t="shared" si="80"/>
        <v>8.375</v>
      </c>
      <c r="F33" s="39">
        <f t="shared" si="80"/>
        <v>0.3775</v>
      </c>
      <c r="G33" s="39">
        <f t="shared" si="80"/>
        <v>0.35250000000000004</v>
      </c>
      <c r="H33" s="39">
        <f t="shared" si="80"/>
        <v>0.18374999999999997</v>
      </c>
      <c r="I33" s="39">
        <f t="shared" si="80"/>
        <v>8.8749999999999996E-2</v>
      </c>
      <c r="J33" s="39">
        <f t="shared" si="80"/>
        <v>0</v>
      </c>
      <c r="K33" s="129">
        <f t="shared" si="80"/>
        <v>50.888888888888886</v>
      </c>
      <c r="L33" s="129">
        <f t="shared" si="80"/>
        <v>6.5555555555555554</v>
      </c>
      <c r="M33" s="39">
        <f t="shared" si="80"/>
        <v>0.42222222222222222</v>
      </c>
      <c r="N33" s="39">
        <f t="shared" si="80"/>
        <v>0.31444444444444447</v>
      </c>
      <c r="O33" s="39">
        <f t="shared" si="80"/>
        <v>0.24777777777777776</v>
      </c>
      <c r="P33" s="39">
        <f t="shared" si="80"/>
        <v>1.8888888888888886E-2</v>
      </c>
      <c r="Q33" s="39">
        <f t="shared" si="80"/>
        <v>0</v>
      </c>
      <c r="R33" s="129">
        <f t="shared" si="80"/>
        <v>54.555555555555557</v>
      </c>
      <c r="S33" s="129">
        <f t="shared" si="80"/>
        <v>8.2222222222222214</v>
      </c>
      <c r="T33" s="39">
        <f t="shared" si="80"/>
        <v>0.28555555555555556</v>
      </c>
      <c r="U33" s="39">
        <f t="shared" si="80"/>
        <v>0.33888888888888885</v>
      </c>
      <c r="V33" s="39">
        <f t="shared" si="80"/>
        <v>0.25111111111111106</v>
      </c>
      <c r="W33" s="39">
        <f t="shared" si="80"/>
        <v>0.11555555555555556</v>
      </c>
      <c r="X33" s="39">
        <f t="shared" si="80"/>
        <v>7.7777777777777784E-3</v>
      </c>
      <c r="Y33" s="129">
        <f t="shared" si="80"/>
        <v>50.25</v>
      </c>
      <c r="Z33" s="129">
        <f t="shared" si="80"/>
        <v>8.375</v>
      </c>
      <c r="AA33" s="39">
        <f t="shared" si="80"/>
        <v>0.40125</v>
      </c>
      <c r="AB33" s="39">
        <f t="shared" si="80"/>
        <v>0.38250000000000001</v>
      </c>
      <c r="AC33" s="39">
        <f t="shared" si="80"/>
        <v>0.1875</v>
      </c>
      <c r="AD33" s="39">
        <f t="shared" si="80"/>
        <v>2.7500000000000004E-2</v>
      </c>
      <c r="AE33" s="39">
        <f t="shared" si="80"/>
        <v>2.5000000000000001E-3</v>
      </c>
      <c r="AF33" s="129">
        <f t="shared" si="80"/>
        <v>47.428571428571431</v>
      </c>
      <c r="AG33" s="129">
        <f t="shared" si="80"/>
        <v>8.5714285714285712</v>
      </c>
      <c r="AH33" s="39">
        <f t="shared" si="80"/>
        <v>0.47285714285714286</v>
      </c>
      <c r="AI33" s="39">
        <f t="shared" si="80"/>
        <v>0.38714285714285712</v>
      </c>
      <c r="AJ33" s="39">
        <f t="shared" si="80"/>
        <v>0.12714285714285714</v>
      </c>
      <c r="AK33" s="39">
        <f t="shared" si="80"/>
        <v>1.4285714285714287E-2</v>
      </c>
      <c r="AL33" s="39">
        <f t="shared" si="80"/>
        <v>0</v>
      </c>
      <c r="AM33" s="129">
        <f t="shared" si="80"/>
        <v>51</v>
      </c>
      <c r="AO33" s="129">
        <f>AVERAGEIFS(AO$36:AO$171,$C$36:$C$171,"=4", $B$36:$B$171,"NO OFICIAL")</f>
        <v>8.625</v>
      </c>
      <c r="AQ33" s="39">
        <f t="shared" ref="AQ33:AV33" si="81">AVERAGEIFS(AQ$36:AQ$171,$C$36:$C$171,"=4", $B$36:$B$171,"NO OFICIAL")</f>
        <v>0.33624999999999994</v>
      </c>
      <c r="AR33" s="39">
        <f t="shared" si="81"/>
        <v>0.43375000000000002</v>
      </c>
      <c r="AS33" s="39">
        <f t="shared" si="81"/>
        <v>0.18124999999999999</v>
      </c>
      <c r="AT33" s="39">
        <f t="shared" si="81"/>
        <v>4.3750000000000004E-2</v>
      </c>
      <c r="AU33" s="39">
        <f t="shared" si="81"/>
        <v>7.4999999999999997E-3</v>
      </c>
      <c r="AV33" s="129">
        <f t="shared" si="81"/>
        <v>50.875</v>
      </c>
      <c r="AX33" s="129">
        <f>AVERAGEIFS(AX$36:AX$171,$C$36:$C$171,"=4", $B$36:$B$171,"NO OFICIAL")</f>
        <v>9.375</v>
      </c>
      <c r="AZ33" s="344">
        <f t="shared" ref="AZ33:BE33" si="82">AVERAGEIFS(AZ$36:AZ$171,$C$36:$C$171,"=4", $B$36:$B$171,"NO OFICIAL")</f>
        <v>0.35749999999999998</v>
      </c>
      <c r="BA33" s="344">
        <f t="shared" si="82"/>
        <v>0.38</v>
      </c>
      <c r="BB33" s="344">
        <f t="shared" si="82"/>
        <v>0.20125000000000001</v>
      </c>
      <c r="BC33" s="344">
        <f t="shared" si="82"/>
        <v>6.1249999999999999E-2</v>
      </c>
      <c r="BD33" s="344">
        <f t="shared" si="82"/>
        <v>0</v>
      </c>
      <c r="BE33" s="129">
        <f t="shared" si="82"/>
        <v>50.333333333333336</v>
      </c>
      <c r="BG33" s="129">
        <f>AVERAGEIFS(BG$36:BG$171,$C$36:$C$171,"=4", $B$36:$B$171,"NO OFICIAL")</f>
        <v>9</v>
      </c>
      <c r="BI33" s="344">
        <f>AVERAGEIFS(BI$36:BI$171,$C$36:$C$171,"=4", $B$36:$B$171,"NO OFICIAL")</f>
        <v>0.40111111111111108</v>
      </c>
      <c r="BJ33" s="344">
        <f>AVERAGEIFS(BJ$36:BJ$171,$C$36:$C$171,"=4", $B$36:$B$171,"NO OFICIAL")</f>
        <v>0.33777777777777779</v>
      </c>
      <c r="BK33" s="344">
        <f>AVERAGEIFS(BK$36:BK$171,$C$36:$C$171,"=4", $B$36:$B$171,"NO OFICIAL")</f>
        <v>0.20777777777777781</v>
      </c>
      <c r="BL33" s="344">
        <f>AVERAGEIFS(BL$36:BL$171,$C$36:$C$171,"=4", $B$36:$B$171,"NO OFICIAL")</f>
        <v>4.6666666666666669E-2</v>
      </c>
      <c r="BM33" s="344">
        <f>AVERAGEIFS(BM$36:BM$171,$C$36:$C$171,"=4", $B$36:$B$171,"NO OFICIAL")</f>
        <v>3.3333333333333331E-3</v>
      </c>
      <c r="BN33" s="494">
        <f t="shared" ref="BN33" si="83">AVERAGEIFS(BN$36:BN$171,$C$36:$C$171,"=4", $B$36:$B$171,"NO OFICIAL")</f>
        <v>53.142857142857146</v>
      </c>
      <c r="BP33" s="302">
        <f>AVERAGEIFS(BP$36:BP$171,$C$36:$C$171,"=4", $B$36:$B$171,"NO OFICIAL")</f>
        <v>9.7142857142857135</v>
      </c>
      <c r="BR33" s="345">
        <f t="shared" ref="BR33:BV33" si="84">AVERAGEIFS(BR$36:BR$171,$C$36:$C$171,"=4", $B$36:$B$171,"NO OFICIAL")</f>
        <v>0.32571428571428568</v>
      </c>
      <c r="BS33" s="345">
        <f t="shared" si="84"/>
        <v>0.33714285714285719</v>
      </c>
      <c r="BT33" s="345">
        <f t="shared" si="84"/>
        <v>0.21285714285714288</v>
      </c>
      <c r="BU33" s="345">
        <f t="shared" si="84"/>
        <v>0.11142857142857143</v>
      </c>
      <c r="BV33" s="345">
        <f t="shared" si="84"/>
        <v>0.01</v>
      </c>
    </row>
    <row r="34" spans="1:74" ht="24" customHeight="1" x14ac:dyDescent="0.2">
      <c r="A34" s="6" t="s">
        <v>905</v>
      </c>
      <c r="B34" s="301"/>
      <c r="C34" s="301"/>
      <c r="D34" s="129">
        <f t="shared" ref="D34:AM34" si="85">AVERAGEIFS(D$36:D$171,$C$36:$C$171,"=5", $B$36:$B$171,"NO OFICIAL")</f>
        <v>57.785714285714285</v>
      </c>
      <c r="E34" s="129">
        <f t="shared" si="85"/>
        <v>9.2142857142857135</v>
      </c>
      <c r="F34" s="39">
        <f t="shared" si="85"/>
        <v>0.18000000000000002</v>
      </c>
      <c r="G34" s="39">
        <f t="shared" si="85"/>
        <v>0.34285714285714292</v>
      </c>
      <c r="H34" s="39">
        <f t="shared" si="85"/>
        <v>0.28785714285714287</v>
      </c>
      <c r="I34" s="39">
        <f t="shared" si="85"/>
        <v>0.17857142857142858</v>
      </c>
      <c r="J34" s="39">
        <f t="shared" si="85"/>
        <v>1.2142857142857144E-2</v>
      </c>
      <c r="K34" s="129">
        <f t="shared" si="85"/>
        <v>56.285714285714285</v>
      </c>
      <c r="L34" s="129">
        <f t="shared" si="85"/>
        <v>8.7142857142857135</v>
      </c>
      <c r="M34" s="39">
        <f t="shared" si="85"/>
        <v>0.19928571428571426</v>
      </c>
      <c r="N34" s="39">
        <f t="shared" si="85"/>
        <v>0.33357142857142852</v>
      </c>
      <c r="O34" s="39">
        <f t="shared" si="85"/>
        <v>0.35571428571428571</v>
      </c>
      <c r="P34" s="39">
        <f t="shared" si="85"/>
        <v>9.4285714285714278E-2</v>
      </c>
      <c r="Q34" s="39">
        <f t="shared" si="85"/>
        <v>1.9285714285714288E-2</v>
      </c>
      <c r="R34" s="129">
        <f t="shared" si="85"/>
        <v>56.733333333333334</v>
      </c>
      <c r="S34" s="129">
        <f t="shared" si="85"/>
        <v>8.6666666666666661</v>
      </c>
      <c r="T34" s="39">
        <f t="shared" si="85"/>
        <v>0.16599999999999998</v>
      </c>
      <c r="U34" s="39">
        <f t="shared" si="85"/>
        <v>0.3726666666666667</v>
      </c>
      <c r="V34" s="39">
        <f t="shared" si="85"/>
        <v>0.29133333333333333</v>
      </c>
      <c r="W34" s="39">
        <f t="shared" si="85"/>
        <v>0.14933333333333335</v>
      </c>
      <c r="X34" s="39">
        <f t="shared" si="85"/>
        <v>1.8666666666666668E-2</v>
      </c>
      <c r="Y34" s="129">
        <f t="shared" si="85"/>
        <v>55.6875</v>
      </c>
      <c r="Z34" s="129">
        <f t="shared" si="85"/>
        <v>9.0625</v>
      </c>
      <c r="AA34" s="39">
        <f t="shared" si="85"/>
        <v>0.22999999999999998</v>
      </c>
      <c r="AB34" s="39">
        <f t="shared" si="85"/>
        <v>0.33687500000000004</v>
      </c>
      <c r="AC34" s="39">
        <f t="shared" si="85"/>
        <v>0.31312500000000004</v>
      </c>
      <c r="AD34" s="39">
        <f t="shared" si="85"/>
        <v>0.12</v>
      </c>
      <c r="AE34" s="39">
        <f t="shared" si="85"/>
        <v>6.2500000000000001E-4</v>
      </c>
      <c r="AF34" s="129">
        <f t="shared" si="85"/>
        <v>51.666666666666664</v>
      </c>
      <c r="AG34" s="129">
        <f t="shared" si="85"/>
        <v>9.1999999999999993</v>
      </c>
      <c r="AH34" s="39">
        <f t="shared" si="85"/>
        <v>0.32866666666666666</v>
      </c>
      <c r="AI34" s="39">
        <f t="shared" si="85"/>
        <v>0.40533333333333338</v>
      </c>
      <c r="AJ34" s="39">
        <f t="shared" si="85"/>
        <v>0.19799999999999998</v>
      </c>
      <c r="AK34" s="39">
        <f t="shared" si="85"/>
        <v>6.9333333333333344E-2</v>
      </c>
      <c r="AL34" s="39">
        <f t="shared" si="85"/>
        <v>0</v>
      </c>
      <c r="AM34" s="129">
        <f t="shared" si="85"/>
        <v>56.93333333333333</v>
      </c>
      <c r="AO34" s="129">
        <f>AVERAGEIFS(AO$36:AO$171,$C$36:$C$171,"=5", $B$36:$B$171,"NO OFICIAL")</f>
        <v>9.6666666666666661</v>
      </c>
      <c r="AQ34" s="39">
        <f t="shared" ref="AQ34:AV34" si="86">AVERAGEIFS(AQ$36:AQ$171,$C$36:$C$171,"=5", $B$36:$B$171,"NO OFICIAL")</f>
        <v>0.18133333333333329</v>
      </c>
      <c r="AR34" s="39">
        <f t="shared" si="86"/>
        <v>0.37466666666666659</v>
      </c>
      <c r="AS34" s="39">
        <f t="shared" si="86"/>
        <v>0.28466666666666662</v>
      </c>
      <c r="AT34" s="39">
        <f t="shared" si="86"/>
        <v>0.154</v>
      </c>
      <c r="AU34" s="39">
        <f t="shared" si="86"/>
        <v>6.000000000000001E-3</v>
      </c>
      <c r="AV34" s="129">
        <f t="shared" si="86"/>
        <v>57.714285714285715</v>
      </c>
      <c r="AX34" s="129">
        <f>AVERAGEIFS(AX$36:AX$171,$C$36:$C$171,"=5", $B$36:$B$171,"NO OFICIAL")</f>
        <v>9.2142857142857135</v>
      </c>
      <c r="AZ34" s="344">
        <f t="shared" ref="AZ34:BE34" si="87">AVERAGEIFS(AZ$36:AZ$171,$C$36:$C$171,"=5", $B$36:$B$171,"NO OFICIAL")</f>
        <v>0.13071428571428573</v>
      </c>
      <c r="BA34" s="344">
        <f t="shared" si="87"/>
        <v>0.36142857142857138</v>
      </c>
      <c r="BB34" s="344">
        <f t="shared" si="87"/>
        <v>0.33642857142857141</v>
      </c>
      <c r="BC34" s="344">
        <f t="shared" si="87"/>
        <v>0.15</v>
      </c>
      <c r="BD34" s="344">
        <f t="shared" si="87"/>
        <v>1.9285714285714285E-2</v>
      </c>
      <c r="BE34" s="129">
        <f t="shared" si="87"/>
        <v>58.214285714285715</v>
      </c>
      <c r="BG34" s="129">
        <f>AVERAGEIFS(BG$36:BG$171,$C$36:$C$171,"=5", $B$36:$B$171,"NO OFICIAL")</f>
        <v>9.6428571428571423</v>
      </c>
      <c r="BI34" s="344">
        <f>AVERAGEIFS(BI$36:BI$171,$C$36:$C$171,"=5", $B$36:$B$171,"NO OFICIAL")</f>
        <v>0.16857142857142859</v>
      </c>
      <c r="BJ34" s="344">
        <f>AVERAGEIFS(BJ$36:BJ$171,$C$36:$C$171,"=5", $B$36:$B$171,"NO OFICIAL")</f>
        <v>0.28285714285714281</v>
      </c>
      <c r="BK34" s="344">
        <f>AVERAGEIFS(BK$36:BK$171,$C$36:$C$171,"=5", $B$36:$B$171,"NO OFICIAL")</f>
        <v>0.35785714285714282</v>
      </c>
      <c r="BL34" s="344">
        <f>AVERAGEIFS(BL$36:BL$171,$C$36:$C$171,"=5", $B$36:$B$171,"NO OFICIAL")</f>
        <v>0.16714285714285712</v>
      </c>
      <c r="BM34" s="344">
        <f>AVERAGEIFS(BM$36:BM$171,$C$36:$C$171,"=5", $B$36:$B$171,"NO OFICIAL")</f>
        <v>2.5000000000000001E-2</v>
      </c>
      <c r="BN34" s="494">
        <f t="shared" ref="BN34" si="88">AVERAGEIFS(BN$36:BN$171,$C$36:$C$171,"=5", $B$36:$B$171,"NO OFICIAL")</f>
        <v>56.533333333333331</v>
      </c>
      <c r="BP34" s="302">
        <f>AVERAGEIFS(BP$36:BP$171,$C$36:$C$171,"=5", $B$36:$B$171,"NO OFICIAL")</f>
        <v>9.6666666666666661</v>
      </c>
      <c r="BR34" s="345">
        <f t="shared" ref="BR34:BV34" si="89">AVERAGEIFS(BR$36:BR$171,$C$36:$C$171,"=5", $B$36:$B$171,"NO OFICIAL")</f>
        <v>0.20066666666666666</v>
      </c>
      <c r="BS34" s="345">
        <f t="shared" si="89"/>
        <v>0.33666666666666667</v>
      </c>
      <c r="BT34" s="345">
        <f t="shared" si="89"/>
        <v>0.29200000000000004</v>
      </c>
      <c r="BU34" s="345">
        <f t="shared" si="89"/>
        <v>0.14466666666666667</v>
      </c>
      <c r="BV34" s="345">
        <f t="shared" si="89"/>
        <v>2.8666666666666667E-2</v>
      </c>
    </row>
    <row r="35" spans="1:74" ht="24.95" customHeight="1" x14ac:dyDescent="0.2">
      <c r="A35" s="6" t="s">
        <v>906</v>
      </c>
      <c r="B35" s="301"/>
      <c r="C35" s="301"/>
      <c r="D35" s="129">
        <f t="shared" ref="D35:AM35" si="90">AVERAGEIFS(D$36:D$171,$C$36:$C$171,"=6", $B$36:$B$171,"NO OFICIAL")</f>
        <v>54.81818181818182</v>
      </c>
      <c r="E35" s="129">
        <f t="shared" si="90"/>
        <v>8.1818181818181817</v>
      </c>
      <c r="F35" s="39">
        <f t="shared" si="90"/>
        <v>0.2936363636363637</v>
      </c>
      <c r="G35" s="39">
        <f t="shared" si="90"/>
        <v>0.32727272727272722</v>
      </c>
      <c r="H35" s="39">
        <f t="shared" si="90"/>
        <v>0.29909090909090907</v>
      </c>
      <c r="I35" s="39">
        <f t="shared" si="90"/>
        <v>7.0909090909090908E-2</v>
      </c>
      <c r="J35" s="39">
        <f t="shared" si="90"/>
        <v>5.4545454545454541E-3</v>
      </c>
      <c r="K35" s="129">
        <f t="shared" si="90"/>
        <v>51.272727272727273</v>
      </c>
      <c r="L35" s="129">
        <f t="shared" si="90"/>
        <v>9.2727272727272734</v>
      </c>
      <c r="M35" s="39">
        <f t="shared" si="90"/>
        <v>0.42636363636363633</v>
      </c>
      <c r="N35" s="39">
        <f t="shared" si="90"/>
        <v>0.34727272727272723</v>
      </c>
      <c r="O35" s="39">
        <f t="shared" si="90"/>
        <v>0.15363636363636363</v>
      </c>
      <c r="P35" s="39">
        <f t="shared" si="90"/>
        <v>6.6363636363636375E-2</v>
      </c>
      <c r="Q35" s="39">
        <f t="shared" si="90"/>
        <v>8.1818181818181825E-3</v>
      </c>
      <c r="R35" s="129">
        <f t="shared" si="90"/>
        <v>52.9</v>
      </c>
      <c r="S35" s="129">
        <f t="shared" si="90"/>
        <v>8.6999999999999993</v>
      </c>
      <c r="T35" s="39">
        <f t="shared" si="90"/>
        <v>0.28600000000000003</v>
      </c>
      <c r="U35" s="39">
        <f t="shared" si="90"/>
        <v>0.45600000000000007</v>
      </c>
      <c r="V35" s="39">
        <f t="shared" si="90"/>
        <v>0.18099999999999999</v>
      </c>
      <c r="W35" s="39">
        <f t="shared" si="90"/>
        <v>6.9999999999999993E-2</v>
      </c>
      <c r="X35" s="39">
        <f t="shared" si="90"/>
        <v>7.000000000000001E-3</v>
      </c>
      <c r="Y35" s="129">
        <f t="shared" si="90"/>
        <v>52.454545454545453</v>
      </c>
      <c r="Z35" s="129">
        <f t="shared" si="90"/>
        <v>9</v>
      </c>
      <c r="AA35" s="39">
        <f t="shared" si="90"/>
        <v>0.34545454545454546</v>
      </c>
      <c r="AB35" s="39">
        <f t="shared" si="90"/>
        <v>0.35727272727272735</v>
      </c>
      <c r="AC35" s="39">
        <f t="shared" si="90"/>
        <v>0.20363636363636364</v>
      </c>
      <c r="AD35" s="39">
        <f t="shared" si="90"/>
        <v>8.3636363636363634E-2</v>
      </c>
      <c r="AE35" s="39">
        <f t="shared" si="90"/>
        <v>1.0909090909090908E-2</v>
      </c>
      <c r="AF35" s="129">
        <f t="shared" si="90"/>
        <v>47.692307692307693</v>
      </c>
      <c r="AG35" s="129">
        <f t="shared" si="90"/>
        <v>9.2307692307692299</v>
      </c>
      <c r="AH35" s="39">
        <f t="shared" si="90"/>
        <v>0.5346153846153846</v>
      </c>
      <c r="AI35" s="39">
        <f t="shared" si="90"/>
        <v>0.29692307692307696</v>
      </c>
      <c r="AJ35" s="39">
        <f t="shared" si="90"/>
        <v>0.12000000000000001</v>
      </c>
      <c r="AK35" s="39">
        <f t="shared" si="90"/>
        <v>4.6923076923076922E-2</v>
      </c>
      <c r="AL35" s="39">
        <f t="shared" si="90"/>
        <v>3.0769230769230769E-3</v>
      </c>
      <c r="AM35" s="129">
        <f t="shared" si="90"/>
        <v>54</v>
      </c>
      <c r="AO35" s="129">
        <f>AVERAGEIFS(AO$36:AO$171,$C$36:$C$171,"=6", $B$36:$B$171,"NO OFICIAL")</f>
        <v>9.0769230769230766</v>
      </c>
      <c r="AQ35" s="39">
        <f t="shared" ref="AQ35:AV35" si="91">AVERAGEIFS(AQ$36:AQ$171,$C$36:$C$171,"=6", $B$36:$B$171,"NO OFICIAL")</f>
        <v>0.21076923076923079</v>
      </c>
      <c r="AR35" s="39">
        <f t="shared" si="91"/>
        <v>0.41307692307692306</v>
      </c>
      <c r="AS35" s="39">
        <f t="shared" si="91"/>
        <v>0.27615384615384614</v>
      </c>
      <c r="AT35" s="39">
        <f t="shared" si="91"/>
        <v>8.2307692307692318E-2</v>
      </c>
      <c r="AU35" s="39">
        <f t="shared" si="91"/>
        <v>1.9230769230769232E-2</v>
      </c>
      <c r="AV35" s="129">
        <f t="shared" si="91"/>
        <v>54.466666666666669</v>
      </c>
      <c r="AX35" s="129">
        <f>AVERAGEIFS(AX$36:AX$171,$C$36:$C$171,"=6", $B$36:$B$171,"NO OFICIAL")</f>
        <v>9.8666666666666671</v>
      </c>
      <c r="AZ35" s="344">
        <f t="shared" ref="AZ35:BE35" si="92">AVERAGEIFS(AZ$36:AZ$171,$C$36:$C$171,"=6", $B$36:$B$171,"NO OFICIAL")</f>
        <v>0.27600000000000002</v>
      </c>
      <c r="BA35" s="344">
        <f t="shared" si="92"/>
        <v>0.35933333333333339</v>
      </c>
      <c r="BB35" s="344">
        <f t="shared" si="92"/>
        <v>0.24800000000000003</v>
      </c>
      <c r="BC35" s="344">
        <f t="shared" si="92"/>
        <v>0.10733333333333332</v>
      </c>
      <c r="BD35" s="344">
        <f t="shared" si="92"/>
        <v>9.3333333333333324E-3</v>
      </c>
      <c r="BE35" s="129">
        <f t="shared" si="92"/>
        <v>54.5625</v>
      </c>
      <c r="BG35" s="129">
        <f>AVERAGEIFS(BG$36:BG$171,$C$36:$C$171,"=6", $B$36:$B$171,"NO OFICIAL")</f>
        <v>9.25</v>
      </c>
      <c r="BI35" s="344">
        <f>AVERAGEIFS(BI$36:BI$171,$C$36:$C$171,"=6", $B$36:$B$171,"NO OFICIAL")</f>
        <v>0.25624999999999998</v>
      </c>
      <c r="BJ35" s="344">
        <f>AVERAGEIFS(BJ$36:BJ$171,$C$36:$C$171,"=6", $B$36:$B$171,"NO OFICIAL")</f>
        <v>0.38124999999999998</v>
      </c>
      <c r="BK35" s="344">
        <f>AVERAGEIFS(BK$36:BK$171,$C$36:$C$171,"=6", $B$36:$B$171,"NO OFICIAL")</f>
        <v>0.22749999999999998</v>
      </c>
      <c r="BL35" s="344">
        <f>AVERAGEIFS(BL$36:BL$171,$C$36:$C$171,"=6", $B$36:$B$171,"NO OFICIAL")</f>
        <v>0.12687500000000002</v>
      </c>
      <c r="BM35" s="344">
        <f>AVERAGEIFS(BM$36:BM$171,$C$36:$C$171,"=6", $B$36:$B$171,"NO OFICIAL")</f>
        <v>7.4999999999999997E-3</v>
      </c>
      <c r="BN35" s="494">
        <f t="shared" ref="BN35" si="93">AVERAGEIFS(BN$36:BN$171,$C$36:$C$171,"=6", $B$36:$B$171,"NO OFICIAL")</f>
        <v>55.714285714285715</v>
      </c>
      <c r="BP35" s="302">
        <f>AVERAGEIFS(BP$36:BP$171,$C$36:$C$171,"=6", $B$36:$B$171,"NO OFICIAL")</f>
        <v>10.142857142857142</v>
      </c>
      <c r="BR35" s="345">
        <f t="shared" ref="BR35:BV35" si="94">AVERAGEIFS(BR$36:BR$171,$C$36:$C$171,"=6", $B$36:$B$171,"NO OFICIAL")</f>
        <v>0.25142857142857145</v>
      </c>
      <c r="BS35" s="345">
        <f t="shared" si="94"/>
        <v>0.32785714285714285</v>
      </c>
      <c r="BT35" s="345">
        <f t="shared" si="94"/>
        <v>0.2792857142857143</v>
      </c>
      <c r="BU35" s="345">
        <f t="shared" si="94"/>
        <v>0.12071428571428575</v>
      </c>
      <c r="BV35" s="345">
        <f t="shared" si="94"/>
        <v>2.5714285714285714E-2</v>
      </c>
    </row>
    <row r="36" spans="1:74" ht="24.95" customHeight="1" x14ac:dyDescent="0.2">
      <c r="A36" s="126" t="s">
        <v>29</v>
      </c>
      <c r="B36" s="1" t="s">
        <v>221</v>
      </c>
      <c r="C36" s="2">
        <v>2</v>
      </c>
      <c r="D36" s="12">
        <v>52</v>
      </c>
      <c r="E36" s="12">
        <v>8</v>
      </c>
      <c r="F36" s="66">
        <v>0.31</v>
      </c>
      <c r="G36" s="66">
        <v>0.49</v>
      </c>
      <c r="H36" s="66">
        <v>0.19</v>
      </c>
      <c r="I36" s="66">
        <v>0.01</v>
      </c>
      <c r="J36" s="66">
        <v>0</v>
      </c>
      <c r="K36" s="12">
        <v>51</v>
      </c>
      <c r="L36" s="12">
        <v>10</v>
      </c>
      <c r="M36" s="61">
        <v>0.39</v>
      </c>
      <c r="N36" s="61">
        <v>0.36</v>
      </c>
      <c r="O36" s="61">
        <v>0.21</v>
      </c>
      <c r="P36" s="61">
        <v>0.03</v>
      </c>
      <c r="Q36" s="61">
        <v>0.01</v>
      </c>
      <c r="R36" s="12">
        <v>52</v>
      </c>
      <c r="S36" s="12">
        <v>9</v>
      </c>
      <c r="T36" s="63">
        <v>0.35</v>
      </c>
      <c r="U36" s="63">
        <v>0.37</v>
      </c>
      <c r="V36" s="63">
        <v>0.22</v>
      </c>
      <c r="W36" s="63">
        <v>0.06</v>
      </c>
      <c r="X36" s="63">
        <v>0</v>
      </c>
      <c r="Y36" s="12">
        <v>51</v>
      </c>
      <c r="Z36" s="12">
        <v>10</v>
      </c>
      <c r="AA36" s="63">
        <v>0.38</v>
      </c>
      <c r="AB36" s="63">
        <v>0.34</v>
      </c>
      <c r="AC36" s="63">
        <v>0.25</v>
      </c>
      <c r="AD36" s="63">
        <v>0.03</v>
      </c>
      <c r="AE36" s="63">
        <v>0</v>
      </c>
      <c r="AF36" s="25">
        <v>48</v>
      </c>
      <c r="AG36" s="25">
        <v>8</v>
      </c>
      <c r="AH36" s="61">
        <v>0.61</v>
      </c>
      <c r="AI36" s="61">
        <v>0.25</v>
      </c>
      <c r="AJ36" s="61">
        <v>0.08</v>
      </c>
      <c r="AK36" s="61">
        <v>0.05</v>
      </c>
      <c r="AL36" s="61">
        <v>0</v>
      </c>
      <c r="AM36" s="247">
        <v>53</v>
      </c>
      <c r="AN36" s="247" t="s">
        <v>874</v>
      </c>
      <c r="AO36" s="247">
        <v>9</v>
      </c>
      <c r="AP36" s="247" t="s">
        <v>874</v>
      </c>
      <c r="AQ36" s="264">
        <v>0.25</v>
      </c>
      <c r="AR36" s="264">
        <v>0.41</v>
      </c>
      <c r="AS36" s="264">
        <v>0.3</v>
      </c>
      <c r="AT36" s="264">
        <v>0.04</v>
      </c>
      <c r="AU36" s="264">
        <v>0</v>
      </c>
    </row>
    <row r="37" spans="1:74" ht="24.95" customHeight="1" x14ac:dyDescent="0.2">
      <c r="A37" s="749" t="s">
        <v>1095</v>
      </c>
      <c r="B37" s="14" t="s">
        <v>221</v>
      </c>
      <c r="C37" s="745"/>
      <c r="D37" s="746"/>
      <c r="E37" s="746"/>
      <c r="F37" s="809"/>
      <c r="G37" s="809"/>
      <c r="H37" s="809"/>
      <c r="I37" s="809"/>
      <c r="J37" s="809"/>
      <c r="K37" s="746"/>
      <c r="L37" s="746"/>
      <c r="M37" s="808"/>
      <c r="N37" s="808"/>
      <c r="O37" s="808"/>
      <c r="P37" s="808"/>
      <c r="Q37" s="808"/>
      <c r="R37" s="746"/>
      <c r="S37" s="746"/>
      <c r="T37" s="807"/>
      <c r="U37" s="807"/>
      <c r="V37" s="807"/>
      <c r="W37" s="807"/>
      <c r="X37" s="807"/>
      <c r="Y37" s="746"/>
      <c r="Z37" s="746"/>
      <c r="AA37" s="807"/>
      <c r="AB37" s="807"/>
      <c r="AC37" s="807"/>
      <c r="AD37" s="807"/>
      <c r="AE37" s="807"/>
      <c r="AF37" s="747"/>
      <c r="AG37" s="747"/>
      <c r="AH37" s="808"/>
      <c r="AI37" s="808"/>
      <c r="AJ37" s="808"/>
      <c r="AK37" s="808"/>
      <c r="AL37" s="808"/>
      <c r="AM37" s="812"/>
      <c r="AN37" s="812"/>
      <c r="AO37" s="812"/>
      <c r="AP37" s="812"/>
      <c r="AQ37" s="813"/>
      <c r="AR37" s="813"/>
      <c r="AS37" s="813"/>
      <c r="AT37" s="813"/>
      <c r="AU37" s="813"/>
    </row>
    <row r="38" spans="1:74" ht="24.95" customHeight="1" x14ac:dyDescent="0.2">
      <c r="A38" s="36" t="s">
        <v>270</v>
      </c>
      <c r="B38" s="14" t="s">
        <v>221</v>
      </c>
      <c r="C38" s="2">
        <v>2</v>
      </c>
      <c r="D38" s="12" t="s">
        <v>224</v>
      </c>
      <c r="E38" s="12" t="s">
        <v>224</v>
      </c>
      <c r="F38" s="12"/>
      <c r="G38" s="12"/>
      <c r="H38" s="12"/>
      <c r="I38" s="12"/>
      <c r="J38" s="12"/>
      <c r="K38" s="12" t="s">
        <v>224</v>
      </c>
      <c r="L38" s="12" t="s">
        <v>224</v>
      </c>
      <c r="M38" s="61"/>
      <c r="N38" s="61"/>
      <c r="O38" s="61"/>
      <c r="P38" s="61"/>
      <c r="Q38" s="61"/>
      <c r="R38" s="12" t="s">
        <v>224</v>
      </c>
      <c r="S38" s="12" t="s">
        <v>224</v>
      </c>
      <c r="T38" s="2"/>
      <c r="U38" s="2"/>
      <c r="V38" s="2"/>
      <c r="W38" s="2"/>
      <c r="X38" s="2"/>
      <c r="Y38" s="12" t="s">
        <v>224</v>
      </c>
      <c r="Z38" s="12" t="s">
        <v>224</v>
      </c>
      <c r="AA38" s="2"/>
      <c r="AB38" s="2"/>
      <c r="AC38" s="2"/>
      <c r="AD38" s="2"/>
      <c r="AE38" s="2"/>
      <c r="AF38" s="25">
        <v>35</v>
      </c>
      <c r="AG38" s="25">
        <v>2</v>
      </c>
      <c r="AH38" s="61">
        <v>1</v>
      </c>
      <c r="AI38" s="61">
        <v>0</v>
      </c>
      <c r="AJ38" s="61">
        <v>0</v>
      </c>
      <c r="AK38" s="61">
        <v>0</v>
      </c>
      <c r="AL38" s="61">
        <v>0</v>
      </c>
      <c r="AM38" s="247">
        <v>50</v>
      </c>
      <c r="AN38" s="247" t="s">
        <v>874</v>
      </c>
      <c r="AO38" s="247">
        <v>0</v>
      </c>
      <c r="AP38" s="247" t="s">
        <v>876</v>
      </c>
      <c r="AQ38" s="264">
        <v>0</v>
      </c>
      <c r="AR38" s="264">
        <v>1</v>
      </c>
      <c r="AS38" s="264">
        <v>0</v>
      </c>
      <c r="AT38" s="264">
        <v>0</v>
      </c>
      <c r="AU38" s="264">
        <v>0</v>
      </c>
      <c r="AV38" s="311">
        <v>41</v>
      </c>
      <c r="AW38" s="311" t="s">
        <v>876</v>
      </c>
      <c r="AX38" s="311">
        <v>11</v>
      </c>
      <c r="AY38" s="311" t="s">
        <v>874</v>
      </c>
      <c r="AZ38" s="329">
        <v>0.67</v>
      </c>
      <c r="BA38" s="329">
        <v>0.33</v>
      </c>
      <c r="BB38" s="329">
        <v>0</v>
      </c>
      <c r="BC38" s="329">
        <v>0</v>
      </c>
      <c r="BD38" s="329">
        <v>0</v>
      </c>
      <c r="BE38" s="426">
        <v>43</v>
      </c>
      <c r="BF38" s="426" t="s">
        <v>876</v>
      </c>
      <c r="BG38" s="426">
        <v>0</v>
      </c>
      <c r="BH38" s="426" t="s">
        <v>876</v>
      </c>
      <c r="BI38" s="430">
        <v>1</v>
      </c>
      <c r="BJ38" s="430">
        <v>0</v>
      </c>
      <c r="BK38" s="430">
        <v>0</v>
      </c>
      <c r="BL38" s="430">
        <v>0</v>
      </c>
      <c r="BM38" s="430">
        <v>0</v>
      </c>
      <c r="BN38" s="466">
        <v>41</v>
      </c>
      <c r="BO38" s="466" t="s">
        <v>876</v>
      </c>
      <c r="BP38" s="466">
        <v>6</v>
      </c>
      <c r="BQ38" s="466" t="s">
        <v>876</v>
      </c>
      <c r="BR38" s="480">
        <v>1</v>
      </c>
      <c r="BS38" s="480">
        <v>0</v>
      </c>
      <c r="BT38" s="480">
        <v>0</v>
      </c>
      <c r="BU38" s="480">
        <v>0</v>
      </c>
      <c r="BV38" s="480">
        <v>0</v>
      </c>
    </row>
    <row r="39" spans="1:74" ht="24.95" customHeight="1" x14ac:dyDescent="0.2">
      <c r="A39" s="642" t="s">
        <v>916</v>
      </c>
      <c r="B39" s="14" t="s">
        <v>221</v>
      </c>
      <c r="C39" s="466">
        <v>2</v>
      </c>
      <c r="D39" s="528"/>
      <c r="E39" s="528"/>
      <c r="F39" s="528"/>
      <c r="G39" s="528"/>
      <c r="H39" s="528"/>
      <c r="I39" s="528"/>
      <c r="J39" s="528"/>
      <c r="K39" s="528"/>
      <c r="L39" s="528"/>
      <c r="M39" s="662"/>
      <c r="N39" s="662"/>
      <c r="O39" s="662"/>
      <c r="P39" s="662"/>
      <c r="Q39" s="662"/>
      <c r="R39" s="528"/>
      <c r="S39" s="528"/>
      <c r="T39" s="466"/>
      <c r="U39" s="466"/>
      <c r="V39" s="466"/>
      <c r="W39" s="466"/>
      <c r="X39" s="466"/>
      <c r="Y39" s="528"/>
      <c r="Z39" s="528"/>
      <c r="AA39" s="466"/>
      <c r="AB39" s="466"/>
      <c r="AC39" s="466"/>
      <c r="AD39" s="466"/>
      <c r="AE39" s="466"/>
      <c r="AF39" s="614"/>
      <c r="AG39" s="614"/>
      <c r="AH39" s="662"/>
      <c r="AI39" s="662"/>
      <c r="AJ39" s="662"/>
      <c r="AK39" s="662"/>
      <c r="AL39" s="662"/>
      <c r="AM39" s="645"/>
      <c r="AN39" s="645"/>
      <c r="AO39" s="645"/>
      <c r="AP39" s="645"/>
      <c r="AQ39" s="646"/>
      <c r="AR39" s="646"/>
      <c r="AS39" s="646"/>
      <c r="AT39" s="646"/>
      <c r="AU39" s="646"/>
      <c r="AV39" s="466">
        <v>44</v>
      </c>
      <c r="AW39" s="466" t="s">
        <v>876</v>
      </c>
      <c r="AX39" s="466">
        <v>10</v>
      </c>
      <c r="AY39" s="466" t="s">
        <v>874</v>
      </c>
      <c r="AZ39" s="480">
        <v>0.75</v>
      </c>
      <c r="BA39" s="480">
        <v>0.13</v>
      </c>
      <c r="BB39" s="480">
        <v>0.13</v>
      </c>
      <c r="BC39" s="480">
        <v>0</v>
      </c>
      <c r="BD39" s="480">
        <v>0</v>
      </c>
      <c r="BE39" s="647">
        <v>49</v>
      </c>
      <c r="BF39" s="647" t="s">
        <v>874</v>
      </c>
      <c r="BG39" s="647">
        <v>13</v>
      </c>
      <c r="BH39" s="647" t="s">
        <v>874</v>
      </c>
      <c r="BI39" s="648">
        <v>0.75</v>
      </c>
      <c r="BJ39" s="648">
        <v>0</v>
      </c>
      <c r="BK39" s="648">
        <v>0</v>
      </c>
      <c r="BL39" s="648">
        <v>0.25</v>
      </c>
      <c r="BM39" s="648">
        <v>0</v>
      </c>
      <c r="BN39" s="647"/>
      <c r="BO39" s="647"/>
      <c r="BP39" s="647"/>
      <c r="BQ39" s="647"/>
      <c r="BR39" s="648"/>
      <c r="BS39" s="648"/>
      <c r="BT39" s="648"/>
      <c r="BU39" s="648"/>
      <c r="BV39" s="648"/>
    </row>
    <row r="40" spans="1:74" ht="24.95" customHeight="1" x14ac:dyDescent="0.2">
      <c r="A40" s="642" t="s">
        <v>34</v>
      </c>
      <c r="B40" s="1" t="s">
        <v>221</v>
      </c>
      <c r="C40" s="466">
        <v>3</v>
      </c>
      <c r="D40" s="528">
        <v>54</v>
      </c>
      <c r="E40" s="528">
        <v>7</v>
      </c>
      <c r="F40" s="529">
        <v>0.26</v>
      </c>
      <c r="G40" s="529">
        <v>0.45</v>
      </c>
      <c r="H40" s="529">
        <v>0.28000000000000003</v>
      </c>
      <c r="I40" s="529">
        <v>0.02</v>
      </c>
      <c r="J40" s="529">
        <v>0</v>
      </c>
      <c r="K40" s="528">
        <v>49</v>
      </c>
      <c r="L40" s="528">
        <v>9</v>
      </c>
      <c r="M40" s="662">
        <v>0.47</v>
      </c>
      <c r="N40" s="662">
        <v>0.33</v>
      </c>
      <c r="O40" s="662">
        <v>0.2</v>
      </c>
      <c r="P40" s="662">
        <v>0</v>
      </c>
      <c r="Q40" s="662">
        <v>0</v>
      </c>
      <c r="R40" s="528">
        <v>50</v>
      </c>
      <c r="S40" s="528">
        <v>10</v>
      </c>
      <c r="T40" s="480">
        <v>0.37</v>
      </c>
      <c r="U40" s="480">
        <v>0.43</v>
      </c>
      <c r="V40" s="480">
        <v>0.13</v>
      </c>
      <c r="W40" s="480">
        <v>7.0000000000000007E-2</v>
      </c>
      <c r="X40" s="480">
        <v>0</v>
      </c>
      <c r="Y40" s="528">
        <v>49</v>
      </c>
      <c r="Z40" s="528">
        <v>7</v>
      </c>
      <c r="AA40" s="480">
        <v>0.38</v>
      </c>
      <c r="AB40" s="480">
        <v>0.54</v>
      </c>
      <c r="AC40" s="480">
        <v>0.08</v>
      </c>
      <c r="AD40" s="480">
        <v>0</v>
      </c>
      <c r="AE40" s="480">
        <v>0</v>
      </c>
      <c r="AF40" s="614">
        <v>50</v>
      </c>
      <c r="AG40" s="614">
        <v>8</v>
      </c>
      <c r="AH40" s="662">
        <v>0.45</v>
      </c>
      <c r="AI40" s="662">
        <v>0.38</v>
      </c>
      <c r="AJ40" s="662">
        <v>0.12</v>
      </c>
      <c r="AK40" s="662">
        <v>0.05</v>
      </c>
      <c r="AL40" s="662">
        <v>0</v>
      </c>
      <c r="AM40" s="645">
        <v>54</v>
      </c>
      <c r="AN40" s="645" t="s">
        <v>874</v>
      </c>
      <c r="AO40" s="645">
        <v>9</v>
      </c>
      <c r="AP40" s="645" t="s">
        <v>874</v>
      </c>
      <c r="AQ40" s="646">
        <v>0.23</v>
      </c>
      <c r="AR40" s="646">
        <v>0.36</v>
      </c>
      <c r="AS40" s="646">
        <v>0.38</v>
      </c>
      <c r="AT40" s="646">
        <v>0.03</v>
      </c>
      <c r="AU40" s="646">
        <v>0</v>
      </c>
      <c r="AV40" s="466">
        <v>51</v>
      </c>
      <c r="AW40" s="466" t="s">
        <v>874</v>
      </c>
      <c r="AX40" s="466">
        <v>12</v>
      </c>
      <c r="AY40" s="466" t="s">
        <v>874</v>
      </c>
      <c r="AZ40" s="480">
        <v>0.36</v>
      </c>
      <c r="BA40" s="480">
        <v>0.36</v>
      </c>
      <c r="BB40" s="480">
        <v>0.21</v>
      </c>
      <c r="BC40" s="480">
        <v>0</v>
      </c>
      <c r="BD40" s="480">
        <v>0.06</v>
      </c>
      <c r="BE40" s="647">
        <v>54</v>
      </c>
      <c r="BF40" s="647" t="s">
        <v>874</v>
      </c>
      <c r="BG40" s="647">
        <v>9</v>
      </c>
      <c r="BH40" s="647" t="s">
        <v>874</v>
      </c>
      <c r="BI40" s="648">
        <v>0.25</v>
      </c>
      <c r="BJ40" s="648">
        <v>0.46</v>
      </c>
      <c r="BK40" s="648">
        <v>0.25</v>
      </c>
      <c r="BL40" s="648">
        <v>0</v>
      </c>
      <c r="BM40" s="648">
        <v>0.04</v>
      </c>
      <c r="BN40" s="466">
        <v>54</v>
      </c>
      <c r="BO40" s="466" t="s">
        <v>874</v>
      </c>
      <c r="BP40" s="466">
        <v>11</v>
      </c>
      <c r="BQ40" s="466" t="s">
        <v>874</v>
      </c>
      <c r="BR40" s="480">
        <v>0.32</v>
      </c>
      <c r="BS40" s="480">
        <v>0.32</v>
      </c>
      <c r="BT40" s="480">
        <v>0.23</v>
      </c>
      <c r="BU40" s="480">
        <v>0.13</v>
      </c>
      <c r="BV40" s="480">
        <v>0</v>
      </c>
    </row>
    <row r="41" spans="1:74" ht="24.95" customHeight="1" x14ac:dyDescent="0.2">
      <c r="A41" s="324" t="s">
        <v>271</v>
      </c>
      <c r="B41" s="1" t="s">
        <v>221</v>
      </c>
      <c r="C41" s="311">
        <v>4</v>
      </c>
      <c r="D41" s="330">
        <v>50</v>
      </c>
      <c r="E41" s="330">
        <v>10</v>
      </c>
      <c r="F41" s="335">
        <v>0.5</v>
      </c>
      <c r="G41" s="335">
        <v>0.33</v>
      </c>
      <c r="H41" s="335">
        <v>0.15</v>
      </c>
      <c r="I41" s="335">
        <v>0.02</v>
      </c>
      <c r="J41" s="335">
        <v>0</v>
      </c>
      <c r="K41" s="330">
        <v>45</v>
      </c>
      <c r="L41" s="330">
        <v>8</v>
      </c>
      <c r="M41" s="332">
        <v>0.64</v>
      </c>
      <c r="N41" s="332">
        <v>0.3</v>
      </c>
      <c r="O41" s="332">
        <v>7.0000000000000007E-2</v>
      </c>
      <c r="P41" s="332">
        <v>0</v>
      </c>
      <c r="Q41" s="332">
        <v>0</v>
      </c>
      <c r="R41" s="330">
        <v>45</v>
      </c>
      <c r="S41" s="330">
        <v>6</v>
      </c>
      <c r="T41" s="329">
        <v>0.65</v>
      </c>
      <c r="U41" s="329">
        <v>0.32</v>
      </c>
      <c r="V41" s="329">
        <v>0.03</v>
      </c>
      <c r="W41" s="329">
        <v>0</v>
      </c>
      <c r="X41" s="329">
        <v>0</v>
      </c>
      <c r="Y41" s="330">
        <v>46</v>
      </c>
      <c r="Z41" s="330">
        <v>8</v>
      </c>
      <c r="AA41" s="329">
        <v>0.64</v>
      </c>
      <c r="AB41" s="329">
        <v>0.31</v>
      </c>
      <c r="AC41" s="329">
        <v>0.02</v>
      </c>
      <c r="AD41" s="329">
        <v>0.02</v>
      </c>
      <c r="AE41" s="329">
        <v>0</v>
      </c>
      <c r="AF41" s="331">
        <v>43</v>
      </c>
      <c r="AG41" s="331">
        <v>7</v>
      </c>
      <c r="AH41" s="332">
        <v>0.73</v>
      </c>
      <c r="AI41" s="332">
        <v>0.25</v>
      </c>
      <c r="AJ41" s="332">
        <v>0.03</v>
      </c>
      <c r="AK41" s="332">
        <v>0</v>
      </c>
      <c r="AL41" s="332">
        <v>0</v>
      </c>
      <c r="AM41" s="314">
        <v>47</v>
      </c>
      <c r="AN41" s="314" t="s">
        <v>874</v>
      </c>
      <c r="AO41" s="314">
        <v>10</v>
      </c>
      <c r="AP41" s="314" t="s">
        <v>874</v>
      </c>
      <c r="AQ41" s="334">
        <v>0.56000000000000005</v>
      </c>
      <c r="AR41" s="334">
        <v>0.34</v>
      </c>
      <c r="AS41" s="334">
        <v>7.0000000000000007E-2</v>
      </c>
      <c r="AT41" s="334">
        <v>0.02</v>
      </c>
      <c r="AU41" s="334">
        <v>0</v>
      </c>
      <c r="AV41" s="311">
        <v>46</v>
      </c>
      <c r="AW41" s="311" t="s">
        <v>874</v>
      </c>
      <c r="AX41" s="311">
        <v>9</v>
      </c>
      <c r="AY41" s="311" t="s">
        <v>874</v>
      </c>
      <c r="AZ41" s="329">
        <v>0.52</v>
      </c>
      <c r="BA41" s="329">
        <v>0.37</v>
      </c>
      <c r="BB41" s="329">
        <v>0.11</v>
      </c>
      <c r="BC41" s="329">
        <v>0</v>
      </c>
      <c r="BD41" s="329">
        <v>0</v>
      </c>
      <c r="BE41" s="426">
        <v>49</v>
      </c>
      <c r="BF41" s="426" t="s">
        <v>874</v>
      </c>
      <c r="BG41" s="426">
        <v>9</v>
      </c>
      <c r="BH41" s="426" t="s">
        <v>874</v>
      </c>
      <c r="BI41" s="430">
        <v>0.46</v>
      </c>
      <c r="BJ41" s="430">
        <v>0.35</v>
      </c>
      <c r="BK41" s="430">
        <v>0.16</v>
      </c>
      <c r="BL41" s="430">
        <v>0.03</v>
      </c>
      <c r="BM41" s="430">
        <v>0</v>
      </c>
      <c r="BN41" s="660">
        <v>51</v>
      </c>
      <c r="BO41" s="660" t="s">
        <v>874</v>
      </c>
      <c r="BP41" s="660">
        <v>10</v>
      </c>
      <c r="BQ41" s="660" t="s">
        <v>874</v>
      </c>
      <c r="BR41" s="661">
        <v>0.38</v>
      </c>
      <c r="BS41" s="661">
        <v>0.38</v>
      </c>
      <c r="BT41" s="661">
        <v>0.15</v>
      </c>
      <c r="BU41" s="661">
        <v>0.08</v>
      </c>
      <c r="BV41" s="661">
        <v>0</v>
      </c>
    </row>
    <row r="42" spans="1:74" ht="24.95" customHeight="1" x14ac:dyDescent="0.2">
      <c r="A42" s="126" t="s">
        <v>291</v>
      </c>
      <c r="B42" s="1" t="s">
        <v>221</v>
      </c>
      <c r="C42" s="2">
        <v>5</v>
      </c>
      <c r="D42" s="12" t="s">
        <v>224</v>
      </c>
      <c r="E42" s="12" t="s">
        <v>224</v>
      </c>
      <c r="F42" s="12"/>
      <c r="G42" s="12"/>
      <c r="H42" s="12"/>
      <c r="I42" s="12"/>
      <c r="J42" s="12"/>
      <c r="K42" s="12" t="s">
        <v>224</v>
      </c>
      <c r="L42" s="12" t="s">
        <v>224</v>
      </c>
      <c r="M42" s="61"/>
      <c r="N42" s="61"/>
      <c r="O42" s="61"/>
      <c r="P42" s="61"/>
      <c r="Q42" s="61"/>
      <c r="R42" s="12">
        <v>51</v>
      </c>
      <c r="S42" s="12">
        <v>5</v>
      </c>
      <c r="T42" s="63">
        <v>0.28000000000000003</v>
      </c>
      <c r="U42" s="63">
        <v>0.61</v>
      </c>
      <c r="V42" s="63">
        <v>0.11</v>
      </c>
      <c r="W42" s="63">
        <v>0</v>
      </c>
      <c r="X42" s="63">
        <v>0</v>
      </c>
      <c r="Y42" s="12">
        <v>47</v>
      </c>
      <c r="Z42" s="12">
        <v>9</v>
      </c>
      <c r="AA42" s="63">
        <v>0.6</v>
      </c>
      <c r="AB42" s="63">
        <v>0.27</v>
      </c>
      <c r="AC42" s="63">
        <v>0.13</v>
      </c>
      <c r="AD42" s="63">
        <v>0</v>
      </c>
      <c r="AE42" s="63">
        <v>0</v>
      </c>
      <c r="AF42" s="25">
        <v>47</v>
      </c>
      <c r="AG42" s="25">
        <v>10</v>
      </c>
      <c r="AH42" s="61">
        <v>0.5</v>
      </c>
      <c r="AI42" s="61">
        <v>0.36</v>
      </c>
      <c r="AJ42" s="61">
        <v>0.09</v>
      </c>
      <c r="AK42" s="61">
        <v>0.05</v>
      </c>
      <c r="AL42" s="61">
        <v>0</v>
      </c>
      <c r="AM42" s="247">
        <v>53</v>
      </c>
      <c r="AN42" s="247" t="s">
        <v>874</v>
      </c>
      <c r="AO42" s="247">
        <v>10</v>
      </c>
      <c r="AP42" s="247" t="s">
        <v>874</v>
      </c>
      <c r="AQ42" s="264">
        <v>0.35</v>
      </c>
      <c r="AR42" s="264">
        <v>0.38</v>
      </c>
      <c r="AS42" s="264">
        <v>0.23</v>
      </c>
      <c r="AT42" s="264">
        <v>0.04</v>
      </c>
      <c r="AU42" s="264">
        <v>0</v>
      </c>
      <c r="AV42" s="311">
        <v>58</v>
      </c>
      <c r="AW42" s="311" t="s">
        <v>874</v>
      </c>
      <c r="AX42" s="311">
        <v>8</v>
      </c>
      <c r="AY42" s="311" t="s">
        <v>874</v>
      </c>
      <c r="AZ42" s="329">
        <v>0.08</v>
      </c>
      <c r="BA42" s="329">
        <v>0.31</v>
      </c>
      <c r="BB42" s="329">
        <v>0.46</v>
      </c>
      <c r="BC42" s="329">
        <v>0.15</v>
      </c>
      <c r="BD42" s="329">
        <v>0</v>
      </c>
      <c r="BE42" s="426">
        <v>53</v>
      </c>
      <c r="BF42" s="426" t="s">
        <v>874</v>
      </c>
      <c r="BG42" s="426">
        <v>12</v>
      </c>
      <c r="BH42" s="426" t="s">
        <v>874</v>
      </c>
      <c r="BI42" s="430">
        <v>0.36</v>
      </c>
      <c r="BJ42" s="430">
        <v>0.41</v>
      </c>
      <c r="BK42" s="430">
        <v>0.05</v>
      </c>
      <c r="BL42" s="430">
        <v>0.14000000000000001</v>
      </c>
      <c r="BM42" s="430">
        <v>0.05</v>
      </c>
      <c r="BN42" s="466">
        <v>51</v>
      </c>
      <c r="BO42" s="466" t="s">
        <v>874</v>
      </c>
      <c r="BP42" s="466">
        <v>10</v>
      </c>
      <c r="BQ42" s="466" t="s">
        <v>874</v>
      </c>
      <c r="BR42" s="480">
        <v>0.28000000000000003</v>
      </c>
      <c r="BS42" s="480">
        <v>0.48</v>
      </c>
      <c r="BT42" s="480">
        <v>0.2</v>
      </c>
      <c r="BU42" s="480">
        <v>0.04</v>
      </c>
      <c r="BV42" s="480">
        <v>0</v>
      </c>
    </row>
    <row r="43" spans="1:74" ht="24.95" customHeight="1" x14ac:dyDescent="0.2">
      <c r="A43" s="36" t="s">
        <v>267</v>
      </c>
      <c r="B43" s="14" t="s">
        <v>221</v>
      </c>
      <c r="C43" s="2">
        <v>6</v>
      </c>
      <c r="D43" s="12" t="s">
        <v>224</v>
      </c>
      <c r="E43" s="12" t="s">
        <v>224</v>
      </c>
      <c r="F43" s="12"/>
      <c r="G43" s="12"/>
      <c r="H43" s="12"/>
      <c r="I43" s="12"/>
      <c r="J43" s="12"/>
      <c r="K43" s="12" t="s">
        <v>224</v>
      </c>
      <c r="L43" s="12" t="s">
        <v>224</v>
      </c>
      <c r="M43" s="61"/>
      <c r="N43" s="61"/>
      <c r="O43" s="61"/>
      <c r="P43" s="61"/>
      <c r="Q43" s="61"/>
      <c r="R43" s="12" t="s">
        <v>224</v>
      </c>
      <c r="S43" s="12" t="s">
        <v>224</v>
      </c>
      <c r="T43" s="2"/>
      <c r="U43" s="2"/>
      <c r="V43" s="2"/>
      <c r="W43" s="2"/>
      <c r="X43" s="2"/>
      <c r="Y43" s="12" t="s">
        <v>224</v>
      </c>
      <c r="Z43" s="12" t="s">
        <v>224</v>
      </c>
      <c r="AA43" s="2"/>
      <c r="AB43" s="2"/>
      <c r="AC43" s="2"/>
      <c r="AD43" s="2"/>
      <c r="AE43" s="2"/>
      <c r="AF43" s="25">
        <v>55</v>
      </c>
      <c r="AG43" s="25">
        <v>8</v>
      </c>
      <c r="AH43" s="61">
        <v>0</v>
      </c>
      <c r="AI43" s="61">
        <v>0.5</v>
      </c>
      <c r="AJ43" s="61">
        <v>0.5</v>
      </c>
      <c r="AK43" s="61">
        <v>0</v>
      </c>
      <c r="AL43" s="61">
        <v>0</v>
      </c>
      <c r="AM43" s="247">
        <v>58</v>
      </c>
      <c r="AN43" s="247" t="s">
        <v>874</v>
      </c>
      <c r="AO43" s="247">
        <v>0</v>
      </c>
      <c r="AP43" s="247" t="s">
        <v>876</v>
      </c>
      <c r="AQ43" s="264">
        <v>0</v>
      </c>
      <c r="AR43" s="264">
        <v>0</v>
      </c>
      <c r="AS43" s="264">
        <v>1</v>
      </c>
      <c r="AT43" s="264">
        <v>0</v>
      </c>
      <c r="AU43" s="264">
        <v>0</v>
      </c>
      <c r="AV43" s="311">
        <v>62</v>
      </c>
      <c r="AW43" s="311" t="s">
        <v>875</v>
      </c>
      <c r="AX43" s="311">
        <v>7</v>
      </c>
      <c r="AY43" s="311" t="s">
        <v>876</v>
      </c>
      <c r="AZ43" s="329">
        <v>0</v>
      </c>
      <c r="BA43" s="329">
        <v>0.33</v>
      </c>
      <c r="BB43" s="329">
        <v>0.67</v>
      </c>
      <c r="BC43" s="329">
        <v>0</v>
      </c>
      <c r="BD43" s="329">
        <v>0</v>
      </c>
      <c r="BE43" s="426">
        <v>53</v>
      </c>
      <c r="BF43" s="426" t="s">
        <v>874</v>
      </c>
      <c r="BG43" s="426">
        <v>8</v>
      </c>
      <c r="BH43" s="426" t="s">
        <v>874</v>
      </c>
      <c r="BI43" s="430">
        <v>0.25</v>
      </c>
      <c r="BJ43" s="430">
        <v>0.67</v>
      </c>
      <c r="BK43" s="430">
        <v>0</v>
      </c>
      <c r="BL43" s="430">
        <v>0.08</v>
      </c>
      <c r="BM43" s="430">
        <v>0</v>
      </c>
      <c r="BN43" s="466">
        <v>64</v>
      </c>
      <c r="BO43" s="466" t="s">
        <v>875</v>
      </c>
      <c r="BP43" s="466">
        <v>13</v>
      </c>
      <c r="BQ43" s="466" t="s">
        <v>874</v>
      </c>
      <c r="BR43" s="480">
        <v>0.13</v>
      </c>
      <c r="BS43" s="480">
        <v>0.25</v>
      </c>
      <c r="BT43" s="480">
        <v>0.13</v>
      </c>
      <c r="BU43" s="480">
        <v>0.38</v>
      </c>
      <c r="BV43" s="480">
        <v>0.13</v>
      </c>
    </row>
    <row r="44" spans="1:74" ht="24.95" customHeight="1" x14ac:dyDescent="0.2">
      <c r="A44" s="126" t="s">
        <v>189</v>
      </c>
      <c r="B44" s="1" t="s">
        <v>221</v>
      </c>
      <c r="C44" s="2">
        <v>2</v>
      </c>
      <c r="D44" s="12">
        <v>50</v>
      </c>
      <c r="E44" s="12">
        <v>0</v>
      </c>
      <c r="F44" s="66">
        <v>0</v>
      </c>
      <c r="G44" s="66">
        <v>1</v>
      </c>
      <c r="H44" s="66">
        <v>0</v>
      </c>
      <c r="I44" s="66">
        <v>0</v>
      </c>
      <c r="J44" s="66">
        <v>0</v>
      </c>
      <c r="K44" s="12" t="s">
        <v>224</v>
      </c>
      <c r="L44" s="12" t="s">
        <v>224</v>
      </c>
      <c r="M44" s="61"/>
      <c r="N44" s="61"/>
      <c r="O44" s="61"/>
      <c r="P44" s="61"/>
      <c r="Q44" s="61"/>
      <c r="R44" s="12" t="s">
        <v>224</v>
      </c>
      <c r="S44" s="12" t="s">
        <v>224</v>
      </c>
      <c r="T44" s="2"/>
      <c r="U44" s="2"/>
      <c r="V44" s="2"/>
      <c r="W44" s="2"/>
      <c r="X44" s="2"/>
      <c r="Y44" s="12" t="s">
        <v>224</v>
      </c>
      <c r="Z44" s="12" t="s">
        <v>224</v>
      </c>
      <c r="AA44" s="2"/>
      <c r="AB44" s="2"/>
      <c r="AC44" s="2"/>
      <c r="AD44" s="2"/>
      <c r="AE44" s="2"/>
      <c r="AF44" s="25">
        <v>48</v>
      </c>
      <c r="AG44" s="25">
        <v>0</v>
      </c>
      <c r="AH44" s="61">
        <v>0</v>
      </c>
      <c r="AI44" s="61">
        <v>1</v>
      </c>
      <c r="AJ44" s="61">
        <v>0</v>
      </c>
      <c r="AK44" s="61">
        <v>0</v>
      </c>
      <c r="AL44" s="61">
        <v>0</v>
      </c>
      <c r="AM44" s="652"/>
      <c r="AN44" s="652"/>
      <c r="AO44" s="652"/>
      <c r="AP44" s="652"/>
      <c r="AQ44" s="652"/>
      <c r="AR44" s="652"/>
      <c r="AS44" s="652"/>
      <c r="AT44" s="652"/>
      <c r="AU44" s="652"/>
      <c r="AV44" s="655"/>
      <c r="AW44" s="655"/>
      <c r="AX44" s="655"/>
      <c r="AY44" s="655"/>
      <c r="AZ44" s="655"/>
      <c r="BA44" s="655"/>
      <c r="BB44" s="655"/>
      <c r="BC44" s="655"/>
      <c r="BD44" s="655"/>
      <c r="BE44" s="657"/>
      <c r="BF44" s="657"/>
      <c r="BG44" s="657"/>
      <c r="BH44" s="657"/>
      <c r="BI44" s="657"/>
      <c r="BJ44" s="657"/>
      <c r="BK44" s="657"/>
      <c r="BL44" s="657"/>
      <c r="BM44" s="657"/>
      <c r="BN44" s="656"/>
      <c r="BO44" s="656"/>
      <c r="BP44" s="656"/>
      <c r="BQ44" s="656"/>
      <c r="BR44" s="656"/>
      <c r="BS44" s="656"/>
      <c r="BT44" s="656"/>
      <c r="BU44" s="656"/>
      <c r="BV44" s="656"/>
    </row>
    <row r="45" spans="1:74" ht="24.95" customHeight="1" x14ac:dyDescent="0.2">
      <c r="A45" s="126" t="s">
        <v>918</v>
      </c>
      <c r="B45" s="14" t="s">
        <v>221</v>
      </c>
      <c r="C45" s="2">
        <v>2</v>
      </c>
      <c r="D45" s="12"/>
      <c r="E45" s="12"/>
      <c r="F45" s="66"/>
      <c r="G45" s="66"/>
      <c r="H45" s="66"/>
      <c r="I45" s="66"/>
      <c r="J45" s="66"/>
      <c r="K45" s="12"/>
      <c r="L45" s="12"/>
      <c r="M45" s="61"/>
      <c r="N45" s="61"/>
      <c r="O45" s="61"/>
      <c r="P45" s="61"/>
      <c r="Q45" s="61"/>
      <c r="R45" s="12"/>
      <c r="S45" s="12"/>
      <c r="T45" s="2"/>
      <c r="U45" s="2"/>
      <c r="V45" s="2"/>
      <c r="W45" s="2"/>
      <c r="X45" s="2"/>
      <c r="Y45" s="12"/>
      <c r="Z45" s="12"/>
      <c r="AA45" s="2"/>
      <c r="AB45" s="2"/>
      <c r="AC45" s="2"/>
      <c r="AD45" s="2"/>
      <c r="AE45" s="2"/>
      <c r="AF45" s="25"/>
      <c r="AG45" s="25"/>
      <c r="AH45" s="61"/>
      <c r="AI45" s="61"/>
      <c r="AJ45" s="61"/>
      <c r="AK45" s="61"/>
      <c r="AL45" s="61"/>
      <c r="AM45" s="652"/>
      <c r="AN45" s="652"/>
      <c r="AO45" s="652"/>
      <c r="AP45" s="652"/>
      <c r="AQ45" s="652"/>
      <c r="AR45" s="652"/>
      <c r="AS45" s="652"/>
      <c r="AT45" s="652"/>
      <c r="AU45" s="652"/>
      <c r="AV45" s="311">
        <v>66</v>
      </c>
      <c r="AW45" s="311" t="s">
        <v>875</v>
      </c>
      <c r="AX45" s="311">
        <v>7</v>
      </c>
      <c r="AY45" s="311" t="s">
        <v>876</v>
      </c>
      <c r="AZ45" s="329">
        <v>0</v>
      </c>
      <c r="BA45" s="329">
        <v>0</v>
      </c>
      <c r="BB45" s="329">
        <v>0.67</v>
      </c>
      <c r="BC45" s="329">
        <v>0.33</v>
      </c>
      <c r="BD45" s="329">
        <v>0</v>
      </c>
      <c r="BE45" s="426">
        <v>56</v>
      </c>
      <c r="BF45" s="426" t="s">
        <v>874</v>
      </c>
      <c r="BG45" s="426">
        <v>11</v>
      </c>
      <c r="BH45" s="426" t="s">
        <v>874</v>
      </c>
      <c r="BI45" s="430">
        <v>0.14000000000000001</v>
      </c>
      <c r="BJ45" s="430">
        <v>0.56999999999999995</v>
      </c>
      <c r="BK45" s="430">
        <v>0.14000000000000001</v>
      </c>
      <c r="BL45" s="430">
        <v>0.14000000000000001</v>
      </c>
      <c r="BM45" s="430">
        <v>0</v>
      </c>
      <c r="BN45" s="647"/>
      <c r="BO45" s="647"/>
      <c r="BP45" s="647"/>
      <c r="BQ45" s="647"/>
      <c r="BR45" s="648"/>
      <c r="BS45" s="648"/>
      <c r="BT45" s="648"/>
      <c r="BU45" s="648"/>
      <c r="BV45" s="648"/>
    </row>
    <row r="46" spans="1:74" ht="24.95" customHeight="1" x14ac:dyDescent="0.2">
      <c r="A46" s="126" t="s">
        <v>63</v>
      </c>
      <c r="B46" s="1" t="s">
        <v>221</v>
      </c>
      <c r="C46" s="2">
        <v>4</v>
      </c>
      <c r="D46" s="12">
        <v>52</v>
      </c>
      <c r="E46" s="12">
        <v>9</v>
      </c>
      <c r="F46" s="66">
        <v>0.2</v>
      </c>
      <c r="G46" s="66">
        <v>0.5</v>
      </c>
      <c r="H46" s="66">
        <v>0.2</v>
      </c>
      <c r="I46" s="66">
        <v>0.1</v>
      </c>
      <c r="J46" s="66">
        <v>0</v>
      </c>
      <c r="K46" s="12">
        <v>46</v>
      </c>
      <c r="L46" s="12">
        <v>2</v>
      </c>
      <c r="M46" s="61">
        <v>0.8</v>
      </c>
      <c r="N46" s="61">
        <v>0.2</v>
      </c>
      <c r="O46" s="61">
        <v>0</v>
      </c>
      <c r="P46" s="61">
        <v>0</v>
      </c>
      <c r="Q46" s="61">
        <v>0</v>
      </c>
      <c r="R46" s="12">
        <v>57</v>
      </c>
      <c r="S46" s="12">
        <v>13</v>
      </c>
      <c r="T46" s="63">
        <v>0.27</v>
      </c>
      <c r="U46" s="63">
        <v>0.18</v>
      </c>
      <c r="V46" s="63">
        <v>0.27</v>
      </c>
      <c r="W46" s="63">
        <v>0.27</v>
      </c>
      <c r="X46" s="63">
        <v>0</v>
      </c>
      <c r="Y46" s="12">
        <v>57</v>
      </c>
      <c r="Z46" s="12">
        <v>8</v>
      </c>
      <c r="AA46" s="63">
        <v>0.2</v>
      </c>
      <c r="AB46" s="63">
        <v>0.3</v>
      </c>
      <c r="AC46" s="63">
        <v>0.4</v>
      </c>
      <c r="AD46" s="63">
        <v>0.1</v>
      </c>
      <c r="AE46" s="63">
        <v>0</v>
      </c>
      <c r="AF46" s="25">
        <v>48</v>
      </c>
      <c r="AG46" s="25">
        <v>11</v>
      </c>
      <c r="AH46" s="61">
        <v>0.46</v>
      </c>
      <c r="AI46" s="61">
        <v>0.23</v>
      </c>
      <c r="AJ46" s="61">
        <v>0.31</v>
      </c>
      <c r="AK46" s="61">
        <v>0</v>
      </c>
      <c r="AL46" s="61">
        <v>0</v>
      </c>
      <c r="AM46" s="653">
        <v>52</v>
      </c>
      <c r="AN46" s="653" t="s">
        <v>874</v>
      </c>
      <c r="AO46" s="653">
        <v>10</v>
      </c>
      <c r="AP46" s="653" t="s">
        <v>874</v>
      </c>
      <c r="AQ46" s="654">
        <v>0.43</v>
      </c>
      <c r="AR46" s="654">
        <v>0.28999999999999998</v>
      </c>
      <c r="AS46" s="654">
        <v>0.19</v>
      </c>
      <c r="AT46" s="654">
        <v>0.1</v>
      </c>
      <c r="AU46" s="654">
        <v>0</v>
      </c>
      <c r="AV46" s="74">
        <v>50</v>
      </c>
      <c r="AW46" s="74" t="s">
        <v>874</v>
      </c>
      <c r="AX46" s="74">
        <v>10</v>
      </c>
      <c r="AY46" s="74" t="s">
        <v>874</v>
      </c>
      <c r="AZ46" s="96">
        <v>0.4</v>
      </c>
      <c r="BA46" s="96">
        <v>0.44</v>
      </c>
      <c r="BB46" s="96">
        <v>0.12</v>
      </c>
      <c r="BC46" s="96">
        <v>0.04</v>
      </c>
      <c r="BD46" s="96">
        <v>0</v>
      </c>
      <c r="BE46" s="658">
        <v>51</v>
      </c>
      <c r="BF46" s="658" t="s">
        <v>874</v>
      </c>
      <c r="BG46" s="658">
        <v>10</v>
      </c>
      <c r="BH46" s="658" t="s">
        <v>874</v>
      </c>
      <c r="BI46" s="659">
        <v>0.39</v>
      </c>
      <c r="BJ46" s="659">
        <v>0.33</v>
      </c>
      <c r="BK46" s="659">
        <v>0.22</v>
      </c>
      <c r="BL46" s="659">
        <v>0.06</v>
      </c>
      <c r="BM46" s="659">
        <v>0</v>
      </c>
      <c r="BN46" s="74">
        <v>45</v>
      </c>
      <c r="BO46" s="74" t="s">
        <v>876</v>
      </c>
      <c r="BP46" s="74">
        <v>10</v>
      </c>
      <c r="BQ46" s="74" t="s">
        <v>874</v>
      </c>
      <c r="BR46" s="96">
        <v>0.65</v>
      </c>
      <c r="BS46" s="96">
        <v>0.26</v>
      </c>
      <c r="BT46" s="96">
        <v>0.06</v>
      </c>
      <c r="BU46" s="96">
        <v>0.03</v>
      </c>
      <c r="BV46" s="96">
        <v>0</v>
      </c>
    </row>
    <row r="47" spans="1:74" ht="24.95" customHeight="1" x14ac:dyDescent="0.2">
      <c r="A47" s="560" t="s">
        <v>44</v>
      </c>
      <c r="B47" s="1" t="s">
        <v>221</v>
      </c>
      <c r="C47" s="311">
        <v>1</v>
      </c>
      <c r="D47" s="330">
        <v>51</v>
      </c>
      <c r="E47" s="330">
        <v>11</v>
      </c>
      <c r="F47" s="335">
        <v>0.4</v>
      </c>
      <c r="G47" s="335">
        <v>0.4</v>
      </c>
      <c r="H47" s="335">
        <v>0.13</v>
      </c>
      <c r="I47" s="335">
        <v>7.0000000000000007E-2</v>
      </c>
      <c r="J47" s="335">
        <v>0</v>
      </c>
      <c r="K47" s="330" t="s">
        <v>224</v>
      </c>
      <c r="L47" s="330" t="s">
        <v>224</v>
      </c>
      <c r="M47" s="332"/>
      <c r="N47" s="332"/>
      <c r="O47" s="332"/>
      <c r="P47" s="332"/>
      <c r="Q47" s="332"/>
      <c r="R47" s="330" t="s">
        <v>224</v>
      </c>
      <c r="S47" s="330" t="s">
        <v>224</v>
      </c>
      <c r="T47" s="311"/>
      <c r="U47" s="311"/>
      <c r="V47" s="311"/>
      <c r="W47" s="311"/>
      <c r="X47" s="311"/>
      <c r="Y47" s="330" t="s">
        <v>224</v>
      </c>
      <c r="Z47" s="330" t="s">
        <v>224</v>
      </c>
      <c r="AA47" s="311"/>
      <c r="AB47" s="311"/>
      <c r="AC47" s="311"/>
      <c r="AD47" s="311"/>
      <c r="AE47" s="311"/>
      <c r="AF47" s="331"/>
      <c r="AG47" s="331"/>
      <c r="AH47" s="332"/>
      <c r="AI47" s="332"/>
      <c r="AJ47" s="332"/>
      <c r="AK47" s="332"/>
      <c r="AL47" s="332"/>
      <c r="AV47" s="655"/>
      <c r="AW47" s="655"/>
      <c r="AX47" s="655"/>
      <c r="AY47" s="655"/>
      <c r="AZ47" s="655"/>
      <c r="BA47" s="655"/>
      <c r="BB47" s="655"/>
      <c r="BC47" s="655"/>
      <c r="BD47" s="655"/>
      <c r="BE47" s="657"/>
      <c r="BF47" s="657"/>
      <c r="BG47" s="657"/>
      <c r="BH47" s="657"/>
      <c r="BI47" s="657"/>
      <c r="BJ47" s="657"/>
      <c r="BK47" s="657"/>
      <c r="BL47" s="657"/>
      <c r="BM47" s="657"/>
      <c r="BN47" s="657"/>
      <c r="BO47" s="657"/>
      <c r="BP47" s="657"/>
      <c r="BQ47" s="657"/>
      <c r="BR47" s="657"/>
      <c r="BS47" s="657"/>
      <c r="BT47" s="657"/>
      <c r="BU47" s="657"/>
      <c r="BV47" s="657"/>
    </row>
    <row r="48" spans="1:74" ht="24.95" customHeight="1" x14ac:dyDescent="0.2">
      <c r="A48" s="126" t="s">
        <v>69</v>
      </c>
      <c r="B48" s="1" t="s">
        <v>221</v>
      </c>
      <c r="C48" s="2">
        <v>2</v>
      </c>
      <c r="D48" s="12">
        <v>52</v>
      </c>
      <c r="E48" s="12">
        <v>10</v>
      </c>
      <c r="F48" s="66">
        <v>0.33</v>
      </c>
      <c r="G48" s="66">
        <v>0.42</v>
      </c>
      <c r="H48" s="66">
        <v>0.17</v>
      </c>
      <c r="I48" s="66">
        <v>0.08</v>
      </c>
      <c r="J48" s="66">
        <v>0</v>
      </c>
      <c r="K48" s="12" t="s">
        <v>224</v>
      </c>
      <c r="L48" s="12" t="s">
        <v>224</v>
      </c>
      <c r="M48" s="61"/>
      <c r="N48" s="61"/>
      <c r="O48" s="61"/>
      <c r="P48" s="61"/>
      <c r="Q48" s="61"/>
      <c r="R48" s="12">
        <v>51</v>
      </c>
      <c r="S48" s="12">
        <v>7</v>
      </c>
      <c r="T48" s="63">
        <v>0.28999999999999998</v>
      </c>
      <c r="U48" s="63">
        <v>0.56999999999999995</v>
      </c>
      <c r="V48" s="63">
        <v>0.14000000000000001</v>
      </c>
      <c r="W48" s="63">
        <v>0</v>
      </c>
      <c r="X48" s="63">
        <v>0</v>
      </c>
      <c r="Y48" s="12">
        <v>53</v>
      </c>
      <c r="Z48" s="12">
        <v>9</v>
      </c>
      <c r="AA48" s="63">
        <v>0.15</v>
      </c>
      <c r="AB48" s="63">
        <v>0.46</v>
      </c>
      <c r="AC48" s="63">
        <v>0.38</v>
      </c>
      <c r="AD48" s="63">
        <v>0</v>
      </c>
      <c r="AE48" s="63">
        <v>0</v>
      </c>
      <c r="AF48" s="25">
        <v>51</v>
      </c>
      <c r="AG48" s="25">
        <v>13</v>
      </c>
      <c r="AH48" s="61">
        <v>0.5</v>
      </c>
      <c r="AI48" s="61">
        <v>0.33</v>
      </c>
      <c r="AJ48" s="61">
        <v>0</v>
      </c>
      <c r="AK48" s="61">
        <v>0.17</v>
      </c>
      <c r="AL48" s="61">
        <v>0</v>
      </c>
      <c r="AM48" s="247">
        <v>46</v>
      </c>
      <c r="AN48" s="247" t="s">
        <v>874</v>
      </c>
      <c r="AO48" s="247">
        <v>12</v>
      </c>
      <c r="AP48" s="247" t="s">
        <v>874</v>
      </c>
      <c r="AQ48" s="264">
        <v>0.57999999999999996</v>
      </c>
      <c r="AR48" s="264">
        <v>0.25</v>
      </c>
      <c r="AS48" s="264">
        <v>0.08</v>
      </c>
      <c r="AT48" s="264">
        <v>0.08</v>
      </c>
      <c r="AU48" s="264">
        <v>0</v>
      </c>
      <c r="AV48" s="655"/>
      <c r="AW48" s="655"/>
      <c r="AX48" s="655"/>
      <c r="AY48" s="655"/>
      <c r="AZ48" s="655"/>
      <c r="BA48" s="655"/>
      <c r="BB48" s="655"/>
      <c r="BC48" s="655"/>
      <c r="BD48" s="655"/>
      <c r="BE48" s="426">
        <v>54</v>
      </c>
      <c r="BF48" s="426" t="s">
        <v>874</v>
      </c>
      <c r="BG48" s="426">
        <v>6</v>
      </c>
      <c r="BH48" s="426" t="s">
        <v>876</v>
      </c>
      <c r="BI48" s="430">
        <v>0.28999999999999998</v>
      </c>
      <c r="BJ48" s="430">
        <v>0.14000000000000001</v>
      </c>
      <c r="BK48" s="430">
        <v>0.56999999999999995</v>
      </c>
      <c r="BL48" s="430">
        <v>0</v>
      </c>
      <c r="BM48" s="430">
        <v>0</v>
      </c>
      <c r="BN48" s="466">
        <v>60</v>
      </c>
      <c r="BO48" s="466" t="s">
        <v>874</v>
      </c>
      <c r="BP48" s="466">
        <v>11</v>
      </c>
      <c r="BQ48" s="466" t="s">
        <v>874</v>
      </c>
      <c r="BR48" s="480">
        <v>0.08</v>
      </c>
      <c r="BS48" s="480">
        <v>0.38</v>
      </c>
      <c r="BT48" s="480">
        <v>0.31</v>
      </c>
      <c r="BU48" s="480">
        <v>0.15</v>
      </c>
      <c r="BV48" s="480">
        <v>0.08</v>
      </c>
    </row>
    <row r="49" spans="1:74" ht="24.95" customHeight="1" x14ac:dyDescent="0.2">
      <c r="A49" s="36" t="s">
        <v>268</v>
      </c>
      <c r="B49" s="1" t="s">
        <v>221</v>
      </c>
      <c r="C49" s="2">
        <v>6</v>
      </c>
      <c r="D49" s="12"/>
      <c r="E49" s="12"/>
      <c r="F49" s="12"/>
      <c r="G49" s="12"/>
      <c r="H49" s="12"/>
      <c r="I49" s="12"/>
      <c r="J49" s="12"/>
      <c r="K49" s="12"/>
      <c r="L49" s="12"/>
      <c r="M49" s="61"/>
      <c r="N49" s="61"/>
      <c r="O49" s="61"/>
      <c r="P49" s="61"/>
      <c r="Q49" s="61"/>
      <c r="R49" s="12"/>
      <c r="S49" s="12"/>
      <c r="T49" s="2"/>
      <c r="U49" s="2"/>
      <c r="V49" s="2"/>
      <c r="W49" s="2"/>
      <c r="X49" s="2"/>
      <c r="Y49" s="12"/>
      <c r="Z49" s="12"/>
      <c r="AA49" s="2"/>
      <c r="AB49" s="2"/>
      <c r="AC49" s="2"/>
      <c r="AD49" s="2"/>
      <c r="AE49" s="2"/>
      <c r="AF49" s="25">
        <v>45</v>
      </c>
      <c r="AG49" s="25">
        <v>9</v>
      </c>
      <c r="AH49" s="61">
        <v>0.64</v>
      </c>
      <c r="AI49" s="61">
        <v>0.32</v>
      </c>
      <c r="AJ49" s="61">
        <v>0.04</v>
      </c>
      <c r="AK49" s="61">
        <v>0</v>
      </c>
      <c r="AL49" s="61">
        <v>0</v>
      </c>
      <c r="AM49" s="653">
        <v>53</v>
      </c>
      <c r="AN49" s="653" t="s">
        <v>874</v>
      </c>
      <c r="AO49" s="653">
        <v>14</v>
      </c>
      <c r="AP49" s="653" t="s">
        <v>874</v>
      </c>
      <c r="AQ49" s="654">
        <v>0.35</v>
      </c>
      <c r="AR49" s="654">
        <v>0.38</v>
      </c>
      <c r="AS49" s="654">
        <v>0.15</v>
      </c>
      <c r="AT49" s="654">
        <v>0.08</v>
      </c>
      <c r="AU49" s="654">
        <v>0.04</v>
      </c>
      <c r="AV49" s="74">
        <v>48</v>
      </c>
      <c r="AW49" s="74" t="s">
        <v>874</v>
      </c>
      <c r="AX49" s="74">
        <v>11</v>
      </c>
      <c r="AY49" s="74" t="s">
        <v>874</v>
      </c>
      <c r="AZ49" s="96">
        <v>0.5</v>
      </c>
      <c r="BA49" s="96">
        <v>0.22</v>
      </c>
      <c r="BB49" s="96">
        <v>0.25</v>
      </c>
      <c r="BC49" s="96">
        <v>0.03</v>
      </c>
      <c r="BD49" s="96">
        <v>0</v>
      </c>
      <c r="BE49" s="658">
        <v>52</v>
      </c>
      <c r="BF49" s="658" t="s">
        <v>874</v>
      </c>
      <c r="BG49" s="658">
        <v>11</v>
      </c>
      <c r="BH49" s="658" t="s">
        <v>874</v>
      </c>
      <c r="BI49" s="659">
        <v>0.39</v>
      </c>
      <c r="BJ49" s="659">
        <v>0.36</v>
      </c>
      <c r="BK49" s="659">
        <v>0.11</v>
      </c>
      <c r="BL49" s="659">
        <v>0.14000000000000001</v>
      </c>
      <c r="BM49" s="659">
        <v>0</v>
      </c>
      <c r="BN49" s="74">
        <v>54</v>
      </c>
      <c r="BO49" s="74" t="s">
        <v>874</v>
      </c>
      <c r="BP49" s="74">
        <v>10</v>
      </c>
      <c r="BQ49" s="74" t="s">
        <v>874</v>
      </c>
      <c r="BR49" s="96">
        <v>0.26</v>
      </c>
      <c r="BS49" s="96">
        <v>0.41</v>
      </c>
      <c r="BT49" s="96">
        <v>0.21</v>
      </c>
      <c r="BU49" s="96">
        <v>0.13</v>
      </c>
      <c r="BV49" s="96">
        <v>0</v>
      </c>
    </row>
    <row r="50" spans="1:74" ht="24.95" customHeight="1" x14ac:dyDescent="0.2">
      <c r="A50" s="126" t="s">
        <v>223</v>
      </c>
      <c r="B50" s="1" t="s">
        <v>221</v>
      </c>
      <c r="C50" s="2">
        <v>3</v>
      </c>
      <c r="D50" s="12" t="s">
        <v>224</v>
      </c>
      <c r="E50" s="12" t="s">
        <v>224</v>
      </c>
      <c r="F50" s="12"/>
      <c r="G50" s="12"/>
      <c r="H50" s="12"/>
      <c r="I50" s="12"/>
      <c r="J50" s="12"/>
      <c r="K50" s="12">
        <v>47</v>
      </c>
      <c r="L50" s="12">
        <v>9</v>
      </c>
      <c r="M50" s="61">
        <v>0.56000000000000005</v>
      </c>
      <c r="N50" s="61">
        <v>0.3</v>
      </c>
      <c r="O50" s="61">
        <v>0.12</v>
      </c>
      <c r="P50" s="61">
        <v>0.02</v>
      </c>
      <c r="Q50" s="61">
        <v>0</v>
      </c>
      <c r="R50" s="12">
        <v>49</v>
      </c>
      <c r="S50" s="12">
        <v>7</v>
      </c>
      <c r="T50" s="63">
        <v>0.41</v>
      </c>
      <c r="U50" s="63">
        <v>0.5</v>
      </c>
      <c r="V50" s="63">
        <v>0.09</v>
      </c>
      <c r="W50" s="63">
        <v>0</v>
      </c>
      <c r="X50" s="63">
        <v>0</v>
      </c>
      <c r="Y50" s="12">
        <v>47</v>
      </c>
      <c r="Z50" s="12">
        <v>10</v>
      </c>
      <c r="AA50" s="63">
        <v>0.52</v>
      </c>
      <c r="AB50" s="63">
        <v>0.36</v>
      </c>
      <c r="AC50" s="63">
        <v>0.1</v>
      </c>
      <c r="AD50" s="63">
        <v>0.03</v>
      </c>
      <c r="AE50" s="63">
        <v>0</v>
      </c>
      <c r="AF50" s="25">
        <v>44</v>
      </c>
      <c r="AG50" s="25">
        <v>8</v>
      </c>
      <c r="AH50" s="61">
        <v>0.65</v>
      </c>
      <c r="AI50" s="61">
        <v>0.3</v>
      </c>
      <c r="AJ50" s="61">
        <v>0.04</v>
      </c>
      <c r="AK50" s="61">
        <v>0.01</v>
      </c>
      <c r="AL50" s="61">
        <v>0</v>
      </c>
      <c r="AM50" s="247">
        <v>46</v>
      </c>
      <c r="AN50" s="247" t="s">
        <v>874</v>
      </c>
      <c r="AO50" s="247">
        <v>10</v>
      </c>
      <c r="AP50" s="247" t="s">
        <v>874</v>
      </c>
      <c r="AQ50" s="264">
        <v>0.61</v>
      </c>
      <c r="AR50" s="264">
        <v>0.32</v>
      </c>
      <c r="AS50" s="264">
        <v>0.05</v>
      </c>
      <c r="AT50" s="264">
        <v>0.02</v>
      </c>
      <c r="AU50" s="264">
        <v>0</v>
      </c>
      <c r="AV50" s="74">
        <v>47</v>
      </c>
      <c r="AW50" s="74" t="s">
        <v>874</v>
      </c>
      <c r="AX50" s="74">
        <v>10</v>
      </c>
      <c r="AY50" s="74" t="s">
        <v>874</v>
      </c>
      <c r="AZ50" s="96">
        <v>0.47</v>
      </c>
      <c r="BA50" s="96">
        <v>0.4</v>
      </c>
      <c r="BB50" s="96">
        <v>0.11</v>
      </c>
      <c r="BC50" s="96">
        <v>0.02</v>
      </c>
      <c r="BD50" s="96">
        <v>0.01</v>
      </c>
      <c r="BE50" s="426">
        <v>51</v>
      </c>
      <c r="BF50" s="426" t="s">
        <v>874</v>
      </c>
      <c r="BG50" s="426">
        <v>10</v>
      </c>
      <c r="BH50" s="426" t="s">
        <v>874</v>
      </c>
      <c r="BI50" s="430">
        <v>0.39</v>
      </c>
      <c r="BJ50" s="430">
        <v>0.37</v>
      </c>
      <c r="BK50" s="430">
        <v>0.17</v>
      </c>
      <c r="BL50" s="430">
        <v>7.0000000000000007E-2</v>
      </c>
      <c r="BM50" s="430">
        <v>0</v>
      </c>
      <c r="BN50" s="466">
        <v>49</v>
      </c>
      <c r="BO50" s="466" t="s">
        <v>874</v>
      </c>
      <c r="BP50" s="466">
        <v>9</v>
      </c>
      <c r="BQ50" s="466" t="s">
        <v>874</v>
      </c>
      <c r="BR50" s="480">
        <v>0.47</v>
      </c>
      <c r="BS50" s="480">
        <v>0.34</v>
      </c>
      <c r="BT50" s="480">
        <v>0.18</v>
      </c>
      <c r="BU50" s="480">
        <v>0.01</v>
      </c>
      <c r="BV50" s="480">
        <v>0.01</v>
      </c>
    </row>
    <row r="51" spans="1:74" ht="24.95" customHeight="1" x14ac:dyDescent="0.2">
      <c r="A51" s="126" t="s">
        <v>126</v>
      </c>
      <c r="B51" s="1" t="s">
        <v>221</v>
      </c>
      <c r="C51" s="2">
        <v>2</v>
      </c>
      <c r="D51" s="12">
        <v>62</v>
      </c>
      <c r="E51" s="12">
        <v>10</v>
      </c>
      <c r="F51" s="66">
        <v>0.1</v>
      </c>
      <c r="G51" s="66">
        <v>0.21</v>
      </c>
      <c r="H51" s="66">
        <v>0.4</v>
      </c>
      <c r="I51" s="66">
        <v>0.26</v>
      </c>
      <c r="J51" s="66">
        <v>0.03</v>
      </c>
      <c r="K51" s="12">
        <v>59</v>
      </c>
      <c r="L51" s="12">
        <v>10</v>
      </c>
      <c r="M51" s="61">
        <v>0.15</v>
      </c>
      <c r="N51" s="61">
        <v>0.26</v>
      </c>
      <c r="O51" s="61">
        <v>0.42</v>
      </c>
      <c r="P51" s="61">
        <v>0.13</v>
      </c>
      <c r="Q51" s="61">
        <v>0.03</v>
      </c>
      <c r="R51" s="12">
        <v>59</v>
      </c>
      <c r="S51" s="12">
        <v>9</v>
      </c>
      <c r="T51" s="63">
        <v>0.11</v>
      </c>
      <c r="U51" s="63">
        <v>0.36</v>
      </c>
      <c r="V51" s="63">
        <v>0.35</v>
      </c>
      <c r="W51" s="63">
        <v>0.15</v>
      </c>
      <c r="X51" s="63">
        <v>0.02</v>
      </c>
      <c r="Y51" s="12">
        <v>62</v>
      </c>
      <c r="Z51" s="12">
        <v>9</v>
      </c>
      <c r="AA51" s="63">
        <v>0.03</v>
      </c>
      <c r="AB51" s="63">
        <v>0.35</v>
      </c>
      <c r="AC51" s="63">
        <v>0.33</v>
      </c>
      <c r="AD51" s="63">
        <v>0.24</v>
      </c>
      <c r="AE51" s="63">
        <v>0.06</v>
      </c>
      <c r="AF51" s="25">
        <v>58</v>
      </c>
      <c r="AG51" s="25">
        <v>10</v>
      </c>
      <c r="AH51" s="61">
        <v>0.16</v>
      </c>
      <c r="AI51" s="61">
        <v>0.37</v>
      </c>
      <c r="AJ51" s="61">
        <v>0.28000000000000003</v>
      </c>
      <c r="AK51" s="61">
        <v>0.18</v>
      </c>
      <c r="AL51" s="61">
        <v>0.01</v>
      </c>
      <c r="AM51" s="247">
        <v>63</v>
      </c>
      <c r="AN51" s="247" t="s">
        <v>875</v>
      </c>
      <c r="AO51" s="247">
        <v>10</v>
      </c>
      <c r="AP51" s="247" t="s">
        <v>874</v>
      </c>
      <c r="AQ51" s="264">
        <v>0.05</v>
      </c>
      <c r="AR51" s="264">
        <v>0.24</v>
      </c>
      <c r="AS51" s="264">
        <v>0.43</v>
      </c>
      <c r="AT51" s="264">
        <v>0.24</v>
      </c>
      <c r="AU51" s="264">
        <v>0.05</v>
      </c>
      <c r="AV51" s="311">
        <v>63</v>
      </c>
      <c r="AW51" s="311" t="s">
        <v>875</v>
      </c>
      <c r="AX51" s="311">
        <v>9</v>
      </c>
      <c r="AY51" s="311" t="s">
        <v>874</v>
      </c>
      <c r="AZ51" s="329">
        <v>0.05</v>
      </c>
      <c r="BA51" s="329">
        <v>0.19</v>
      </c>
      <c r="BB51" s="329">
        <v>0.44</v>
      </c>
      <c r="BC51" s="329">
        <v>0.3</v>
      </c>
      <c r="BD51" s="329">
        <v>0.02</v>
      </c>
      <c r="BE51" s="426">
        <v>63</v>
      </c>
      <c r="BF51" s="426" t="s">
        <v>875</v>
      </c>
      <c r="BG51" s="426">
        <v>10</v>
      </c>
      <c r="BH51" s="426" t="s">
        <v>874</v>
      </c>
      <c r="BI51" s="430">
        <v>0.06</v>
      </c>
      <c r="BJ51" s="430">
        <v>0.2</v>
      </c>
      <c r="BK51" s="430">
        <v>0.41</v>
      </c>
      <c r="BL51" s="430">
        <v>0.26</v>
      </c>
      <c r="BM51" s="430">
        <v>0.06</v>
      </c>
      <c r="BN51" s="466">
        <v>65</v>
      </c>
      <c r="BO51" s="466" t="s">
        <v>875</v>
      </c>
      <c r="BP51" s="466">
        <v>11</v>
      </c>
      <c r="BQ51" s="466" t="s">
        <v>874</v>
      </c>
      <c r="BR51" s="480">
        <v>0.04</v>
      </c>
      <c r="BS51" s="480">
        <v>0.22</v>
      </c>
      <c r="BT51" s="480">
        <v>0.33</v>
      </c>
      <c r="BU51" s="480">
        <v>0.31</v>
      </c>
      <c r="BV51" s="480">
        <v>0.1</v>
      </c>
    </row>
    <row r="52" spans="1:74" ht="24.95" customHeight="1" x14ac:dyDescent="0.2">
      <c r="A52" s="36" t="s">
        <v>269</v>
      </c>
      <c r="B52" s="1" t="s">
        <v>221</v>
      </c>
      <c r="C52" s="2">
        <v>2</v>
      </c>
      <c r="D52" s="12" t="s">
        <v>224</v>
      </c>
      <c r="E52" s="12" t="s">
        <v>224</v>
      </c>
      <c r="F52" s="12"/>
      <c r="G52" s="12"/>
      <c r="H52" s="12"/>
      <c r="I52" s="12"/>
      <c r="J52" s="12"/>
      <c r="K52" s="12" t="s">
        <v>224</v>
      </c>
      <c r="L52" s="12" t="s">
        <v>224</v>
      </c>
      <c r="M52" s="61"/>
      <c r="N52" s="61"/>
      <c r="O52" s="61"/>
      <c r="P52" s="61"/>
      <c r="Q52" s="61"/>
      <c r="R52" s="12" t="s">
        <v>224</v>
      </c>
      <c r="S52" s="12" t="s">
        <v>224</v>
      </c>
      <c r="T52" s="2"/>
      <c r="U52" s="2"/>
      <c r="V52" s="2"/>
      <c r="W52" s="2"/>
      <c r="X52" s="2"/>
      <c r="Y52" s="12" t="s">
        <v>224</v>
      </c>
      <c r="Z52" s="12" t="s">
        <v>224</v>
      </c>
      <c r="AA52" s="2"/>
      <c r="AB52" s="2"/>
      <c r="AC52" s="2"/>
      <c r="AD52" s="2"/>
      <c r="AE52" s="2"/>
      <c r="AF52" s="25">
        <v>33</v>
      </c>
      <c r="AG52" s="25">
        <v>0</v>
      </c>
      <c r="AH52" s="61">
        <v>1</v>
      </c>
      <c r="AI52" s="61">
        <v>0</v>
      </c>
      <c r="AJ52" s="61">
        <v>0</v>
      </c>
      <c r="AK52" s="61">
        <v>0</v>
      </c>
      <c r="AL52" s="61">
        <v>0</v>
      </c>
      <c r="AM52" s="652"/>
      <c r="AN52" s="652"/>
      <c r="AO52" s="652"/>
      <c r="AP52" s="652"/>
      <c r="AQ52" s="652"/>
      <c r="AR52" s="652"/>
      <c r="AS52" s="652"/>
      <c r="AT52" s="652"/>
      <c r="AU52" s="652"/>
      <c r="AV52" s="655"/>
      <c r="AW52" s="655"/>
      <c r="AX52" s="655"/>
      <c r="AY52" s="655"/>
      <c r="AZ52" s="655"/>
      <c r="BA52" s="655"/>
      <c r="BB52" s="655"/>
      <c r="BC52" s="655"/>
      <c r="BD52" s="655"/>
      <c r="BE52" s="657"/>
      <c r="BF52" s="657"/>
      <c r="BG52" s="657"/>
      <c r="BH52" s="657"/>
      <c r="BI52" s="657"/>
      <c r="BJ52" s="657"/>
      <c r="BK52" s="657"/>
      <c r="BL52" s="657"/>
      <c r="BM52" s="657"/>
      <c r="BN52" s="656"/>
      <c r="BO52" s="656"/>
      <c r="BP52" s="656"/>
      <c r="BQ52" s="656"/>
      <c r="BR52" s="656"/>
      <c r="BS52" s="656"/>
      <c r="BT52" s="656"/>
      <c r="BU52" s="656"/>
      <c r="BV52" s="656"/>
    </row>
    <row r="53" spans="1:74" ht="24.95" customHeight="1" x14ac:dyDescent="0.2">
      <c r="A53" s="126" t="s">
        <v>134</v>
      </c>
      <c r="B53" s="1" t="s">
        <v>221</v>
      </c>
      <c r="C53" s="2">
        <v>5</v>
      </c>
      <c r="D53" s="12">
        <v>57</v>
      </c>
      <c r="E53" s="12">
        <v>8</v>
      </c>
      <c r="F53" s="66">
        <v>0.17</v>
      </c>
      <c r="G53" s="66">
        <v>0.46</v>
      </c>
      <c r="H53" s="66">
        <v>0.33</v>
      </c>
      <c r="I53" s="66">
        <v>0.04</v>
      </c>
      <c r="J53" s="66">
        <v>0</v>
      </c>
      <c r="K53" s="12">
        <v>56</v>
      </c>
      <c r="L53" s="12">
        <v>11</v>
      </c>
      <c r="M53" s="61">
        <v>0.22</v>
      </c>
      <c r="N53" s="61">
        <v>0.28000000000000003</v>
      </c>
      <c r="O53" s="61">
        <v>0.44</v>
      </c>
      <c r="P53" s="61">
        <v>0</v>
      </c>
      <c r="Q53" s="61">
        <v>0.06</v>
      </c>
      <c r="R53" s="12">
        <v>55</v>
      </c>
      <c r="S53" s="12">
        <v>10</v>
      </c>
      <c r="T53" s="63">
        <v>0.22</v>
      </c>
      <c r="U53" s="63">
        <v>0.44</v>
      </c>
      <c r="V53" s="63">
        <v>0.22</v>
      </c>
      <c r="W53" s="63">
        <v>0.11</v>
      </c>
      <c r="X53" s="63">
        <v>0</v>
      </c>
      <c r="Y53" s="12">
        <v>56</v>
      </c>
      <c r="Z53" s="12">
        <v>10</v>
      </c>
      <c r="AA53" s="63">
        <v>0.16</v>
      </c>
      <c r="AB53" s="63">
        <v>0.47</v>
      </c>
      <c r="AC53" s="63">
        <v>0.26</v>
      </c>
      <c r="AD53" s="63">
        <v>0.11</v>
      </c>
      <c r="AE53" s="63">
        <v>0</v>
      </c>
      <c r="AF53" s="25">
        <v>53</v>
      </c>
      <c r="AG53" s="25">
        <v>8</v>
      </c>
      <c r="AH53" s="61">
        <v>0.24</v>
      </c>
      <c r="AI53" s="61">
        <v>0.48</v>
      </c>
      <c r="AJ53" s="61">
        <v>0.24</v>
      </c>
      <c r="AK53" s="61">
        <v>0.05</v>
      </c>
      <c r="AL53" s="61">
        <v>0</v>
      </c>
      <c r="AM53" s="247">
        <v>62</v>
      </c>
      <c r="AN53" s="247" t="s">
        <v>875</v>
      </c>
      <c r="AO53" s="247">
        <v>9</v>
      </c>
      <c r="AP53" s="247" t="s">
        <v>874</v>
      </c>
      <c r="AQ53" s="264">
        <v>0.05</v>
      </c>
      <c r="AR53" s="264">
        <v>0.24</v>
      </c>
      <c r="AS53" s="264">
        <v>0.52</v>
      </c>
      <c r="AT53" s="264">
        <v>0.19</v>
      </c>
      <c r="AU53" s="264">
        <v>0</v>
      </c>
      <c r="AV53" s="311">
        <v>60</v>
      </c>
      <c r="AW53" s="311" t="s">
        <v>874</v>
      </c>
      <c r="AX53" s="311">
        <v>9</v>
      </c>
      <c r="AY53" s="311" t="s">
        <v>874</v>
      </c>
      <c r="AZ53" s="329">
        <v>0.06</v>
      </c>
      <c r="BA53" s="329">
        <v>0.39</v>
      </c>
      <c r="BB53" s="329">
        <v>0.33</v>
      </c>
      <c r="BC53" s="329">
        <v>0.22</v>
      </c>
      <c r="BD53" s="329">
        <v>0</v>
      </c>
      <c r="BE53" s="426">
        <v>58</v>
      </c>
      <c r="BF53" s="426" t="s">
        <v>874</v>
      </c>
      <c r="BG53" s="426">
        <v>7</v>
      </c>
      <c r="BH53" s="426" t="s">
        <v>876</v>
      </c>
      <c r="BI53" s="430">
        <v>0.05</v>
      </c>
      <c r="BJ53" s="430">
        <v>0.52</v>
      </c>
      <c r="BK53" s="430">
        <v>0.28999999999999998</v>
      </c>
      <c r="BL53" s="430">
        <v>0.14000000000000001</v>
      </c>
      <c r="BM53" s="430">
        <v>0</v>
      </c>
      <c r="BN53" s="466">
        <v>56</v>
      </c>
      <c r="BO53" s="466" t="s">
        <v>874</v>
      </c>
      <c r="BP53" s="466">
        <v>10</v>
      </c>
      <c r="BQ53" s="466" t="s">
        <v>874</v>
      </c>
      <c r="BR53" s="480">
        <v>0.1</v>
      </c>
      <c r="BS53" s="480">
        <v>0.48</v>
      </c>
      <c r="BT53" s="480">
        <v>0.24</v>
      </c>
      <c r="BU53" s="480">
        <v>0.19</v>
      </c>
      <c r="BV53" s="480">
        <v>0</v>
      </c>
    </row>
    <row r="54" spans="1:74" ht="24.95" customHeight="1" x14ac:dyDescent="0.2">
      <c r="A54" s="126" t="s">
        <v>920</v>
      </c>
      <c r="B54" s="14" t="s">
        <v>221</v>
      </c>
      <c r="C54" s="2">
        <v>6</v>
      </c>
      <c r="D54" s="12"/>
      <c r="E54" s="12"/>
      <c r="F54" s="66"/>
      <c r="G54" s="66"/>
      <c r="H54" s="66"/>
      <c r="I54" s="66"/>
      <c r="J54" s="66"/>
      <c r="K54" s="12"/>
      <c r="L54" s="12"/>
      <c r="M54" s="61"/>
      <c r="N54" s="61"/>
      <c r="O54" s="61"/>
      <c r="P54" s="61"/>
      <c r="Q54" s="61"/>
      <c r="R54" s="12"/>
      <c r="S54" s="12"/>
      <c r="T54" s="63"/>
      <c r="U54" s="63"/>
      <c r="V54" s="63"/>
      <c r="W54" s="63"/>
      <c r="X54" s="63"/>
      <c r="Y54" s="12"/>
      <c r="Z54" s="12"/>
      <c r="AA54" s="63"/>
      <c r="AB54" s="63"/>
      <c r="AC54" s="63"/>
      <c r="AD54" s="63"/>
      <c r="AE54" s="63"/>
      <c r="AF54" s="25"/>
      <c r="AG54" s="25"/>
      <c r="AH54" s="61"/>
      <c r="AI54" s="61"/>
      <c r="AJ54" s="61"/>
      <c r="AK54" s="61"/>
      <c r="AL54" s="61"/>
      <c r="AM54" s="653"/>
      <c r="AN54" s="653"/>
      <c r="AO54" s="653"/>
      <c r="AP54" s="653"/>
      <c r="AQ54" s="654"/>
      <c r="AR54" s="654"/>
      <c r="AS54" s="654"/>
      <c r="AT54" s="654"/>
      <c r="AU54" s="654"/>
      <c r="AV54" s="74">
        <v>64</v>
      </c>
      <c r="AW54" s="74" t="s">
        <v>875</v>
      </c>
      <c r="AX54" s="74">
        <v>10</v>
      </c>
      <c r="AY54" s="74" t="s">
        <v>874</v>
      </c>
      <c r="AZ54" s="96">
        <v>0.13</v>
      </c>
      <c r="BA54" s="96">
        <v>0.13</v>
      </c>
      <c r="BB54" s="96">
        <v>0.38</v>
      </c>
      <c r="BC54" s="96">
        <v>0.38</v>
      </c>
      <c r="BD54" s="96">
        <v>0</v>
      </c>
      <c r="BE54" s="658">
        <v>62</v>
      </c>
      <c r="BF54" s="658" t="s">
        <v>875</v>
      </c>
      <c r="BG54" s="658">
        <v>10</v>
      </c>
      <c r="BH54" s="658" t="s">
        <v>874</v>
      </c>
      <c r="BI54" s="659">
        <v>0.15</v>
      </c>
      <c r="BJ54" s="659">
        <v>0.22</v>
      </c>
      <c r="BK54" s="659">
        <v>0.26</v>
      </c>
      <c r="BL54" s="659">
        <v>0.33</v>
      </c>
      <c r="BM54" s="659">
        <v>0.04</v>
      </c>
      <c r="BN54" s="74">
        <v>65</v>
      </c>
      <c r="BO54" s="74" t="s">
        <v>875</v>
      </c>
      <c r="BP54" s="74">
        <v>12</v>
      </c>
      <c r="BQ54" s="74" t="s">
        <v>874</v>
      </c>
      <c r="BR54" s="96">
        <v>0.14000000000000001</v>
      </c>
      <c r="BS54" s="96">
        <v>0.14000000000000001</v>
      </c>
      <c r="BT54" s="96">
        <v>0.23</v>
      </c>
      <c r="BU54" s="96">
        <v>0.41</v>
      </c>
      <c r="BV54" s="96">
        <v>0.09</v>
      </c>
    </row>
    <row r="55" spans="1:74" ht="24.95" customHeight="1" x14ac:dyDescent="0.2">
      <c r="A55" s="126" t="s">
        <v>101</v>
      </c>
      <c r="B55" s="1" t="s">
        <v>221</v>
      </c>
      <c r="C55" s="2">
        <v>1</v>
      </c>
      <c r="D55" s="12">
        <v>54</v>
      </c>
      <c r="E55" s="12">
        <v>9</v>
      </c>
      <c r="F55" s="66">
        <v>0.32</v>
      </c>
      <c r="G55" s="66">
        <v>0.35</v>
      </c>
      <c r="H55" s="66">
        <v>0.25</v>
      </c>
      <c r="I55" s="66">
        <v>0.08</v>
      </c>
      <c r="J55" s="66">
        <v>0</v>
      </c>
      <c r="K55" s="12">
        <v>53</v>
      </c>
      <c r="L55" s="12">
        <v>10</v>
      </c>
      <c r="M55" s="61">
        <v>0.38</v>
      </c>
      <c r="N55" s="61">
        <v>0.27</v>
      </c>
      <c r="O55" s="61">
        <v>0.28999999999999998</v>
      </c>
      <c r="P55" s="61">
        <v>0.06</v>
      </c>
      <c r="Q55" s="61">
        <v>0</v>
      </c>
      <c r="R55" s="12">
        <v>54</v>
      </c>
      <c r="S55" s="12">
        <v>9</v>
      </c>
      <c r="T55" s="63">
        <v>0.18</v>
      </c>
      <c r="U55" s="63">
        <v>0.56000000000000005</v>
      </c>
      <c r="V55" s="63">
        <v>0.18</v>
      </c>
      <c r="W55" s="63">
        <v>0.09</v>
      </c>
      <c r="X55" s="63">
        <v>0</v>
      </c>
      <c r="Y55" s="12">
        <v>52</v>
      </c>
      <c r="Z55" s="12">
        <v>10</v>
      </c>
      <c r="AA55" s="63">
        <v>0.33</v>
      </c>
      <c r="AB55" s="63">
        <v>0.35</v>
      </c>
      <c r="AC55" s="63">
        <v>0.23</v>
      </c>
      <c r="AD55" s="63">
        <v>0.09</v>
      </c>
      <c r="AE55" s="63">
        <v>0</v>
      </c>
      <c r="AF55" s="25">
        <v>50</v>
      </c>
      <c r="AG55" s="25">
        <v>10</v>
      </c>
      <c r="AH55" s="61">
        <v>0.47</v>
      </c>
      <c r="AI55" s="61">
        <v>0.31</v>
      </c>
      <c r="AJ55" s="61">
        <v>0.15</v>
      </c>
      <c r="AK55" s="61">
        <v>7.0000000000000007E-2</v>
      </c>
      <c r="AL55" s="61">
        <v>0</v>
      </c>
      <c r="AM55" s="247">
        <v>55</v>
      </c>
      <c r="AN55" s="247" t="s">
        <v>874</v>
      </c>
      <c r="AO55" s="247">
        <v>8</v>
      </c>
      <c r="AP55" s="247" t="s">
        <v>874</v>
      </c>
      <c r="AQ55" s="264">
        <v>0.15</v>
      </c>
      <c r="AR55" s="264">
        <v>0.53</v>
      </c>
      <c r="AS55" s="264">
        <v>0.25</v>
      </c>
      <c r="AT55" s="264">
        <v>7.0000000000000007E-2</v>
      </c>
      <c r="AU55" s="264">
        <v>0</v>
      </c>
      <c r="AV55" s="311">
        <v>51</v>
      </c>
      <c r="AW55" s="311" t="s">
        <v>874</v>
      </c>
      <c r="AX55" s="311">
        <v>9</v>
      </c>
      <c r="AY55" s="311" t="s">
        <v>874</v>
      </c>
      <c r="AZ55" s="329">
        <v>0.36</v>
      </c>
      <c r="BA55" s="329">
        <v>0.43</v>
      </c>
      <c r="BB55" s="329">
        <v>0.15</v>
      </c>
      <c r="BC55" s="329">
        <v>0.06</v>
      </c>
      <c r="BD55" s="329">
        <v>0</v>
      </c>
      <c r="BE55" s="426">
        <v>55</v>
      </c>
      <c r="BF55" s="426" t="s">
        <v>874</v>
      </c>
      <c r="BG55" s="426">
        <v>9</v>
      </c>
      <c r="BH55" s="426" t="s">
        <v>874</v>
      </c>
      <c r="BI55" s="430">
        <v>0.25</v>
      </c>
      <c r="BJ55" s="430">
        <v>0.33</v>
      </c>
      <c r="BK55" s="430">
        <v>0.3</v>
      </c>
      <c r="BL55" s="430">
        <v>0.12</v>
      </c>
      <c r="BM55" s="430">
        <v>0</v>
      </c>
      <c r="BN55" s="466">
        <v>56</v>
      </c>
      <c r="BO55" s="466" t="s">
        <v>874</v>
      </c>
      <c r="BP55" s="466">
        <v>10</v>
      </c>
      <c r="BQ55" s="466" t="s">
        <v>874</v>
      </c>
      <c r="BR55" s="480">
        <v>0.27</v>
      </c>
      <c r="BS55" s="480">
        <v>0.32</v>
      </c>
      <c r="BT55" s="480">
        <v>0.28999999999999998</v>
      </c>
      <c r="BU55" s="480">
        <v>0.13</v>
      </c>
      <c r="BV55" s="480">
        <v>0</v>
      </c>
    </row>
    <row r="56" spans="1:74" ht="24.95" customHeight="1" x14ac:dyDescent="0.2">
      <c r="A56" s="560" t="s">
        <v>229</v>
      </c>
      <c r="B56" s="1" t="s">
        <v>221</v>
      </c>
      <c r="C56" s="311">
        <v>1</v>
      </c>
      <c r="D56" s="330" t="s">
        <v>224</v>
      </c>
      <c r="E56" s="330" t="s">
        <v>224</v>
      </c>
      <c r="F56" s="330"/>
      <c r="G56" s="330"/>
      <c r="H56" s="330"/>
      <c r="I56" s="330"/>
      <c r="J56" s="330"/>
      <c r="K56" s="330" t="s">
        <v>224</v>
      </c>
      <c r="L56" s="330" t="s">
        <v>224</v>
      </c>
      <c r="M56" s="332"/>
      <c r="N56" s="332"/>
      <c r="O56" s="332"/>
      <c r="P56" s="332"/>
      <c r="Q56" s="332"/>
      <c r="R56" s="330">
        <v>56</v>
      </c>
      <c r="S56" s="330">
        <v>7</v>
      </c>
      <c r="T56" s="329">
        <v>0.17</v>
      </c>
      <c r="U56" s="329">
        <v>0.33</v>
      </c>
      <c r="V56" s="329">
        <v>0.5</v>
      </c>
      <c r="W56" s="329">
        <v>0</v>
      </c>
      <c r="X56" s="329">
        <v>0</v>
      </c>
      <c r="Y56" s="330">
        <v>49</v>
      </c>
      <c r="Z56" s="330">
        <v>8</v>
      </c>
      <c r="AA56" s="329">
        <v>0.4</v>
      </c>
      <c r="AB56" s="329">
        <v>0.5</v>
      </c>
      <c r="AC56" s="329">
        <v>0.1</v>
      </c>
      <c r="AD56" s="329">
        <v>0</v>
      </c>
      <c r="AE56" s="329">
        <v>0</v>
      </c>
      <c r="AF56" s="331">
        <v>46</v>
      </c>
      <c r="AG56" s="331">
        <v>9</v>
      </c>
      <c r="AH56" s="332">
        <v>0.7</v>
      </c>
      <c r="AI56" s="332">
        <v>0.2</v>
      </c>
      <c r="AJ56" s="332">
        <v>0.1</v>
      </c>
      <c r="AK56" s="332">
        <v>0</v>
      </c>
      <c r="AL56" s="332">
        <v>0</v>
      </c>
      <c r="AM56" s="314">
        <v>57</v>
      </c>
      <c r="AN56" s="314" t="s">
        <v>874</v>
      </c>
      <c r="AO56" s="314">
        <v>3</v>
      </c>
      <c r="AP56" s="314" t="s">
        <v>876</v>
      </c>
      <c r="AQ56" s="334">
        <v>0</v>
      </c>
      <c r="AR56" s="334">
        <v>0.5</v>
      </c>
      <c r="AS56" s="334">
        <v>0.5</v>
      </c>
      <c r="AT56" s="334">
        <v>0</v>
      </c>
      <c r="AU56" s="334">
        <v>0</v>
      </c>
      <c r="AV56" s="311">
        <v>57</v>
      </c>
      <c r="AW56" s="311" t="s">
        <v>874</v>
      </c>
      <c r="AX56" s="311">
        <v>14</v>
      </c>
      <c r="AY56" s="311" t="s">
        <v>874</v>
      </c>
      <c r="AZ56" s="329">
        <v>0.3</v>
      </c>
      <c r="BA56" s="329">
        <v>0.3</v>
      </c>
      <c r="BB56" s="329">
        <v>0</v>
      </c>
      <c r="BC56" s="329">
        <v>0.3</v>
      </c>
      <c r="BD56" s="329">
        <v>0.1</v>
      </c>
      <c r="BE56" s="426">
        <v>55</v>
      </c>
      <c r="BF56" s="426" t="s">
        <v>874</v>
      </c>
      <c r="BG56" s="426">
        <v>12</v>
      </c>
      <c r="BH56" s="426" t="s">
        <v>874</v>
      </c>
      <c r="BI56" s="430">
        <v>0.25</v>
      </c>
      <c r="BJ56" s="430">
        <v>0.35</v>
      </c>
      <c r="BK56" s="430">
        <v>0.3</v>
      </c>
      <c r="BL56" s="430">
        <v>0.05</v>
      </c>
      <c r="BM56" s="430">
        <v>0.05</v>
      </c>
      <c r="BN56" s="466">
        <v>55</v>
      </c>
      <c r="BO56" s="466" t="s">
        <v>874</v>
      </c>
      <c r="BP56" s="466">
        <v>8</v>
      </c>
      <c r="BQ56" s="466" t="s">
        <v>874</v>
      </c>
      <c r="BR56" s="480">
        <v>0.14000000000000001</v>
      </c>
      <c r="BS56" s="480">
        <v>0.56999999999999995</v>
      </c>
      <c r="BT56" s="480">
        <v>0.14000000000000001</v>
      </c>
      <c r="BU56" s="480">
        <v>0.14000000000000001</v>
      </c>
      <c r="BV56" s="480">
        <v>0</v>
      </c>
    </row>
    <row r="57" spans="1:74" ht="24.95" customHeight="1" x14ac:dyDescent="0.2">
      <c r="A57" s="126" t="s">
        <v>116</v>
      </c>
      <c r="B57" s="1" t="s">
        <v>221</v>
      </c>
      <c r="C57" s="2">
        <v>2</v>
      </c>
      <c r="D57" s="12">
        <v>55</v>
      </c>
      <c r="E57" s="12">
        <v>10</v>
      </c>
      <c r="F57" s="66">
        <v>0.28000000000000003</v>
      </c>
      <c r="G57" s="66">
        <v>0.33</v>
      </c>
      <c r="H57" s="66">
        <v>0.3</v>
      </c>
      <c r="I57" s="66">
        <v>0.09</v>
      </c>
      <c r="J57" s="66">
        <v>0</v>
      </c>
      <c r="K57" s="12">
        <v>52</v>
      </c>
      <c r="L57" s="12">
        <v>10</v>
      </c>
      <c r="M57" s="61">
        <v>0.41</v>
      </c>
      <c r="N57" s="61">
        <v>0.24</v>
      </c>
      <c r="O57" s="61">
        <v>0.3</v>
      </c>
      <c r="P57" s="61">
        <v>0.06</v>
      </c>
      <c r="Q57" s="61">
        <v>0</v>
      </c>
      <c r="R57" s="12">
        <v>52</v>
      </c>
      <c r="S57" s="12">
        <v>9</v>
      </c>
      <c r="T57" s="63">
        <v>0.3</v>
      </c>
      <c r="U57" s="63">
        <v>0.45</v>
      </c>
      <c r="V57" s="63">
        <v>0.18</v>
      </c>
      <c r="W57" s="63">
        <v>7.0000000000000007E-2</v>
      </c>
      <c r="X57" s="63">
        <v>0</v>
      </c>
      <c r="Y57" s="12">
        <v>54</v>
      </c>
      <c r="Z57" s="12">
        <v>10</v>
      </c>
      <c r="AA57" s="63">
        <v>0.23</v>
      </c>
      <c r="AB57" s="63">
        <v>0.48</v>
      </c>
      <c r="AC57" s="63">
        <v>0.19</v>
      </c>
      <c r="AD57" s="63">
        <v>0.08</v>
      </c>
      <c r="AE57" s="63">
        <v>0.02</v>
      </c>
      <c r="AF57" s="25">
        <v>47</v>
      </c>
      <c r="AG57" s="25">
        <v>7</v>
      </c>
      <c r="AH57" s="61">
        <v>0.59</v>
      </c>
      <c r="AI57" s="61">
        <v>0.28999999999999998</v>
      </c>
      <c r="AJ57" s="61">
        <v>0.11</v>
      </c>
      <c r="AK57" s="61">
        <v>0.01</v>
      </c>
      <c r="AL57" s="61">
        <v>0</v>
      </c>
      <c r="AM57" s="247">
        <v>55</v>
      </c>
      <c r="AN57" s="247" t="s">
        <v>874</v>
      </c>
      <c r="AO57" s="247">
        <v>10</v>
      </c>
      <c r="AP57" s="247" t="s">
        <v>874</v>
      </c>
      <c r="AQ57" s="264">
        <v>0.22</v>
      </c>
      <c r="AR57" s="264">
        <v>0.38</v>
      </c>
      <c r="AS57" s="264">
        <v>0.3</v>
      </c>
      <c r="AT57" s="264">
        <v>0.1</v>
      </c>
      <c r="AU57" s="264">
        <v>0</v>
      </c>
      <c r="AV57" s="311">
        <v>57</v>
      </c>
      <c r="AW57" s="311" t="s">
        <v>874</v>
      </c>
      <c r="AX57" s="311">
        <v>10</v>
      </c>
      <c r="AY57" s="311" t="s">
        <v>874</v>
      </c>
      <c r="AZ57" s="329">
        <v>0.18</v>
      </c>
      <c r="BA57" s="329">
        <v>0.35</v>
      </c>
      <c r="BB57" s="329">
        <v>0.35</v>
      </c>
      <c r="BC57" s="329">
        <v>0.08</v>
      </c>
      <c r="BD57" s="329">
        <v>0.04</v>
      </c>
      <c r="BE57" s="426">
        <v>58</v>
      </c>
      <c r="BF57" s="426" t="s">
        <v>874</v>
      </c>
      <c r="BG57" s="426">
        <v>9</v>
      </c>
      <c r="BH57" s="426" t="s">
        <v>874</v>
      </c>
      <c r="BI57" s="430">
        <v>0.1</v>
      </c>
      <c r="BJ57" s="430">
        <v>0.38</v>
      </c>
      <c r="BK57" s="430">
        <v>0.39</v>
      </c>
      <c r="BL57" s="430">
        <v>0.13</v>
      </c>
      <c r="BM57" s="430">
        <v>0.01</v>
      </c>
      <c r="BN57" s="466">
        <v>59</v>
      </c>
      <c r="BO57" s="466" t="s">
        <v>874</v>
      </c>
      <c r="BP57" s="466">
        <v>9</v>
      </c>
      <c r="BQ57" s="466" t="s">
        <v>874</v>
      </c>
      <c r="BR57" s="480">
        <v>0.12</v>
      </c>
      <c r="BS57" s="480">
        <v>0.33</v>
      </c>
      <c r="BT57" s="480">
        <v>0.4</v>
      </c>
      <c r="BU57" s="480">
        <v>0.11</v>
      </c>
      <c r="BV57" s="480">
        <v>0.04</v>
      </c>
    </row>
    <row r="58" spans="1:74" ht="24.95" customHeight="1" x14ac:dyDescent="0.2">
      <c r="A58" s="126" t="s">
        <v>151</v>
      </c>
      <c r="B58" s="1" t="s">
        <v>221</v>
      </c>
      <c r="C58" s="2">
        <v>3</v>
      </c>
      <c r="D58" s="12">
        <v>59</v>
      </c>
      <c r="E58" s="12">
        <v>10</v>
      </c>
      <c r="F58" s="66">
        <v>0.19</v>
      </c>
      <c r="G58" s="66">
        <v>0.19</v>
      </c>
      <c r="H58" s="66">
        <v>0.44</v>
      </c>
      <c r="I58" s="66">
        <v>0.19</v>
      </c>
      <c r="J58" s="66">
        <v>0</v>
      </c>
      <c r="K58" s="12">
        <v>47</v>
      </c>
      <c r="L58" s="12">
        <v>9</v>
      </c>
      <c r="M58" s="61">
        <v>0.43</v>
      </c>
      <c r="N58" s="61">
        <v>0.5</v>
      </c>
      <c r="O58" s="61">
        <v>7.0000000000000007E-2</v>
      </c>
      <c r="P58" s="61">
        <v>0</v>
      </c>
      <c r="Q58" s="61">
        <v>0</v>
      </c>
      <c r="R58" s="12">
        <v>55</v>
      </c>
      <c r="S58" s="12">
        <v>10</v>
      </c>
      <c r="T58" s="63">
        <v>0.17</v>
      </c>
      <c r="U58" s="63">
        <v>0.43</v>
      </c>
      <c r="V58" s="63">
        <v>0.35</v>
      </c>
      <c r="W58" s="63">
        <v>0.04</v>
      </c>
      <c r="X58" s="63">
        <v>0</v>
      </c>
      <c r="Y58" s="12">
        <v>49</v>
      </c>
      <c r="Z58" s="12">
        <v>10</v>
      </c>
      <c r="AA58" s="63">
        <v>0.32</v>
      </c>
      <c r="AB58" s="63">
        <v>0.55000000000000004</v>
      </c>
      <c r="AC58" s="63">
        <v>0.14000000000000001</v>
      </c>
      <c r="AD58" s="63">
        <v>0</v>
      </c>
      <c r="AE58" s="63">
        <v>0</v>
      </c>
      <c r="AF58" s="25">
        <v>51</v>
      </c>
      <c r="AG58" s="25">
        <v>9</v>
      </c>
      <c r="AH58" s="61">
        <v>0.34</v>
      </c>
      <c r="AI58" s="61">
        <v>0.45</v>
      </c>
      <c r="AJ58" s="61">
        <v>0.14000000000000001</v>
      </c>
      <c r="AK58" s="61">
        <v>7.0000000000000007E-2</v>
      </c>
      <c r="AL58" s="61">
        <v>0</v>
      </c>
      <c r="AM58" s="247">
        <v>53</v>
      </c>
      <c r="AN58" s="247" t="s">
        <v>874</v>
      </c>
      <c r="AO58" s="247">
        <v>11</v>
      </c>
      <c r="AP58" s="247" t="s">
        <v>874</v>
      </c>
      <c r="AQ58" s="264">
        <v>0.35</v>
      </c>
      <c r="AR58" s="264">
        <v>0.35</v>
      </c>
      <c r="AS58" s="264">
        <v>0.2</v>
      </c>
      <c r="AT58" s="264">
        <v>0.11</v>
      </c>
      <c r="AU58" s="264">
        <v>0</v>
      </c>
      <c r="AV58" s="311">
        <v>48</v>
      </c>
      <c r="AW58" s="311" t="s">
        <v>874</v>
      </c>
      <c r="AX58" s="311">
        <v>11</v>
      </c>
      <c r="AY58" s="311" t="s">
        <v>874</v>
      </c>
      <c r="AZ58" s="329">
        <v>0.56000000000000005</v>
      </c>
      <c r="BA58" s="329">
        <v>0.28000000000000003</v>
      </c>
      <c r="BB58" s="329">
        <v>0.08</v>
      </c>
      <c r="BC58" s="329">
        <v>0.08</v>
      </c>
      <c r="BD58" s="329">
        <v>0</v>
      </c>
      <c r="BE58" s="426">
        <v>52</v>
      </c>
      <c r="BF58" s="426" t="s">
        <v>874</v>
      </c>
      <c r="BG58" s="426">
        <v>12</v>
      </c>
      <c r="BH58" s="426" t="s">
        <v>874</v>
      </c>
      <c r="BI58" s="430">
        <v>0.45</v>
      </c>
      <c r="BJ58" s="430">
        <v>0.32</v>
      </c>
      <c r="BK58" s="430">
        <v>0.16</v>
      </c>
      <c r="BL58" s="430">
        <v>0.05</v>
      </c>
      <c r="BM58" s="430">
        <v>0.03</v>
      </c>
      <c r="BN58" s="466">
        <v>53</v>
      </c>
      <c r="BO58" s="466" t="s">
        <v>874</v>
      </c>
      <c r="BP58" s="466">
        <v>12</v>
      </c>
      <c r="BQ58" s="466" t="s">
        <v>874</v>
      </c>
      <c r="BR58" s="480">
        <v>0.31</v>
      </c>
      <c r="BS58" s="480">
        <v>0.37</v>
      </c>
      <c r="BT58" s="480">
        <v>0.17</v>
      </c>
      <c r="BU58" s="480">
        <v>0.11</v>
      </c>
      <c r="BV58" s="480">
        <v>0.03</v>
      </c>
    </row>
    <row r="59" spans="1:74" ht="24.95" customHeight="1" x14ac:dyDescent="0.2">
      <c r="A59" s="126" t="s">
        <v>843</v>
      </c>
      <c r="B59" s="1" t="s">
        <v>221</v>
      </c>
      <c r="C59" s="2">
        <v>4</v>
      </c>
      <c r="D59" s="12"/>
      <c r="E59" s="12"/>
      <c r="F59" s="66"/>
      <c r="G59" s="66"/>
      <c r="H59" s="66"/>
      <c r="I59" s="66"/>
      <c r="J59" s="66"/>
      <c r="K59" s="12"/>
      <c r="L59" s="12"/>
      <c r="M59" s="61"/>
      <c r="N59" s="61"/>
      <c r="O59" s="61"/>
      <c r="P59" s="61"/>
      <c r="Q59" s="61"/>
      <c r="R59" s="12"/>
      <c r="S59" s="12"/>
      <c r="T59" s="63"/>
      <c r="U59" s="63"/>
      <c r="V59" s="63"/>
      <c r="W59" s="63"/>
      <c r="X59" s="63"/>
      <c r="Y59" s="12"/>
      <c r="Z59" s="12"/>
      <c r="AA59" s="63"/>
      <c r="AB59" s="63"/>
      <c r="AC59" s="63"/>
      <c r="AD59" s="63"/>
      <c r="AE59" s="63"/>
      <c r="AF59" s="25"/>
      <c r="AG59" s="25"/>
      <c r="AH59" s="61"/>
      <c r="AI59" s="61"/>
      <c r="AJ59" s="61"/>
      <c r="AK59" s="61"/>
      <c r="AL59" s="61"/>
      <c r="AM59" s="652"/>
      <c r="AN59" s="652"/>
      <c r="AO59" s="652"/>
      <c r="AP59" s="652"/>
      <c r="AQ59" s="652"/>
      <c r="AR59" s="652"/>
      <c r="AS59" s="652"/>
      <c r="AT59" s="652"/>
      <c r="AU59" s="652"/>
      <c r="AV59" s="655"/>
      <c r="AW59" s="655"/>
      <c r="AX59" s="655"/>
      <c r="AY59" s="655"/>
      <c r="AZ59" s="655"/>
      <c r="BA59" s="655"/>
      <c r="BB59" s="655"/>
      <c r="BC59" s="655"/>
      <c r="BD59" s="655"/>
      <c r="BE59" s="657"/>
      <c r="BF59" s="657"/>
      <c r="BG59" s="657"/>
      <c r="BH59" s="657"/>
      <c r="BI59" s="657"/>
      <c r="BJ59" s="657"/>
      <c r="BK59" s="657"/>
      <c r="BL59" s="657"/>
      <c r="BM59" s="657"/>
      <c r="BN59" s="656"/>
      <c r="BO59" s="656"/>
      <c r="BP59" s="656"/>
      <c r="BQ59" s="656"/>
      <c r="BR59" s="656"/>
      <c r="BS59" s="656"/>
      <c r="BT59" s="656"/>
      <c r="BU59" s="656"/>
      <c r="BV59" s="656"/>
    </row>
    <row r="60" spans="1:74" ht="24.95" customHeight="1" x14ac:dyDescent="0.2">
      <c r="A60" s="126" t="s">
        <v>199</v>
      </c>
      <c r="B60" s="1" t="s">
        <v>221</v>
      </c>
      <c r="C60" s="2">
        <v>3</v>
      </c>
      <c r="D60" s="12">
        <v>58</v>
      </c>
      <c r="E60" s="12">
        <v>9</v>
      </c>
      <c r="F60" s="66">
        <v>0.13</v>
      </c>
      <c r="G60" s="66">
        <v>0.34</v>
      </c>
      <c r="H60" s="66">
        <v>0.38</v>
      </c>
      <c r="I60" s="66">
        <v>0.13</v>
      </c>
      <c r="J60" s="66">
        <v>0.01</v>
      </c>
      <c r="K60" s="12">
        <v>57</v>
      </c>
      <c r="L60" s="12">
        <v>9</v>
      </c>
      <c r="M60" s="61">
        <v>0.11</v>
      </c>
      <c r="N60" s="61">
        <v>0.44</v>
      </c>
      <c r="O60" s="61">
        <v>0.3</v>
      </c>
      <c r="P60" s="61">
        <v>0.15</v>
      </c>
      <c r="Q60" s="61">
        <v>0</v>
      </c>
      <c r="R60" s="12">
        <v>57</v>
      </c>
      <c r="S60" s="12">
        <v>9</v>
      </c>
      <c r="T60" s="63">
        <v>0.16</v>
      </c>
      <c r="U60" s="63">
        <v>0.35</v>
      </c>
      <c r="V60" s="63">
        <v>0.39</v>
      </c>
      <c r="W60" s="63">
        <v>0.09</v>
      </c>
      <c r="X60" s="63">
        <v>0.01</v>
      </c>
      <c r="Y60" s="12">
        <v>58</v>
      </c>
      <c r="Z60" s="12">
        <v>9</v>
      </c>
      <c r="AA60" s="63">
        <v>0.16</v>
      </c>
      <c r="AB60" s="63">
        <v>0.34</v>
      </c>
      <c r="AC60" s="63">
        <v>0.31</v>
      </c>
      <c r="AD60" s="63">
        <v>0.19</v>
      </c>
      <c r="AE60" s="63">
        <v>0.01</v>
      </c>
      <c r="AF60" s="25">
        <v>52</v>
      </c>
      <c r="AG60" s="25">
        <v>9</v>
      </c>
      <c r="AH60" s="61">
        <v>0.28000000000000003</v>
      </c>
      <c r="AI60" s="61">
        <v>0.47</v>
      </c>
      <c r="AJ60" s="61">
        <v>0.18</v>
      </c>
      <c r="AK60" s="61">
        <v>7.0000000000000007E-2</v>
      </c>
      <c r="AL60" s="61">
        <v>0</v>
      </c>
      <c r="AM60" s="247">
        <v>57</v>
      </c>
      <c r="AN60" s="247" t="s">
        <v>874</v>
      </c>
      <c r="AO60" s="247">
        <v>11</v>
      </c>
      <c r="AP60" s="247" t="s">
        <v>874</v>
      </c>
      <c r="AQ60" s="264">
        <v>0.18</v>
      </c>
      <c r="AR60" s="264">
        <v>0.4</v>
      </c>
      <c r="AS60" s="264">
        <v>0.26</v>
      </c>
      <c r="AT60" s="264">
        <v>0.14000000000000001</v>
      </c>
      <c r="AU60" s="264">
        <v>0.02</v>
      </c>
      <c r="AV60" s="311">
        <v>60</v>
      </c>
      <c r="AW60" s="311" t="s">
        <v>874</v>
      </c>
      <c r="AX60" s="311">
        <v>11</v>
      </c>
      <c r="AY60" s="311" t="s">
        <v>874</v>
      </c>
      <c r="AZ60" s="329">
        <v>0.11</v>
      </c>
      <c r="BA60" s="329">
        <v>0.3</v>
      </c>
      <c r="BB60" s="329">
        <v>0.35</v>
      </c>
      <c r="BC60" s="329">
        <v>0.23</v>
      </c>
      <c r="BD60" s="329">
        <v>0.01</v>
      </c>
      <c r="BE60" s="426">
        <v>60</v>
      </c>
      <c r="BF60" s="426" t="s">
        <v>874</v>
      </c>
      <c r="BG60" s="426">
        <v>9</v>
      </c>
      <c r="BH60" s="426" t="s">
        <v>874</v>
      </c>
      <c r="BI60" s="430">
        <v>0.09</v>
      </c>
      <c r="BJ60" s="430">
        <v>0.33</v>
      </c>
      <c r="BK60" s="430">
        <v>0.34</v>
      </c>
      <c r="BL60" s="430">
        <v>0.21</v>
      </c>
      <c r="BM60" s="430">
        <v>0.02</v>
      </c>
      <c r="BN60" s="466">
        <v>61</v>
      </c>
      <c r="BO60" s="466" t="s">
        <v>874</v>
      </c>
      <c r="BP60" s="466">
        <v>10</v>
      </c>
      <c r="BQ60" s="466" t="s">
        <v>874</v>
      </c>
      <c r="BR60" s="480">
        <v>0.08</v>
      </c>
      <c r="BS60" s="480">
        <v>0.31</v>
      </c>
      <c r="BT60" s="480">
        <v>0.33</v>
      </c>
      <c r="BU60" s="480">
        <v>0.23</v>
      </c>
      <c r="BV60" s="480">
        <v>0.05</v>
      </c>
    </row>
    <row r="61" spans="1:74" ht="24.95" customHeight="1" x14ac:dyDescent="0.2">
      <c r="A61" s="126" t="s">
        <v>174</v>
      </c>
      <c r="B61" s="1" t="s">
        <v>221</v>
      </c>
      <c r="C61" s="2">
        <v>2</v>
      </c>
      <c r="D61" s="12">
        <v>54</v>
      </c>
      <c r="E61" s="12">
        <v>9</v>
      </c>
      <c r="F61" s="66">
        <v>0.23</v>
      </c>
      <c r="G61" s="66">
        <v>0.54</v>
      </c>
      <c r="H61" s="66">
        <v>0.13</v>
      </c>
      <c r="I61" s="66">
        <v>0.1</v>
      </c>
      <c r="J61" s="66">
        <v>0</v>
      </c>
      <c r="K61" s="12">
        <v>49</v>
      </c>
      <c r="L61" s="12">
        <v>10</v>
      </c>
      <c r="M61" s="61">
        <v>0.53</v>
      </c>
      <c r="N61" s="61">
        <v>0.33</v>
      </c>
      <c r="O61" s="61">
        <v>7.0000000000000007E-2</v>
      </c>
      <c r="P61" s="61">
        <v>7.0000000000000007E-2</v>
      </c>
      <c r="Q61" s="61">
        <v>0</v>
      </c>
      <c r="R61" s="12">
        <v>53</v>
      </c>
      <c r="S61" s="12">
        <v>9</v>
      </c>
      <c r="T61" s="63">
        <v>0.31</v>
      </c>
      <c r="U61" s="63">
        <v>0.42</v>
      </c>
      <c r="V61" s="63">
        <v>0.25</v>
      </c>
      <c r="W61" s="63">
        <v>0</v>
      </c>
      <c r="X61" s="63">
        <v>0.03</v>
      </c>
      <c r="Y61" s="12">
        <v>58</v>
      </c>
      <c r="Z61" s="12">
        <v>9</v>
      </c>
      <c r="AA61" s="63">
        <v>0.12</v>
      </c>
      <c r="AB61" s="63">
        <v>0.42</v>
      </c>
      <c r="AC61" s="63">
        <v>0.35</v>
      </c>
      <c r="AD61" s="63">
        <v>0.08</v>
      </c>
      <c r="AE61" s="63">
        <v>0.04</v>
      </c>
      <c r="AF61" s="25">
        <v>49</v>
      </c>
      <c r="AG61" s="25">
        <v>10</v>
      </c>
      <c r="AH61" s="61">
        <v>0.53</v>
      </c>
      <c r="AI61" s="61">
        <v>0.28000000000000003</v>
      </c>
      <c r="AJ61" s="61">
        <v>0.17</v>
      </c>
      <c r="AK61" s="61">
        <v>0.03</v>
      </c>
      <c r="AL61" s="61">
        <v>0</v>
      </c>
      <c r="AM61" s="653">
        <v>57</v>
      </c>
      <c r="AN61" s="653" t="s">
        <v>874</v>
      </c>
      <c r="AO61" s="653">
        <v>9</v>
      </c>
      <c r="AP61" s="653" t="s">
        <v>874</v>
      </c>
      <c r="AQ61" s="654">
        <v>0.13</v>
      </c>
      <c r="AR61" s="654">
        <v>0.44</v>
      </c>
      <c r="AS61" s="654">
        <v>0.34</v>
      </c>
      <c r="AT61" s="654">
        <v>0.09</v>
      </c>
      <c r="AU61" s="654">
        <v>0</v>
      </c>
      <c r="AV61" s="74">
        <v>60</v>
      </c>
      <c r="AW61" s="74" t="s">
        <v>874</v>
      </c>
      <c r="AX61" s="74">
        <v>9</v>
      </c>
      <c r="AY61" s="74" t="s">
        <v>874</v>
      </c>
      <c r="AZ61" s="96">
        <v>0.08</v>
      </c>
      <c r="BA61" s="96">
        <v>0.28999999999999998</v>
      </c>
      <c r="BB61" s="96">
        <v>0.42</v>
      </c>
      <c r="BC61" s="96">
        <v>0.21</v>
      </c>
      <c r="BD61" s="96">
        <v>0</v>
      </c>
      <c r="BE61" s="658">
        <v>57</v>
      </c>
      <c r="BF61" s="658" t="s">
        <v>874</v>
      </c>
      <c r="BG61" s="658">
        <v>11</v>
      </c>
      <c r="BH61" s="658" t="s">
        <v>874</v>
      </c>
      <c r="BI61" s="659">
        <v>0.12</v>
      </c>
      <c r="BJ61" s="659">
        <v>0.36</v>
      </c>
      <c r="BK61" s="659">
        <v>0.36</v>
      </c>
      <c r="BL61" s="659">
        <v>0.15</v>
      </c>
      <c r="BM61" s="659">
        <v>0</v>
      </c>
      <c r="BN61" s="74">
        <v>57</v>
      </c>
      <c r="BO61" s="74" t="s">
        <v>874</v>
      </c>
      <c r="BP61" s="74">
        <v>10</v>
      </c>
      <c r="BQ61" s="74" t="s">
        <v>874</v>
      </c>
      <c r="BR61" s="96">
        <v>0.2</v>
      </c>
      <c r="BS61" s="96">
        <v>0.34</v>
      </c>
      <c r="BT61" s="96">
        <v>0.31</v>
      </c>
      <c r="BU61" s="96">
        <v>0.11</v>
      </c>
      <c r="BV61" s="96">
        <v>0.03</v>
      </c>
    </row>
    <row r="62" spans="1:74" ht="24.95" customHeight="1" x14ac:dyDescent="0.2">
      <c r="A62" s="126" t="s">
        <v>84</v>
      </c>
      <c r="B62" s="1" t="s">
        <v>221</v>
      </c>
      <c r="C62" s="2">
        <v>2</v>
      </c>
      <c r="D62" s="12">
        <v>60</v>
      </c>
      <c r="E62" s="12">
        <v>6</v>
      </c>
      <c r="F62" s="66">
        <v>0</v>
      </c>
      <c r="G62" s="66">
        <v>0.43</v>
      </c>
      <c r="H62" s="66">
        <v>0.52</v>
      </c>
      <c r="I62" s="66">
        <v>0.04</v>
      </c>
      <c r="J62" s="66">
        <v>0</v>
      </c>
      <c r="K62" s="12">
        <v>58</v>
      </c>
      <c r="L62" s="12">
        <v>6</v>
      </c>
      <c r="M62" s="61">
        <v>0.05</v>
      </c>
      <c r="N62" s="61">
        <v>0.26</v>
      </c>
      <c r="O62" s="61">
        <v>0.63</v>
      </c>
      <c r="P62" s="61">
        <v>0.05</v>
      </c>
      <c r="Q62" s="61">
        <v>0</v>
      </c>
      <c r="R62" s="12">
        <v>63</v>
      </c>
      <c r="S62" s="12">
        <v>8</v>
      </c>
      <c r="T62" s="63">
        <v>0</v>
      </c>
      <c r="U62" s="63">
        <v>0.25</v>
      </c>
      <c r="V62" s="63">
        <v>0.5</v>
      </c>
      <c r="W62" s="63">
        <v>0.19</v>
      </c>
      <c r="X62" s="63">
        <v>0.06</v>
      </c>
      <c r="Y62" s="12">
        <v>58</v>
      </c>
      <c r="Z62" s="12">
        <v>11</v>
      </c>
      <c r="AA62" s="63">
        <v>0.14000000000000001</v>
      </c>
      <c r="AB62" s="63">
        <v>0.45</v>
      </c>
      <c r="AC62" s="63">
        <v>0.18</v>
      </c>
      <c r="AD62" s="63">
        <v>0.18</v>
      </c>
      <c r="AE62" s="63">
        <v>0.05</v>
      </c>
      <c r="AF62" s="25">
        <v>53</v>
      </c>
      <c r="AG62" s="25">
        <v>9</v>
      </c>
      <c r="AH62" s="61">
        <v>0.22</v>
      </c>
      <c r="AI62" s="61">
        <v>0.52</v>
      </c>
      <c r="AJ62" s="61">
        <v>0.15</v>
      </c>
      <c r="AK62" s="61">
        <v>7.0000000000000007E-2</v>
      </c>
      <c r="AL62" s="61">
        <v>0.04</v>
      </c>
      <c r="AM62" s="247">
        <v>60</v>
      </c>
      <c r="AN62" s="247" t="s">
        <v>875</v>
      </c>
      <c r="AO62" s="247">
        <v>9</v>
      </c>
      <c r="AP62" s="247" t="s">
        <v>874</v>
      </c>
      <c r="AQ62" s="264">
        <v>0.05</v>
      </c>
      <c r="AR62" s="264">
        <v>0.48</v>
      </c>
      <c r="AS62" s="264">
        <v>0.33</v>
      </c>
      <c r="AT62" s="264">
        <v>0.1</v>
      </c>
      <c r="AU62" s="264">
        <v>0.05</v>
      </c>
      <c r="AV62" s="311">
        <v>59</v>
      </c>
      <c r="AW62" s="311" t="s">
        <v>874</v>
      </c>
      <c r="AX62" s="311">
        <v>9</v>
      </c>
      <c r="AY62" s="311" t="s">
        <v>874</v>
      </c>
      <c r="AZ62" s="329">
        <v>0.1</v>
      </c>
      <c r="BA62" s="329">
        <v>0.2</v>
      </c>
      <c r="BB62" s="329">
        <v>0.55000000000000004</v>
      </c>
      <c r="BC62" s="329">
        <v>0.15</v>
      </c>
      <c r="BD62" s="329">
        <v>0</v>
      </c>
      <c r="BE62" s="426">
        <v>61</v>
      </c>
      <c r="BF62" s="426" t="s">
        <v>875</v>
      </c>
      <c r="BG62" s="426">
        <v>12</v>
      </c>
      <c r="BH62" s="426" t="s">
        <v>874</v>
      </c>
      <c r="BI62" s="430">
        <v>0.13</v>
      </c>
      <c r="BJ62" s="430">
        <v>0.31</v>
      </c>
      <c r="BK62" s="430">
        <v>0.13</v>
      </c>
      <c r="BL62" s="430">
        <v>0.44</v>
      </c>
      <c r="BM62" s="430">
        <v>0</v>
      </c>
      <c r="BN62" s="466">
        <v>59</v>
      </c>
      <c r="BO62" s="466" t="s">
        <v>874</v>
      </c>
      <c r="BP62" s="466">
        <v>8</v>
      </c>
      <c r="BQ62" s="466" t="s">
        <v>874</v>
      </c>
      <c r="BR62" s="480">
        <v>0.08</v>
      </c>
      <c r="BS62" s="480">
        <v>0.42</v>
      </c>
      <c r="BT62" s="480">
        <v>0.33</v>
      </c>
      <c r="BU62" s="480">
        <v>0.17</v>
      </c>
      <c r="BV62" s="480">
        <v>0</v>
      </c>
    </row>
    <row r="63" spans="1:74" ht="24.95" customHeight="1" x14ac:dyDescent="0.2">
      <c r="A63" s="126" t="s">
        <v>185</v>
      </c>
      <c r="B63" s="1" t="s">
        <v>221</v>
      </c>
      <c r="C63" s="2">
        <v>1</v>
      </c>
      <c r="D63" s="12">
        <v>48</v>
      </c>
      <c r="E63" s="12">
        <v>7</v>
      </c>
      <c r="F63" s="66">
        <v>0.54</v>
      </c>
      <c r="G63" s="66">
        <v>0.46</v>
      </c>
      <c r="H63" s="66">
        <v>0</v>
      </c>
      <c r="I63" s="66">
        <v>0</v>
      </c>
      <c r="J63" s="66">
        <v>0</v>
      </c>
      <c r="K63" s="12">
        <v>46</v>
      </c>
      <c r="L63" s="12">
        <v>8</v>
      </c>
      <c r="M63" s="61">
        <v>0.6</v>
      </c>
      <c r="N63" s="61">
        <v>0.4</v>
      </c>
      <c r="O63" s="61">
        <v>0</v>
      </c>
      <c r="P63" s="61">
        <v>0</v>
      </c>
      <c r="Q63" s="61">
        <v>0</v>
      </c>
      <c r="R63" s="12">
        <v>48</v>
      </c>
      <c r="S63" s="12">
        <v>8</v>
      </c>
      <c r="T63" s="63">
        <v>0.42</v>
      </c>
      <c r="U63" s="63">
        <v>0.47</v>
      </c>
      <c r="V63" s="63">
        <v>0.05</v>
      </c>
      <c r="W63" s="63">
        <v>0.05</v>
      </c>
      <c r="X63" s="63">
        <v>0</v>
      </c>
      <c r="Y63" s="12">
        <v>41</v>
      </c>
      <c r="Z63" s="12">
        <v>8</v>
      </c>
      <c r="AA63" s="63">
        <v>0.71</v>
      </c>
      <c r="AB63" s="63">
        <v>0.28999999999999998</v>
      </c>
      <c r="AC63" s="63">
        <v>0</v>
      </c>
      <c r="AD63" s="63">
        <v>0</v>
      </c>
      <c r="AE63" s="63">
        <v>0</v>
      </c>
      <c r="AF63" s="25">
        <v>44</v>
      </c>
      <c r="AG63" s="25">
        <v>7</v>
      </c>
      <c r="AH63" s="61">
        <v>0.59</v>
      </c>
      <c r="AI63" s="61">
        <v>0.41</v>
      </c>
      <c r="AJ63" s="61">
        <v>0</v>
      </c>
      <c r="AK63" s="61">
        <v>0</v>
      </c>
      <c r="AL63" s="61">
        <v>0</v>
      </c>
      <c r="AM63" s="247">
        <v>50</v>
      </c>
      <c r="AN63" s="247" t="s">
        <v>874</v>
      </c>
      <c r="AO63" s="247">
        <v>8</v>
      </c>
      <c r="AP63" s="247" t="s">
        <v>874</v>
      </c>
      <c r="AQ63" s="264">
        <v>0.31</v>
      </c>
      <c r="AR63" s="264">
        <v>0.56000000000000005</v>
      </c>
      <c r="AS63" s="264">
        <v>0.13</v>
      </c>
      <c r="AT63" s="264">
        <v>0</v>
      </c>
      <c r="AU63" s="264">
        <v>0</v>
      </c>
      <c r="AV63" s="311">
        <v>47</v>
      </c>
      <c r="AW63" s="311" t="s">
        <v>874</v>
      </c>
      <c r="AX63" s="311">
        <v>9</v>
      </c>
      <c r="AY63" s="311" t="s">
        <v>874</v>
      </c>
      <c r="AZ63" s="329">
        <v>0.44</v>
      </c>
      <c r="BA63" s="329">
        <v>0.44</v>
      </c>
      <c r="BB63" s="329">
        <v>0.13</v>
      </c>
      <c r="BC63" s="329">
        <v>0</v>
      </c>
      <c r="BD63" s="329">
        <v>0</v>
      </c>
      <c r="BE63" s="426">
        <v>54</v>
      </c>
      <c r="BF63" s="426" t="s">
        <v>874</v>
      </c>
      <c r="BG63" s="426">
        <v>5</v>
      </c>
      <c r="BH63" s="426" t="s">
        <v>876</v>
      </c>
      <c r="BI63" s="430">
        <v>0.13</v>
      </c>
      <c r="BJ63" s="430">
        <v>0.63</v>
      </c>
      <c r="BK63" s="430">
        <v>0.25</v>
      </c>
      <c r="BL63" s="430">
        <v>0</v>
      </c>
      <c r="BM63" s="430">
        <v>0</v>
      </c>
      <c r="BN63" s="466">
        <v>52</v>
      </c>
      <c r="BO63" s="466" t="s">
        <v>874</v>
      </c>
      <c r="BP63" s="466">
        <v>10</v>
      </c>
      <c r="BQ63" s="466" t="s">
        <v>874</v>
      </c>
      <c r="BR63" s="480">
        <v>0.32</v>
      </c>
      <c r="BS63" s="480">
        <v>0.36</v>
      </c>
      <c r="BT63" s="480">
        <v>0.28000000000000003</v>
      </c>
      <c r="BU63" s="480">
        <v>0.04</v>
      </c>
      <c r="BV63" s="480">
        <v>0</v>
      </c>
    </row>
    <row r="64" spans="1:74" ht="24.95" customHeight="1" x14ac:dyDescent="0.2">
      <c r="A64" s="126" t="s">
        <v>161</v>
      </c>
      <c r="B64" s="1" t="s">
        <v>221</v>
      </c>
      <c r="C64" s="2">
        <v>4</v>
      </c>
      <c r="D64" s="12">
        <v>53</v>
      </c>
      <c r="E64" s="12">
        <v>8</v>
      </c>
      <c r="F64" s="66">
        <v>0.27</v>
      </c>
      <c r="G64" s="66">
        <v>0.39</v>
      </c>
      <c r="H64" s="66">
        <v>0.28999999999999998</v>
      </c>
      <c r="I64" s="66">
        <v>0.05</v>
      </c>
      <c r="J64" s="66">
        <v>0</v>
      </c>
      <c r="K64" s="12">
        <v>48</v>
      </c>
      <c r="L64" s="12">
        <v>8</v>
      </c>
      <c r="M64" s="61">
        <v>0.46</v>
      </c>
      <c r="N64" s="61">
        <v>0.44</v>
      </c>
      <c r="O64" s="61">
        <v>0.1</v>
      </c>
      <c r="P64" s="61">
        <v>0</v>
      </c>
      <c r="Q64" s="61">
        <v>0</v>
      </c>
      <c r="R64" s="12">
        <v>52</v>
      </c>
      <c r="S64" s="12">
        <v>7</v>
      </c>
      <c r="T64" s="63">
        <v>0.3</v>
      </c>
      <c r="U64" s="63">
        <v>0.53</v>
      </c>
      <c r="V64" s="63">
        <v>0.14000000000000001</v>
      </c>
      <c r="W64" s="63">
        <v>0.02</v>
      </c>
      <c r="X64" s="63">
        <v>0</v>
      </c>
      <c r="Y64" s="12">
        <v>48</v>
      </c>
      <c r="Z64" s="12">
        <v>7</v>
      </c>
      <c r="AA64" s="63">
        <v>0.49</v>
      </c>
      <c r="AB64" s="63">
        <v>0.41</v>
      </c>
      <c r="AC64" s="63">
        <v>0.11</v>
      </c>
      <c r="AD64" s="63">
        <v>0</v>
      </c>
      <c r="AE64" s="63">
        <v>0</v>
      </c>
      <c r="AF64" s="25">
        <v>50</v>
      </c>
      <c r="AG64" s="25">
        <v>7</v>
      </c>
      <c r="AH64" s="61">
        <v>0.39</v>
      </c>
      <c r="AI64" s="61">
        <v>0.49</v>
      </c>
      <c r="AJ64" s="61">
        <v>0.1</v>
      </c>
      <c r="AK64" s="61">
        <v>0.02</v>
      </c>
      <c r="AL64" s="61">
        <v>0</v>
      </c>
      <c r="AM64" s="247">
        <v>52</v>
      </c>
      <c r="AN64" s="247" t="s">
        <v>874</v>
      </c>
      <c r="AO64" s="247">
        <v>9</v>
      </c>
      <c r="AP64" s="247" t="s">
        <v>874</v>
      </c>
      <c r="AQ64" s="264">
        <v>0.3</v>
      </c>
      <c r="AR64" s="264">
        <v>0.45</v>
      </c>
      <c r="AS64" s="264">
        <v>0.23</v>
      </c>
      <c r="AT64" s="264">
        <v>0.03</v>
      </c>
      <c r="AU64" s="264">
        <v>0</v>
      </c>
      <c r="AV64" s="311">
        <v>51</v>
      </c>
      <c r="AW64" s="311" t="s">
        <v>874</v>
      </c>
      <c r="AX64" s="311">
        <v>10</v>
      </c>
      <c r="AY64" s="311" t="s">
        <v>874</v>
      </c>
      <c r="AZ64" s="329">
        <v>0.3</v>
      </c>
      <c r="BA64" s="329">
        <v>0.43</v>
      </c>
      <c r="BB64" s="329">
        <v>0.22</v>
      </c>
      <c r="BC64" s="329">
        <v>0.05</v>
      </c>
      <c r="BD64" s="329">
        <v>0</v>
      </c>
      <c r="BE64" s="426">
        <v>52</v>
      </c>
      <c r="BF64" s="426" t="s">
        <v>874</v>
      </c>
      <c r="BG64" s="426">
        <v>10</v>
      </c>
      <c r="BH64" s="426" t="s">
        <v>874</v>
      </c>
      <c r="BI64" s="430">
        <v>0.24</v>
      </c>
      <c r="BJ64" s="430">
        <v>0.52</v>
      </c>
      <c r="BK64" s="430">
        <v>0.19</v>
      </c>
      <c r="BL64" s="430">
        <v>0.02</v>
      </c>
      <c r="BM64" s="430">
        <v>0.02</v>
      </c>
      <c r="BN64" s="466">
        <v>51</v>
      </c>
      <c r="BO64" s="466" t="s">
        <v>874</v>
      </c>
      <c r="BP64" s="466">
        <v>11</v>
      </c>
      <c r="BQ64" s="466" t="s">
        <v>874</v>
      </c>
      <c r="BR64" s="480">
        <v>0.41</v>
      </c>
      <c r="BS64" s="480">
        <v>0.32</v>
      </c>
      <c r="BT64" s="480">
        <v>0.18</v>
      </c>
      <c r="BU64" s="480">
        <v>7.0000000000000007E-2</v>
      </c>
      <c r="BV64" s="480">
        <v>0.02</v>
      </c>
    </row>
    <row r="65" spans="1:74" ht="24.95" customHeight="1" x14ac:dyDescent="0.2">
      <c r="A65" s="126" t="s">
        <v>114</v>
      </c>
      <c r="B65" s="1" t="s">
        <v>221</v>
      </c>
      <c r="C65" s="2">
        <v>3</v>
      </c>
      <c r="D65" s="12">
        <v>57</v>
      </c>
      <c r="E65" s="12">
        <v>8</v>
      </c>
      <c r="F65" s="66">
        <v>0.09</v>
      </c>
      <c r="G65" s="66">
        <v>0.49</v>
      </c>
      <c r="H65" s="66">
        <v>0.34</v>
      </c>
      <c r="I65" s="66">
        <v>0.09</v>
      </c>
      <c r="J65" s="66">
        <v>0</v>
      </c>
      <c r="K65" s="12">
        <v>56</v>
      </c>
      <c r="L65" s="12">
        <v>6</v>
      </c>
      <c r="M65" s="61">
        <v>0.06</v>
      </c>
      <c r="N65" s="61">
        <v>0.5</v>
      </c>
      <c r="O65" s="61">
        <v>0.42</v>
      </c>
      <c r="P65" s="61">
        <v>0.03</v>
      </c>
      <c r="Q65" s="61">
        <v>0</v>
      </c>
      <c r="R65" s="12">
        <v>56</v>
      </c>
      <c r="S65" s="12">
        <v>10</v>
      </c>
      <c r="T65" s="63">
        <v>0.16</v>
      </c>
      <c r="U65" s="63">
        <v>0.42</v>
      </c>
      <c r="V65" s="63">
        <v>0.3</v>
      </c>
      <c r="W65" s="63">
        <v>0.08</v>
      </c>
      <c r="X65" s="63">
        <v>0.04</v>
      </c>
      <c r="Y65" s="12">
        <v>52</v>
      </c>
      <c r="Z65" s="12">
        <v>7</v>
      </c>
      <c r="AA65" s="63">
        <v>0.31</v>
      </c>
      <c r="AB65" s="63">
        <v>0.46</v>
      </c>
      <c r="AC65" s="63">
        <v>0.2</v>
      </c>
      <c r="AD65" s="63">
        <v>0.03</v>
      </c>
      <c r="AE65" s="63">
        <v>0</v>
      </c>
      <c r="AF65" s="25">
        <v>51</v>
      </c>
      <c r="AG65" s="25">
        <v>8</v>
      </c>
      <c r="AH65" s="61">
        <v>0.34</v>
      </c>
      <c r="AI65" s="61">
        <v>0.42</v>
      </c>
      <c r="AJ65" s="61">
        <v>0.24</v>
      </c>
      <c r="AK65" s="61">
        <v>0</v>
      </c>
      <c r="AL65" s="61">
        <v>0</v>
      </c>
      <c r="AM65" s="247">
        <v>56</v>
      </c>
      <c r="AN65" s="247" t="s">
        <v>874</v>
      </c>
      <c r="AO65" s="247">
        <v>11</v>
      </c>
      <c r="AP65" s="247" t="s">
        <v>874</v>
      </c>
      <c r="AQ65" s="264">
        <v>0.27</v>
      </c>
      <c r="AR65" s="264">
        <v>0.3</v>
      </c>
      <c r="AS65" s="264">
        <v>0.3</v>
      </c>
      <c r="AT65" s="264">
        <v>0.1</v>
      </c>
      <c r="AU65" s="264">
        <v>0.03</v>
      </c>
      <c r="AV65" s="311">
        <v>58</v>
      </c>
      <c r="AW65" s="311" t="s">
        <v>874</v>
      </c>
      <c r="AX65" s="311">
        <v>10</v>
      </c>
      <c r="AY65" s="311" t="s">
        <v>874</v>
      </c>
      <c r="AZ65" s="329">
        <v>0.13</v>
      </c>
      <c r="BA65" s="329">
        <v>0.33</v>
      </c>
      <c r="BB65" s="329">
        <v>0.35</v>
      </c>
      <c r="BC65" s="329">
        <v>0.19</v>
      </c>
      <c r="BD65" s="329">
        <v>0</v>
      </c>
      <c r="BE65" s="426">
        <v>58</v>
      </c>
      <c r="BF65" s="426" t="s">
        <v>874</v>
      </c>
      <c r="BG65" s="426">
        <v>10</v>
      </c>
      <c r="BH65" s="426" t="s">
        <v>874</v>
      </c>
      <c r="BI65" s="430">
        <v>0.16</v>
      </c>
      <c r="BJ65" s="430">
        <v>0.33</v>
      </c>
      <c r="BK65" s="430">
        <v>0.28000000000000003</v>
      </c>
      <c r="BL65" s="430">
        <v>0.21</v>
      </c>
      <c r="BM65" s="430">
        <v>0.02</v>
      </c>
      <c r="BN65" s="466">
        <v>58</v>
      </c>
      <c r="BO65" s="466" t="s">
        <v>874</v>
      </c>
      <c r="BP65" s="466">
        <v>10</v>
      </c>
      <c r="BQ65" s="466" t="s">
        <v>874</v>
      </c>
      <c r="BR65" s="480">
        <v>0.17</v>
      </c>
      <c r="BS65" s="480">
        <v>0.3</v>
      </c>
      <c r="BT65" s="480">
        <v>0.34</v>
      </c>
      <c r="BU65" s="480">
        <v>0.17</v>
      </c>
      <c r="BV65" s="480">
        <v>0.02</v>
      </c>
    </row>
    <row r="66" spans="1:74" ht="24.95" customHeight="1" x14ac:dyDescent="0.2">
      <c r="A66" s="126" t="s">
        <v>128</v>
      </c>
      <c r="B66" s="1" t="s">
        <v>221</v>
      </c>
      <c r="C66" s="2">
        <v>5</v>
      </c>
      <c r="D66" s="12">
        <v>60</v>
      </c>
      <c r="E66" s="12">
        <v>10</v>
      </c>
      <c r="F66" s="66">
        <v>0.1</v>
      </c>
      <c r="G66" s="66">
        <v>0.4</v>
      </c>
      <c r="H66" s="66">
        <v>0.23</v>
      </c>
      <c r="I66" s="66">
        <v>0.27</v>
      </c>
      <c r="J66" s="66">
        <v>0</v>
      </c>
      <c r="K66" s="12">
        <v>59</v>
      </c>
      <c r="L66" s="12">
        <v>7</v>
      </c>
      <c r="M66" s="61">
        <v>0.06</v>
      </c>
      <c r="N66" s="61">
        <v>0.28000000000000003</v>
      </c>
      <c r="O66" s="61">
        <v>0.61</v>
      </c>
      <c r="P66" s="61">
        <v>0.06</v>
      </c>
      <c r="Q66" s="61">
        <v>0</v>
      </c>
      <c r="R66" s="12">
        <v>60</v>
      </c>
      <c r="S66" s="12">
        <v>9</v>
      </c>
      <c r="T66" s="63">
        <v>0.1</v>
      </c>
      <c r="U66" s="63">
        <v>0.28000000000000003</v>
      </c>
      <c r="V66" s="63">
        <v>0.41</v>
      </c>
      <c r="W66" s="63">
        <v>0.17</v>
      </c>
      <c r="X66" s="63">
        <v>0.03</v>
      </c>
      <c r="Y66" s="12">
        <v>59</v>
      </c>
      <c r="Z66" s="12">
        <v>10</v>
      </c>
      <c r="AA66" s="63">
        <v>0.11</v>
      </c>
      <c r="AB66" s="63">
        <v>0.28000000000000003</v>
      </c>
      <c r="AC66" s="63">
        <v>0.44</v>
      </c>
      <c r="AD66" s="63">
        <v>0.17</v>
      </c>
      <c r="AE66" s="63">
        <v>0</v>
      </c>
      <c r="AF66" s="25">
        <v>54</v>
      </c>
      <c r="AG66" s="25">
        <v>10</v>
      </c>
      <c r="AH66" s="61">
        <v>0.25</v>
      </c>
      <c r="AI66" s="61">
        <v>0.5</v>
      </c>
      <c r="AJ66" s="61">
        <v>0.1</v>
      </c>
      <c r="AK66" s="61">
        <v>0.15</v>
      </c>
      <c r="AL66" s="61">
        <v>0</v>
      </c>
      <c r="AM66" s="247">
        <v>57</v>
      </c>
      <c r="AN66" s="247" t="s">
        <v>874</v>
      </c>
      <c r="AO66" s="247">
        <v>10</v>
      </c>
      <c r="AP66" s="247" t="s">
        <v>874</v>
      </c>
      <c r="AQ66" s="264">
        <v>0.2</v>
      </c>
      <c r="AR66" s="264">
        <v>0.35</v>
      </c>
      <c r="AS66" s="264">
        <v>0.3</v>
      </c>
      <c r="AT66" s="264">
        <v>0.15</v>
      </c>
      <c r="AU66" s="264">
        <v>0</v>
      </c>
      <c r="AV66" s="311">
        <v>59</v>
      </c>
      <c r="AW66" s="311" t="s">
        <v>874</v>
      </c>
      <c r="AX66" s="311">
        <v>9</v>
      </c>
      <c r="AY66" s="311" t="s">
        <v>874</v>
      </c>
      <c r="AZ66" s="329">
        <v>7.0000000000000007E-2</v>
      </c>
      <c r="BA66" s="329">
        <v>0.39</v>
      </c>
      <c r="BB66" s="329">
        <v>0.36</v>
      </c>
      <c r="BC66" s="329">
        <v>0.18</v>
      </c>
      <c r="BD66" s="329">
        <v>0</v>
      </c>
      <c r="BE66" s="426">
        <v>59</v>
      </c>
      <c r="BF66" s="426" t="s">
        <v>874</v>
      </c>
      <c r="BG66" s="426">
        <v>11</v>
      </c>
      <c r="BH66" s="426" t="s">
        <v>874</v>
      </c>
      <c r="BI66" s="430">
        <v>0.15</v>
      </c>
      <c r="BJ66" s="430">
        <v>0.26</v>
      </c>
      <c r="BK66" s="430">
        <v>0.37</v>
      </c>
      <c r="BL66" s="430">
        <v>0.22</v>
      </c>
      <c r="BM66" s="430">
        <v>0</v>
      </c>
      <c r="BN66" s="466">
        <v>54</v>
      </c>
      <c r="BO66" s="466" t="s">
        <v>874</v>
      </c>
      <c r="BP66" s="466">
        <v>5</v>
      </c>
      <c r="BQ66" s="466" t="s">
        <v>876</v>
      </c>
      <c r="BR66" s="480">
        <v>7.0000000000000007E-2</v>
      </c>
      <c r="BS66" s="480">
        <v>0.67</v>
      </c>
      <c r="BT66" s="480">
        <v>0.27</v>
      </c>
      <c r="BU66" s="480">
        <v>0</v>
      </c>
      <c r="BV66" s="480">
        <v>0</v>
      </c>
    </row>
    <row r="67" spans="1:74" ht="24.95" customHeight="1" x14ac:dyDescent="0.2">
      <c r="A67" s="126" t="s">
        <v>159</v>
      </c>
      <c r="B67" s="1" t="s">
        <v>221</v>
      </c>
      <c r="C67" s="2">
        <v>3</v>
      </c>
      <c r="D67" s="12">
        <v>55</v>
      </c>
      <c r="E67" s="12">
        <v>9</v>
      </c>
      <c r="F67" s="66">
        <v>0.18</v>
      </c>
      <c r="G67" s="66">
        <v>0.45</v>
      </c>
      <c r="H67" s="66">
        <v>0.34</v>
      </c>
      <c r="I67" s="66">
        <v>0.03</v>
      </c>
      <c r="J67" s="66">
        <v>0</v>
      </c>
      <c r="K67" s="12">
        <v>54</v>
      </c>
      <c r="L67" s="12">
        <v>8</v>
      </c>
      <c r="M67" s="61">
        <v>0.22</v>
      </c>
      <c r="N67" s="61">
        <v>0.48</v>
      </c>
      <c r="O67" s="61">
        <v>0.26</v>
      </c>
      <c r="P67" s="61">
        <v>0.04</v>
      </c>
      <c r="Q67" s="61">
        <v>0</v>
      </c>
      <c r="R67" s="12">
        <v>60</v>
      </c>
      <c r="S67" s="12">
        <v>9</v>
      </c>
      <c r="T67" s="63">
        <v>0.11</v>
      </c>
      <c r="U67" s="63">
        <v>0.17</v>
      </c>
      <c r="V67" s="63">
        <v>0.56000000000000005</v>
      </c>
      <c r="W67" s="63">
        <v>0.17</v>
      </c>
      <c r="X67" s="63">
        <v>0</v>
      </c>
      <c r="Y67" s="12">
        <v>56</v>
      </c>
      <c r="Z67" s="12">
        <v>10</v>
      </c>
      <c r="AA67" s="63">
        <v>0.12</v>
      </c>
      <c r="AB67" s="63">
        <v>0.42</v>
      </c>
      <c r="AC67" s="63">
        <v>0.35</v>
      </c>
      <c r="AD67" s="63">
        <v>0.12</v>
      </c>
      <c r="AE67" s="63">
        <v>0</v>
      </c>
      <c r="AF67" s="25">
        <v>55</v>
      </c>
      <c r="AG67" s="25">
        <v>9</v>
      </c>
      <c r="AH67" s="61">
        <v>0.21</v>
      </c>
      <c r="AI67" s="61">
        <v>0.42</v>
      </c>
      <c r="AJ67" s="61">
        <v>0.26</v>
      </c>
      <c r="AK67" s="61">
        <v>0.11</v>
      </c>
      <c r="AL67" s="61">
        <v>0</v>
      </c>
      <c r="AM67" s="247">
        <v>55</v>
      </c>
      <c r="AN67" s="247" t="s">
        <v>874</v>
      </c>
      <c r="AO67" s="247">
        <v>9</v>
      </c>
      <c r="AP67" s="247" t="s">
        <v>874</v>
      </c>
      <c r="AQ67" s="264">
        <v>0.18</v>
      </c>
      <c r="AR67" s="264">
        <v>0.35</v>
      </c>
      <c r="AS67" s="264">
        <v>0.38</v>
      </c>
      <c r="AT67" s="264">
        <v>0.09</v>
      </c>
      <c r="AU67" s="264">
        <v>0</v>
      </c>
      <c r="AV67" s="311">
        <v>59</v>
      </c>
      <c r="AW67" s="311" t="s">
        <v>874</v>
      </c>
      <c r="AX67" s="311">
        <v>10</v>
      </c>
      <c r="AY67" s="311" t="s">
        <v>874</v>
      </c>
      <c r="AZ67" s="329">
        <v>0.11</v>
      </c>
      <c r="BA67" s="329">
        <v>0.5</v>
      </c>
      <c r="BB67" s="329">
        <v>0.24</v>
      </c>
      <c r="BC67" s="329">
        <v>0.11</v>
      </c>
      <c r="BD67" s="329">
        <v>0.05</v>
      </c>
      <c r="BE67" s="426">
        <v>57</v>
      </c>
      <c r="BF67" s="426" t="s">
        <v>874</v>
      </c>
      <c r="BG67" s="426">
        <v>7</v>
      </c>
      <c r="BH67" s="426" t="s">
        <v>876</v>
      </c>
      <c r="BI67" s="430">
        <v>7.0000000000000007E-2</v>
      </c>
      <c r="BJ67" s="430">
        <v>0.43</v>
      </c>
      <c r="BK67" s="430">
        <v>0.45</v>
      </c>
      <c r="BL67" s="430">
        <v>0.05</v>
      </c>
      <c r="BM67" s="430">
        <v>0</v>
      </c>
      <c r="BN67" s="466">
        <v>61</v>
      </c>
      <c r="BO67" s="466" t="s">
        <v>874</v>
      </c>
      <c r="BP67" s="466">
        <v>7</v>
      </c>
      <c r="BQ67" s="466" t="s">
        <v>876</v>
      </c>
      <c r="BR67" s="480">
        <v>0.03</v>
      </c>
      <c r="BS67" s="480">
        <v>0.28000000000000003</v>
      </c>
      <c r="BT67" s="480">
        <v>0.48</v>
      </c>
      <c r="BU67" s="480">
        <v>0.21</v>
      </c>
      <c r="BV67" s="480">
        <v>0</v>
      </c>
    </row>
    <row r="68" spans="1:74" ht="24.95" customHeight="1" x14ac:dyDescent="0.2">
      <c r="A68" s="126" t="s">
        <v>59</v>
      </c>
      <c r="B68" s="1" t="s">
        <v>221</v>
      </c>
      <c r="C68" s="2">
        <v>1</v>
      </c>
      <c r="D68" s="12">
        <v>59</v>
      </c>
      <c r="E68" s="12">
        <v>8</v>
      </c>
      <c r="F68" s="66">
        <v>0.06</v>
      </c>
      <c r="G68" s="66">
        <v>0.5</v>
      </c>
      <c r="H68" s="66">
        <v>0.28000000000000003</v>
      </c>
      <c r="I68" s="66">
        <v>0.17</v>
      </c>
      <c r="J68" s="66">
        <v>0</v>
      </c>
      <c r="K68" s="12">
        <v>50</v>
      </c>
      <c r="L68" s="12">
        <v>9</v>
      </c>
      <c r="M68" s="61">
        <v>0.43</v>
      </c>
      <c r="N68" s="61">
        <v>0.4</v>
      </c>
      <c r="O68" s="61">
        <v>0.1</v>
      </c>
      <c r="P68" s="61">
        <v>7.0000000000000007E-2</v>
      </c>
      <c r="Q68" s="61">
        <v>0</v>
      </c>
      <c r="R68" s="12">
        <v>52</v>
      </c>
      <c r="S68" s="12">
        <v>7</v>
      </c>
      <c r="T68" s="63">
        <v>0.27</v>
      </c>
      <c r="U68" s="63">
        <v>0.41</v>
      </c>
      <c r="V68" s="63">
        <v>0.32</v>
      </c>
      <c r="W68" s="63">
        <v>0</v>
      </c>
      <c r="X68" s="63">
        <v>0</v>
      </c>
      <c r="Y68" s="12">
        <v>53</v>
      </c>
      <c r="Z68" s="12">
        <v>9</v>
      </c>
      <c r="AA68" s="63">
        <v>0.27</v>
      </c>
      <c r="AB68" s="63">
        <v>0.42</v>
      </c>
      <c r="AC68" s="63">
        <v>0.23</v>
      </c>
      <c r="AD68" s="63">
        <v>0.08</v>
      </c>
      <c r="AE68" s="63">
        <v>0</v>
      </c>
      <c r="AF68" s="25">
        <v>48</v>
      </c>
      <c r="AG68" s="25">
        <v>9</v>
      </c>
      <c r="AH68" s="61">
        <v>0.56000000000000005</v>
      </c>
      <c r="AI68" s="61">
        <v>0.32</v>
      </c>
      <c r="AJ68" s="61">
        <v>0.08</v>
      </c>
      <c r="AK68" s="61">
        <v>0.04</v>
      </c>
      <c r="AL68" s="61">
        <v>0</v>
      </c>
      <c r="AM68" s="247">
        <v>49</v>
      </c>
      <c r="AN68" s="247" t="s">
        <v>874</v>
      </c>
      <c r="AO68" s="247">
        <v>11</v>
      </c>
      <c r="AP68" s="247" t="s">
        <v>874</v>
      </c>
      <c r="AQ68" s="264">
        <v>0.41</v>
      </c>
      <c r="AR68" s="264">
        <v>0.44</v>
      </c>
      <c r="AS68" s="264">
        <v>0.11</v>
      </c>
      <c r="AT68" s="264">
        <v>0.04</v>
      </c>
      <c r="AU68" s="264">
        <v>0</v>
      </c>
      <c r="AV68" s="311">
        <v>48</v>
      </c>
      <c r="AW68" s="311" t="s">
        <v>874</v>
      </c>
      <c r="AX68" s="311">
        <v>11</v>
      </c>
      <c r="AY68" s="311" t="s">
        <v>874</v>
      </c>
      <c r="AZ68" s="329">
        <v>0.5</v>
      </c>
      <c r="BA68" s="329">
        <v>0.36</v>
      </c>
      <c r="BB68" s="329">
        <v>0.11</v>
      </c>
      <c r="BC68" s="329">
        <v>0.04</v>
      </c>
      <c r="BD68" s="329">
        <v>0</v>
      </c>
      <c r="BE68" s="426">
        <v>51</v>
      </c>
      <c r="BF68" s="426" t="s">
        <v>874</v>
      </c>
      <c r="BG68" s="426">
        <v>10</v>
      </c>
      <c r="BH68" s="426" t="s">
        <v>874</v>
      </c>
      <c r="BI68" s="430">
        <v>0.36</v>
      </c>
      <c r="BJ68" s="430">
        <v>0.45</v>
      </c>
      <c r="BK68" s="430">
        <v>0.14000000000000001</v>
      </c>
      <c r="BL68" s="430">
        <v>0.05</v>
      </c>
      <c r="BM68" s="430">
        <v>0</v>
      </c>
      <c r="BN68" s="466">
        <v>53</v>
      </c>
      <c r="BO68" s="466" t="s">
        <v>874</v>
      </c>
      <c r="BP68" s="466">
        <v>10</v>
      </c>
      <c r="BQ68" s="466" t="s">
        <v>874</v>
      </c>
      <c r="BR68" s="480">
        <v>0.31</v>
      </c>
      <c r="BS68" s="480">
        <v>0.38</v>
      </c>
      <c r="BT68" s="480">
        <v>0.25</v>
      </c>
      <c r="BU68" s="480">
        <v>0.06</v>
      </c>
      <c r="BV68" s="480">
        <v>0</v>
      </c>
    </row>
    <row r="69" spans="1:74" ht="24.95" customHeight="1" x14ac:dyDescent="0.2">
      <c r="A69" s="126" t="s">
        <v>132</v>
      </c>
      <c r="B69" s="1" t="s">
        <v>221</v>
      </c>
      <c r="C69" s="2">
        <v>3</v>
      </c>
      <c r="D69" s="12">
        <v>57</v>
      </c>
      <c r="E69" s="12">
        <v>8</v>
      </c>
      <c r="F69" s="66">
        <v>0.12</v>
      </c>
      <c r="G69" s="66">
        <v>0.47</v>
      </c>
      <c r="H69" s="66">
        <v>0.32</v>
      </c>
      <c r="I69" s="66">
        <v>0.09</v>
      </c>
      <c r="J69" s="66">
        <v>0</v>
      </c>
      <c r="K69" s="12">
        <v>57</v>
      </c>
      <c r="L69" s="12">
        <v>11</v>
      </c>
      <c r="M69" s="61">
        <v>0.21</v>
      </c>
      <c r="N69" s="61">
        <v>0.3</v>
      </c>
      <c r="O69" s="61">
        <v>0.3</v>
      </c>
      <c r="P69" s="61">
        <v>0.16</v>
      </c>
      <c r="Q69" s="61">
        <v>0.04</v>
      </c>
      <c r="R69" s="12">
        <v>55</v>
      </c>
      <c r="S69" s="12">
        <v>9</v>
      </c>
      <c r="T69" s="63">
        <v>0.19</v>
      </c>
      <c r="U69" s="63">
        <v>0.4</v>
      </c>
      <c r="V69" s="63">
        <v>0.31</v>
      </c>
      <c r="W69" s="63">
        <v>0.1</v>
      </c>
      <c r="X69" s="63">
        <v>0</v>
      </c>
      <c r="Y69" s="12">
        <v>55</v>
      </c>
      <c r="Z69" s="12">
        <v>8</v>
      </c>
      <c r="AA69" s="63">
        <v>0.18</v>
      </c>
      <c r="AB69" s="63">
        <v>0.39</v>
      </c>
      <c r="AC69" s="63">
        <v>0.37</v>
      </c>
      <c r="AD69" s="63">
        <v>0.04</v>
      </c>
      <c r="AE69" s="63">
        <v>0.02</v>
      </c>
      <c r="AF69" s="25">
        <v>49</v>
      </c>
      <c r="AG69" s="25">
        <v>9</v>
      </c>
      <c r="AH69" s="61">
        <v>0.56999999999999995</v>
      </c>
      <c r="AI69" s="61">
        <v>0.28999999999999998</v>
      </c>
      <c r="AJ69" s="61">
        <v>0.08</v>
      </c>
      <c r="AK69" s="61">
        <v>0.04</v>
      </c>
      <c r="AL69" s="61">
        <v>0.02</v>
      </c>
      <c r="AM69" s="247">
        <v>58</v>
      </c>
      <c r="AN69" s="247" t="s">
        <v>874</v>
      </c>
      <c r="AO69" s="247">
        <v>10</v>
      </c>
      <c r="AP69" s="247" t="s">
        <v>874</v>
      </c>
      <c r="AQ69" s="264">
        <v>0.14000000000000001</v>
      </c>
      <c r="AR69" s="264">
        <v>0.4</v>
      </c>
      <c r="AS69" s="264">
        <v>0.23</v>
      </c>
      <c r="AT69" s="264">
        <v>0.23</v>
      </c>
      <c r="AU69" s="264">
        <v>0</v>
      </c>
      <c r="AV69" s="311">
        <v>56</v>
      </c>
      <c r="AW69" s="311" t="s">
        <v>874</v>
      </c>
      <c r="AX69" s="311">
        <v>7</v>
      </c>
      <c r="AY69" s="311" t="s">
        <v>876</v>
      </c>
      <c r="AZ69" s="329">
        <v>0.14000000000000001</v>
      </c>
      <c r="BA69" s="329">
        <v>0.43</v>
      </c>
      <c r="BB69" s="329">
        <v>0.43</v>
      </c>
      <c r="BC69" s="329">
        <v>0</v>
      </c>
      <c r="BD69" s="329">
        <v>0</v>
      </c>
      <c r="BE69" s="426">
        <v>58</v>
      </c>
      <c r="BF69" s="426" t="s">
        <v>874</v>
      </c>
      <c r="BG69" s="426">
        <v>10</v>
      </c>
      <c r="BH69" s="426" t="s">
        <v>874</v>
      </c>
      <c r="BI69" s="430">
        <v>0.12</v>
      </c>
      <c r="BJ69" s="430">
        <v>0.38</v>
      </c>
      <c r="BK69" s="430">
        <v>0.31</v>
      </c>
      <c r="BL69" s="430">
        <v>0.19</v>
      </c>
      <c r="BM69" s="430">
        <v>0</v>
      </c>
      <c r="BN69" s="466">
        <v>60</v>
      </c>
      <c r="BO69" s="466" t="s">
        <v>874</v>
      </c>
      <c r="BP69" s="466">
        <v>9</v>
      </c>
      <c r="BQ69" s="466" t="s">
        <v>874</v>
      </c>
      <c r="BR69" s="480">
        <v>0.08</v>
      </c>
      <c r="BS69" s="480">
        <v>0.28999999999999998</v>
      </c>
      <c r="BT69" s="480">
        <v>0.39</v>
      </c>
      <c r="BU69" s="480">
        <v>0.24</v>
      </c>
      <c r="BV69" s="480">
        <v>0</v>
      </c>
    </row>
    <row r="70" spans="1:74" ht="24.95" customHeight="1" x14ac:dyDescent="0.2">
      <c r="A70" s="126" t="s">
        <v>178</v>
      </c>
      <c r="B70" s="1" t="s">
        <v>221</v>
      </c>
      <c r="C70" s="2">
        <v>5</v>
      </c>
      <c r="D70" s="12">
        <v>59</v>
      </c>
      <c r="E70" s="12">
        <v>8</v>
      </c>
      <c r="F70" s="66">
        <v>0.1</v>
      </c>
      <c r="G70" s="66">
        <v>0.35</v>
      </c>
      <c r="H70" s="66">
        <v>0.4</v>
      </c>
      <c r="I70" s="66">
        <v>0.15</v>
      </c>
      <c r="J70" s="66">
        <v>0</v>
      </c>
      <c r="K70" s="12">
        <v>55</v>
      </c>
      <c r="L70" s="12">
        <v>8</v>
      </c>
      <c r="M70" s="61">
        <v>0.16</v>
      </c>
      <c r="N70" s="61">
        <v>0.47</v>
      </c>
      <c r="O70" s="61">
        <v>0.32</v>
      </c>
      <c r="P70" s="61">
        <v>0.05</v>
      </c>
      <c r="Q70" s="61">
        <v>0.01</v>
      </c>
      <c r="R70" s="12">
        <v>58</v>
      </c>
      <c r="S70" s="12">
        <v>8</v>
      </c>
      <c r="T70" s="63">
        <v>0.1</v>
      </c>
      <c r="U70" s="63">
        <v>0.37</v>
      </c>
      <c r="V70" s="63">
        <v>0.42</v>
      </c>
      <c r="W70" s="63">
        <v>0.09</v>
      </c>
      <c r="X70" s="63">
        <v>0.01</v>
      </c>
      <c r="Y70" s="12">
        <v>56</v>
      </c>
      <c r="Z70" s="12">
        <v>9</v>
      </c>
      <c r="AA70" s="63">
        <v>0.17</v>
      </c>
      <c r="AB70" s="63">
        <v>0.42</v>
      </c>
      <c r="AC70" s="63">
        <v>0.31</v>
      </c>
      <c r="AD70" s="63">
        <v>0.09</v>
      </c>
      <c r="AE70" s="63">
        <v>0.01</v>
      </c>
      <c r="AF70" s="25">
        <v>51</v>
      </c>
      <c r="AG70" s="25">
        <v>8</v>
      </c>
      <c r="AH70" s="61">
        <v>0.33</v>
      </c>
      <c r="AI70" s="61">
        <v>0.48</v>
      </c>
      <c r="AJ70" s="61">
        <v>0.16</v>
      </c>
      <c r="AK70" s="61">
        <v>0.03</v>
      </c>
      <c r="AL70" s="61">
        <v>0</v>
      </c>
      <c r="AM70" s="247">
        <v>55</v>
      </c>
      <c r="AN70" s="247" t="s">
        <v>874</v>
      </c>
      <c r="AO70" s="247">
        <v>10</v>
      </c>
      <c r="AP70" s="247" t="s">
        <v>874</v>
      </c>
      <c r="AQ70" s="264">
        <v>0.18</v>
      </c>
      <c r="AR70" s="264">
        <v>0.45</v>
      </c>
      <c r="AS70" s="264">
        <v>0.25</v>
      </c>
      <c r="AT70" s="264">
        <v>0.11</v>
      </c>
      <c r="AU70" s="264">
        <v>0.02</v>
      </c>
      <c r="AV70" s="311">
        <v>57</v>
      </c>
      <c r="AW70" s="311" t="s">
        <v>874</v>
      </c>
      <c r="AX70" s="311">
        <v>11</v>
      </c>
      <c r="AY70" s="311" t="s">
        <v>874</v>
      </c>
      <c r="AZ70" s="329">
        <v>0.18</v>
      </c>
      <c r="BA70" s="329">
        <v>0.31</v>
      </c>
      <c r="BB70" s="329">
        <v>0.35</v>
      </c>
      <c r="BC70" s="329">
        <v>0.13</v>
      </c>
      <c r="BD70" s="329">
        <v>0.02</v>
      </c>
      <c r="BE70" s="426">
        <v>56</v>
      </c>
      <c r="BF70" s="426" t="s">
        <v>874</v>
      </c>
      <c r="BG70" s="426">
        <v>11</v>
      </c>
      <c r="BH70" s="426" t="s">
        <v>874</v>
      </c>
      <c r="BI70" s="430">
        <v>0.25</v>
      </c>
      <c r="BJ70" s="430">
        <v>0.31</v>
      </c>
      <c r="BK70" s="430">
        <v>0.31</v>
      </c>
      <c r="BL70" s="430">
        <v>0.1</v>
      </c>
      <c r="BM70" s="430">
        <v>0.03</v>
      </c>
      <c r="BN70" s="466">
        <v>57</v>
      </c>
      <c r="BO70" s="466" t="s">
        <v>874</v>
      </c>
      <c r="BP70" s="466">
        <v>9</v>
      </c>
      <c r="BQ70" s="466" t="s">
        <v>874</v>
      </c>
      <c r="BR70" s="480">
        <v>0.12</v>
      </c>
      <c r="BS70" s="480">
        <v>0.43</v>
      </c>
      <c r="BT70" s="480">
        <v>0.31</v>
      </c>
      <c r="BU70" s="480">
        <v>0.13</v>
      </c>
      <c r="BV70" s="480">
        <v>0.01</v>
      </c>
    </row>
    <row r="71" spans="1:74" ht="24.95" customHeight="1" x14ac:dyDescent="0.2">
      <c r="A71" s="126" t="s">
        <v>75</v>
      </c>
      <c r="B71" s="1" t="s">
        <v>221</v>
      </c>
      <c r="C71" s="2">
        <v>1</v>
      </c>
      <c r="D71" s="12">
        <v>52</v>
      </c>
      <c r="E71" s="12">
        <v>6</v>
      </c>
      <c r="F71" s="66">
        <v>0.31</v>
      </c>
      <c r="G71" s="66">
        <v>0.56999999999999995</v>
      </c>
      <c r="H71" s="66">
        <v>0.11</v>
      </c>
      <c r="I71" s="66">
        <v>0</v>
      </c>
      <c r="J71" s="66">
        <v>0</v>
      </c>
      <c r="K71" s="12">
        <v>52</v>
      </c>
      <c r="L71" s="12">
        <v>8</v>
      </c>
      <c r="M71" s="61">
        <v>0.31</v>
      </c>
      <c r="N71" s="61">
        <v>0.44</v>
      </c>
      <c r="O71" s="61">
        <v>0.22</v>
      </c>
      <c r="P71" s="61">
        <v>0.03</v>
      </c>
      <c r="Q71" s="61">
        <v>0</v>
      </c>
      <c r="R71" s="12">
        <v>51</v>
      </c>
      <c r="S71" s="12">
        <v>8</v>
      </c>
      <c r="T71" s="63">
        <v>0.36</v>
      </c>
      <c r="U71" s="63">
        <v>0.43</v>
      </c>
      <c r="V71" s="63">
        <v>0.21</v>
      </c>
      <c r="W71" s="63">
        <v>0</v>
      </c>
      <c r="X71" s="63">
        <v>0</v>
      </c>
      <c r="Y71" s="12">
        <v>49</v>
      </c>
      <c r="Z71" s="12">
        <v>9</v>
      </c>
      <c r="AA71" s="63">
        <v>0.42</v>
      </c>
      <c r="AB71" s="63">
        <v>0.42</v>
      </c>
      <c r="AC71" s="63">
        <v>0.17</v>
      </c>
      <c r="AD71" s="63">
        <v>0</v>
      </c>
      <c r="AE71" s="63">
        <v>0</v>
      </c>
      <c r="AF71" s="25">
        <v>50</v>
      </c>
      <c r="AG71" s="25">
        <v>10</v>
      </c>
      <c r="AH71" s="61">
        <v>0.47</v>
      </c>
      <c r="AI71" s="61">
        <v>0.33</v>
      </c>
      <c r="AJ71" s="61">
        <v>0.14000000000000001</v>
      </c>
      <c r="AK71" s="61">
        <v>0.06</v>
      </c>
      <c r="AL71" s="61">
        <v>0</v>
      </c>
      <c r="AM71" s="247">
        <v>53</v>
      </c>
      <c r="AN71" s="247" t="s">
        <v>874</v>
      </c>
      <c r="AO71" s="247">
        <v>10</v>
      </c>
      <c r="AP71" s="247" t="s">
        <v>874</v>
      </c>
      <c r="AQ71" s="264">
        <v>0.31</v>
      </c>
      <c r="AR71" s="264">
        <v>0.38</v>
      </c>
      <c r="AS71" s="264">
        <v>0.25</v>
      </c>
      <c r="AT71" s="264">
        <v>0.06</v>
      </c>
      <c r="AU71" s="264">
        <v>0</v>
      </c>
      <c r="AV71" s="311">
        <v>51</v>
      </c>
      <c r="AW71" s="311" t="s">
        <v>874</v>
      </c>
      <c r="AX71" s="311">
        <v>11</v>
      </c>
      <c r="AY71" s="311" t="s">
        <v>874</v>
      </c>
      <c r="AZ71" s="329">
        <v>0.39</v>
      </c>
      <c r="BA71" s="329">
        <v>0.3</v>
      </c>
      <c r="BB71" s="329">
        <v>0.27</v>
      </c>
      <c r="BC71" s="329">
        <v>0.03</v>
      </c>
      <c r="BD71" s="329">
        <v>0</v>
      </c>
      <c r="BE71" s="426">
        <v>51</v>
      </c>
      <c r="BF71" s="426" t="s">
        <v>874</v>
      </c>
      <c r="BG71" s="426">
        <v>9</v>
      </c>
      <c r="BH71" s="426" t="s">
        <v>874</v>
      </c>
      <c r="BI71" s="430">
        <v>0.41</v>
      </c>
      <c r="BJ71" s="430">
        <v>0.41</v>
      </c>
      <c r="BK71" s="430">
        <v>0.1</v>
      </c>
      <c r="BL71" s="430">
        <v>7.0000000000000007E-2</v>
      </c>
      <c r="BM71" s="430">
        <v>0</v>
      </c>
      <c r="BN71" s="466">
        <v>55</v>
      </c>
      <c r="BO71" s="466" t="s">
        <v>874</v>
      </c>
      <c r="BP71" s="466">
        <v>9</v>
      </c>
      <c r="BQ71" s="466" t="s">
        <v>874</v>
      </c>
      <c r="BR71" s="480">
        <v>0.25</v>
      </c>
      <c r="BS71" s="480">
        <v>0.36</v>
      </c>
      <c r="BT71" s="480">
        <v>0.3</v>
      </c>
      <c r="BU71" s="480">
        <v>0.09</v>
      </c>
      <c r="BV71" s="480">
        <v>0</v>
      </c>
    </row>
    <row r="72" spans="1:74" ht="24.95" customHeight="1" x14ac:dyDescent="0.2">
      <c r="A72" s="126" t="s">
        <v>25</v>
      </c>
      <c r="B72" s="1" t="s">
        <v>221</v>
      </c>
      <c r="C72" s="2">
        <v>3</v>
      </c>
      <c r="D72" s="12">
        <v>54</v>
      </c>
      <c r="E72" s="12">
        <v>10</v>
      </c>
      <c r="F72" s="66">
        <v>0.27</v>
      </c>
      <c r="G72" s="66">
        <v>0.42</v>
      </c>
      <c r="H72" s="66">
        <v>0.23</v>
      </c>
      <c r="I72" s="66">
        <v>0.08</v>
      </c>
      <c r="J72" s="66">
        <v>0</v>
      </c>
      <c r="K72" s="12">
        <v>51</v>
      </c>
      <c r="L72" s="12">
        <v>8</v>
      </c>
      <c r="M72" s="61">
        <v>0.33</v>
      </c>
      <c r="N72" s="61">
        <v>0.5</v>
      </c>
      <c r="O72" s="61">
        <v>0.13</v>
      </c>
      <c r="P72" s="61">
        <v>0.04</v>
      </c>
      <c r="Q72" s="61">
        <v>0</v>
      </c>
      <c r="R72" s="12">
        <v>53</v>
      </c>
      <c r="S72" s="12">
        <v>8</v>
      </c>
      <c r="T72" s="63">
        <v>0.27</v>
      </c>
      <c r="U72" s="63">
        <v>0.5</v>
      </c>
      <c r="V72" s="63">
        <v>0.23</v>
      </c>
      <c r="W72" s="63">
        <v>0</v>
      </c>
      <c r="X72" s="63">
        <v>0</v>
      </c>
      <c r="Y72" s="12">
        <v>53</v>
      </c>
      <c r="Z72" s="12">
        <v>9</v>
      </c>
      <c r="AA72" s="63">
        <v>0.26</v>
      </c>
      <c r="AB72" s="63">
        <v>0.38</v>
      </c>
      <c r="AC72" s="63">
        <v>0.32</v>
      </c>
      <c r="AD72" s="63">
        <v>0.03</v>
      </c>
      <c r="AE72" s="63">
        <v>0</v>
      </c>
      <c r="AF72" s="25">
        <v>49</v>
      </c>
      <c r="AG72" s="25">
        <v>9</v>
      </c>
      <c r="AH72" s="61">
        <v>0.53</v>
      </c>
      <c r="AI72" s="61">
        <v>0.36</v>
      </c>
      <c r="AJ72" s="61">
        <v>0.05</v>
      </c>
      <c r="AK72" s="61">
        <v>7.0000000000000007E-2</v>
      </c>
      <c r="AL72" s="61">
        <v>0</v>
      </c>
      <c r="AM72" s="247">
        <v>54</v>
      </c>
      <c r="AN72" s="247" t="s">
        <v>874</v>
      </c>
      <c r="AO72" s="247">
        <v>11</v>
      </c>
      <c r="AP72" s="247" t="s">
        <v>874</v>
      </c>
      <c r="AQ72" s="264">
        <v>0.25</v>
      </c>
      <c r="AR72" s="264">
        <v>0.33</v>
      </c>
      <c r="AS72" s="264">
        <v>0.31</v>
      </c>
      <c r="AT72" s="264">
        <v>0.11</v>
      </c>
      <c r="AU72" s="264">
        <v>0</v>
      </c>
      <c r="AV72" s="311">
        <v>56</v>
      </c>
      <c r="AW72" s="311" t="s">
        <v>874</v>
      </c>
      <c r="AX72" s="311">
        <v>9</v>
      </c>
      <c r="AY72" s="311" t="s">
        <v>874</v>
      </c>
      <c r="AZ72" s="329">
        <v>0.13</v>
      </c>
      <c r="BA72" s="329">
        <v>0.45</v>
      </c>
      <c r="BB72" s="329">
        <v>0.32</v>
      </c>
      <c r="BC72" s="329">
        <v>0.09</v>
      </c>
      <c r="BD72" s="329">
        <v>0.02</v>
      </c>
      <c r="BE72" s="426">
        <v>54</v>
      </c>
      <c r="BF72" s="426" t="s">
        <v>874</v>
      </c>
      <c r="BG72" s="426">
        <v>9</v>
      </c>
      <c r="BH72" s="426" t="s">
        <v>874</v>
      </c>
      <c r="BI72" s="430">
        <v>0.25</v>
      </c>
      <c r="BJ72" s="430">
        <v>0.4</v>
      </c>
      <c r="BK72" s="430">
        <v>0.27</v>
      </c>
      <c r="BL72" s="430">
        <v>0.06</v>
      </c>
      <c r="BM72" s="430">
        <v>0.02</v>
      </c>
      <c r="BN72" s="466">
        <v>57</v>
      </c>
      <c r="BO72" s="466" t="s">
        <v>874</v>
      </c>
      <c r="BP72" s="466">
        <v>9</v>
      </c>
      <c r="BQ72" s="466" t="s">
        <v>874</v>
      </c>
      <c r="BR72" s="480">
        <v>0.09</v>
      </c>
      <c r="BS72" s="480">
        <v>0.51</v>
      </c>
      <c r="BT72" s="480">
        <v>0.28000000000000003</v>
      </c>
      <c r="BU72" s="480">
        <v>0.1</v>
      </c>
      <c r="BV72" s="480">
        <v>0.01</v>
      </c>
    </row>
    <row r="73" spans="1:74" ht="24.95" customHeight="1" x14ac:dyDescent="0.2">
      <c r="A73" s="126" t="s">
        <v>94</v>
      </c>
      <c r="B73" s="1" t="s">
        <v>221</v>
      </c>
      <c r="C73" s="2">
        <v>6</v>
      </c>
      <c r="D73" s="12">
        <v>54</v>
      </c>
      <c r="E73" s="12">
        <v>10</v>
      </c>
      <c r="F73" s="66">
        <v>0.5</v>
      </c>
      <c r="G73" s="66">
        <v>0</v>
      </c>
      <c r="H73" s="66">
        <v>0.5</v>
      </c>
      <c r="I73" s="66">
        <v>0</v>
      </c>
      <c r="J73" s="66">
        <v>0</v>
      </c>
      <c r="K73" s="12">
        <v>51</v>
      </c>
      <c r="L73" s="12">
        <v>8</v>
      </c>
      <c r="M73" s="61">
        <v>0.25</v>
      </c>
      <c r="N73" s="61">
        <v>0.75</v>
      </c>
      <c r="O73" s="61">
        <v>0</v>
      </c>
      <c r="P73" s="61">
        <v>0</v>
      </c>
      <c r="Q73" s="61">
        <v>0</v>
      </c>
      <c r="R73" s="12" t="s">
        <v>224</v>
      </c>
      <c r="S73" s="12" t="s">
        <v>226</v>
      </c>
      <c r="T73" s="2"/>
      <c r="U73" s="2"/>
      <c r="V73" s="2"/>
      <c r="W73" s="2"/>
      <c r="X73" s="2"/>
      <c r="Y73" s="12">
        <v>38</v>
      </c>
      <c r="Z73" s="12">
        <v>8</v>
      </c>
      <c r="AA73" s="63">
        <v>1</v>
      </c>
      <c r="AB73" s="63">
        <v>0</v>
      </c>
      <c r="AC73" s="63">
        <v>0</v>
      </c>
      <c r="AD73" s="63">
        <v>0</v>
      </c>
      <c r="AE73" s="63">
        <v>0</v>
      </c>
      <c r="AF73" s="25">
        <v>46</v>
      </c>
      <c r="AG73" s="25">
        <v>12</v>
      </c>
      <c r="AH73" s="61">
        <v>0.63</v>
      </c>
      <c r="AI73" s="61">
        <v>0.25</v>
      </c>
      <c r="AJ73" s="61">
        <v>0</v>
      </c>
      <c r="AK73" s="61">
        <v>0.13</v>
      </c>
      <c r="AL73" s="61">
        <v>0</v>
      </c>
      <c r="AM73" s="652"/>
      <c r="AN73" s="652"/>
      <c r="AO73" s="652"/>
      <c r="AP73" s="652"/>
      <c r="AQ73" s="652"/>
      <c r="AR73" s="652"/>
      <c r="AS73" s="652"/>
      <c r="AT73" s="652"/>
      <c r="AU73" s="652"/>
      <c r="AV73" s="655"/>
      <c r="AW73" s="655"/>
      <c r="AX73" s="655"/>
      <c r="AY73" s="655"/>
      <c r="AZ73" s="655"/>
      <c r="BA73" s="655"/>
      <c r="BB73" s="655"/>
      <c r="BC73" s="655"/>
      <c r="BD73" s="655"/>
      <c r="BE73" s="426">
        <v>56</v>
      </c>
      <c r="BF73" s="426" t="s">
        <v>874</v>
      </c>
      <c r="BG73" s="426">
        <v>8</v>
      </c>
      <c r="BH73" s="426" t="s">
        <v>874</v>
      </c>
      <c r="BI73" s="430">
        <v>0.2</v>
      </c>
      <c r="BJ73" s="430">
        <v>0.2</v>
      </c>
      <c r="BK73" s="430">
        <v>0.6</v>
      </c>
      <c r="BL73" s="430">
        <v>0</v>
      </c>
      <c r="BM73" s="430">
        <v>0</v>
      </c>
      <c r="BN73" s="466">
        <v>51</v>
      </c>
      <c r="BO73" s="466" t="s">
        <v>874</v>
      </c>
      <c r="BP73" s="466">
        <v>8</v>
      </c>
      <c r="BQ73" s="466" t="s">
        <v>874</v>
      </c>
      <c r="BR73" s="480">
        <v>0.5</v>
      </c>
      <c r="BS73" s="480">
        <v>0.25</v>
      </c>
      <c r="BT73" s="480">
        <v>0.25</v>
      </c>
      <c r="BU73" s="480">
        <v>0</v>
      </c>
      <c r="BV73" s="480">
        <v>0</v>
      </c>
    </row>
    <row r="74" spans="1:74" ht="24.95" customHeight="1" x14ac:dyDescent="0.2">
      <c r="A74" s="650" t="s">
        <v>878</v>
      </c>
      <c r="B74" s="1" t="s">
        <v>221</v>
      </c>
      <c r="C74" s="2">
        <v>6</v>
      </c>
      <c r="D74" s="12"/>
      <c r="E74" s="12"/>
      <c r="F74" s="66"/>
      <c r="G74" s="66"/>
      <c r="H74" s="66"/>
      <c r="I74" s="66"/>
      <c r="J74" s="66"/>
      <c r="K74" s="12"/>
      <c r="L74" s="12"/>
      <c r="M74" s="61"/>
      <c r="N74" s="61"/>
      <c r="O74" s="61"/>
      <c r="P74" s="61"/>
      <c r="Q74" s="61"/>
      <c r="R74" s="12"/>
      <c r="S74" s="12"/>
      <c r="T74" s="63"/>
      <c r="U74" s="63"/>
      <c r="V74" s="63"/>
      <c r="W74" s="63"/>
      <c r="X74" s="63"/>
      <c r="Y74" s="12"/>
      <c r="Z74" s="12"/>
      <c r="AA74" s="63"/>
      <c r="AB74" s="63"/>
      <c r="AC74" s="63"/>
      <c r="AD74" s="63"/>
      <c r="AE74" s="63"/>
      <c r="AF74" s="25"/>
      <c r="AG74" s="25"/>
      <c r="AH74" s="61"/>
      <c r="AI74" s="61"/>
      <c r="AJ74" s="61"/>
      <c r="AK74" s="61"/>
      <c r="AL74" s="61"/>
      <c r="AM74" s="247">
        <v>51</v>
      </c>
      <c r="AN74" s="247" t="s">
        <v>874</v>
      </c>
      <c r="AO74" s="247">
        <v>9</v>
      </c>
      <c r="AP74" s="247" t="s">
        <v>874</v>
      </c>
      <c r="AQ74" s="264">
        <v>0.28000000000000003</v>
      </c>
      <c r="AR74" s="264">
        <v>0.44</v>
      </c>
      <c r="AS74" s="264">
        <v>0.28000000000000003</v>
      </c>
      <c r="AT74" s="264">
        <v>0</v>
      </c>
      <c r="AU74" s="264">
        <v>0</v>
      </c>
      <c r="AV74" s="311">
        <v>51</v>
      </c>
      <c r="AW74" s="311" t="s">
        <v>874</v>
      </c>
      <c r="AX74" s="311">
        <v>10</v>
      </c>
      <c r="AY74" s="311" t="s">
        <v>874</v>
      </c>
      <c r="AZ74" s="329">
        <v>0.32</v>
      </c>
      <c r="BA74" s="329">
        <v>0.45</v>
      </c>
      <c r="BB74" s="329">
        <v>0.16</v>
      </c>
      <c r="BC74" s="329">
        <v>0.06</v>
      </c>
      <c r="BD74" s="329">
        <v>0</v>
      </c>
      <c r="BE74" s="426">
        <v>56</v>
      </c>
      <c r="BF74" s="426" t="s">
        <v>874</v>
      </c>
      <c r="BG74" s="426">
        <v>11</v>
      </c>
      <c r="BH74" s="426" t="s">
        <v>874</v>
      </c>
      <c r="BI74" s="430">
        <v>0.28000000000000003</v>
      </c>
      <c r="BJ74" s="430">
        <v>0.31</v>
      </c>
      <c r="BK74" s="430">
        <v>0.28000000000000003</v>
      </c>
      <c r="BL74" s="430">
        <v>0.14000000000000001</v>
      </c>
      <c r="BM74" s="430">
        <v>0</v>
      </c>
      <c r="BN74" s="466">
        <v>55</v>
      </c>
      <c r="BO74" s="466" t="s">
        <v>874</v>
      </c>
      <c r="BP74" s="466">
        <v>7</v>
      </c>
      <c r="BQ74" s="466" t="s">
        <v>876</v>
      </c>
      <c r="BR74" s="480">
        <v>0.15</v>
      </c>
      <c r="BS74" s="480">
        <v>0.44</v>
      </c>
      <c r="BT74" s="480">
        <v>0.37</v>
      </c>
      <c r="BU74" s="480">
        <v>0.04</v>
      </c>
      <c r="BV74" s="480">
        <v>0</v>
      </c>
    </row>
    <row r="75" spans="1:74" ht="24.95" customHeight="1" x14ac:dyDescent="0.2">
      <c r="A75" s="651" t="s">
        <v>166</v>
      </c>
      <c r="B75" s="1" t="s">
        <v>221</v>
      </c>
      <c r="C75" s="250">
        <v>3</v>
      </c>
      <c r="D75" s="255">
        <v>46</v>
      </c>
      <c r="E75" s="255">
        <v>7</v>
      </c>
      <c r="F75" s="259">
        <v>0.44</v>
      </c>
      <c r="G75" s="259">
        <v>0.56000000000000005</v>
      </c>
      <c r="H75" s="259">
        <v>0</v>
      </c>
      <c r="I75" s="259">
        <v>0</v>
      </c>
      <c r="J75" s="259">
        <v>0</v>
      </c>
      <c r="K75" s="255">
        <v>46</v>
      </c>
      <c r="L75" s="255">
        <v>7</v>
      </c>
      <c r="M75" s="258">
        <v>0.6</v>
      </c>
      <c r="N75" s="258">
        <v>0.36</v>
      </c>
      <c r="O75" s="258">
        <v>0.04</v>
      </c>
      <c r="P75" s="258">
        <v>0</v>
      </c>
      <c r="Q75" s="258">
        <v>0</v>
      </c>
      <c r="R75" s="255">
        <v>54</v>
      </c>
      <c r="S75" s="255">
        <v>9</v>
      </c>
      <c r="T75" s="256">
        <v>0.26</v>
      </c>
      <c r="U75" s="256">
        <v>0.3</v>
      </c>
      <c r="V75" s="256">
        <v>0.43</v>
      </c>
      <c r="W75" s="256">
        <v>0</v>
      </c>
      <c r="X75" s="256">
        <v>0</v>
      </c>
      <c r="Y75" s="255">
        <v>54</v>
      </c>
      <c r="Z75" s="255">
        <v>9</v>
      </c>
      <c r="AA75" s="256">
        <v>0.28000000000000003</v>
      </c>
      <c r="AB75" s="256">
        <v>0.44</v>
      </c>
      <c r="AC75" s="256">
        <v>0.17</v>
      </c>
      <c r="AD75" s="256">
        <v>0.11</v>
      </c>
      <c r="AE75" s="256">
        <v>0</v>
      </c>
      <c r="AF75" s="257">
        <v>46</v>
      </c>
      <c r="AG75" s="257">
        <v>8</v>
      </c>
      <c r="AH75" s="258">
        <v>0.73</v>
      </c>
      <c r="AI75" s="258">
        <v>0.19</v>
      </c>
      <c r="AJ75" s="258">
        <v>0.04</v>
      </c>
      <c r="AK75" s="258">
        <v>0.04</v>
      </c>
      <c r="AL75" s="258">
        <v>0</v>
      </c>
      <c r="AM75" s="247">
        <v>46</v>
      </c>
      <c r="AN75" s="247" t="s">
        <v>874</v>
      </c>
      <c r="AO75" s="247">
        <v>8</v>
      </c>
      <c r="AP75" s="247" t="s">
        <v>874</v>
      </c>
      <c r="AQ75" s="264">
        <v>0.59</v>
      </c>
      <c r="AR75" s="264">
        <v>0.35</v>
      </c>
      <c r="AS75" s="264">
        <v>0.06</v>
      </c>
      <c r="AT75" s="264">
        <v>0</v>
      </c>
      <c r="AU75" s="264">
        <v>0</v>
      </c>
      <c r="AV75" s="311">
        <v>56</v>
      </c>
      <c r="AW75" s="311" t="s">
        <v>874</v>
      </c>
      <c r="AX75" s="311">
        <v>12</v>
      </c>
      <c r="AY75" s="311" t="s">
        <v>874</v>
      </c>
      <c r="AZ75" s="329">
        <v>0.28999999999999998</v>
      </c>
      <c r="BA75" s="329">
        <v>0.17</v>
      </c>
      <c r="BB75" s="329">
        <v>0.28999999999999998</v>
      </c>
      <c r="BC75" s="329">
        <v>0.25</v>
      </c>
      <c r="BD75" s="329">
        <v>0</v>
      </c>
      <c r="BE75" s="426">
        <v>61</v>
      </c>
      <c r="BF75" s="426" t="s">
        <v>875</v>
      </c>
      <c r="BG75" s="426">
        <v>9</v>
      </c>
      <c r="BH75" s="426" t="s">
        <v>874</v>
      </c>
      <c r="BI75" s="430">
        <v>0.04</v>
      </c>
      <c r="BJ75" s="430">
        <v>0.28999999999999998</v>
      </c>
      <c r="BK75" s="430">
        <v>0.42</v>
      </c>
      <c r="BL75" s="430">
        <v>0.25</v>
      </c>
      <c r="BM75" s="430">
        <v>0</v>
      </c>
      <c r="BN75" s="466">
        <v>58</v>
      </c>
      <c r="BO75" s="466" t="s">
        <v>874</v>
      </c>
      <c r="BP75" s="466">
        <v>10</v>
      </c>
      <c r="BQ75" s="466" t="s">
        <v>874</v>
      </c>
      <c r="BR75" s="480">
        <v>0.18</v>
      </c>
      <c r="BS75" s="480">
        <v>0.32</v>
      </c>
      <c r="BT75" s="480">
        <v>0.32</v>
      </c>
      <c r="BU75" s="480">
        <v>0.18</v>
      </c>
      <c r="BV75" s="480">
        <v>0</v>
      </c>
    </row>
    <row r="76" spans="1:74" ht="24.95" customHeight="1" x14ac:dyDescent="0.2">
      <c r="A76" s="126" t="s">
        <v>203</v>
      </c>
      <c r="B76" s="1" t="s">
        <v>221</v>
      </c>
      <c r="C76" s="2">
        <v>1</v>
      </c>
      <c r="D76" s="12">
        <v>53</v>
      </c>
      <c r="E76" s="12">
        <v>8</v>
      </c>
      <c r="F76" s="66">
        <v>0.35</v>
      </c>
      <c r="G76" s="66">
        <v>0.41</v>
      </c>
      <c r="H76" s="66">
        <v>0.18</v>
      </c>
      <c r="I76" s="66">
        <v>0.06</v>
      </c>
      <c r="J76" s="66">
        <v>0</v>
      </c>
      <c r="K76" s="12">
        <v>50</v>
      </c>
      <c r="L76" s="12">
        <v>7</v>
      </c>
      <c r="M76" s="61">
        <v>0.44</v>
      </c>
      <c r="N76" s="61">
        <v>0.44</v>
      </c>
      <c r="O76" s="61">
        <v>0.11</v>
      </c>
      <c r="P76" s="61">
        <v>0</v>
      </c>
      <c r="Q76" s="61">
        <v>0</v>
      </c>
      <c r="R76" s="12">
        <v>53</v>
      </c>
      <c r="S76" s="12">
        <v>8</v>
      </c>
      <c r="T76" s="63">
        <v>0.25</v>
      </c>
      <c r="U76" s="63">
        <v>0.5</v>
      </c>
      <c r="V76" s="63">
        <v>0.25</v>
      </c>
      <c r="W76" s="63">
        <v>0</v>
      </c>
      <c r="X76" s="63">
        <v>0</v>
      </c>
      <c r="Y76" s="12">
        <v>48</v>
      </c>
      <c r="Z76" s="12">
        <v>8</v>
      </c>
      <c r="AA76" s="63">
        <v>0.56000000000000005</v>
      </c>
      <c r="AB76" s="63">
        <v>0.33</v>
      </c>
      <c r="AC76" s="63">
        <v>0.11</v>
      </c>
      <c r="AD76" s="63">
        <v>0</v>
      </c>
      <c r="AE76" s="63">
        <v>0</v>
      </c>
      <c r="AF76" s="25">
        <v>49</v>
      </c>
      <c r="AG76" s="25">
        <v>9</v>
      </c>
      <c r="AH76" s="61">
        <v>0.5</v>
      </c>
      <c r="AI76" s="61">
        <v>0.38</v>
      </c>
      <c r="AJ76" s="61">
        <v>0.13</v>
      </c>
      <c r="AK76" s="61">
        <v>0</v>
      </c>
      <c r="AL76" s="61">
        <v>0</v>
      </c>
      <c r="AM76" s="653">
        <v>55</v>
      </c>
      <c r="AN76" s="653" t="s">
        <v>874</v>
      </c>
      <c r="AO76" s="653">
        <v>11</v>
      </c>
      <c r="AP76" s="653" t="s">
        <v>874</v>
      </c>
      <c r="AQ76" s="654">
        <v>0.18</v>
      </c>
      <c r="AR76" s="654">
        <v>0.45</v>
      </c>
      <c r="AS76" s="654">
        <v>0.27</v>
      </c>
      <c r="AT76" s="654">
        <v>0.09</v>
      </c>
      <c r="AU76" s="654">
        <v>0</v>
      </c>
      <c r="AV76" s="74">
        <v>52</v>
      </c>
      <c r="AW76" s="74" t="s">
        <v>874</v>
      </c>
      <c r="AX76" s="74">
        <v>11</v>
      </c>
      <c r="AY76" s="74" t="s">
        <v>874</v>
      </c>
      <c r="AZ76" s="96">
        <v>0.26</v>
      </c>
      <c r="BA76" s="96">
        <v>0.43</v>
      </c>
      <c r="BB76" s="96">
        <v>0.22</v>
      </c>
      <c r="BC76" s="96">
        <v>0.09</v>
      </c>
      <c r="BD76" s="96">
        <v>0</v>
      </c>
      <c r="BE76" s="426">
        <v>55</v>
      </c>
      <c r="BF76" s="426" t="s">
        <v>874</v>
      </c>
      <c r="BG76" s="426">
        <v>7</v>
      </c>
      <c r="BH76" s="426" t="s">
        <v>876</v>
      </c>
      <c r="BI76" s="430">
        <v>0.18</v>
      </c>
      <c r="BJ76" s="430">
        <v>0.5</v>
      </c>
      <c r="BK76" s="430">
        <v>0.27</v>
      </c>
      <c r="BL76" s="430">
        <v>0.05</v>
      </c>
      <c r="BM76" s="430">
        <v>0</v>
      </c>
      <c r="BN76" s="466">
        <v>58</v>
      </c>
      <c r="BO76" s="466" t="s">
        <v>874</v>
      </c>
      <c r="BP76" s="466">
        <v>6</v>
      </c>
      <c r="BQ76" s="466" t="s">
        <v>876</v>
      </c>
      <c r="BR76" s="480">
        <v>0</v>
      </c>
      <c r="BS76" s="480">
        <v>0.47</v>
      </c>
      <c r="BT76" s="480">
        <v>0.42</v>
      </c>
      <c r="BU76" s="480">
        <v>0.11</v>
      </c>
      <c r="BV76" s="480">
        <v>0</v>
      </c>
    </row>
    <row r="77" spans="1:74" ht="24.95" customHeight="1" x14ac:dyDescent="0.2">
      <c r="A77" s="126" t="s">
        <v>922</v>
      </c>
      <c r="B77" s="14" t="s">
        <v>221</v>
      </c>
      <c r="C77" s="2">
        <v>2</v>
      </c>
      <c r="D77" s="12"/>
      <c r="E77" s="12"/>
      <c r="F77" s="66"/>
      <c r="G77" s="66"/>
      <c r="H77" s="66"/>
      <c r="I77" s="66"/>
      <c r="J77" s="66"/>
      <c r="K77" s="12"/>
      <c r="L77" s="12"/>
      <c r="M77" s="61"/>
      <c r="N77" s="61"/>
      <c r="O77" s="61"/>
      <c r="P77" s="61"/>
      <c r="Q77" s="61"/>
      <c r="R77" s="12"/>
      <c r="S77" s="12"/>
      <c r="T77" s="63"/>
      <c r="U77" s="63"/>
      <c r="V77" s="63"/>
      <c r="W77" s="63"/>
      <c r="X77" s="63"/>
      <c r="Y77" s="12"/>
      <c r="Z77" s="12"/>
      <c r="AA77" s="63"/>
      <c r="AB77" s="63"/>
      <c r="AC77" s="63"/>
      <c r="AD77" s="63"/>
      <c r="AE77" s="63"/>
      <c r="AF77" s="25"/>
      <c r="AG77" s="25"/>
      <c r="AH77" s="61"/>
      <c r="AI77" s="61"/>
      <c r="AJ77" s="61"/>
      <c r="AK77" s="61"/>
      <c r="AL77" s="61"/>
      <c r="AM77" s="247"/>
      <c r="AN77" s="247"/>
      <c r="AO77" s="247"/>
      <c r="AP77" s="247"/>
      <c r="AQ77" s="264"/>
      <c r="AR77" s="264"/>
      <c r="AS77" s="264"/>
      <c r="AT77" s="264"/>
      <c r="AU77" s="264"/>
      <c r="AV77" s="311">
        <v>54</v>
      </c>
      <c r="AW77" s="311" t="s">
        <v>874</v>
      </c>
      <c r="AX77" s="311">
        <v>11</v>
      </c>
      <c r="AY77" s="311" t="s">
        <v>874</v>
      </c>
      <c r="AZ77" s="329">
        <v>0.27</v>
      </c>
      <c r="BA77" s="329">
        <v>0.47</v>
      </c>
      <c r="BB77" s="329">
        <v>0.13</v>
      </c>
      <c r="BC77" s="329">
        <v>0.13</v>
      </c>
      <c r="BD77" s="329">
        <v>0</v>
      </c>
      <c r="BE77" s="426">
        <v>54</v>
      </c>
      <c r="BF77" s="426" t="s">
        <v>874</v>
      </c>
      <c r="BG77" s="426">
        <v>8</v>
      </c>
      <c r="BH77" s="426" t="s">
        <v>874</v>
      </c>
      <c r="BI77" s="430">
        <v>0.24</v>
      </c>
      <c r="BJ77" s="430">
        <v>0.33</v>
      </c>
      <c r="BK77" s="430">
        <v>0.38</v>
      </c>
      <c r="BL77" s="430">
        <v>0.05</v>
      </c>
      <c r="BM77" s="430">
        <v>0</v>
      </c>
      <c r="BN77" s="466">
        <v>51</v>
      </c>
      <c r="BO77" s="466" t="s">
        <v>874</v>
      </c>
      <c r="BP77" s="466">
        <v>10</v>
      </c>
      <c r="BQ77" s="466" t="s">
        <v>874</v>
      </c>
      <c r="BR77" s="480">
        <v>0.46</v>
      </c>
      <c r="BS77" s="480">
        <v>0.28999999999999998</v>
      </c>
      <c r="BT77" s="480">
        <v>0.18</v>
      </c>
      <c r="BU77" s="480">
        <v>7.0000000000000007E-2</v>
      </c>
      <c r="BV77" s="480">
        <v>0</v>
      </c>
    </row>
    <row r="78" spans="1:74" ht="24.95" customHeight="1" x14ac:dyDescent="0.2">
      <c r="A78" s="126" t="s">
        <v>81</v>
      </c>
      <c r="B78" s="1" t="s">
        <v>221</v>
      </c>
      <c r="C78" s="2">
        <v>4</v>
      </c>
      <c r="D78" s="12">
        <v>49</v>
      </c>
      <c r="E78" s="12">
        <v>10</v>
      </c>
      <c r="F78" s="66">
        <v>0.51</v>
      </c>
      <c r="G78" s="66">
        <v>0.28999999999999998</v>
      </c>
      <c r="H78" s="66">
        <v>0.16</v>
      </c>
      <c r="I78" s="66">
        <v>0.04</v>
      </c>
      <c r="J78" s="66">
        <v>0</v>
      </c>
      <c r="K78" s="12">
        <v>48</v>
      </c>
      <c r="L78" s="12">
        <v>11</v>
      </c>
      <c r="M78" s="61">
        <v>0.61</v>
      </c>
      <c r="N78" s="61">
        <v>0.22</v>
      </c>
      <c r="O78" s="61">
        <v>0.12</v>
      </c>
      <c r="P78" s="61">
        <v>0.06</v>
      </c>
      <c r="Q78" s="61">
        <v>0</v>
      </c>
      <c r="R78" s="12">
        <v>55</v>
      </c>
      <c r="S78" s="12">
        <v>7</v>
      </c>
      <c r="T78" s="63">
        <v>0.25</v>
      </c>
      <c r="U78" s="63">
        <v>0.33</v>
      </c>
      <c r="V78" s="63">
        <v>0.42</v>
      </c>
      <c r="W78" s="63">
        <v>0</v>
      </c>
      <c r="X78" s="63">
        <v>0</v>
      </c>
      <c r="Y78" s="12">
        <v>45</v>
      </c>
      <c r="Z78" s="12">
        <v>10</v>
      </c>
      <c r="AA78" s="63">
        <v>0.56000000000000005</v>
      </c>
      <c r="AB78" s="63">
        <v>0.39</v>
      </c>
      <c r="AC78" s="63">
        <v>0.06</v>
      </c>
      <c r="AD78" s="63">
        <v>0</v>
      </c>
      <c r="AE78" s="63">
        <v>0</v>
      </c>
      <c r="AF78" s="25"/>
      <c r="AG78" s="25"/>
      <c r="AH78" s="61"/>
      <c r="AI78" s="61"/>
      <c r="AJ78" s="61"/>
      <c r="AK78" s="61"/>
      <c r="AL78" s="61"/>
      <c r="AM78" s="247">
        <v>48</v>
      </c>
      <c r="AN78" s="247" t="s">
        <v>874</v>
      </c>
      <c r="AO78" s="247">
        <v>0</v>
      </c>
      <c r="AP78" s="247" t="s">
        <v>876</v>
      </c>
      <c r="AQ78" s="264">
        <v>0</v>
      </c>
      <c r="AR78" s="264">
        <v>1</v>
      </c>
      <c r="AS78" s="264">
        <v>0</v>
      </c>
      <c r="AT78" s="264">
        <v>0</v>
      </c>
      <c r="AU78" s="264">
        <v>0</v>
      </c>
      <c r="AV78" s="655"/>
      <c r="AW78" s="655"/>
      <c r="AX78" s="655"/>
      <c r="AY78" s="655"/>
      <c r="AZ78" s="655"/>
      <c r="BA78" s="655"/>
      <c r="BB78" s="655"/>
      <c r="BC78" s="655"/>
      <c r="BD78" s="655"/>
      <c r="BE78" s="657"/>
      <c r="BF78" s="657"/>
      <c r="BG78" s="657"/>
      <c r="BH78" s="657"/>
      <c r="BI78" s="657"/>
      <c r="BJ78" s="657"/>
      <c r="BK78" s="657"/>
      <c r="BL78" s="657"/>
      <c r="BM78" s="657"/>
      <c r="BN78" s="656"/>
      <c r="BO78" s="656"/>
      <c r="BP78" s="656"/>
      <c r="BQ78" s="656"/>
      <c r="BR78" s="656"/>
      <c r="BS78" s="656"/>
      <c r="BT78" s="656"/>
      <c r="BU78" s="656"/>
      <c r="BV78" s="656"/>
    </row>
    <row r="79" spans="1:74" ht="24.95" customHeight="1" x14ac:dyDescent="0.2">
      <c r="A79" s="560" t="s">
        <v>168</v>
      </c>
      <c r="B79" s="1" t="s">
        <v>221</v>
      </c>
      <c r="C79" s="311">
        <v>6</v>
      </c>
      <c r="D79" s="330">
        <v>51</v>
      </c>
      <c r="E79" s="330">
        <v>7</v>
      </c>
      <c r="F79" s="335">
        <v>0.33</v>
      </c>
      <c r="G79" s="335">
        <v>0.53</v>
      </c>
      <c r="H79" s="335">
        <v>0.13</v>
      </c>
      <c r="I79" s="335">
        <v>0</v>
      </c>
      <c r="J79" s="335">
        <v>0</v>
      </c>
      <c r="K79" s="330">
        <v>48</v>
      </c>
      <c r="L79" s="330">
        <v>6</v>
      </c>
      <c r="M79" s="332">
        <v>0.71</v>
      </c>
      <c r="N79" s="332">
        <v>0.28999999999999998</v>
      </c>
      <c r="O79" s="332">
        <v>0</v>
      </c>
      <c r="P79" s="332">
        <v>0</v>
      </c>
      <c r="Q79" s="332">
        <v>0</v>
      </c>
      <c r="R79" s="330">
        <v>48</v>
      </c>
      <c r="S79" s="330">
        <v>7</v>
      </c>
      <c r="T79" s="329">
        <v>0.63</v>
      </c>
      <c r="U79" s="329">
        <v>0.38</v>
      </c>
      <c r="V79" s="329">
        <v>0</v>
      </c>
      <c r="W79" s="329">
        <v>0</v>
      </c>
      <c r="X79" s="329">
        <v>0</v>
      </c>
      <c r="Y79" s="330">
        <v>53</v>
      </c>
      <c r="Z79" s="330">
        <v>12</v>
      </c>
      <c r="AA79" s="329">
        <v>0.27</v>
      </c>
      <c r="AB79" s="329">
        <v>0.45</v>
      </c>
      <c r="AC79" s="329">
        <v>0.18</v>
      </c>
      <c r="AD79" s="329">
        <v>0.09</v>
      </c>
      <c r="AE79" s="329">
        <v>0</v>
      </c>
      <c r="AF79" s="331">
        <v>45</v>
      </c>
      <c r="AG79" s="331">
        <v>7</v>
      </c>
      <c r="AH79" s="332">
        <v>0.91</v>
      </c>
      <c r="AI79" s="332">
        <v>0</v>
      </c>
      <c r="AJ79" s="332">
        <v>0.09</v>
      </c>
      <c r="AK79" s="332">
        <v>0</v>
      </c>
      <c r="AL79" s="332">
        <v>0</v>
      </c>
      <c r="AM79" s="314">
        <v>51</v>
      </c>
      <c r="AN79" s="314" t="s">
        <v>874</v>
      </c>
      <c r="AO79" s="314">
        <v>11</v>
      </c>
      <c r="AP79" s="314" t="s">
        <v>874</v>
      </c>
      <c r="AQ79" s="334">
        <v>0.33</v>
      </c>
      <c r="AR79" s="334">
        <v>0.4</v>
      </c>
      <c r="AS79" s="334">
        <v>0.2</v>
      </c>
      <c r="AT79" s="334">
        <v>7.0000000000000007E-2</v>
      </c>
      <c r="AU79" s="334">
        <v>0</v>
      </c>
      <c r="AV79" s="311">
        <v>50</v>
      </c>
      <c r="AW79" s="311" t="s">
        <v>874</v>
      </c>
      <c r="AX79" s="311">
        <v>11</v>
      </c>
      <c r="AY79" s="311" t="s">
        <v>874</v>
      </c>
      <c r="AZ79" s="329">
        <v>0.4</v>
      </c>
      <c r="BA79" s="329">
        <v>0.25</v>
      </c>
      <c r="BB79" s="329">
        <v>0.35</v>
      </c>
      <c r="BC79" s="329">
        <v>0</v>
      </c>
      <c r="BD79" s="329">
        <v>0</v>
      </c>
      <c r="BE79" s="426">
        <v>50</v>
      </c>
      <c r="BF79" s="426" t="s">
        <v>874</v>
      </c>
      <c r="BG79" s="426">
        <v>11</v>
      </c>
      <c r="BH79" s="426" t="s">
        <v>874</v>
      </c>
      <c r="BI79" s="430">
        <v>0.47</v>
      </c>
      <c r="BJ79" s="430">
        <v>0.33</v>
      </c>
      <c r="BK79" s="430">
        <v>0.13</v>
      </c>
      <c r="BL79" s="430">
        <v>7.0000000000000007E-2</v>
      </c>
      <c r="BM79" s="430">
        <v>0</v>
      </c>
      <c r="BN79" s="466">
        <v>49</v>
      </c>
      <c r="BO79" s="466" t="s">
        <v>874</v>
      </c>
      <c r="BP79" s="466">
        <v>9</v>
      </c>
      <c r="BQ79" s="466" t="s">
        <v>874</v>
      </c>
      <c r="BR79" s="480">
        <v>0.48</v>
      </c>
      <c r="BS79" s="480">
        <v>0.28000000000000003</v>
      </c>
      <c r="BT79" s="480">
        <v>0.24</v>
      </c>
      <c r="BU79" s="480">
        <v>0</v>
      </c>
      <c r="BV79" s="480">
        <v>0</v>
      </c>
    </row>
    <row r="80" spans="1:74" ht="24.95" customHeight="1" x14ac:dyDescent="0.2">
      <c r="A80" s="126" t="s">
        <v>230</v>
      </c>
      <c r="B80" s="1" t="s">
        <v>221</v>
      </c>
      <c r="C80" s="2">
        <v>2</v>
      </c>
      <c r="D80" s="12" t="s">
        <v>224</v>
      </c>
      <c r="E80" s="12" t="s">
        <v>224</v>
      </c>
      <c r="F80" s="12"/>
      <c r="G80" s="12"/>
      <c r="H80" s="12"/>
      <c r="I80" s="12"/>
      <c r="J80" s="12"/>
      <c r="K80" s="12">
        <v>59</v>
      </c>
      <c r="L80" s="12">
        <v>8</v>
      </c>
      <c r="M80" s="61">
        <v>0.04</v>
      </c>
      <c r="N80" s="61">
        <v>0.25</v>
      </c>
      <c r="O80" s="61">
        <v>0.63</v>
      </c>
      <c r="P80" s="61">
        <v>0.08</v>
      </c>
      <c r="Q80" s="61">
        <v>0</v>
      </c>
      <c r="R80" s="12">
        <v>57</v>
      </c>
      <c r="S80" s="12">
        <v>9</v>
      </c>
      <c r="T80" s="63">
        <v>0.28999999999999998</v>
      </c>
      <c r="U80" s="63">
        <v>0.21</v>
      </c>
      <c r="V80" s="63">
        <v>0.43</v>
      </c>
      <c r="W80" s="63">
        <v>7.0000000000000007E-2</v>
      </c>
      <c r="X80" s="63">
        <v>0</v>
      </c>
      <c r="Y80" s="12">
        <v>60</v>
      </c>
      <c r="Z80" s="12">
        <v>9</v>
      </c>
      <c r="AA80" s="63">
        <v>0.06</v>
      </c>
      <c r="AB80" s="63">
        <v>0.38</v>
      </c>
      <c r="AC80" s="63">
        <v>0.31</v>
      </c>
      <c r="AD80" s="63">
        <v>0.25</v>
      </c>
      <c r="AE80" s="63">
        <v>0</v>
      </c>
      <c r="AF80" s="25">
        <v>61</v>
      </c>
      <c r="AG80" s="25">
        <v>12</v>
      </c>
      <c r="AH80" s="61">
        <v>0.13</v>
      </c>
      <c r="AI80" s="61">
        <v>0.25</v>
      </c>
      <c r="AJ80" s="61">
        <v>0.38</v>
      </c>
      <c r="AK80" s="61">
        <v>0.19</v>
      </c>
      <c r="AL80" s="61">
        <v>0.06</v>
      </c>
      <c r="AM80" s="247">
        <v>67</v>
      </c>
      <c r="AN80" s="247" t="s">
        <v>875</v>
      </c>
      <c r="AO80" s="247">
        <v>9</v>
      </c>
      <c r="AP80" s="247" t="s">
        <v>874</v>
      </c>
      <c r="AQ80" s="264">
        <v>0</v>
      </c>
      <c r="AR80" s="264">
        <v>0.25</v>
      </c>
      <c r="AS80" s="264">
        <v>0.25</v>
      </c>
      <c r="AT80" s="264">
        <v>0.35</v>
      </c>
      <c r="AU80" s="264">
        <v>0.15</v>
      </c>
      <c r="AV80" s="74">
        <v>66</v>
      </c>
      <c r="AW80" s="74" t="s">
        <v>875</v>
      </c>
      <c r="AX80" s="74">
        <v>11</v>
      </c>
      <c r="AY80" s="74" t="s">
        <v>874</v>
      </c>
      <c r="AZ80" s="96">
        <v>0.04</v>
      </c>
      <c r="BA80" s="96">
        <v>0.12</v>
      </c>
      <c r="BB80" s="96">
        <v>0.46</v>
      </c>
      <c r="BC80" s="96">
        <v>0.35</v>
      </c>
      <c r="BD80" s="96">
        <v>0.04</v>
      </c>
      <c r="BE80" s="658">
        <v>66</v>
      </c>
      <c r="BF80" s="658" t="s">
        <v>875</v>
      </c>
      <c r="BG80" s="658">
        <v>10</v>
      </c>
      <c r="BH80" s="658" t="s">
        <v>874</v>
      </c>
      <c r="BI80" s="659">
        <v>0.03</v>
      </c>
      <c r="BJ80" s="659">
        <v>0.1</v>
      </c>
      <c r="BK80" s="659">
        <v>0.41</v>
      </c>
      <c r="BL80" s="659">
        <v>0.41</v>
      </c>
      <c r="BM80" s="659">
        <v>0.03</v>
      </c>
      <c r="BN80" s="74">
        <v>68</v>
      </c>
      <c r="BO80" s="74" t="s">
        <v>875</v>
      </c>
      <c r="BP80" s="74">
        <v>8</v>
      </c>
      <c r="BQ80" s="74" t="s">
        <v>874</v>
      </c>
      <c r="BR80" s="96">
        <v>0.05</v>
      </c>
      <c r="BS80" s="96">
        <v>0.05</v>
      </c>
      <c r="BT80" s="96">
        <v>0.37</v>
      </c>
      <c r="BU80" s="96">
        <v>0.42</v>
      </c>
      <c r="BV80" s="96">
        <v>0.11</v>
      </c>
    </row>
    <row r="81" spans="1:74" ht="24.95" customHeight="1" x14ac:dyDescent="0.2">
      <c r="A81" s="126" t="s">
        <v>42</v>
      </c>
      <c r="B81" s="1" t="s">
        <v>221</v>
      </c>
      <c r="C81" s="2">
        <v>6</v>
      </c>
      <c r="D81" s="12">
        <v>56</v>
      </c>
      <c r="E81" s="12">
        <v>9</v>
      </c>
      <c r="F81" s="66">
        <v>0.21</v>
      </c>
      <c r="G81" s="66">
        <v>0.52</v>
      </c>
      <c r="H81" s="66">
        <v>0.18</v>
      </c>
      <c r="I81" s="66">
        <v>0.06</v>
      </c>
      <c r="J81" s="66">
        <v>0.03</v>
      </c>
      <c r="K81" s="12">
        <v>53</v>
      </c>
      <c r="L81" s="12">
        <v>12</v>
      </c>
      <c r="M81" s="61">
        <v>0.38</v>
      </c>
      <c r="N81" s="61">
        <v>0.28999999999999998</v>
      </c>
      <c r="O81" s="61">
        <v>0.21</v>
      </c>
      <c r="P81" s="61">
        <v>0.08</v>
      </c>
      <c r="Q81" s="61">
        <v>0.04</v>
      </c>
      <c r="R81" s="12">
        <v>54</v>
      </c>
      <c r="S81" s="12">
        <v>9</v>
      </c>
      <c r="T81" s="63">
        <v>0.28000000000000003</v>
      </c>
      <c r="U81" s="63">
        <v>0.47</v>
      </c>
      <c r="V81" s="63">
        <v>0.19</v>
      </c>
      <c r="W81" s="63">
        <v>0.03</v>
      </c>
      <c r="X81" s="63">
        <v>0.03</v>
      </c>
      <c r="Y81" s="12">
        <v>55</v>
      </c>
      <c r="Z81" s="12">
        <v>8</v>
      </c>
      <c r="AA81" s="63">
        <v>0.23</v>
      </c>
      <c r="AB81" s="63">
        <v>0.33</v>
      </c>
      <c r="AC81" s="63">
        <v>0.37</v>
      </c>
      <c r="AD81" s="63">
        <v>7.0000000000000007E-2</v>
      </c>
      <c r="AE81" s="63">
        <v>0</v>
      </c>
      <c r="AF81" s="25">
        <v>51</v>
      </c>
      <c r="AG81" s="25">
        <v>11</v>
      </c>
      <c r="AH81" s="61">
        <v>0.46</v>
      </c>
      <c r="AI81" s="61">
        <v>0.23</v>
      </c>
      <c r="AJ81" s="61">
        <v>0.19</v>
      </c>
      <c r="AK81" s="61">
        <v>0.12</v>
      </c>
      <c r="AL81" s="61">
        <v>0</v>
      </c>
      <c r="AM81" s="247">
        <v>52</v>
      </c>
      <c r="AN81" s="247" t="s">
        <v>874</v>
      </c>
      <c r="AO81" s="247">
        <v>8</v>
      </c>
      <c r="AP81" s="247" t="s">
        <v>874</v>
      </c>
      <c r="AQ81" s="264">
        <v>0.2</v>
      </c>
      <c r="AR81" s="264">
        <v>0.59</v>
      </c>
      <c r="AS81" s="264">
        <v>0.16</v>
      </c>
      <c r="AT81" s="264">
        <v>0.05</v>
      </c>
      <c r="AU81" s="264">
        <v>0</v>
      </c>
      <c r="AV81" s="311">
        <v>58</v>
      </c>
      <c r="AW81" s="311" t="s">
        <v>874</v>
      </c>
      <c r="AX81" s="311">
        <v>10</v>
      </c>
      <c r="AY81" s="311" t="s">
        <v>874</v>
      </c>
      <c r="AZ81" s="329">
        <v>0.1</v>
      </c>
      <c r="BA81" s="329">
        <v>0.48</v>
      </c>
      <c r="BB81" s="329">
        <v>0.21</v>
      </c>
      <c r="BC81" s="329">
        <v>0.21</v>
      </c>
      <c r="BD81" s="329">
        <v>0</v>
      </c>
      <c r="BE81" s="426">
        <v>54</v>
      </c>
      <c r="BF81" s="426" t="s">
        <v>874</v>
      </c>
      <c r="BG81" s="426">
        <v>11</v>
      </c>
      <c r="BH81" s="426" t="s">
        <v>874</v>
      </c>
      <c r="BI81" s="430">
        <v>0.28000000000000003</v>
      </c>
      <c r="BJ81" s="430">
        <v>0.39</v>
      </c>
      <c r="BK81" s="430">
        <v>0.22</v>
      </c>
      <c r="BL81" s="430">
        <v>0.11</v>
      </c>
      <c r="BM81" s="430">
        <v>0</v>
      </c>
      <c r="BN81" s="466">
        <v>55</v>
      </c>
      <c r="BO81" s="466" t="s">
        <v>874</v>
      </c>
      <c r="BP81" s="466">
        <v>10</v>
      </c>
      <c r="BQ81" s="466" t="s">
        <v>874</v>
      </c>
      <c r="BR81" s="480">
        <v>0.26</v>
      </c>
      <c r="BS81" s="480">
        <v>0.32</v>
      </c>
      <c r="BT81" s="480">
        <v>0.32</v>
      </c>
      <c r="BU81" s="480">
        <v>0.1</v>
      </c>
      <c r="BV81" s="480">
        <v>0</v>
      </c>
    </row>
    <row r="82" spans="1:74" ht="24.95" customHeight="1" x14ac:dyDescent="0.2">
      <c r="A82" s="126" t="s">
        <v>924</v>
      </c>
      <c r="B82" s="14" t="s">
        <v>221</v>
      </c>
      <c r="C82" s="2">
        <v>3</v>
      </c>
      <c r="D82" s="12"/>
      <c r="E82" s="12"/>
      <c r="F82" s="66"/>
      <c r="G82" s="66"/>
      <c r="H82" s="66"/>
      <c r="I82" s="66"/>
      <c r="J82" s="66"/>
      <c r="K82" s="12"/>
      <c r="L82" s="12"/>
      <c r="M82" s="61"/>
      <c r="N82" s="61"/>
      <c r="O82" s="61"/>
      <c r="P82" s="61"/>
      <c r="Q82" s="61"/>
      <c r="R82" s="12"/>
      <c r="S82" s="12"/>
      <c r="T82" s="63"/>
      <c r="U82" s="63"/>
      <c r="V82" s="63"/>
      <c r="W82" s="63"/>
      <c r="X82" s="63"/>
      <c r="Y82" s="12"/>
      <c r="Z82" s="12"/>
      <c r="AA82" s="63"/>
      <c r="AB82" s="63"/>
      <c r="AC82" s="63"/>
      <c r="AD82" s="63"/>
      <c r="AE82" s="63"/>
      <c r="AF82" s="25"/>
      <c r="AG82" s="25"/>
      <c r="AH82" s="61"/>
      <c r="AI82" s="61"/>
      <c r="AJ82" s="61"/>
      <c r="AK82" s="61"/>
      <c r="AL82" s="61"/>
      <c r="AM82" s="247"/>
      <c r="AN82" s="247"/>
      <c r="AO82" s="247"/>
      <c r="AP82" s="247"/>
      <c r="AQ82" s="264"/>
      <c r="AR82" s="264"/>
      <c r="AS82" s="264"/>
      <c r="AT82" s="264"/>
      <c r="AU82" s="264"/>
      <c r="AV82" s="311">
        <v>62</v>
      </c>
      <c r="AW82" s="311" t="s">
        <v>875</v>
      </c>
      <c r="AX82" s="311">
        <v>8</v>
      </c>
      <c r="AY82" s="311" t="s">
        <v>874</v>
      </c>
      <c r="AZ82" s="329">
        <v>7.0000000000000007E-2</v>
      </c>
      <c r="BA82" s="329">
        <v>0.21</v>
      </c>
      <c r="BB82" s="329">
        <v>0.36</v>
      </c>
      <c r="BC82" s="329">
        <v>0.36</v>
      </c>
      <c r="BD82" s="329">
        <v>0</v>
      </c>
      <c r="BE82" s="426">
        <v>52</v>
      </c>
      <c r="BF82" s="426" t="s">
        <v>874</v>
      </c>
      <c r="BG82" s="426">
        <v>12</v>
      </c>
      <c r="BH82" s="426" t="s">
        <v>874</v>
      </c>
      <c r="BI82" s="430">
        <v>0.3</v>
      </c>
      <c r="BJ82" s="430">
        <v>0.35</v>
      </c>
      <c r="BK82" s="430">
        <v>0.25</v>
      </c>
      <c r="BL82" s="430">
        <v>0.1</v>
      </c>
      <c r="BM82" s="430">
        <v>0</v>
      </c>
      <c r="BN82" s="466">
        <v>56</v>
      </c>
      <c r="BO82" s="466" t="s">
        <v>874</v>
      </c>
      <c r="BP82" s="466">
        <v>11</v>
      </c>
      <c r="BQ82" s="466" t="s">
        <v>874</v>
      </c>
      <c r="BR82" s="480">
        <v>0.2</v>
      </c>
      <c r="BS82" s="480">
        <v>0.25</v>
      </c>
      <c r="BT82" s="480">
        <v>0.4</v>
      </c>
      <c r="BU82" s="480">
        <v>0.15</v>
      </c>
      <c r="BV82" s="480">
        <v>0</v>
      </c>
    </row>
    <row r="83" spans="1:74" ht="24.95" customHeight="1" x14ac:dyDescent="0.2">
      <c r="A83" s="126" t="s">
        <v>1100</v>
      </c>
      <c r="B83" s="1" t="s">
        <v>221</v>
      </c>
      <c r="C83" s="824"/>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row>
    <row r="84" spans="1:74" ht="24.95" customHeight="1" x14ac:dyDescent="0.2">
      <c r="A84" s="126" t="s">
        <v>108</v>
      </c>
      <c r="B84" s="1" t="s">
        <v>221</v>
      </c>
      <c r="C84" s="2">
        <v>6</v>
      </c>
      <c r="D84" s="12">
        <v>59</v>
      </c>
      <c r="E84" s="12">
        <v>8</v>
      </c>
      <c r="F84" s="66">
        <v>0.13</v>
      </c>
      <c r="G84" s="66">
        <v>0.33</v>
      </c>
      <c r="H84" s="66">
        <v>0.4</v>
      </c>
      <c r="I84" s="66">
        <v>0.13</v>
      </c>
      <c r="J84" s="66">
        <v>0</v>
      </c>
      <c r="K84" s="12">
        <v>52</v>
      </c>
      <c r="L84" s="12">
        <v>8</v>
      </c>
      <c r="M84" s="61">
        <v>0.24</v>
      </c>
      <c r="N84" s="61">
        <v>0.53</v>
      </c>
      <c r="O84" s="61">
        <v>0.18</v>
      </c>
      <c r="P84" s="61">
        <v>0.06</v>
      </c>
      <c r="Q84" s="61">
        <v>0</v>
      </c>
      <c r="R84" s="12">
        <v>55</v>
      </c>
      <c r="S84" s="12">
        <v>8</v>
      </c>
      <c r="T84" s="63">
        <v>0.18</v>
      </c>
      <c r="U84" s="63">
        <v>0.55000000000000004</v>
      </c>
      <c r="V84" s="63">
        <v>0.18</v>
      </c>
      <c r="W84" s="63">
        <v>0.09</v>
      </c>
      <c r="X84" s="63">
        <v>0</v>
      </c>
      <c r="Y84" s="12">
        <v>57</v>
      </c>
      <c r="Z84" s="12">
        <v>11</v>
      </c>
      <c r="AA84" s="63">
        <v>0.19</v>
      </c>
      <c r="AB84" s="63">
        <v>0.38</v>
      </c>
      <c r="AC84" s="63">
        <v>0.25</v>
      </c>
      <c r="AD84" s="63">
        <v>0.13</v>
      </c>
      <c r="AE84" s="63">
        <v>0.06</v>
      </c>
      <c r="AF84" s="25">
        <v>47</v>
      </c>
      <c r="AG84" s="25">
        <v>15</v>
      </c>
      <c r="AH84" s="61">
        <v>0.53</v>
      </c>
      <c r="AI84" s="61">
        <v>0.26</v>
      </c>
      <c r="AJ84" s="61">
        <v>0.11</v>
      </c>
      <c r="AK84" s="61">
        <v>0.11</v>
      </c>
      <c r="AL84" s="61">
        <v>0</v>
      </c>
      <c r="AM84" s="247">
        <v>56</v>
      </c>
      <c r="AN84" s="247" t="s">
        <v>874</v>
      </c>
      <c r="AO84" s="247">
        <v>9</v>
      </c>
      <c r="AP84" s="247" t="s">
        <v>874</v>
      </c>
      <c r="AQ84" s="264">
        <v>0.08</v>
      </c>
      <c r="AR84" s="264">
        <v>0.62</v>
      </c>
      <c r="AS84" s="264">
        <v>0.15</v>
      </c>
      <c r="AT84" s="264">
        <v>0.15</v>
      </c>
      <c r="AU84" s="264">
        <v>0</v>
      </c>
      <c r="AV84" s="311">
        <v>55</v>
      </c>
      <c r="AW84" s="311" t="s">
        <v>874</v>
      </c>
      <c r="AX84" s="311">
        <v>10</v>
      </c>
      <c r="AY84" s="311" t="s">
        <v>874</v>
      </c>
      <c r="AZ84" s="329">
        <v>0.4</v>
      </c>
      <c r="BA84" s="329">
        <v>0.3</v>
      </c>
      <c r="BB84" s="329">
        <v>0.2</v>
      </c>
      <c r="BC84" s="329">
        <v>0.1</v>
      </c>
      <c r="BD84" s="329">
        <v>0</v>
      </c>
      <c r="BE84" s="426">
        <v>54</v>
      </c>
      <c r="BF84" s="426" t="s">
        <v>874</v>
      </c>
      <c r="BG84" s="426">
        <v>10</v>
      </c>
      <c r="BH84" s="426" t="s">
        <v>874</v>
      </c>
      <c r="BI84" s="430">
        <v>0.22</v>
      </c>
      <c r="BJ84" s="430">
        <v>0.22</v>
      </c>
      <c r="BK84" s="430">
        <v>0.44</v>
      </c>
      <c r="BL84" s="430">
        <v>0.11</v>
      </c>
      <c r="BM84" s="430">
        <v>0</v>
      </c>
      <c r="BN84" s="647"/>
      <c r="BO84" s="647"/>
      <c r="BP84" s="647"/>
      <c r="BQ84" s="647"/>
      <c r="BR84" s="648"/>
      <c r="BS84" s="648"/>
      <c r="BT84" s="648"/>
      <c r="BU84" s="648"/>
      <c r="BV84" s="648"/>
    </row>
    <row r="85" spans="1:74" ht="24.95" customHeight="1" x14ac:dyDescent="0.2">
      <c r="A85" s="560" t="s">
        <v>1081</v>
      </c>
      <c r="B85" s="14" t="s">
        <v>221</v>
      </c>
      <c r="C85" s="311">
        <v>5</v>
      </c>
      <c r="D85" s="330"/>
      <c r="E85" s="330"/>
      <c r="F85" s="330"/>
      <c r="G85" s="330"/>
      <c r="H85" s="330"/>
      <c r="I85" s="330"/>
      <c r="J85" s="330"/>
      <c r="K85" s="330"/>
      <c r="L85" s="330"/>
      <c r="M85" s="332"/>
      <c r="N85" s="332"/>
      <c r="O85" s="332"/>
      <c r="P85" s="332"/>
      <c r="Q85" s="332"/>
      <c r="R85" s="330"/>
      <c r="S85" s="330"/>
      <c r="T85" s="311"/>
      <c r="U85" s="311"/>
      <c r="V85" s="311"/>
      <c r="W85" s="311"/>
      <c r="X85" s="311"/>
      <c r="Y85" s="330"/>
      <c r="Z85" s="330"/>
      <c r="AA85" s="311"/>
      <c r="AB85" s="311"/>
      <c r="AC85" s="311"/>
      <c r="AD85" s="311"/>
      <c r="AE85" s="311"/>
      <c r="AF85" s="331"/>
      <c r="AG85" s="331"/>
      <c r="AH85" s="332"/>
      <c r="AI85" s="332"/>
      <c r="AJ85" s="332"/>
      <c r="AK85" s="332"/>
      <c r="AL85" s="332"/>
      <c r="AM85" s="314"/>
      <c r="AN85" s="314"/>
      <c r="AO85" s="314"/>
      <c r="AP85" s="314"/>
      <c r="AQ85" s="334"/>
      <c r="AR85" s="334"/>
      <c r="AS85" s="334"/>
      <c r="AT85" s="334"/>
      <c r="AU85" s="334"/>
      <c r="AV85" s="311"/>
      <c r="AW85" s="311"/>
      <c r="AX85" s="311"/>
      <c r="AY85" s="311"/>
      <c r="AZ85" s="329"/>
      <c r="BA85" s="329"/>
      <c r="BB85" s="329"/>
      <c r="BC85" s="329"/>
      <c r="BD85" s="329"/>
      <c r="BE85" s="426"/>
      <c r="BF85" s="426"/>
      <c r="BG85" s="426"/>
      <c r="BH85" s="426"/>
      <c r="BI85" s="430"/>
      <c r="BJ85" s="430"/>
      <c r="BK85" s="430"/>
      <c r="BL85" s="430"/>
      <c r="BM85" s="430"/>
      <c r="BN85" s="466">
        <v>43</v>
      </c>
      <c r="BO85" s="466" t="s">
        <v>876</v>
      </c>
      <c r="BP85" s="466">
        <v>10</v>
      </c>
      <c r="BQ85" s="466" t="s">
        <v>874</v>
      </c>
      <c r="BR85" s="480">
        <v>0.67</v>
      </c>
      <c r="BS85" s="480">
        <v>0.33</v>
      </c>
      <c r="BT85" s="480">
        <v>0</v>
      </c>
      <c r="BU85" s="480">
        <v>0</v>
      </c>
      <c r="BV85" s="480">
        <v>0</v>
      </c>
    </row>
    <row r="86" spans="1:74" ht="24.95" customHeight="1" x14ac:dyDescent="0.2">
      <c r="A86" s="126" t="s">
        <v>38</v>
      </c>
      <c r="B86" s="1" t="s">
        <v>221</v>
      </c>
      <c r="C86" s="2">
        <v>6</v>
      </c>
      <c r="D86" s="12">
        <v>56</v>
      </c>
      <c r="E86" s="12">
        <v>10</v>
      </c>
      <c r="F86" s="66">
        <v>0.16</v>
      </c>
      <c r="G86" s="66">
        <v>0.41</v>
      </c>
      <c r="H86" s="66">
        <v>0.35</v>
      </c>
      <c r="I86" s="66">
        <v>0.05</v>
      </c>
      <c r="J86" s="66">
        <v>0.03</v>
      </c>
      <c r="K86" s="12">
        <v>52</v>
      </c>
      <c r="L86" s="12">
        <v>11</v>
      </c>
      <c r="M86" s="61">
        <v>0.52</v>
      </c>
      <c r="N86" s="61">
        <v>0.16</v>
      </c>
      <c r="O86" s="61">
        <v>0.23</v>
      </c>
      <c r="P86" s="61">
        <v>0.1</v>
      </c>
      <c r="Q86" s="61">
        <v>0</v>
      </c>
      <c r="R86" s="12">
        <v>51</v>
      </c>
      <c r="S86" s="12">
        <v>9</v>
      </c>
      <c r="T86" s="63">
        <v>0.32</v>
      </c>
      <c r="U86" s="63">
        <v>0.49</v>
      </c>
      <c r="V86" s="63">
        <v>0.13</v>
      </c>
      <c r="W86" s="63">
        <v>0.06</v>
      </c>
      <c r="X86" s="63">
        <v>0</v>
      </c>
      <c r="Y86" s="12">
        <v>55</v>
      </c>
      <c r="Z86" s="12">
        <v>10</v>
      </c>
      <c r="AA86" s="63">
        <v>0.16</v>
      </c>
      <c r="AB86" s="63">
        <v>0.5</v>
      </c>
      <c r="AC86" s="63">
        <v>0.25</v>
      </c>
      <c r="AD86" s="63">
        <v>7.0000000000000007E-2</v>
      </c>
      <c r="AE86" s="63">
        <v>0.02</v>
      </c>
      <c r="AF86" s="25">
        <v>46</v>
      </c>
      <c r="AG86" s="25">
        <v>11</v>
      </c>
      <c r="AH86" s="61">
        <v>0.59</v>
      </c>
      <c r="AI86" s="61">
        <v>0.28999999999999998</v>
      </c>
      <c r="AJ86" s="61">
        <v>0.05</v>
      </c>
      <c r="AK86" s="61">
        <v>7.0000000000000007E-2</v>
      </c>
      <c r="AL86" s="61">
        <v>0</v>
      </c>
      <c r="AM86" s="247">
        <v>50</v>
      </c>
      <c r="AN86" s="247" t="s">
        <v>874</v>
      </c>
      <c r="AO86" s="247">
        <v>11</v>
      </c>
      <c r="AP86" s="247" t="s">
        <v>874</v>
      </c>
      <c r="AQ86" s="264">
        <v>0.39</v>
      </c>
      <c r="AR86" s="264">
        <v>0.36</v>
      </c>
      <c r="AS86" s="264">
        <v>0.17</v>
      </c>
      <c r="AT86" s="264">
        <v>0.09</v>
      </c>
      <c r="AU86" s="264">
        <v>0</v>
      </c>
      <c r="AV86" s="311">
        <v>53</v>
      </c>
      <c r="AW86" s="311" t="s">
        <v>874</v>
      </c>
      <c r="AX86" s="311">
        <v>10</v>
      </c>
      <c r="AY86" s="311" t="s">
        <v>874</v>
      </c>
      <c r="AZ86" s="329">
        <v>0.28999999999999998</v>
      </c>
      <c r="BA86" s="329">
        <v>0.37</v>
      </c>
      <c r="BB86" s="329">
        <v>0.26</v>
      </c>
      <c r="BC86" s="329">
        <v>7.0000000000000007E-2</v>
      </c>
      <c r="BD86" s="329">
        <v>0</v>
      </c>
      <c r="BE86" s="426">
        <v>53</v>
      </c>
      <c r="BF86" s="426" t="s">
        <v>874</v>
      </c>
      <c r="BG86" s="426">
        <v>11</v>
      </c>
      <c r="BH86" s="426" t="s">
        <v>874</v>
      </c>
      <c r="BI86" s="430">
        <v>0.32</v>
      </c>
      <c r="BJ86" s="430">
        <v>0.37</v>
      </c>
      <c r="BK86" s="430">
        <v>0.19</v>
      </c>
      <c r="BL86" s="430">
        <v>0.12</v>
      </c>
      <c r="BM86" s="430">
        <v>0</v>
      </c>
      <c r="BN86" s="660">
        <v>51</v>
      </c>
      <c r="BO86" s="660" t="s">
        <v>874</v>
      </c>
      <c r="BP86" s="660">
        <v>10</v>
      </c>
      <c r="BQ86" s="660" t="s">
        <v>874</v>
      </c>
      <c r="BR86" s="661">
        <v>0.38</v>
      </c>
      <c r="BS86" s="661">
        <v>0.42</v>
      </c>
      <c r="BT86" s="661">
        <v>0.15</v>
      </c>
      <c r="BU86" s="661">
        <v>0.04</v>
      </c>
      <c r="BV86" s="661">
        <v>0.02</v>
      </c>
    </row>
    <row r="87" spans="1:74" ht="24.95" customHeight="1" x14ac:dyDescent="0.2">
      <c r="A87" s="126" t="s">
        <v>183</v>
      </c>
      <c r="B87" s="1" t="s">
        <v>221</v>
      </c>
      <c r="C87" s="2">
        <v>3</v>
      </c>
      <c r="D87" s="12">
        <v>56</v>
      </c>
      <c r="E87" s="12">
        <v>10</v>
      </c>
      <c r="F87" s="66">
        <v>0.17</v>
      </c>
      <c r="G87" s="66">
        <v>0.35</v>
      </c>
      <c r="H87" s="66">
        <v>0.39</v>
      </c>
      <c r="I87" s="66">
        <v>0.09</v>
      </c>
      <c r="J87" s="66">
        <v>0</v>
      </c>
      <c r="K87" s="12">
        <v>50</v>
      </c>
      <c r="L87" s="12">
        <v>14</v>
      </c>
      <c r="M87" s="61">
        <v>0.54</v>
      </c>
      <c r="N87" s="61">
        <v>0.13</v>
      </c>
      <c r="O87" s="61">
        <v>0.21</v>
      </c>
      <c r="P87" s="61">
        <v>0.13</v>
      </c>
      <c r="Q87" s="61">
        <v>0</v>
      </c>
      <c r="R87" s="12">
        <v>52</v>
      </c>
      <c r="S87" s="12">
        <v>8</v>
      </c>
      <c r="T87" s="63">
        <v>0.28000000000000003</v>
      </c>
      <c r="U87" s="63">
        <v>0.5</v>
      </c>
      <c r="V87" s="63">
        <v>0.17</v>
      </c>
      <c r="W87" s="63">
        <v>0.06</v>
      </c>
      <c r="X87" s="63">
        <v>0</v>
      </c>
      <c r="Y87" s="12">
        <v>53</v>
      </c>
      <c r="Z87" s="12">
        <v>15</v>
      </c>
      <c r="AA87" s="63">
        <v>0.28000000000000003</v>
      </c>
      <c r="AB87" s="63">
        <v>0.28000000000000003</v>
      </c>
      <c r="AC87" s="63">
        <v>0.28000000000000003</v>
      </c>
      <c r="AD87" s="63">
        <v>0.17</v>
      </c>
      <c r="AE87" s="63">
        <v>0</v>
      </c>
      <c r="AF87" s="25">
        <v>59</v>
      </c>
      <c r="AG87" s="25">
        <v>9</v>
      </c>
      <c r="AH87" s="61">
        <v>0.1</v>
      </c>
      <c r="AI87" s="61">
        <v>0.45</v>
      </c>
      <c r="AJ87" s="61">
        <v>0.2</v>
      </c>
      <c r="AK87" s="61">
        <v>0.25</v>
      </c>
      <c r="AL87" s="61">
        <v>0</v>
      </c>
      <c r="AM87" s="247">
        <v>56</v>
      </c>
      <c r="AN87" s="247" t="s">
        <v>874</v>
      </c>
      <c r="AO87" s="247">
        <v>11</v>
      </c>
      <c r="AP87" s="247" t="s">
        <v>874</v>
      </c>
      <c r="AQ87" s="264">
        <v>0.19</v>
      </c>
      <c r="AR87" s="264">
        <v>0.38</v>
      </c>
      <c r="AS87" s="264">
        <v>0.25</v>
      </c>
      <c r="AT87" s="264">
        <v>0.19</v>
      </c>
      <c r="AU87" s="264">
        <v>0</v>
      </c>
      <c r="AV87" s="311">
        <v>53</v>
      </c>
      <c r="AW87" s="311" t="s">
        <v>874</v>
      </c>
      <c r="AX87" s="311">
        <v>8</v>
      </c>
      <c r="AY87" s="311" t="s">
        <v>874</v>
      </c>
      <c r="AZ87" s="329">
        <v>0.19</v>
      </c>
      <c r="BA87" s="329">
        <v>0.5</v>
      </c>
      <c r="BB87" s="329">
        <v>0.25</v>
      </c>
      <c r="BC87" s="329">
        <v>0.06</v>
      </c>
      <c r="BD87" s="329">
        <v>0</v>
      </c>
      <c r="BE87" s="426">
        <v>55</v>
      </c>
      <c r="BF87" s="426" t="s">
        <v>874</v>
      </c>
      <c r="BG87" s="426">
        <v>13</v>
      </c>
      <c r="BH87" s="426" t="s">
        <v>874</v>
      </c>
      <c r="BI87" s="430">
        <v>0.38</v>
      </c>
      <c r="BJ87" s="430">
        <v>0.31</v>
      </c>
      <c r="BK87" s="430">
        <v>0.15</v>
      </c>
      <c r="BL87" s="430">
        <v>0.08</v>
      </c>
      <c r="BM87" s="430">
        <v>0.08</v>
      </c>
      <c r="BN87" s="466">
        <v>55</v>
      </c>
      <c r="BO87" s="466" t="s">
        <v>874</v>
      </c>
      <c r="BP87" s="466">
        <v>12</v>
      </c>
      <c r="BQ87" s="466" t="s">
        <v>874</v>
      </c>
      <c r="BR87" s="480">
        <v>0.19</v>
      </c>
      <c r="BS87" s="480">
        <v>0.48</v>
      </c>
      <c r="BT87" s="480">
        <v>0.14000000000000001</v>
      </c>
      <c r="BU87" s="480">
        <v>0.14000000000000001</v>
      </c>
      <c r="BV87" s="480">
        <v>0.05</v>
      </c>
    </row>
    <row r="88" spans="1:74" ht="24.95" customHeight="1" x14ac:dyDescent="0.2">
      <c r="A88" s="126" t="s">
        <v>110</v>
      </c>
      <c r="B88" s="1" t="s">
        <v>221</v>
      </c>
      <c r="C88" s="2">
        <v>2</v>
      </c>
      <c r="D88" s="12">
        <v>65</v>
      </c>
      <c r="E88" s="12">
        <v>9</v>
      </c>
      <c r="F88" s="66">
        <v>0.06</v>
      </c>
      <c r="G88" s="66">
        <v>0.12</v>
      </c>
      <c r="H88" s="66">
        <v>0.36</v>
      </c>
      <c r="I88" s="66">
        <v>0.45</v>
      </c>
      <c r="J88" s="66">
        <v>0.01</v>
      </c>
      <c r="K88" s="12">
        <v>63</v>
      </c>
      <c r="L88" s="12">
        <v>8</v>
      </c>
      <c r="M88" s="61">
        <v>0.04</v>
      </c>
      <c r="N88" s="61">
        <v>0.22</v>
      </c>
      <c r="O88" s="61">
        <v>0.48</v>
      </c>
      <c r="P88" s="61">
        <v>0.22</v>
      </c>
      <c r="Q88" s="61">
        <v>0.04</v>
      </c>
      <c r="R88" s="12">
        <v>64</v>
      </c>
      <c r="S88" s="12">
        <v>8</v>
      </c>
      <c r="T88" s="63">
        <v>0</v>
      </c>
      <c r="U88" s="63">
        <v>0.27</v>
      </c>
      <c r="V88" s="63">
        <v>0.43</v>
      </c>
      <c r="W88" s="63">
        <v>0.24</v>
      </c>
      <c r="X88" s="63">
        <v>0.06</v>
      </c>
      <c r="Y88" s="12">
        <v>67</v>
      </c>
      <c r="Z88" s="12">
        <v>9</v>
      </c>
      <c r="AA88" s="63">
        <v>0</v>
      </c>
      <c r="AB88" s="63">
        <v>0.13</v>
      </c>
      <c r="AC88" s="63">
        <v>0.4</v>
      </c>
      <c r="AD88" s="63">
        <v>0.43</v>
      </c>
      <c r="AE88" s="63">
        <v>0.05</v>
      </c>
      <c r="AF88" s="25">
        <v>65</v>
      </c>
      <c r="AG88" s="25">
        <v>11</v>
      </c>
      <c r="AH88" s="61">
        <v>0.1</v>
      </c>
      <c r="AI88" s="61">
        <v>0.19</v>
      </c>
      <c r="AJ88" s="61">
        <v>0.33</v>
      </c>
      <c r="AK88" s="61">
        <v>0.31</v>
      </c>
      <c r="AL88" s="61">
        <v>7.0000000000000007E-2</v>
      </c>
      <c r="AM88" s="247">
        <v>65</v>
      </c>
      <c r="AN88" s="247" t="s">
        <v>875</v>
      </c>
      <c r="AO88" s="247">
        <v>9</v>
      </c>
      <c r="AP88" s="247" t="s">
        <v>874</v>
      </c>
      <c r="AQ88" s="264">
        <v>0.08</v>
      </c>
      <c r="AR88" s="264">
        <v>0.11</v>
      </c>
      <c r="AS88" s="264">
        <v>0.39</v>
      </c>
      <c r="AT88" s="264">
        <v>0.37</v>
      </c>
      <c r="AU88" s="264">
        <v>0.05</v>
      </c>
      <c r="AV88" s="311">
        <v>71</v>
      </c>
      <c r="AW88" s="311" t="s">
        <v>875</v>
      </c>
      <c r="AX88" s="311">
        <v>8</v>
      </c>
      <c r="AY88" s="311" t="s">
        <v>874</v>
      </c>
      <c r="AZ88" s="329">
        <v>0</v>
      </c>
      <c r="BA88" s="329">
        <v>0.09</v>
      </c>
      <c r="BB88" s="329">
        <v>0.17</v>
      </c>
      <c r="BC88" s="329">
        <v>0.56999999999999995</v>
      </c>
      <c r="BD88" s="329">
        <v>0.17</v>
      </c>
      <c r="BE88" s="426">
        <v>71</v>
      </c>
      <c r="BF88" s="426" t="s">
        <v>875</v>
      </c>
      <c r="BG88" s="426">
        <v>6</v>
      </c>
      <c r="BH88" s="426" t="s">
        <v>876</v>
      </c>
      <c r="BI88" s="430">
        <v>0</v>
      </c>
      <c r="BJ88" s="430">
        <v>0</v>
      </c>
      <c r="BK88" s="430">
        <v>0.24</v>
      </c>
      <c r="BL88" s="430">
        <v>0.65</v>
      </c>
      <c r="BM88" s="430">
        <v>0.12</v>
      </c>
      <c r="BN88" s="466">
        <v>72</v>
      </c>
      <c r="BO88" s="466" t="s">
        <v>875</v>
      </c>
      <c r="BP88" s="466">
        <v>9</v>
      </c>
      <c r="BQ88" s="466" t="s">
        <v>874</v>
      </c>
      <c r="BR88" s="480">
        <v>0</v>
      </c>
      <c r="BS88" s="480">
        <v>0.04</v>
      </c>
      <c r="BT88" s="480">
        <v>0.32</v>
      </c>
      <c r="BU88" s="480">
        <v>0.43</v>
      </c>
      <c r="BV88" s="480">
        <v>0.21</v>
      </c>
    </row>
    <row r="89" spans="1:74" ht="24.95" customHeight="1" x14ac:dyDescent="0.2">
      <c r="A89" s="126" t="s">
        <v>926</v>
      </c>
      <c r="B89" s="14" t="s">
        <v>221</v>
      </c>
      <c r="C89" s="2">
        <v>6</v>
      </c>
      <c r="D89" s="12"/>
      <c r="E89" s="12"/>
      <c r="F89" s="66"/>
      <c r="G89" s="66"/>
      <c r="H89" s="66"/>
      <c r="I89" s="66"/>
      <c r="J89" s="66"/>
      <c r="K89" s="12"/>
      <c r="L89" s="12"/>
      <c r="M89" s="61"/>
      <c r="N89" s="61"/>
      <c r="O89" s="61"/>
      <c r="P89" s="61"/>
      <c r="Q89" s="61"/>
      <c r="R89" s="12"/>
      <c r="S89" s="12"/>
      <c r="T89" s="63"/>
      <c r="U89" s="63"/>
      <c r="V89" s="63"/>
      <c r="W89" s="63"/>
      <c r="X89" s="63"/>
      <c r="Y89" s="12"/>
      <c r="Z89" s="12"/>
      <c r="AA89" s="63"/>
      <c r="AB89" s="63"/>
      <c r="AC89" s="63"/>
      <c r="AD89" s="63"/>
      <c r="AE89" s="63"/>
      <c r="AF89" s="25"/>
      <c r="AG89" s="25"/>
      <c r="AH89" s="61"/>
      <c r="AI89" s="61"/>
      <c r="AJ89" s="61"/>
      <c r="AK89" s="61"/>
      <c r="AL89" s="61"/>
      <c r="AM89" s="247"/>
      <c r="AN89" s="247"/>
      <c r="AO89" s="247"/>
      <c r="AP89" s="247"/>
      <c r="AQ89" s="264"/>
      <c r="AR89" s="264"/>
      <c r="AS89" s="264"/>
      <c r="AT89" s="264"/>
      <c r="AU89" s="264"/>
      <c r="AV89" s="311">
        <v>46</v>
      </c>
      <c r="AW89" s="311" t="s">
        <v>874</v>
      </c>
      <c r="AX89" s="311">
        <v>11</v>
      </c>
      <c r="AY89" s="311" t="s">
        <v>874</v>
      </c>
      <c r="AZ89" s="329">
        <v>0.65</v>
      </c>
      <c r="BA89" s="329">
        <v>0.28999999999999998</v>
      </c>
      <c r="BB89" s="329">
        <v>0</v>
      </c>
      <c r="BC89" s="329">
        <v>0</v>
      </c>
      <c r="BD89" s="329">
        <v>0.06</v>
      </c>
      <c r="BE89" s="426">
        <v>50</v>
      </c>
      <c r="BF89" s="426" t="s">
        <v>874</v>
      </c>
      <c r="BG89" s="426">
        <v>0</v>
      </c>
      <c r="BH89" s="426" t="s">
        <v>876</v>
      </c>
      <c r="BI89" s="430">
        <v>0</v>
      </c>
      <c r="BJ89" s="430">
        <v>1</v>
      </c>
      <c r="BK89" s="430">
        <v>0</v>
      </c>
      <c r="BL89" s="430">
        <v>0</v>
      </c>
      <c r="BM89" s="430">
        <v>0</v>
      </c>
      <c r="BN89" s="647"/>
      <c r="BO89" s="647"/>
      <c r="BP89" s="647"/>
      <c r="BQ89" s="647"/>
      <c r="BR89" s="648"/>
      <c r="BS89" s="648"/>
      <c r="BT89" s="648"/>
      <c r="BU89" s="648"/>
      <c r="BV89" s="648"/>
    </row>
    <row r="90" spans="1:74" ht="24.95" customHeight="1" x14ac:dyDescent="0.2">
      <c r="A90" s="324" t="s">
        <v>266</v>
      </c>
      <c r="B90" s="1" t="s">
        <v>221</v>
      </c>
      <c r="C90" s="311">
        <v>3</v>
      </c>
      <c r="D90" s="330" t="s">
        <v>224</v>
      </c>
      <c r="E90" s="330" t="s">
        <v>224</v>
      </c>
      <c r="F90" s="330"/>
      <c r="G90" s="330"/>
      <c r="H90" s="330"/>
      <c r="I90" s="330"/>
      <c r="J90" s="330"/>
      <c r="K90" s="330" t="s">
        <v>224</v>
      </c>
      <c r="L90" s="330" t="s">
        <v>224</v>
      </c>
      <c r="M90" s="332"/>
      <c r="N90" s="332"/>
      <c r="O90" s="332"/>
      <c r="P90" s="332"/>
      <c r="Q90" s="332"/>
      <c r="R90" s="330" t="s">
        <v>224</v>
      </c>
      <c r="S90" s="330" t="s">
        <v>224</v>
      </c>
      <c r="T90" s="311"/>
      <c r="U90" s="311"/>
      <c r="V90" s="311"/>
      <c r="W90" s="311"/>
      <c r="X90" s="311"/>
      <c r="Y90" s="330" t="s">
        <v>224</v>
      </c>
      <c r="Z90" s="330" t="s">
        <v>224</v>
      </c>
      <c r="AA90" s="311"/>
      <c r="AB90" s="311"/>
      <c r="AC90" s="311"/>
      <c r="AD90" s="311"/>
      <c r="AE90" s="311"/>
      <c r="AF90" s="331">
        <v>52</v>
      </c>
      <c r="AG90" s="331">
        <v>9</v>
      </c>
      <c r="AH90" s="332">
        <v>0.25</v>
      </c>
      <c r="AI90" s="332">
        <v>0.5</v>
      </c>
      <c r="AJ90" s="332">
        <v>0.25</v>
      </c>
      <c r="AK90" s="332">
        <v>0</v>
      </c>
      <c r="AL90" s="332">
        <v>0</v>
      </c>
      <c r="AM90" s="314">
        <v>62</v>
      </c>
      <c r="AN90" s="314" t="s">
        <v>875</v>
      </c>
      <c r="AO90" s="314">
        <v>13</v>
      </c>
      <c r="AP90" s="314" t="s">
        <v>874</v>
      </c>
      <c r="AQ90" s="334">
        <v>0.11</v>
      </c>
      <c r="AR90" s="334">
        <v>0.22</v>
      </c>
      <c r="AS90" s="334">
        <v>0.33</v>
      </c>
      <c r="AT90" s="334">
        <v>0.22</v>
      </c>
      <c r="AU90" s="334">
        <v>0.11</v>
      </c>
      <c r="AV90" s="311">
        <v>67</v>
      </c>
      <c r="AW90" s="311" t="s">
        <v>875</v>
      </c>
      <c r="AX90" s="311">
        <v>7</v>
      </c>
      <c r="AY90" s="311" t="s">
        <v>876</v>
      </c>
      <c r="AZ90" s="329">
        <v>0</v>
      </c>
      <c r="BA90" s="329">
        <v>0.11</v>
      </c>
      <c r="BB90" s="329">
        <v>0.28000000000000003</v>
      </c>
      <c r="BC90" s="329">
        <v>0.61</v>
      </c>
      <c r="BD90" s="329">
        <v>0</v>
      </c>
      <c r="BE90" s="426">
        <v>63</v>
      </c>
      <c r="BF90" s="426" t="s">
        <v>875</v>
      </c>
      <c r="BG90" s="426">
        <v>11</v>
      </c>
      <c r="BH90" s="426" t="s">
        <v>874</v>
      </c>
      <c r="BI90" s="430">
        <v>0.1</v>
      </c>
      <c r="BJ90" s="430">
        <v>0.2</v>
      </c>
      <c r="BK90" s="430">
        <v>0.4</v>
      </c>
      <c r="BL90" s="430">
        <v>0.2</v>
      </c>
      <c r="BM90" s="430">
        <v>0.1</v>
      </c>
      <c r="BN90" s="660">
        <v>65</v>
      </c>
      <c r="BO90" s="660" t="s">
        <v>875</v>
      </c>
      <c r="BP90" s="660">
        <v>13</v>
      </c>
      <c r="BQ90" s="660" t="s">
        <v>874</v>
      </c>
      <c r="BR90" s="661">
        <v>0.06</v>
      </c>
      <c r="BS90" s="661">
        <v>0.17</v>
      </c>
      <c r="BT90" s="661">
        <v>0.39</v>
      </c>
      <c r="BU90" s="661">
        <v>0.22</v>
      </c>
      <c r="BV90" s="661">
        <v>0.17</v>
      </c>
    </row>
    <row r="91" spans="1:74" ht="24.95" customHeight="1" x14ac:dyDescent="0.2">
      <c r="A91" s="126" t="s">
        <v>232</v>
      </c>
      <c r="B91" s="1" t="s">
        <v>221</v>
      </c>
      <c r="C91" s="2">
        <v>5</v>
      </c>
      <c r="D91" s="12" t="s">
        <v>224</v>
      </c>
      <c r="E91" s="12" t="s">
        <v>224</v>
      </c>
      <c r="F91" s="12"/>
      <c r="G91" s="12"/>
      <c r="H91" s="12"/>
      <c r="I91" s="12"/>
      <c r="J91" s="12"/>
      <c r="K91" s="12" t="s">
        <v>224</v>
      </c>
      <c r="L91" s="12" t="s">
        <v>224</v>
      </c>
      <c r="M91" s="61"/>
      <c r="N91" s="61"/>
      <c r="O91" s="61"/>
      <c r="P91" s="61"/>
      <c r="Q91" s="61"/>
      <c r="R91" s="12" t="s">
        <v>224</v>
      </c>
      <c r="S91" s="12" t="s">
        <v>224</v>
      </c>
      <c r="T91" s="2"/>
      <c r="U91" s="2"/>
      <c r="V91" s="2"/>
      <c r="W91" s="2"/>
      <c r="X91" s="2"/>
      <c r="Y91" s="12">
        <v>50</v>
      </c>
      <c r="Z91" s="12">
        <v>13</v>
      </c>
      <c r="AA91" s="63">
        <v>0.5</v>
      </c>
      <c r="AB91" s="63">
        <v>0.17</v>
      </c>
      <c r="AC91" s="63">
        <v>0.17</v>
      </c>
      <c r="AD91" s="63">
        <v>0.17</v>
      </c>
      <c r="AE91" s="63">
        <v>0</v>
      </c>
      <c r="AF91" s="25"/>
      <c r="AG91" s="25"/>
      <c r="AH91" s="61"/>
      <c r="AI91" s="61"/>
      <c r="AJ91" s="61"/>
      <c r="AK91" s="61"/>
      <c r="AL91" s="61"/>
      <c r="AM91" s="652"/>
      <c r="AN91" s="652"/>
      <c r="AO91" s="652"/>
      <c r="AP91" s="652"/>
      <c r="AQ91" s="652"/>
      <c r="AR91" s="652"/>
      <c r="AS91" s="652"/>
      <c r="AT91" s="652"/>
      <c r="AU91" s="652"/>
      <c r="AV91" s="655"/>
      <c r="AW91" s="655"/>
      <c r="AX91" s="655"/>
      <c r="AY91" s="655"/>
      <c r="AZ91" s="655"/>
      <c r="BA91" s="655"/>
      <c r="BB91" s="655"/>
      <c r="BC91" s="655"/>
      <c r="BD91" s="655"/>
      <c r="BE91" s="657"/>
      <c r="BF91" s="657"/>
      <c r="BG91" s="657"/>
      <c r="BH91" s="657"/>
      <c r="BI91" s="657"/>
      <c r="BJ91" s="657"/>
      <c r="BK91" s="657"/>
      <c r="BL91" s="657"/>
      <c r="BM91" s="657"/>
      <c r="BN91" s="656"/>
      <c r="BO91" s="656"/>
      <c r="BP91" s="656"/>
      <c r="BQ91" s="656"/>
      <c r="BR91" s="656"/>
      <c r="BS91" s="656"/>
      <c r="BT91" s="656"/>
      <c r="BU91" s="656"/>
      <c r="BV91" s="656"/>
    </row>
    <row r="92" spans="1:74" ht="24.95" customHeight="1" x14ac:dyDescent="0.2">
      <c r="A92" s="36" t="s">
        <v>153</v>
      </c>
      <c r="B92" s="1" t="s">
        <v>221</v>
      </c>
      <c r="C92" s="2">
        <v>2</v>
      </c>
      <c r="D92" s="12">
        <v>60</v>
      </c>
      <c r="E92" s="12">
        <v>8</v>
      </c>
      <c r="F92" s="66">
        <v>7.0000000000000007E-2</v>
      </c>
      <c r="G92" s="66">
        <v>0.41</v>
      </c>
      <c r="H92" s="66">
        <v>0.34</v>
      </c>
      <c r="I92" s="66">
        <v>0.14000000000000001</v>
      </c>
      <c r="J92" s="66">
        <v>0.03</v>
      </c>
      <c r="K92" s="12">
        <v>55</v>
      </c>
      <c r="L92" s="12">
        <v>9</v>
      </c>
      <c r="M92" s="61">
        <v>0.27</v>
      </c>
      <c r="N92" s="61">
        <v>0.23</v>
      </c>
      <c r="O92" s="61">
        <v>0.4</v>
      </c>
      <c r="P92" s="61">
        <v>0.1</v>
      </c>
      <c r="Q92" s="61">
        <v>0</v>
      </c>
      <c r="R92" s="12">
        <v>55</v>
      </c>
      <c r="S92" s="12">
        <v>8</v>
      </c>
      <c r="T92" s="63">
        <v>0.21</v>
      </c>
      <c r="U92" s="63">
        <v>0.44</v>
      </c>
      <c r="V92" s="63">
        <v>0.28999999999999998</v>
      </c>
      <c r="W92" s="63">
        <v>0.06</v>
      </c>
      <c r="X92" s="63">
        <v>0</v>
      </c>
      <c r="Y92" s="12">
        <v>54</v>
      </c>
      <c r="Z92" s="12">
        <v>10</v>
      </c>
      <c r="AA92" s="63">
        <v>0.26</v>
      </c>
      <c r="AB92" s="63">
        <v>0.3</v>
      </c>
      <c r="AC92" s="63">
        <v>0.33</v>
      </c>
      <c r="AD92" s="63">
        <v>0.11</v>
      </c>
      <c r="AE92" s="63">
        <v>0</v>
      </c>
      <c r="AF92" s="25">
        <v>51</v>
      </c>
      <c r="AG92" s="25">
        <v>10</v>
      </c>
      <c r="AH92" s="61">
        <v>0.37</v>
      </c>
      <c r="AI92" s="61">
        <v>0.4</v>
      </c>
      <c r="AJ92" s="61">
        <v>0.14000000000000001</v>
      </c>
      <c r="AK92" s="61">
        <v>0.09</v>
      </c>
      <c r="AL92" s="61">
        <v>0</v>
      </c>
      <c r="AM92" s="653">
        <v>55</v>
      </c>
      <c r="AN92" s="653" t="s">
        <v>874</v>
      </c>
      <c r="AO92" s="653">
        <v>8</v>
      </c>
      <c r="AP92" s="653" t="s">
        <v>874</v>
      </c>
      <c r="AQ92" s="654">
        <v>0.22</v>
      </c>
      <c r="AR92" s="654">
        <v>0.38</v>
      </c>
      <c r="AS92" s="654">
        <v>0.32</v>
      </c>
      <c r="AT92" s="654">
        <v>0.08</v>
      </c>
      <c r="AU92" s="654">
        <v>0</v>
      </c>
      <c r="AV92" s="74">
        <v>55</v>
      </c>
      <c r="AW92" s="74" t="s">
        <v>874</v>
      </c>
      <c r="AX92" s="74">
        <v>11</v>
      </c>
      <c r="AY92" s="74" t="s">
        <v>874</v>
      </c>
      <c r="AZ92" s="96">
        <v>0.23</v>
      </c>
      <c r="BA92" s="96">
        <v>0.28999999999999998</v>
      </c>
      <c r="BB92" s="96">
        <v>0.35</v>
      </c>
      <c r="BC92" s="96">
        <v>0.13</v>
      </c>
      <c r="BD92" s="96">
        <v>0</v>
      </c>
      <c r="BE92" s="658">
        <v>55</v>
      </c>
      <c r="BF92" s="658" t="s">
        <v>874</v>
      </c>
      <c r="BG92" s="658">
        <v>9</v>
      </c>
      <c r="BH92" s="658" t="s">
        <v>874</v>
      </c>
      <c r="BI92" s="659">
        <v>0.21</v>
      </c>
      <c r="BJ92" s="659">
        <v>0.48</v>
      </c>
      <c r="BK92" s="659">
        <v>0.18</v>
      </c>
      <c r="BL92" s="659">
        <v>0.12</v>
      </c>
      <c r="BM92" s="659">
        <v>0</v>
      </c>
      <c r="BN92" s="74">
        <v>54</v>
      </c>
      <c r="BO92" s="74" t="s">
        <v>874</v>
      </c>
      <c r="BP92" s="74">
        <v>8</v>
      </c>
      <c r="BQ92" s="74" t="s">
        <v>874</v>
      </c>
      <c r="BR92" s="96">
        <v>0.13</v>
      </c>
      <c r="BS92" s="96">
        <v>0.53</v>
      </c>
      <c r="BT92" s="96">
        <v>0.27</v>
      </c>
      <c r="BU92" s="96">
        <v>7.0000000000000007E-2</v>
      </c>
      <c r="BV92" s="96">
        <v>0</v>
      </c>
    </row>
    <row r="93" spans="1:74" ht="24.95" customHeight="1" x14ac:dyDescent="0.2">
      <c r="A93" s="126" t="s">
        <v>136</v>
      </c>
      <c r="B93" s="1" t="s">
        <v>221</v>
      </c>
      <c r="C93" s="2">
        <v>4</v>
      </c>
      <c r="D93" s="12">
        <v>51</v>
      </c>
      <c r="E93" s="12">
        <v>7</v>
      </c>
      <c r="F93" s="66">
        <v>0.27</v>
      </c>
      <c r="G93" s="66">
        <v>0.62</v>
      </c>
      <c r="H93" s="66">
        <v>0.12</v>
      </c>
      <c r="I93" s="66">
        <v>0</v>
      </c>
      <c r="J93" s="66">
        <v>0</v>
      </c>
      <c r="K93" s="12">
        <v>49</v>
      </c>
      <c r="L93" s="12">
        <v>7</v>
      </c>
      <c r="M93" s="61">
        <v>0.39</v>
      </c>
      <c r="N93" s="61">
        <v>0.56000000000000005</v>
      </c>
      <c r="O93" s="61">
        <v>0.06</v>
      </c>
      <c r="P93" s="61">
        <v>0</v>
      </c>
      <c r="Q93" s="61">
        <v>0</v>
      </c>
      <c r="R93" s="12">
        <v>48</v>
      </c>
      <c r="S93" s="12">
        <v>8</v>
      </c>
      <c r="T93" s="63">
        <v>0.47</v>
      </c>
      <c r="U93" s="63">
        <v>0.39</v>
      </c>
      <c r="V93" s="63">
        <v>0.14000000000000001</v>
      </c>
      <c r="W93" s="63">
        <v>0</v>
      </c>
      <c r="X93" s="63">
        <v>0</v>
      </c>
      <c r="Y93" s="12">
        <v>48</v>
      </c>
      <c r="Z93" s="12">
        <v>9</v>
      </c>
      <c r="AA93" s="63">
        <v>0.48</v>
      </c>
      <c r="AB93" s="63">
        <v>0.38</v>
      </c>
      <c r="AC93" s="63">
        <v>0.1</v>
      </c>
      <c r="AD93" s="63">
        <v>0.02</v>
      </c>
      <c r="AE93" s="63">
        <v>0.02</v>
      </c>
      <c r="AF93" s="25">
        <v>48</v>
      </c>
      <c r="AG93" s="25">
        <v>8</v>
      </c>
      <c r="AH93" s="61">
        <v>0.46</v>
      </c>
      <c r="AI93" s="61">
        <v>0.38</v>
      </c>
      <c r="AJ93" s="61">
        <v>0.15</v>
      </c>
      <c r="AK93" s="61">
        <v>0</v>
      </c>
      <c r="AL93" s="61">
        <v>0</v>
      </c>
      <c r="AM93" s="247">
        <v>50</v>
      </c>
      <c r="AN93" s="247" t="s">
        <v>874</v>
      </c>
      <c r="AO93" s="247">
        <v>11</v>
      </c>
      <c r="AP93" s="247" t="s">
        <v>874</v>
      </c>
      <c r="AQ93" s="264">
        <v>0.4</v>
      </c>
      <c r="AR93" s="264">
        <v>0.4</v>
      </c>
      <c r="AS93" s="264">
        <v>0.11</v>
      </c>
      <c r="AT93" s="264">
        <v>0.09</v>
      </c>
      <c r="AU93" s="264">
        <v>0</v>
      </c>
      <c r="AV93" s="311">
        <v>52</v>
      </c>
      <c r="AW93" s="311" t="s">
        <v>874</v>
      </c>
      <c r="AX93" s="311">
        <v>9</v>
      </c>
      <c r="AY93" s="311" t="s">
        <v>874</v>
      </c>
      <c r="AZ93" s="329">
        <v>0.33</v>
      </c>
      <c r="BA93" s="329">
        <v>0.44</v>
      </c>
      <c r="BB93" s="329">
        <v>0.17</v>
      </c>
      <c r="BC93" s="329">
        <v>0.06</v>
      </c>
      <c r="BD93" s="329">
        <v>0</v>
      </c>
      <c r="BE93" s="426">
        <v>50</v>
      </c>
      <c r="BF93" s="426" t="s">
        <v>874</v>
      </c>
      <c r="BG93" s="426">
        <v>11</v>
      </c>
      <c r="BH93" s="426" t="s">
        <v>874</v>
      </c>
      <c r="BI93" s="430">
        <v>0.44</v>
      </c>
      <c r="BJ93" s="430">
        <v>0.33</v>
      </c>
      <c r="BK93" s="430">
        <v>0.16</v>
      </c>
      <c r="BL93" s="430">
        <v>0.05</v>
      </c>
      <c r="BM93" s="430">
        <v>0.01</v>
      </c>
      <c r="BN93" s="466">
        <v>51</v>
      </c>
      <c r="BO93" s="466" t="s">
        <v>874</v>
      </c>
      <c r="BP93" s="466">
        <v>9</v>
      </c>
      <c r="BQ93" s="466" t="s">
        <v>874</v>
      </c>
      <c r="BR93" s="480">
        <v>0.4</v>
      </c>
      <c r="BS93" s="480">
        <v>0.35</v>
      </c>
      <c r="BT93" s="480">
        <v>0.2</v>
      </c>
      <c r="BU93" s="480">
        <v>0.04</v>
      </c>
      <c r="BV93" s="480">
        <v>0.01</v>
      </c>
    </row>
    <row r="94" spans="1:74" ht="24.95" customHeight="1" x14ac:dyDescent="0.2">
      <c r="A94" s="126" t="s">
        <v>97</v>
      </c>
      <c r="B94" s="1" t="s">
        <v>221</v>
      </c>
      <c r="C94" s="2">
        <v>2</v>
      </c>
      <c r="D94" s="12">
        <v>56</v>
      </c>
      <c r="E94" s="12">
        <v>11</v>
      </c>
      <c r="F94" s="66">
        <v>0.28999999999999998</v>
      </c>
      <c r="G94" s="66">
        <v>0.28999999999999998</v>
      </c>
      <c r="H94" s="66">
        <v>0.43</v>
      </c>
      <c r="I94" s="66">
        <v>0</v>
      </c>
      <c r="J94" s="66">
        <v>0</v>
      </c>
      <c r="K94" s="12">
        <v>48</v>
      </c>
      <c r="L94" s="12">
        <v>6</v>
      </c>
      <c r="M94" s="61">
        <v>0.56000000000000005</v>
      </c>
      <c r="N94" s="61">
        <v>0.33</v>
      </c>
      <c r="O94" s="61">
        <v>0.11</v>
      </c>
      <c r="P94" s="61">
        <v>0</v>
      </c>
      <c r="Q94" s="61">
        <v>0</v>
      </c>
      <c r="R94" s="12">
        <v>49</v>
      </c>
      <c r="S94" s="12">
        <v>6</v>
      </c>
      <c r="T94" s="63">
        <v>0.17</v>
      </c>
      <c r="U94" s="63">
        <v>0.83</v>
      </c>
      <c r="V94" s="63">
        <v>0</v>
      </c>
      <c r="W94" s="63">
        <v>0</v>
      </c>
      <c r="X94" s="63">
        <v>0</v>
      </c>
      <c r="Y94" s="12">
        <v>50</v>
      </c>
      <c r="Z94" s="12">
        <v>8</v>
      </c>
      <c r="AA94" s="63">
        <v>0.33</v>
      </c>
      <c r="AB94" s="63">
        <v>0.56000000000000005</v>
      </c>
      <c r="AC94" s="63">
        <v>0.11</v>
      </c>
      <c r="AD94" s="63">
        <v>0</v>
      </c>
      <c r="AE94" s="63">
        <v>0</v>
      </c>
      <c r="AF94" s="25">
        <v>44</v>
      </c>
      <c r="AG94" s="25">
        <v>6</v>
      </c>
      <c r="AH94" s="61">
        <v>0.73</v>
      </c>
      <c r="AI94" s="61">
        <v>0.27</v>
      </c>
      <c r="AJ94" s="61">
        <v>0</v>
      </c>
      <c r="AK94" s="61">
        <v>0</v>
      </c>
      <c r="AL94" s="61">
        <v>0</v>
      </c>
      <c r="AM94" s="247">
        <v>48</v>
      </c>
      <c r="AN94" s="247" t="s">
        <v>874</v>
      </c>
      <c r="AO94" s="247">
        <v>11</v>
      </c>
      <c r="AP94" s="247" t="s">
        <v>874</v>
      </c>
      <c r="AQ94" s="264">
        <v>0.33</v>
      </c>
      <c r="AR94" s="264">
        <v>0.33</v>
      </c>
      <c r="AS94" s="264">
        <v>0.33</v>
      </c>
      <c r="AT94" s="264">
        <v>0</v>
      </c>
      <c r="AU94" s="264">
        <v>0</v>
      </c>
      <c r="AV94" s="311">
        <v>51</v>
      </c>
      <c r="AW94" s="311" t="s">
        <v>874</v>
      </c>
      <c r="AX94" s="311">
        <v>18</v>
      </c>
      <c r="AY94" s="311" t="s">
        <v>875</v>
      </c>
      <c r="AZ94" s="329">
        <v>0.33</v>
      </c>
      <c r="BA94" s="329">
        <v>0.33</v>
      </c>
      <c r="BB94" s="329">
        <v>0</v>
      </c>
      <c r="BC94" s="329">
        <v>0.33</v>
      </c>
      <c r="BD94" s="329">
        <v>0</v>
      </c>
      <c r="BE94" s="426">
        <v>55</v>
      </c>
      <c r="BF94" s="426" t="s">
        <v>874</v>
      </c>
      <c r="BG94" s="426">
        <v>7</v>
      </c>
      <c r="BH94" s="426" t="s">
        <v>876</v>
      </c>
      <c r="BI94" s="430">
        <v>0</v>
      </c>
      <c r="BJ94" s="430">
        <v>0.88</v>
      </c>
      <c r="BK94" s="430">
        <v>0</v>
      </c>
      <c r="BL94" s="430">
        <v>0.13</v>
      </c>
      <c r="BM94" s="430">
        <v>0</v>
      </c>
      <c r="BN94" s="466">
        <v>60</v>
      </c>
      <c r="BO94" s="466" t="s">
        <v>874</v>
      </c>
      <c r="BP94" s="466">
        <v>4</v>
      </c>
      <c r="BQ94" s="466" t="s">
        <v>876</v>
      </c>
      <c r="BR94" s="480">
        <v>0</v>
      </c>
      <c r="BS94" s="480">
        <v>0.33</v>
      </c>
      <c r="BT94" s="480">
        <v>0.67</v>
      </c>
      <c r="BU94" s="480">
        <v>0</v>
      </c>
      <c r="BV94" s="480">
        <v>0</v>
      </c>
    </row>
    <row r="95" spans="1:74" ht="24.95" customHeight="1" x14ac:dyDescent="0.2">
      <c r="A95" s="126" t="s">
        <v>180</v>
      </c>
      <c r="B95" s="1" t="s">
        <v>221</v>
      </c>
      <c r="C95" s="2">
        <v>3</v>
      </c>
      <c r="D95" s="12">
        <v>58</v>
      </c>
      <c r="E95" s="12">
        <v>7</v>
      </c>
      <c r="F95" s="66">
        <v>0.03</v>
      </c>
      <c r="G95" s="66">
        <v>0.5</v>
      </c>
      <c r="H95" s="66">
        <v>0.37</v>
      </c>
      <c r="I95" s="66">
        <v>0.1</v>
      </c>
      <c r="J95" s="66">
        <v>0</v>
      </c>
      <c r="K95" s="12">
        <v>55</v>
      </c>
      <c r="L95" s="12">
        <v>10</v>
      </c>
      <c r="M95" s="61">
        <v>0.22</v>
      </c>
      <c r="N95" s="61">
        <v>0.34</v>
      </c>
      <c r="O95" s="61">
        <v>0.31</v>
      </c>
      <c r="P95" s="61">
        <v>0.13</v>
      </c>
      <c r="Q95" s="61">
        <v>0</v>
      </c>
      <c r="R95" s="12">
        <v>57</v>
      </c>
      <c r="S95" s="12">
        <v>8</v>
      </c>
      <c r="T95" s="63">
        <v>0.09</v>
      </c>
      <c r="U95" s="63">
        <v>0.47</v>
      </c>
      <c r="V95" s="63">
        <v>0.34</v>
      </c>
      <c r="W95" s="63">
        <v>0.06</v>
      </c>
      <c r="X95" s="63">
        <v>0.03</v>
      </c>
      <c r="Y95" s="12">
        <v>54</v>
      </c>
      <c r="Z95" s="12">
        <v>10</v>
      </c>
      <c r="AA95" s="63">
        <v>0.17</v>
      </c>
      <c r="AB95" s="63">
        <v>0.46</v>
      </c>
      <c r="AC95" s="63">
        <v>0.28999999999999998</v>
      </c>
      <c r="AD95" s="63">
        <v>0.08</v>
      </c>
      <c r="AE95" s="63">
        <v>0</v>
      </c>
      <c r="AF95" s="25">
        <v>52</v>
      </c>
      <c r="AG95" s="25">
        <v>10</v>
      </c>
      <c r="AH95" s="61">
        <v>0.37</v>
      </c>
      <c r="AI95" s="61">
        <v>0.38</v>
      </c>
      <c r="AJ95" s="61">
        <v>0.16</v>
      </c>
      <c r="AK95" s="61">
        <v>0.1</v>
      </c>
      <c r="AL95" s="61">
        <v>0</v>
      </c>
      <c r="AM95" s="247">
        <v>58</v>
      </c>
      <c r="AN95" s="247" t="s">
        <v>874</v>
      </c>
      <c r="AO95" s="247">
        <v>9</v>
      </c>
      <c r="AP95" s="247" t="s">
        <v>874</v>
      </c>
      <c r="AQ95" s="264">
        <v>0.11</v>
      </c>
      <c r="AR95" s="264">
        <v>0.33</v>
      </c>
      <c r="AS95" s="264">
        <v>0.4</v>
      </c>
      <c r="AT95" s="264">
        <v>0.15</v>
      </c>
      <c r="AU95" s="264">
        <v>0.01</v>
      </c>
      <c r="AV95" s="311">
        <v>57</v>
      </c>
      <c r="AW95" s="311" t="s">
        <v>874</v>
      </c>
      <c r="AX95" s="311">
        <v>10</v>
      </c>
      <c r="AY95" s="311" t="s">
        <v>874</v>
      </c>
      <c r="AZ95" s="329">
        <v>0.18</v>
      </c>
      <c r="BA95" s="329">
        <v>0.3</v>
      </c>
      <c r="BB95" s="329">
        <v>0.39</v>
      </c>
      <c r="BC95" s="329">
        <v>0.14000000000000001</v>
      </c>
      <c r="BD95" s="329">
        <v>0</v>
      </c>
      <c r="BE95" s="426">
        <v>58</v>
      </c>
      <c r="BF95" s="426" t="s">
        <v>874</v>
      </c>
      <c r="BG95" s="426">
        <v>9</v>
      </c>
      <c r="BH95" s="426" t="s">
        <v>874</v>
      </c>
      <c r="BI95" s="430">
        <v>0.1</v>
      </c>
      <c r="BJ95" s="430">
        <v>0.4</v>
      </c>
      <c r="BK95" s="430">
        <v>0.35</v>
      </c>
      <c r="BL95" s="430">
        <v>0.13</v>
      </c>
      <c r="BM95" s="430">
        <v>0.02</v>
      </c>
      <c r="BN95" s="466">
        <v>57</v>
      </c>
      <c r="BO95" s="466" t="s">
        <v>874</v>
      </c>
      <c r="BP95" s="466">
        <v>11</v>
      </c>
      <c r="BQ95" s="466" t="s">
        <v>874</v>
      </c>
      <c r="BR95" s="480">
        <v>0.19</v>
      </c>
      <c r="BS95" s="480">
        <v>0.37</v>
      </c>
      <c r="BT95" s="480">
        <v>0.27</v>
      </c>
      <c r="BU95" s="480">
        <v>0.15</v>
      </c>
      <c r="BV95" s="480">
        <v>0.02</v>
      </c>
    </row>
    <row r="96" spans="1:74" ht="24.95" customHeight="1" x14ac:dyDescent="0.2">
      <c r="A96" s="126" t="s">
        <v>170</v>
      </c>
      <c r="B96" s="1" t="s">
        <v>221</v>
      </c>
      <c r="C96" s="2">
        <v>2</v>
      </c>
      <c r="D96" s="12">
        <v>62</v>
      </c>
      <c r="E96" s="12">
        <v>6</v>
      </c>
      <c r="F96" s="66">
        <v>0.02</v>
      </c>
      <c r="G96" s="66">
        <v>0.22</v>
      </c>
      <c r="H96" s="66">
        <v>0.51</v>
      </c>
      <c r="I96" s="66">
        <v>0.24</v>
      </c>
      <c r="J96" s="66">
        <v>0</v>
      </c>
      <c r="K96" s="12">
        <v>56</v>
      </c>
      <c r="L96" s="12">
        <v>7</v>
      </c>
      <c r="M96" s="61">
        <v>0.11</v>
      </c>
      <c r="N96" s="61">
        <v>0.44</v>
      </c>
      <c r="O96" s="61">
        <v>0.39</v>
      </c>
      <c r="P96" s="61">
        <v>0.06</v>
      </c>
      <c r="Q96" s="61">
        <v>0</v>
      </c>
      <c r="R96" s="12">
        <v>60</v>
      </c>
      <c r="S96" s="12">
        <v>7</v>
      </c>
      <c r="T96" s="63">
        <v>0.03</v>
      </c>
      <c r="U96" s="63">
        <v>0.39</v>
      </c>
      <c r="V96" s="63">
        <v>0.45</v>
      </c>
      <c r="W96" s="63">
        <v>0.12</v>
      </c>
      <c r="X96" s="63">
        <v>0</v>
      </c>
      <c r="Y96" s="12">
        <v>56</v>
      </c>
      <c r="Z96" s="12">
        <v>9</v>
      </c>
      <c r="AA96" s="63">
        <v>0.24</v>
      </c>
      <c r="AB96" s="63">
        <v>0.32</v>
      </c>
      <c r="AC96" s="63">
        <v>0.3</v>
      </c>
      <c r="AD96" s="63">
        <v>0.14000000000000001</v>
      </c>
      <c r="AE96" s="63">
        <v>0</v>
      </c>
      <c r="AF96" s="25">
        <v>54</v>
      </c>
      <c r="AG96" s="25">
        <v>10</v>
      </c>
      <c r="AH96" s="61">
        <v>0.28999999999999998</v>
      </c>
      <c r="AI96" s="61">
        <v>0.37</v>
      </c>
      <c r="AJ96" s="61">
        <v>0.17</v>
      </c>
      <c r="AK96" s="61">
        <v>0.17</v>
      </c>
      <c r="AL96" s="61">
        <v>0</v>
      </c>
      <c r="AM96" s="247">
        <v>58</v>
      </c>
      <c r="AN96" s="247" t="s">
        <v>874</v>
      </c>
      <c r="AO96" s="247">
        <v>11</v>
      </c>
      <c r="AP96" s="247" t="s">
        <v>874</v>
      </c>
      <c r="AQ96" s="264">
        <v>0.17</v>
      </c>
      <c r="AR96" s="264">
        <v>0.36</v>
      </c>
      <c r="AS96" s="264">
        <v>0.26</v>
      </c>
      <c r="AT96" s="264">
        <v>0.21</v>
      </c>
      <c r="AU96" s="264">
        <v>0</v>
      </c>
      <c r="AV96" s="311">
        <v>61</v>
      </c>
      <c r="AW96" s="311" t="s">
        <v>875</v>
      </c>
      <c r="AX96" s="311">
        <v>8</v>
      </c>
      <c r="AY96" s="311" t="s">
        <v>874</v>
      </c>
      <c r="AZ96" s="329">
        <v>0.03</v>
      </c>
      <c r="BA96" s="329">
        <v>0.27</v>
      </c>
      <c r="BB96" s="329">
        <v>0.46</v>
      </c>
      <c r="BC96" s="329">
        <v>0.22</v>
      </c>
      <c r="BD96" s="329">
        <v>0.03</v>
      </c>
      <c r="BE96" s="426">
        <v>58</v>
      </c>
      <c r="BF96" s="426" t="s">
        <v>874</v>
      </c>
      <c r="BG96" s="426">
        <v>12</v>
      </c>
      <c r="BH96" s="426" t="s">
        <v>874</v>
      </c>
      <c r="BI96" s="430">
        <v>0.26</v>
      </c>
      <c r="BJ96" s="430">
        <v>0.26</v>
      </c>
      <c r="BK96" s="430">
        <v>0.24</v>
      </c>
      <c r="BL96" s="430">
        <v>0.21</v>
      </c>
      <c r="BM96" s="430">
        <v>0.03</v>
      </c>
      <c r="BN96" s="466">
        <v>58</v>
      </c>
      <c r="BO96" s="466" t="s">
        <v>874</v>
      </c>
      <c r="BP96" s="466">
        <v>10</v>
      </c>
      <c r="BQ96" s="466" t="s">
        <v>874</v>
      </c>
      <c r="BR96" s="480">
        <v>0.14000000000000001</v>
      </c>
      <c r="BS96" s="480">
        <v>0.33</v>
      </c>
      <c r="BT96" s="480">
        <v>0.31</v>
      </c>
      <c r="BU96" s="480">
        <v>0.22</v>
      </c>
      <c r="BV96" s="480">
        <v>0</v>
      </c>
    </row>
    <row r="97" spans="1:74" ht="24.95" customHeight="1" x14ac:dyDescent="0.2">
      <c r="A97" s="126" t="s">
        <v>77</v>
      </c>
      <c r="B97" s="1" t="s">
        <v>221</v>
      </c>
      <c r="C97" s="2">
        <v>2</v>
      </c>
      <c r="D97" s="12">
        <v>52</v>
      </c>
      <c r="E97" s="12">
        <v>13</v>
      </c>
      <c r="F97" s="66">
        <v>0.53</v>
      </c>
      <c r="G97" s="66">
        <v>0.12</v>
      </c>
      <c r="H97" s="66">
        <v>0.24</v>
      </c>
      <c r="I97" s="66">
        <v>0.06</v>
      </c>
      <c r="J97" s="66">
        <v>0.06</v>
      </c>
      <c r="K97" s="12">
        <v>44</v>
      </c>
      <c r="L97" s="12">
        <v>9</v>
      </c>
      <c r="M97" s="61">
        <v>0.65</v>
      </c>
      <c r="N97" s="61">
        <v>0.28999999999999998</v>
      </c>
      <c r="O97" s="61">
        <v>0.06</v>
      </c>
      <c r="P97" s="61">
        <v>0</v>
      </c>
      <c r="Q97" s="61">
        <v>0</v>
      </c>
      <c r="R97" s="12">
        <v>49</v>
      </c>
      <c r="S97" s="12">
        <v>12</v>
      </c>
      <c r="T97" s="63">
        <v>0.4</v>
      </c>
      <c r="U97" s="63">
        <v>0.33</v>
      </c>
      <c r="V97" s="63">
        <v>0.13</v>
      </c>
      <c r="W97" s="63">
        <v>0.13</v>
      </c>
      <c r="X97" s="63">
        <v>0</v>
      </c>
      <c r="Y97" s="12">
        <v>48</v>
      </c>
      <c r="Z97" s="12">
        <v>11</v>
      </c>
      <c r="AA97" s="63">
        <v>0.36</v>
      </c>
      <c r="AB97" s="63">
        <v>0.55000000000000004</v>
      </c>
      <c r="AC97" s="63">
        <v>0.09</v>
      </c>
      <c r="AD97" s="63">
        <v>0</v>
      </c>
      <c r="AE97" s="63">
        <v>0</v>
      </c>
      <c r="AF97" s="25">
        <v>47</v>
      </c>
      <c r="AG97" s="25">
        <v>8</v>
      </c>
      <c r="AH97" s="61">
        <v>0.56999999999999995</v>
      </c>
      <c r="AI97" s="61">
        <v>0.28999999999999998</v>
      </c>
      <c r="AJ97" s="61">
        <v>0.14000000000000001</v>
      </c>
      <c r="AK97" s="61">
        <v>0</v>
      </c>
      <c r="AL97" s="61">
        <v>0</v>
      </c>
      <c r="AM97" s="247">
        <v>48</v>
      </c>
      <c r="AN97" s="247" t="s">
        <v>874</v>
      </c>
      <c r="AO97" s="247">
        <v>10</v>
      </c>
      <c r="AP97" s="247" t="s">
        <v>874</v>
      </c>
      <c r="AQ97" s="264">
        <v>0.28999999999999998</v>
      </c>
      <c r="AR97" s="264">
        <v>0.56999999999999995</v>
      </c>
      <c r="AS97" s="264">
        <v>0.14000000000000001</v>
      </c>
      <c r="AT97" s="264">
        <v>0</v>
      </c>
      <c r="AU97" s="264">
        <v>0</v>
      </c>
      <c r="AV97" s="311">
        <v>51</v>
      </c>
      <c r="AW97" s="311" t="s">
        <v>874</v>
      </c>
      <c r="AX97" s="311">
        <v>12</v>
      </c>
      <c r="AY97" s="311" t="s">
        <v>874</v>
      </c>
      <c r="AZ97" s="329">
        <v>0.4</v>
      </c>
      <c r="BA97" s="329">
        <v>0.3</v>
      </c>
      <c r="BB97" s="329">
        <v>0.2</v>
      </c>
      <c r="BC97" s="329">
        <v>0.1</v>
      </c>
      <c r="BD97" s="329">
        <v>0</v>
      </c>
      <c r="BE97" s="426">
        <v>54</v>
      </c>
      <c r="BF97" s="426" t="s">
        <v>874</v>
      </c>
      <c r="BG97" s="426">
        <v>9</v>
      </c>
      <c r="BH97" s="426" t="s">
        <v>874</v>
      </c>
      <c r="BI97" s="430">
        <v>0.33</v>
      </c>
      <c r="BJ97" s="430">
        <v>0.33</v>
      </c>
      <c r="BK97" s="430">
        <v>0.17</v>
      </c>
      <c r="BL97" s="430">
        <v>0.17</v>
      </c>
      <c r="BM97" s="430">
        <v>0</v>
      </c>
      <c r="BN97" s="466">
        <v>58</v>
      </c>
      <c r="BO97" s="466" t="s">
        <v>874</v>
      </c>
      <c r="BP97" s="466">
        <v>8</v>
      </c>
      <c r="BQ97" s="466" t="s">
        <v>874</v>
      </c>
      <c r="BR97" s="480">
        <v>0</v>
      </c>
      <c r="BS97" s="480">
        <v>0.56999999999999995</v>
      </c>
      <c r="BT97" s="480">
        <v>0.28999999999999998</v>
      </c>
      <c r="BU97" s="480">
        <v>0.14000000000000001</v>
      </c>
      <c r="BV97" s="480">
        <v>0</v>
      </c>
    </row>
    <row r="98" spans="1:74" ht="24.95" customHeight="1" x14ac:dyDescent="0.2">
      <c r="A98" s="126" t="s">
        <v>36</v>
      </c>
      <c r="B98" s="1" t="s">
        <v>219</v>
      </c>
      <c r="C98" s="2" t="s">
        <v>220</v>
      </c>
      <c r="D98" s="12">
        <v>48</v>
      </c>
      <c r="E98" s="12">
        <v>7</v>
      </c>
      <c r="F98" s="66">
        <v>0.51</v>
      </c>
      <c r="G98" s="66">
        <v>0.41</v>
      </c>
      <c r="H98" s="66">
        <v>7.0000000000000007E-2</v>
      </c>
      <c r="I98" s="66">
        <v>0</v>
      </c>
      <c r="J98" s="66">
        <v>0</v>
      </c>
      <c r="K98" s="12">
        <v>44</v>
      </c>
      <c r="L98" s="12">
        <v>7</v>
      </c>
      <c r="M98" s="61">
        <v>0.81</v>
      </c>
      <c r="N98" s="61">
        <v>0.17</v>
      </c>
      <c r="O98" s="61">
        <v>0.02</v>
      </c>
      <c r="P98" s="61">
        <v>0</v>
      </c>
      <c r="Q98" s="61">
        <v>0</v>
      </c>
      <c r="R98" s="12">
        <v>45</v>
      </c>
      <c r="S98" s="12">
        <v>12</v>
      </c>
      <c r="T98" s="63">
        <v>0.59</v>
      </c>
      <c r="U98" s="63">
        <v>0.28999999999999998</v>
      </c>
      <c r="V98" s="63">
        <v>0.12</v>
      </c>
      <c r="W98" s="63">
        <v>0</v>
      </c>
      <c r="X98" s="63">
        <v>0</v>
      </c>
      <c r="Y98" s="12">
        <v>45</v>
      </c>
      <c r="Z98" s="12">
        <v>10</v>
      </c>
      <c r="AA98" s="63">
        <v>0.55000000000000004</v>
      </c>
      <c r="AB98" s="63">
        <v>0.37</v>
      </c>
      <c r="AC98" s="63">
        <v>0.08</v>
      </c>
      <c r="AD98" s="63">
        <v>0</v>
      </c>
      <c r="AE98" s="63">
        <v>0</v>
      </c>
      <c r="AF98" s="25">
        <v>42</v>
      </c>
      <c r="AG98" s="25">
        <v>6</v>
      </c>
      <c r="AH98" s="61">
        <v>0.82</v>
      </c>
      <c r="AI98" s="61">
        <v>0.18</v>
      </c>
      <c r="AJ98" s="61">
        <v>0</v>
      </c>
      <c r="AK98" s="61">
        <v>0</v>
      </c>
      <c r="AL98" s="61">
        <v>0</v>
      </c>
      <c r="AM98" s="247">
        <v>44</v>
      </c>
      <c r="AN98" s="247" t="s">
        <v>876</v>
      </c>
      <c r="AO98" s="247">
        <v>9</v>
      </c>
      <c r="AP98" s="247" t="s">
        <v>874</v>
      </c>
      <c r="AQ98" s="264">
        <v>0.61</v>
      </c>
      <c r="AR98" s="264">
        <v>0.32</v>
      </c>
      <c r="AS98" s="264">
        <v>7.0000000000000007E-2</v>
      </c>
      <c r="AT98" s="264">
        <v>0</v>
      </c>
      <c r="AU98" s="264">
        <v>0</v>
      </c>
      <c r="AV98" s="311">
        <v>49</v>
      </c>
      <c r="AW98" s="311" t="s">
        <v>874</v>
      </c>
      <c r="AX98" s="311">
        <v>10</v>
      </c>
      <c r="AY98" s="311" t="s">
        <v>874</v>
      </c>
      <c r="AZ98" s="329">
        <v>0.45</v>
      </c>
      <c r="BA98" s="329">
        <v>0.38</v>
      </c>
      <c r="BB98" s="329">
        <v>0.13</v>
      </c>
      <c r="BC98" s="329">
        <v>0.03</v>
      </c>
      <c r="BD98" s="329">
        <v>0.03</v>
      </c>
      <c r="BE98" s="426">
        <v>47</v>
      </c>
      <c r="BF98" s="426" t="s">
        <v>874</v>
      </c>
      <c r="BG98" s="426">
        <v>8</v>
      </c>
      <c r="BH98" s="426" t="s">
        <v>874</v>
      </c>
      <c r="BI98" s="430">
        <v>0.52</v>
      </c>
      <c r="BJ98" s="430">
        <v>0.38</v>
      </c>
      <c r="BK98" s="430">
        <v>0.1</v>
      </c>
      <c r="BL98" s="430">
        <v>0</v>
      </c>
      <c r="BM98" s="430">
        <v>0</v>
      </c>
      <c r="BN98" s="466">
        <v>48</v>
      </c>
      <c r="BO98" s="466" t="s">
        <v>874</v>
      </c>
      <c r="BP98" s="466">
        <v>7</v>
      </c>
      <c r="BQ98" s="466" t="s">
        <v>876</v>
      </c>
      <c r="BR98" s="480">
        <v>0.47</v>
      </c>
      <c r="BS98" s="480">
        <v>0.43</v>
      </c>
      <c r="BT98" s="480">
        <v>0.11</v>
      </c>
      <c r="BU98" s="480">
        <v>0</v>
      </c>
      <c r="BV98" s="480">
        <v>0</v>
      </c>
    </row>
    <row r="99" spans="1:74" ht="24.95" customHeight="1" x14ac:dyDescent="0.2">
      <c r="A99" s="126" t="s">
        <v>225</v>
      </c>
      <c r="B99" s="1" t="s">
        <v>221</v>
      </c>
      <c r="C99" s="2">
        <v>4</v>
      </c>
      <c r="D99" s="12" t="s">
        <v>224</v>
      </c>
      <c r="E99" s="12" t="s">
        <v>224</v>
      </c>
      <c r="F99" s="12"/>
      <c r="G99" s="12"/>
      <c r="H99" s="12"/>
      <c r="I99" s="12"/>
      <c r="J99" s="12"/>
      <c r="K99" s="12">
        <v>66</v>
      </c>
      <c r="L99" s="12">
        <v>0</v>
      </c>
      <c r="M99" s="61">
        <v>0</v>
      </c>
      <c r="N99" s="61">
        <v>0</v>
      </c>
      <c r="O99" s="61">
        <v>1</v>
      </c>
      <c r="P99" s="61">
        <v>0</v>
      </c>
      <c r="Q99" s="61">
        <v>0</v>
      </c>
      <c r="R99" s="12" t="s">
        <v>224</v>
      </c>
      <c r="S99" s="12" t="s">
        <v>224</v>
      </c>
      <c r="T99" s="2"/>
      <c r="U99" s="2"/>
      <c r="V99" s="2"/>
      <c r="W99" s="2"/>
      <c r="X99" s="2"/>
      <c r="Y99" s="12" t="s">
        <v>224</v>
      </c>
      <c r="Z99" s="12" t="s">
        <v>224</v>
      </c>
      <c r="AA99" s="2"/>
      <c r="AB99" s="2"/>
      <c r="AC99" s="2"/>
      <c r="AD99" s="2"/>
      <c r="AE99" s="2"/>
      <c r="AF99" s="25"/>
      <c r="AG99" s="25"/>
      <c r="AH99" s="61"/>
      <c r="AI99" s="61"/>
      <c r="AJ99" s="61"/>
      <c r="AK99" s="61"/>
      <c r="AL99" s="61"/>
      <c r="AM99" s="652"/>
      <c r="AN99" s="652"/>
      <c r="AO99" s="652"/>
      <c r="AP99" s="652"/>
      <c r="AQ99" s="652"/>
      <c r="AR99" s="652"/>
      <c r="AS99" s="652"/>
      <c r="AT99" s="652"/>
      <c r="AU99" s="652"/>
      <c r="AV99" s="655"/>
      <c r="AW99" s="655"/>
      <c r="AX99" s="655"/>
      <c r="AY99" s="655"/>
      <c r="AZ99" s="655"/>
      <c r="BA99" s="655"/>
      <c r="BB99" s="655"/>
      <c r="BC99" s="655"/>
      <c r="BD99" s="655"/>
      <c r="BE99" s="657"/>
      <c r="BF99" s="657"/>
      <c r="BG99" s="657"/>
      <c r="BH99" s="657"/>
      <c r="BI99" s="657"/>
      <c r="BJ99" s="657"/>
      <c r="BK99" s="657"/>
      <c r="BL99" s="657"/>
      <c r="BM99" s="657"/>
      <c r="BN99" s="656"/>
      <c r="BO99" s="656"/>
      <c r="BP99" s="656"/>
      <c r="BQ99" s="656"/>
      <c r="BR99" s="656"/>
      <c r="BS99" s="656"/>
      <c r="BT99" s="656"/>
      <c r="BU99" s="656"/>
      <c r="BV99" s="656"/>
    </row>
    <row r="100" spans="1:74" ht="24.95" customHeight="1" x14ac:dyDescent="0.2">
      <c r="A100" s="126" t="s">
        <v>92</v>
      </c>
      <c r="B100" s="1" t="s">
        <v>219</v>
      </c>
      <c r="C100" s="2">
        <v>1</v>
      </c>
      <c r="D100" s="12">
        <v>51</v>
      </c>
      <c r="E100" s="12">
        <v>9</v>
      </c>
      <c r="F100" s="66">
        <v>0.35</v>
      </c>
      <c r="G100" s="66">
        <v>0.43</v>
      </c>
      <c r="H100" s="66">
        <v>0.19</v>
      </c>
      <c r="I100" s="66">
        <v>0.02</v>
      </c>
      <c r="J100" s="66">
        <v>0</v>
      </c>
      <c r="K100" s="12">
        <v>49</v>
      </c>
      <c r="L100" s="12">
        <v>8</v>
      </c>
      <c r="M100" s="61">
        <v>0.45</v>
      </c>
      <c r="N100" s="61">
        <v>0.42</v>
      </c>
      <c r="O100" s="61">
        <v>0.13</v>
      </c>
      <c r="P100" s="61">
        <v>0.01</v>
      </c>
      <c r="Q100" s="61">
        <v>0</v>
      </c>
      <c r="R100" s="12">
        <v>49</v>
      </c>
      <c r="S100" s="12">
        <v>9</v>
      </c>
      <c r="T100" s="63">
        <v>0.39</v>
      </c>
      <c r="U100" s="63">
        <v>0.47</v>
      </c>
      <c r="V100" s="63">
        <v>0.12</v>
      </c>
      <c r="W100" s="63">
        <v>0.03</v>
      </c>
      <c r="X100" s="63">
        <v>0</v>
      </c>
      <c r="Y100" s="12">
        <v>49</v>
      </c>
      <c r="Z100" s="12">
        <v>9</v>
      </c>
      <c r="AA100" s="63">
        <v>0.4</v>
      </c>
      <c r="AB100" s="63">
        <v>0.46</v>
      </c>
      <c r="AC100" s="63">
        <v>0.11</v>
      </c>
      <c r="AD100" s="63">
        <v>0.03</v>
      </c>
      <c r="AE100" s="63">
        <v>0</v>
      </c>
      <c r="AF100" s="25">
        <v>48</v>
      </c>
      <c r="AG100" s="25">
        <v>9</v>
      </c>
      <c r="AH100" s="61">
        <v>0.53</v>
      </c>
      <c r="AI100" s="61">
        <v>0.35</v>
      </c>
      <c r="AJ100" s="61">
        <v>0.09</v>
      </c>
      <c r="AK100" s="61">
        <v>0.02</v>
      </c>
      <c r="AL100" s="61">
        <v>0.01</v>
      </c>
      <c r="AM100" s="653">
        <v>49</v>
      </c>
      <c r="AN100" s="653" t="s">
        <v>874</v>
      </c>
      <c r="AO100" s="653">
        <v>9</v>
      </c>
      <c r="AP100" s="653" t="s">
        <v>874</v>
      </c>
      <c r="AQ100" s="654">
        <v>0.41</v>
      </c>
      <c r="AR100" s="654">
        <v>0.44</v>
      </c>
      <c r="AS100" s="654">
        <v>0.11</v>
      </c>
      <c r="AT100" s="654">
        <v>0.04</v>
      </c>
      <c r="AU100" s="654">
        <v>0</v>
      </c>
      <c r="AV100" s="74">
        <v>48</v>
      </c>
      <c r="AW100" s="74" t="s">
        <v>874</v>
      </c>
      <c r="AX100" s="74">
        <v>10</v>
      </c>
      <c r="AY100" s="74" t="s">
        <v>874</v>
      </c>
      <c r="AZ100" s="96">
        <v>0.47</v>
      </c>
      <c r="BA100" s="96">
        <v>0.36</v>
      </c>
      <c r="BB100" s="96">
        <v>0.15</v>
      </c>
      <c r="BC100" s="96">
        <v>0.02</v>
      </c>
      <c r="BD100" s="96">
        <v>0.01</v>
      </c>
      <c r="BE100" s="658">
        <v>48</v>
      </c>
      <c r="BF100" s="658" t="s">
        <v>874</v>
      </c>
      <c r="BG100" s="658">
        <v>9</v>
      </c>
      <c r="BH100" s="658" t="s">
        <v>874</v>
      </c>
      <c r="BI100" s="659">
        <v>0.43</v>
      </c>
      <c r="BJ100" s="659">
        <v>0.42</v>
      </c>
      <c r="BK100" s="659">
        <v>0.14000000000000001</v>
      </c>
      <c r="BL100" s="659">
        <v>0.01</v>
      </c>
      <c r="BM100" s="659">
        <v>0</v>
      </c>
      <c r="BN100" s="74">
        <v>50</v>
      </c>
      <c r="BO100" s="74" t="s">
        <v>874</v>
      </c>
      <c r="BP100" s="74">
        <v>10</v>
      </c>
      <c r="BQ100" s="74" t="s">
        <v>874</v>
      </c>
      <c r="BR100" s="96">
        <v>0.38</v>
      </c>
      <c r="BS100" s="96">
        <v>0.4</v>
      </c>
      <c r="BT100" s="96">
        <v>0.17</v>
      </c>
      <c r="BU100" s="96">
        <v>0.04</v>
      </c>
      <c r="BV100" s="96">
        <v>0</v>
      </c>
    </row>
    <row r="101" spans="1:74" ht="24.95" customHeight="1" x14ac:dyDescent="0.2">
      <c r="A101" s="126" t="s">
        <v>27</v>
      </c>
      <c r="B101" s="1" t="s">
        <v>219</v>
      </c>
      <c r="C101" s="2">
        <v>6</v>
      </c>
      <c r="D101" s="12">
        <v>54</v>
      </c>
      <c r="E101" s="12">
        <v>9</v>
      </c>
      <c r="F101" s="66">
        <v>0.3</v>
      </c>
      <c r="G101" s="66">
        <v>0.32</v>
      </c>
      <c r="H101" s="66">
        <v>0.3</v>
      </c>
      <c r="I101" s="66">
        <v>0.08</v>
      </c>
      <c r="J101" s="66">
        <v>0</v>
      </c>
      <c r="K101" s="12">
        <v>49</v>
      </c>
      <c r="L101" s="12">
        <v>11</v>
      </c>
      <c r="M101" s="61">
        <v>0.56000000000000005</v>
      </c>
      <c r="N101" s="61">
        <v>0.23</v>
      </c>
      <c r="O101" s="61">
        <v>0.11</v>
      </c>
      <c r="P101" s="61">
        <v>0.09</v>
      </c>
      <c r="Q101" s="61">
        <v>0.01</v>
      </c>
      <c r="R101" s="12">
        <v>51</v>
      </c>
      <c r="S101" s="12">
        <v>10</v>
      </c>
      <c r="T101" s="63">
        <v>0.38</v>
      </c>
      <c r="U101" s="63">
        <v>0.36</v>
      </c>
      <c r="V101" s="63">
        <v>0.19</v>
      </c>
      <c r="W101" s="63">
        <v>7.0000000000000007E-2</v>
      </c>
      <c r="X101" s="63">
        <v>0</v>
      </c>
      <c r="Y101" s="12">
        <v>52</v>
      </c>
      <c r="Z101" s="12">
        <v>11</v>
      </c>
      <c r="AA101" s="63">
        <v>0.34</v>
      </c>
      <c r="AB101" s="63">
        <v>0.35</v>
      </c>
      <c r="AC101" s="63">
        <v>0.23</v>
      </c>
      <c r="AD101" s="63">
        <v>0.09</v>
      </c>
      <c r="AE101" s="63">
        <v>0</v>
      </c>
      <c r="AF101" s="25">
        <v>47</v>
      </c>
      <c r="AG101" s="25">
        <v>10</v>
      </c>
      <c r="AH101" s="61">
        <v>0.56000000000000005</v>
      </c>
      <c r="AI101" s="61">
        <v>0.28000000000000003</v>
      </c>
      <c r="AJ101" s="61">
        <v>0.15</v>
      </c>
      <c r="AK101" s="61">
        <v>0.01</v>
      </c>
      <c r="AL101" s="61">
        <v>0</v>
      </c>
      <c r="AM101" s="247">
        <v>51</v>
      </c>
      <c r="AN101" s="247" t="s">
        <v>874</v>
      </c>
      <c r="AO101" s="247">
        <v>11</v>
      </c>
      <c r="AP101" s="247" t="s">
        <v>874</v>
      </c>
      <c r="AQ101" s="264">
        <v>0.44</v>
      </c>
      <c r="AR101" s="264">
        <v>0.31</v>
      </c>
      <c r="AS101" s="264">
        <v>0.14000000000000001</v>
      </c>
      <c r="AT101" s="264">
        <v>0.1</v>
      </c>
      <c r="AU101" s="264">
        <v>0.01</v>
      </c>
      <c r="AV101" s="311">
        <v>52</v>
      </c>
      <c r="AW101" s="311" t="s">
        <v>874</v>
      </c>
      <c r="AX101" s="311">
        <v>10</v>
      </c>
      <c r="AY101" s="311" t="s">
        <v>874</v>
      </c>
      <c r="AZ101" s="329">
        <v>0.31</v>
      </c>
      <c r="BA101" s="329">
        <v>0.45</v>
      </c>
      <c r="BB101" s="329">
        <v>0.17</v>
      </c>
      <c r="BC101" s="329">
        <v>7.0000000000000007E-2</v>
      </c>
      <c r="BD101" s="329">
        <v>0</v>
      </c>
      <c r="BE101" s="426">
        <v>50</v>
      </c>
      <c r="BF101" s="426" t="s">
        <v>874</v>
      </c>
      <c r="BG101" s="426">
        <v>10</v>
      </c>
      <c r="BH101" s="426" t="s">
        <v>874</v>
      </c>
      <c r="BI101" s="430">
        <v>0.48</v>
      </c>
      <c r="BJ101" s="430">
        <v>0.31</v>
      </c>
      <c r="BK101" s="430">
        <v>0.16</v>
      </c>
      <c r="BL101" s="430">
        <v>0.05</v>
      </c>
      <c r="BM101" s="430">
        <v>0</v>
      </c>
      <c r="BN101" s="466">
        <v>50</v>
      </c>
      <c r="BO101" s="466" t="s">
        <v>874</v>
      </c>
      <c r="BP101" s="466">
        <v>10</v>
      </c>
      <c r="BQ101" s="466" t="s">
        <v>874</v>
      </c>
      <c r="BR101" s="480">
        <v>0.42</v>
      </c>
      <c r="BS101" s="480">
        <v>0.31</v>
      </c>
      <c r="BT101" s="480">
        <v>0.21</v>
      </c>
      <c r="BU101" s="480">
        <v>0.05</v>
      </c>
      <c r="BV101" s="480">
        <v>0.01</v>
      </c>
    </row>
    <row r="102" spans="1:74" ht="24.95" customHeight="1" x14ac:dyDescent="0.2">
      <c r="A102" s="126" t="s">
        <v>147</v>
      </c>
      <c r="B102" s="1" t="s">
        <v>219</v>
      </c>
      <c r="C102" s="2">
        <v>5</v>
      </c>
      <c r="D102" s="12">
        <v>54</v>
      </c>
      <c r="E102" s="12">
        <v>10</v>
      </c>
      <c r="F102" s="66">
        <v>0.26</v>
      </c>
      <c r="G102" s="66">
        <v>0.44</v>
      </c>
      <c r="H102" s="66">
        <v>0.21</v>
      </c>
      <c r="I102" s="66">
        <v>0.09</v>
      </c>
      <c r="J102" s="66">
        <v>0</v>
      </c>
      <c r="K102" s="12">
        <v>50</v>
      </c>
      <c r="L102" s="12">
        <v>9</v>
      </c>
      <c r="M102" s="61">
        <v>0.39</v>
      </c>
      <c r="N102" s="61">
        <v>0.4</v>
      </c>
      <c r="O102" s="61">
        <v>0.16</v>
      </c>
      <c r="P102" s="61">
        <v>0.05</v>
      </c>
      <c r="Q102" s="61">
        <v>0</v>
      </c>
      <c r="R102" s="12">
        <v>50</v>
      </c>
      <c r="S102" s="12">
        <v>9</v>
      </c>
      <c r="T102" s="63">
        <v>0.39</v>
      </c>
      <c r="U102" s="63">
        <v>0.45</v>
      </c>
      <c r="V102" s="63">
        <v>0.13</v>
      </c>
      <c r="W102" s="63">
        <v>0.03</v>
      </c>
      <c r="X102" s="63">
        <v>0</v>
      </c>
      <c r="Y102" s="12">
        <v>50</v>
      </c>
      <c r="Z102" s="12">
        <v>10</v>
      </c>
      <c r="AA102" s="63">
        <v>0.42</v>
      </c>
      <c r="AB102" s="63">
        <v>0.4</v>
      </c>
      <c r="AC102" s="63">
        <v>0.16</v>
      </c>
      <c r="AD102" s="63">
        <v>0.03</v>
      </c>
      <c r="AE102" s="63">
        <v>0</v>
      </c>
      <c r="AF102" s="25">
        <v>46</v>
      </c>
      <c r="AG102" s="25">
        <v>7</v>
      </c>
      <c r="AH102" s="61">
        <v>0.55000000000000004</v>
      </c>
      <c r="AI102" s="61">
        <v>0.39</v>
      </c>
      <c r="AJ102" s="61">
        <v>0.06</v>
      </c>
      <c r="AK102" s="61">
        <v>0</v>
      </c>
      <c r="AL102" s="61">
        <v>0</v>
      </c>
      <c r="AM102" s="247">
        <v>50</v>
      </c>
      <c r="AN102" s="247" t="s">
        <v>874</v>
      </c>
      <c r="AO102" s="247">
        <v>10</v>
      </c>
      <c r="AP102" s="247" t="s">
        <v>874</v>
      </c>
      <c r="AQ102" s="264">
        <v>0.4</v>
      </c>
      <c r="AR102" s="264">
        <v>0.39</v>
      </c>
      <c r="AS102" s="264">
        <v>0.15</v>
      </c>
      <c r="AT102" s="264">
        <v>0.05</v>
      </c>
      <c r="AU102" s="264">
        <v>0</v>
      </c>
      <c r="AV102" s="311">
        <v>51</v>
      </c>
      <c r="AW102" s="311" t="s">
        <v>874</v>
      </c>
      <c r="AX102" s="311">
        <v>11</v>
      </c>
      <c r="AY102" s="311" t="s">
        <v>874</v>
      </c>
      <c r="AZ102" s="329">
        <v>0.39</v>
      </c>
      <c r="BA102" s="329">
        <v>0.31</v>
      </c>
      <c r="BB102" s="329">
        <v>0.23</v>
      </c>
      <c r="BC102" s="329">
        <v>7.0000000000000007E-2</v>
      </c>
      <c r="BD102" s="329">
        <v>0</v>
      </c>
      <c r="BE102" s="426">
        <v>53</v>
      </c>
      <c r="BF102" s="426" t="s">
        <v>874</v>
      </c>
      <c r="BG102" s="426">
        <v>10</v>
      </c>
      <c r="BH102" s="426" t="s">
        <v>874</v>
      </c>
      <c r="BI102" s="430">
        <v>0.31</v>
      </c>
      <c r="BJ102" s="430">
        <v>0.38</v>
      </c>
      <c r="BK102" s="430">
        <v>0.21</v>
      </c>
      <c r="BL102" s="430">
        <v>0.08</v>
      </c>
      <c r="BM102" s="430">
        <v>0.02</v>
      </c>
      <c r="BN102" s="466">
        <v>54</v>
      </c>
      <c r="BO102" s="466" t="s">
        <v>874</v>
      </c>
      <c r="BP102" s="466">
        <v>11</v>
      </c>
      <c r="BQ102" s="466" t="s">
        <v>874</v>
      </c>
      <c r="BR102" s="480">
        <v>0.28999999999999998</v>
      </c>
      <c r="BS102" s="480">
        <v>0.39</v>
      </c>
      <c r="BT102" s="480">
        <v>0.23</v>
      </c>
      <c r="BU102" s="480">
        <v>7.0000000000000007E-2</v>
      </c>
      <c r="BV102" s="480">
        <v>0.02</v>
      </c>
    </row>
    <row r="103" spans="1:74" ht="24.95" customHeight="1" x14ac:dyDescent="0.2">
      <c r="A103" s="126" t="s">
        <v>112</v>
      </c>
      <c r="B103" s="1" t="s">
        <v>219</v>
      </c>
      <c r="C103" s="2">
        <v>4</v>
      </c>
      <c r="D103" s="12">
        <v>46</v>
      </c>
      <c r="E103" s="12">
        <v>8</v>
      </c>
      <c r="F103" s="66">
        <v>0.6</v>
      </c>
      <c r="G103" s="66">
        <v>0.32</v>
      </c>
      <c r="H103" s="66">
        <v>0.08</v>
      </c>
      <c r="I103" s="66">
        <v>0</v>
      </c>
      <c r="J103" s="66">
        <v>0</v>
      </c>
      <c r="K103" s="12">
        <v>46</v>
      </c>
      <c r="L103" s="12">
        <v>9</v>
      </c>
      <c r="M103" s="61">
        <v>0.56999999999999995</v>
      </c>
      <c r="N103" s="61">
        <v>0.33</v>
      </c>
      <c r="O103" s="61">
        <v>0.08</v>
      </c>
      <c r="P103" s="61">
        <v>0</v>
      </c>
      <c r="Q103" s="61">
        <v>0.01</v>
      </c>
      <c r="R103" s="12">
        <v>47</v>
      </c>
      <c r="S103" s="12">
        <v>9</v>
      </c>
      <c r="T103" s="63">
        <v>0.56999999999999995</v>
      </c>
      <c r="U103" s="63">
        <v>0.34</v>
      </c>
      <c r="V103" s="63">
        <v>0.06</v>
      </c>
      <c r="W103" s="63">
        <v>0.03</v>
      </c>
      <c r="X103" s="63">
        <v>0</v>
      </c>
      <c r="Y103" s="12">
        <v>44</v>
      </c>
      <c r="Z103" s="12">
        <v>9</v>
      </c>
      <c r="AA103" s="63">
        <v>0.71</v>
      </c>
      <c r="AB103" s="63">
        <v>0.21</v>
      </c>
      <c r="AC103" s="63">
        <v>7.0000000000000007E-2</v>
      </c>
      <c r="AD103" s="63">
        <v>0.01</v>
      </c>
      <c r="AE103" s="63">
        <v>0</v>
      </c>
      <c r="AF103" s="25">
        <v>43</v>
      </c>
      <c r="AG103" s="25">
        <v>8</v>
      </c>
      <c r="AH103" s="61">
        <v>0.72</v>
      </c>
      <c r="AI103" s="61">
        <v>0.25</v>
      </c>
      <c r="AJ103" s="61">
        <v>0.03</v>
      </c>
      <c r="AK103" s="61">
        <v>0</v>
      </c>
      <c r="AL103" s="61">
        <v>0</v>
      </c>
      <c r="AM103" s="247">
        <v>47</v>
      </c>
      <c r="AN103" s="247" t="s">
        <v>874</v>
      </c>
      <c r="AO103" s="247">
        <v>8</v>
      </c>
      <c r="AP103" s="247" t="s">
        <v>874</v>
      </c>
      <c r="AQ103" s="264">
        <v>0.55000000000000004</v>
      </c>
      <c r="AR103" s="264">
        <v>0.36</v>
      </c>
      <c r="AS103" s="264">
        <v>7.0000000000000007E-2</v>
      </c>
      <c r="AT103" s="264">
        <v>0.02</v>
      </c>
      <c r="AU103" s="264">
        <v>0</v>
      </c>
      <c r="AV103" s="311">
        <v>46</v>
      </c>
      <c r="AW103" s="311" t="s">
        <v>874</v>
      </c>
      <c r="AX103" s="311">
        <v>9</v>
      </c>
      <c r="AY103" s="311" t="s">
        <v>874</v>
      </c>
      <c r="AZ103" s="329">
        <v>0.66</v>
      </c>
      <c r="BA103" s="329">
        <v>0.23</v>
      </c>
      <c r="BB103" s="329">
        <v>0.09</v>
      </c>
      <c r="BC103" s="329">
        <v>0.02</v>
      </c>
      <c r="BD103" s="329">
        <v>0</v>
      </c>
      <c r="BE103" s="426">
        <v>45</v>
      </c>
      <c r="BF103" s="426" t="s">
        <v>876</v>
      </c>
      <c r="BG103" s="426">
        <v>8</v>
      </c>
      <c r="BH103" s="426" t="s">
        <v>874</v>
      </c>
      <c r="BI103" s="430">
        <v>0.61</v>
      </c>
      <c r="BJ103" s="430">
        <v>0.33</v>
      </c>
      <c r="BK103" s="430">
        <v>0.04</v>
      </c>
      <c r="BL103" s="430">
        <v>0.01</v>
      </c>
      <c r="BM103" s="430">
        <v>0</v>
      </c>
      <c r="BN103" s="466">
        <v>48</v>
      </c>
      <c r="BO103" s="466" t="s">
        <v>874</v>
      </c>
      <c r="BP103" s="466">
        <v>8</v>
      </c>
      <c r="BQ103" s="466" t="s">
        <v>874</v>
      </c>
      <c r="BR103" s="480">
        <v>0.51</v>
      </c>
      <c r="BS103" s="480">
        <v>0.38</v>
      </c>
      <c r="BT103" s="480">
        <v>0.11</v>
      </c>
      <c r="BU103" s="480">
        <v>0</v>
      </c>
      <c r="BV103" s="480">
        <v>0</v>
      </c>
    </row>
    <row r="104" spans="1:74" ht="24.95" customHeight="1" x14ac:dyDescent="0.2">
      <c r="A104" s="126" t="s">
        <v>48</v>
      </c>
      <c r="B104" s="1" t="s">
        <v>219</v>
      </c>
      <c r="C104" s="2">
        <v>4</v>
      </c>
      <c r="D104" s="12">
        <v>49</v>
      </c>
      <c r="E104" s="12">
        <v>7</v>
      </c>
      <c r="F104" s="66">
        <v>0.46</v>
      </c>
      <c r="G104" s="66">
        <v>0.42</v>
      </c>
      <c r="H104" s="66">
        <v>0.12</v>
      </c>
      <c r="I104" s="66">
        <v>0</v>
      </c>
      <c r="J104" s="66">
        <v>0</v>
      </c>
      <c r="K104" s="561">
        <v>47</v>
      </c>
      <c r="L104" s="561">
        <v>9</v>
      </c>
      <c r="M104" s="562">
        <v>0.59</v>
      </c>
      <c r="N104" s="562">
        <v>0.28000000000000003</v>
      </c>
      <c r="O104" s="562">
        <v>0.14000000000000001</v>
      </c>
      <c r="P104" s="562">
        <v>0</v>
      </c>
      <c r="Q104" s="562">
        <v>0</v>
      </c>
      <c r="R104" s="561">
        <v>51</v>
      </c>
      <c r="S104" s="561">
        <v>9</v>
      </c>
      <c r="T104" s="63">
        <v>0.31</v>
      </c>
      <c r="U104" s="63">
        <v>0.48</v>
      </c>
      <c r="V104" s="63">
        <v>0.17</v>
      </c>
      <c r="W104" s="63">
        <v>0.03</v>
      </c>
      <c r="X104" s="63">
        <v>0</v>
      </c>
      <c r="Y104" s="12">
        <v>49</v>
      </c>
      <c r="Z104" s="12">
        <v>9</v>
      </c>
      <c r="AA104" s="63">
        <v>0.45</v>
      </c>
      <c r="AB104" s="63">
        <v>0.39</v>
      </c>
      <c r="AC104" s="63">
        <v>0.13</v>
      </c>
      <c r="AD104" s="63">
        <v>0.03</v>
      </c>
      <c r="AE104" s="63">
        <v>0</v>
      </c>
      <c r="AF104" s="25">
        <v>42</v>
      </c>
      <c r="AG104" s="25">
        <v>7</v>
      </c>
      <c r="AH104" s="61">
        <v>0.79</v>
      </c>
      <c r="AI104" s="61">
        <v>0.18</v>
      </c>
      <c r="AJ104" s="61">
        <v>0.03</v>
      </c>
      <c r="AK104" s="61">
        <v>0</v>
      </c>
      <c r="AL104" s="61">
        <v>0</v>
      </c>
      <c r="AM104" s="247">
        <v>46</v>
      </c>
      <c r="AN104" s="247" t="s">
        <v>874</v>
      </c>
      <c r="AO104" s="247">
        <v>8</v>
      </c>
      <c r="AP104" s="247" t="s">
        <v>874</v>
      </c>
      <c r="AQ104" s="264">
        <v>0.56000000000000005</v>
      </c>
      <c r="AR104" s="264">
        <v>0.38</v>
      </c>
      <c r="AS104" s="264">
        <v>0.06</v>
      </c>
      <c r="AT104" s="264">
        <v>0</v>
      </c>
      <c r="AU104" s="264">
        <v>0</v>
      </c>
      <c r="AV104" s="311">
        <v>48</v>
      </c>
      <c r="AW104" s="311" t="s">
        <v>874</v>
      </c>
      <c r="AX104" s="311">
        <v>9</v>
      </c>
      <c r="AY104" s="311" t="s">
        <v>874</v>
      </c>
      <c r="AZ104" s="329">
        <v>0.45</v>
      </c>
      <c r="BA104" s="329">
        <v>0.39</v>
      </c>
      <c r="BB104" s="329">
        <v>0.12</v>
      </c>
      <c r="BC104" s="329">
        <v>0.03</v>
      </c>
      <c r="BD104" s="329">
        <v>0</v>
      </c>
      <c r="BE104" s="426">
        <v>46</v>
      </c>
      <c r="BF104" s="426" t="s">
        <v>874</v>
      </c>
      <c r="BG104" s="426">
        <v>9</v>
      </c>
      <c r="BH104" s="426" t="s">
        <v>874</v>
      </c>
      <c r="BI104" s="430">
        <v>0.5</v>
      </c>
      <c r="BJ104" s="430">
        <v>0.39</v>
      </c>
      <c r="BK104" s="430">
        <v>0.11</v>
      </c>
      <c r="BL104" s="430">
        <v>0</v>
      </c>
      <c r="BM104" s="430">
        <v>0</v>
      </c>
      <c r="BN104" s="466">
        <v>49</v>
      </c>
      <c r="BO104" s="466" t="s">
        <v>874</v>
      </c>
      <c r="BP104" s="466">
        <v>10</v>
      </c>
      <c r="BQ104" s="466" t="s">
        <v>874</v>
      </c>
      <c r="BR104" s="480">
        <v>0.47</v>
      </c>
      <c r="BS104" s="480">
        <v>0.35</v>
      </c>
      <c r="BT104" s="480">
        <v>0.09</v>
      </c>
      <c r="BU104" s="480">
        <v>0.09</v>
      </c>
      <c r="BV104" s="480">
        <v>0</v>
      </c>
    </row>
    <row r="105" spans="1:74" ht="24.95" customHeight="1" x14ac:dyDescent="0.2">
      <c r="A105" s="126" t="s">
        <v>890</v>
      </c>
      <c r="B105" s="1" t="s">
        <v>219</v>
      </c>
      <c r="C105" s="2">
        <v>3</v>
      </c>
      <c r="D105" s="12">
        <v>52</v>
      </c>
      <c r="E105" s="12">
        <v>9</v>
      </c>
      <c r="F105" s="66">
        <v>0.36</v>
      </c>
      <c r="G105" s="66">
        <v>0.35</v>
      </c>
      <c r="H105" s="66">
        <v>0.24</v>
      </c>
      <c r="I105" s="66">
        <v>0.04</v>
      </c>
      <c r="J105" s="66">
        <v>0.01</v>
      </c>
      <c r="K105" s="561">
        <v>52</v>
      </c>
      <c r="L105" s="561">
        <v>10</v>
      </c>
      <c r="M105" s="562">
        <v>0.27</v>
      </c>
      <c r="N105" s="562">
        <v>0.44</v>
      </c>
      <c r="O105" s="562">
        <v>0.23</v>
      </c>
      <c r="P105" s="562">
        <v>0.04</v>
      </c>
      <c r="Q105" s="562">
        <v>0.01</v>
      </c>
      <c r="R105" s="561">
        <v>53</v>
      </c>
      <c r="S105" s="561">
        <v>8</v>
      </c>
      <c r="T105" s="63">
        <v>0.2</v>
      </c>
      <c r="U105" s="63">
        <v>0.53</v>
      </c>
      <c r="V105" s="63">
        <v>0.24</v>
      </c>
      <c r="W105" s="63">
        <v>0.03</v>
      </c>
      <c r="X105" s="63">
        <v>0</v>
      </c>
      <c r="Y105" s="12">
        <v>51</v>
      </c>
      <c r="Z105" s="12">
        <v>10</v>
      </c>
      <c r="AA105" s="63">
        <v>0.38</v>
      </c>
      <c r="AB105" s="63">
        <v>0.37</v>
      </c>
      <c r="AC105" s="63">
        <v>0.2</v>
      </c>
      <c r="AD105" s="63">
        <v>0.04</v>
      </c>
      <c r="AE105" s="63">
        <v>0</v>
      </c>
      <c r="AF105" s="25">
        <v>48</v>
      </c>
      <c r="AG105" s="25">
        <v>10</v>
      </c>
      <c r="AH105" s="61">
        <v>0.52</v>
      </c>
      <c r="AI105" s="61">
        <v>0.33</v>
      </c>
      <c r="AJ105" s="61">
        <v>0.1</v>
      </c>
      <c r="AK105" s="61">
        <v>0.04</v>
      </c>
      <c r="AL105" s="61">
        <v>0</v>
      </c>
      <c r="AM105" s="247">
        <v>49</v>
      </c>
      <c r="AN105" s="247" t="s">
        <v>874</v>
      </c>
      <c r="AO105" s="247">
        <v>10</v>
      </c>
      <c r="AP105" s="247" t="s">
        <v>874</v>
      </c>
      <c r="AQ105" s="264">
        <v>0.44</v>
      </c>
      <c r="AR105" s="264">
        <v>0.36</v>
      </c>
      <c r="AS105" s="264">
        <v>0.16</v>
      </c>
      <c r="AT105" s="264">
        <v>0.04</v>
      </c>
      <c r="AU105" s="264">
        <v>0</v>
      </c>
      <c r="AV105" s="311">
        <v>54</v>
      </c>
      <c r="AW105" s="311" t="s">
        <v>874</v>
      </c>
      <c r="AX105" s="311">
        <v>11</v>
      </c>
      <c r="AY105" s="311" t="s">
        <v>874</v>
      </c>
      <c r="AZ105" s="329">
        <v>0.28999999999999998</v>
      </c>
      <c r="BA105" s="329">
        <v>0.37</v>
      </c>
      <c r="BB105" s="329">
        <v>0.24</v>
      </c>
      <c r="BC105" s="329">
        <v>0.09</v>
      </c>
      <c r="BD105" s="329">
        <v>0.01</v>
      </c>
      <c r="BE105" s="426">
        <v>54</v>
      </c>
      <c r="BF105" s="426" t="s">
        <v>874</v>
      </c>
      <c r="BG105" s="426">
        <v>11</v>
      </c>
      <c r="BH105" s="426" t="s">
        <v>874</v>
      </c>
      <c r="BI105" s="430">
        <v>0.31</v>
      </c>
      <c r="BJ105" s="430">
        <v>0.38</v>
      </c>
      <c r="BK105" s="430">
        <v>0.21</v>
      </c>
      <c r="BL105" s="430">
        <v>0.09</v>
      </c>
      <c r="BM105" s="430">
        <v>0.01</v>
      </c>
      <c r="BN105" s="466">
        <v>53</v>
      </c>
      <c r="BO105" s="466" t="s">
        <v>874</v>
      </c>
      <c r="BP105" s="466">
        <v>11</v>
      </c>
      <c r="BQ105" s="466" t="s">
        <v>874</v>
      </c>
      <c r="BR105" s="480">
        <v>0.28999999999999998</v>
      </c>
      <c r="BS105" s="480">
        <v>0.41</v>
      </c>
      <c r="BT105" s="480">
        <v>0.22</v>
      </c>
      <c r="BU105" s="480">
        <v>0.06</v>
      </c>
      <c r="BV105" s="480">
        <v>0.02</v>
      </c>
    </row>
    <row r="106" spans="1:74" ht="24.95" customHeight="1" x14ac:dyDescent="0.2">
      <c r="A106" s="126" t="s">
        <v>138</v>
      </c>
      <c r="B106" s="1" t="s">
        <v>219</v>
      </c>
      <c r="C106" s="2">
        <v>1</v>
      </c>
      <c r="D106" s="12">
        <v>53</v>
      </c>
      <c r="E106" s="12">
        <v>8</v>
      </c>
      <c r="F106" s="66">
        <v>0.3</v>
      </c>
      <c r="G106" s="66">
        <v>0.35</v>
      </c>
      <c r="H106" s="66">
        <v>0.31</v>
      </c>
      <c r="I106" s="66">
        <v>0.04</v>
      </c>
      <c r="J106" s="66">
        <v>0</v>
      </c>
      <c r="K106" s="561">
        <v>49</v>
      </c>
      <c r="L106" s="561">
        <v>8</v>
      </c>
      <c r="M106" s="562">
        <v>0.45</v>
      </c>
      <c r="N106" s="562">
        <v>0.39</v>
      </c>
      <c r="O106" s="562">
        <v>0.15</v>
      </c>
      <c r="P106" s="562">
        <v>0</v>
      </c>
      <c r="Q106" s="562">
        <v>0</v>
      </c>
      <c r="R106" s="561">
        <v>51</v>
      </c>
      <c r="S106" s="561">
        <v>9</v>
      </c>
      <c r="T106" s="63">
        <v>0.37</v>
      </c>
      <c r="U106" s="63">
        <v>0.38</v>
      </c>
      <c r="V106" s="63">
        <v>0.23</v>
      </c>
      <c r="W106" s="63">
        <v>0.03</v>
      </c>
      <c r="X106" s="63">
        <v>0</v>
      </c>
      <c r="Y106" s="12">
        <v>50</v>
      </c>
      <c r="Z106" s="12">
        <v>10</v>
      </c>
      <c r="AA106" s="63">
        <v>0.4</v>
      </c>
      <c r="AB106" s="63">
        <v>0.36</v>
      </c>
      <c r="AC106" s="63">
        <v>0.2</v>
      </c>
      <c r="AD106" s="63">
        <v>0.03</v>
      </c>
      <c r="AE106" s="63">
        <v>0.01</v>
      </c>
      <c r="AF106" s="25">
        <v>47</v>
      </c>
      <c r="AG106" s="25">
        <v>9</v>
      </c>
      <c r="AH106" s="61">
        <v>0.56999999999999995</v>
      </c>
      <c r="AI106" s="61">
        <v>0.31</v>
      </c>
      <c r="AJ106" s="61">
        <v>0.06</v>
      </c>
      <c r="AK106" s="61">
        <v>0.05</v>
      </c>
      <c r="AL106" s="61">
        <v>0</v>
      </c>
      <c r="AM106" s="247">
        <v>50</v>
      </c>
      <c r="AN106" s="247" t="s">
        <v>874</v>
      </c>
      <c r="AO106" s="247">
        <v>10</v>
      </c>
      <c r="AP106" s="247" t="s">
        <v>874</v>
      </c>
      <c r="AQ106" s="264">
        <v>0.41</v>
      </c>
      <c r="AR106" s="264">
        <v>0.36</v>
      </c>
      <c r="AS106" s="264">
        <v>0.17</v>
      </c>
      <c r="AT106" s="264">
        <v>0.06</v>
      </c>
      <c r="AU106" s="264">
        <v>0</v>
      </c>
      <c r="AV106" s="311">
        <v>48</v>
      </c>
      <c r="AW106" s="311" t="s">
        <v>874</v>
      </c>
      <c r="AX106" s="311">
        <v>10</v>
      </c>
      <c r="AY106" s="311" t="s">
        <v>874</v>
      </c>
      <c r="AZ106" s="329">
        <v>0.52</v>
      </c>
      <c r="BA106" s="329">
        <v>0.3</v>
      </c>
      <c r="BB106" s="329">
        <v>0.14000000000000001</v>
      </c>
      <c r="BC106" s="329">
        <v>0.05</v>
      </c>
      <c r="BD106" s="329">
        <v>0</v>
      </c>
      <c r="BE106" s="426">
        <v>50</v>
      </c>
      <c r="BF106" s="426" t="s">
        <v>874</v>
      </c>
      <c r="BG106" s="426">
        <v>11</v>
      </c>
      <c r="BH106" s="426" t="s">
        <v>874</v>
      </c>
      <c r="BI106" s="430">
        <v>0.41</v>
      </c>
      <c r="BJ106" s="430">
        <v>0.39</v>
      </c>
      <c r="BK106" s="430">
        <v>0.16</v>
      </c>
      <c r="BL106" s="430">
        <v>0.04</v>
      </c>
      <c r="BM106" s="430">
        <v>0.01</v>
      </c>
      <c r="BN106" s="466">
        <v>49</v>
      </c>
      <c r="BO106" s="466" t="s">
        <v>874</v>
      </c>
      <c r="BP106" s="466">
        <v>8</v>
      </c>
      <c r="BQ106" s="466" t="s">
        <v>874</v>
      </c>
      <c r="BR106" s="480">
        <v>0.44</v>
      </c>
      <c r="BS106" s="480">
        <v>0.44</v>
      </c>
      <c r="BT106" s="480">
        <v>0.09</v>
      </c>
      <c r="BU106" s="480">
        <v>0.03</v>
      </c>
      <c r="BV106" s="480">
        <v>0</v>
      </c>
    </row>
    <row r="107" spans="1:74" ht="24.95" customHeight="1" x14ac:dyDescent="0.2">
      <c r="A107" s="36" t="s">
        <v>287</v>
      </c>
      <c r="B107" s="14" t="s">
        <v>219</v>
      </c>
      <c r="C107" s="2">
        <v>3</v>
      </c>
      <c r="D107" s="12">
        <v>52</v>
      </c>
      <c r="E107" s="12">
        <v>9</v>
      </c>
      <c r="F107" s="66">
        <v>0.32</v>
      </c>
      <c r="G107" s="66">
        <v>0.42</v>
      </c>
      <c r="H107" s="66">
        <v>0.19</v>
      </c>
      <c r="I107" s="66">
        <v>0.05</v>
      </c>
      <c r="J107" s="66">
        <v>0.01</v>
      </c>
      <c r="K107" s="561">
        <v>51</v>
      </c>
      <c r="L107" s="561">
        <v>9</v>
      </c>
      <c r="M107" s="562">
        <v>0.39</v>
      </c>
      <c r="N107" s="562">
        <v>0.4</v>
      </c>
      <c r="O107" s="562">
        <v>0.17</v>
      </c>
      <c r="P107" s="562">
        <v>0.04</v>
      </c>
      <c r="Q107" s="562">
        <v>0.01</v>
      </c>
      <c r="R107" s="561">
        <v>52</v>
      </c>
      <c r="S107" s="561">
        <v>10</v>
      </c>
      <c r="T107" s="63">
        <v>0.33</v>
      </c>
      <c r="U107" s="63">
        <v>0.38</v>
      </c>
      <c r="V107" s="63">
        <v>0.24</v>
      </c>
      <c r="W107" s="63">
        <v>0.05</v>
      </c>
      <c r="X107" s="63">
        <v>0</v>
      </c>
      <c r="Y107" s="12">
        <v>49</v>
      </c>
      <c r="Z107" s="12">
        <v>10</v>
      </c>
      <c r="AA107" s="63">
        <v>0.44</v>
      </c>
      <c r="AB107" s="63">
        <v>0.36</v>
      </c>
      <c r="AC107" s="63">
        <v>0.16</v>
      </c>
      <c r="AD107" s="63">
        <v>0.04</v>
      </c>
      <c r="AE107" s="63">
        <v>0</v>
      </c>
      <c r="AF107" s="25">
        <v>48</v>
      </c>
      <c r="AG107" s="25">
        <v>9</v>
      </c>
      <c r="AH107" s="61">
        <v>0.48</v>
      </c>
      <c r="AI107" s="61">
        <v>0.39</v>
      </c>
      <c r="AJ107" s="61">
        <v>0.09</v>
      </c>
      <c r="AK107" s="61">
        <v>0.03</v>
      </c>
      <c r="AL107" s="61">
        <v>0.01</v>
      </c>
      <c r="AM107" s="247">
        <v>51</v>
      </c>
      <c r="AN107" s="247" t="s">
        <v>874</v>
      </c>
      <c r="AO107" s="247">
        <v>10</v>
      </c>
      <c r="AP107" s="247" t="s">
        <v>874</v>
      </c>
      <c r="AQ107" s="264">
        <v>0.34</v>
      </c>
      <c r="AR107" s="264">
        <v>0.37</v>
      </c>
      <c r="AS107" s="264">
        <v>0.23</v>
      </c>
      <c r="AT107" s="264">
        <v>0.05</v>
      </c>
      <c r="AU107" s="264">
        <v>0</v>
      </c>
      <c r="AV107" s="311">
        <v>52</v>
      </c>
      <c r="AW107" s="311" t="s">
        <v>874</v>
      </c>
      <c r="AX107" s="311">
        <v>11</v>
      </c>
      <c r="AY107" s="311" t="s">
        <v>874</v>
      </c>
      <c r="AZ107" s="329">
        <v>0.33</v>
      </c>
      <c r="BA107" s="329">
        <v>0.37</v>
      </c>
      <c r="BB107" s="329">
        <v>0.22</v>
      </c>
      <c r="BC107" s="329">
        <v>0.08</v>
      </c>
      <c r="BD107" s="329">
        <v>0.01</v>
      </c>
      <c r="BE107" s="426">
        <v>52</v>
      </c>
      <c r="BF107" s="426" t="s">
        <v>874</v>
      </c>
      <c r="BG107" s="426">
        <v>10</v>
      </c>
      <c r="BH107" s="426" t="s">
        <v>874</v>
      </c>
      <c r="BI107" s="430">
        <v>0.33</v>
      </c>
      <c r="BJ107" s="430">
        <v>0.38</v>
      </c>
      <c r="BK107" s="430">
        <v>0.21</v>
      </c>
      <c r="BL107" s="430">
        <v>7.0000000000000007E-2</v>
      </c>
      <c r="BM107" s="430">
        <v>0</v>
      </c>
      <c r="BN107" s="466">
        <v>53</v>
      </c>
      <c r="BO107" s="466" t="s">
        <v>874</v>
      </c>
      <c r="BP107" s="466">
        <v>11</v>
      </c>
      <c r="BQ107" s="466" t="s">
        <v>874</v>
      </c>
      <c r="BR107" s="480">
        <v>0.35</v>
      </c>
      <c r="BS107" s="480">
        <v>0.33</v>
      </c>
      <c r="BT107" s="480">
        <v>0.21</v>
      </c>
      <c r="BU107" s="480">
        <v>0.08</v>
      </c>
      <c r="BV107" s="480">
        <v>0.02</v>
      </c>
    </row>
    <row r="108" spans="1:74" ht="24.95" customHeight="1" x14ac:dyDescent="0.2">
      <c r="A108" s="126" t="s">
        <v>103</v>
      </c>
      <c r="B108" s="1" t="s">
        <v>219</v>
      </c>
      <c r="C108" s="2">
        <v>4</v>
      </c>
      <c r="D108" s="12">
        <v>49</v>
      </c>
      <c r="E108" s="12">
        <v>9</v>
      </c>
      <c r="F108" s="66">
        <v>0.45</v>
      </c>
      <c r="G108" s="66">
        <v>0.42</v>
      </c>
      <c r="H108" s="66">
        <v>0.1</v>
      </c>
      <c r="I108" s="66">
        <v>0.02</v>
      </c>
      <c r="J108" s="66">
        <v>0</v>
      </c>
      <c r="K108" s="561">
        <v>46</v>
      </c>
      <c r="L108" s="561">
        <v>7</v>
      </c>
      <c r="M108" s="562">
        <v>0.63</v>
      </c>
      <c r="N108" s="562">
        <v>0.3</v>
      </c>
      <c r="O108" s="562">
        <v>7.0000000000000007E-2</v>
      </c>
      <c r="P108" s="562">
        <v>0</v>
      </c>
      <c r="Q108" s="562">
        <v>0</v>
      </c>
      <c r="R108" s="561">
        <v>46</v>
      </c>
      <c r="S108" s="561">
        <v>8</v>
      </c>
      <c r="T108" s="63">
        <v>0.52</v>
      </c>
      <c r="U108" s="63">
        <v>0.41</v>
      </c>
      <c r="V108" s="63">
        <v>7.0000000000000007E-2</v>
      </c>
      <c r="W108" s="63">
        <v>0.01</v>
      </c>
      <c r="X108" s="63">
        <v>0</v>
      </c>
      <c r="Y108" s="12">
        <v>44</v>
      </c>
      <c r="Z108" s="12">
        <v>9</v>
      </c>
      <c r="AA108" s="63">
        <v>0.57999999999999996</v>
      </c>
      <c r="AB108" s="63">
        <v>0.36</v>
      </c>
      <c r="AC108" s="63">
        <v>0.06</v>
      </c>
      <c r="AD108" s="63">
        <v>0.01</v>
      </c>
      <c r="AE108" s="63">
        <v>0</v>
      </c>
      <c r="AF108" s="25">
        <v>44</v>
      </c>
      <c r="AG108" s="25">
        <v>8</v>
      </c>
      <c r="AH108" s="61">
        <v>0.73</v>
      </c>
      <c r="AI108" s="61">
        <v>0.21</v>
      </c>
      <c r="AJ108" s="61">
        <v>0.04</v>
      </c>
      <c r="AK108" s="61">
        <v>0.02</v>
      </c>
      <c r="AL108" s="61">
        <v>0</v>
      </c>
      <c r="AM108" s="247">
        <v>44</v>
      </c>
      <c r="AN108" s="247" t="s">
        <v>876</v>
      </c>
      <c r="AO108" s="247">
        <v>9</v>
      </c>
      <c r="AP108" s="247" t="s">
        <v>874</v>
      </c>
      <c r="AQ108" s="264">
        <v>0.64</v>
      </c>
      <c r="AR108" s="264">
        <v>0.3</v>
      </c>
      <c r="AS108" s="264">
        <v>0.05</v>
      </c>
      <c r="AT108" s="264">
        <v>0.02</v>
      </c>
      <c r="AU108" s="264">
        <v>0</v>
      </c>
      <c r="AV108" s="311">
        <v>46</v>
      </c>
      <c r="AW108" s="311" t="s">
        <v>874</v>
      </c>
      <c r="AX108" s="311">
        <v>9</v>
      </c>
      <c r="AY108" s="311" t="s">
        <v>874</v>
      </c>
      <c r="AZ108" s="329">
        <v>0.55000000000000004</v>
      </c>
      <c r="BA108" s="329">
        <v>0.34</v>
      </c>
      <c r="BB108" s="329">
        <v>0.1</v>
      </c>
      <c r="BC108" s="329">
        <v>0.01</v>
      </c>
      <c r="BD108" s="329">
        <v>0</v>
      </c>
      <c r="BE108" s="426">
        <v>46</v>
      </c>
      <c r="BF108" s="426" t="s">
        <v>874</v>
      </c>
      <c r="BG108" s="426">
        <v>10</v>
      </c>
      <c r="BH108" s="426" t="s">
        <v>874</v>
      </c>
      <c r="BI108" s="430">
        <v>0.64</v>
      </c>
      <c r="BJ108" s="430">
        <v>0.23</v>
      </c>
      <c r="BK108" s="430">
        <v>0.11</v>
      </c>
      <c r="BL108" s="430">
        <v>0.02</v>
      </c>
      <c r="BM108" s="430">
        <v>0</v>
      </c>
      <c r="BN108" s="466">
        <v>45</v>
      </c>
      <c r="BO108" s="466" t="s">
        <v>876</v>
      </c>
      <c r="BP108" s="466">
        <v>10</v>
      </c>
      <c r="BQ108" s="466" t="s">
        <v>874</v>
      </c>
      <c r="BR108" s="480">
        <v>0.65</v>
      </c>
      <c r="BS108" s="480">
        <v>0.21</v>
      </c>
      <c r="BT108" s="480">
        <v>0.1</v>
      </c>
      <c r="BU108" s="480">
        <v>0.03</v>
      </c>
      <c r="BV108" s="480">
        <v>0</v>
      </c>
    </row>
    <row r="109" spans="1:74" ht="24.95" customHeight="1" x14ac:dyDescent="0.2">
      <c r="A109" s="126" t="s">
        <v>86</v>
      </c>
      <c r="B109" s="1" t="s">
        <v>219</v>
      </c>
      <c r="C109" s="2">
        <v>1</v>
      </c>
      <c r="D109" s="12">
        <v>51</v>
      </c>
      <c r="E109" s="12">
        <v>9</v>
      </c>
      <c r="F109" s="66">
        <v>0.39</v>
      </c>
      <c r="G109" s="66">
        <v>0.4</v>
      </c>
      <c r="H109" s="66">
        <v>0.17</v>
      </c>
      <c r="I109" s="66">
        <v>0.04</v>
      </c>
      <c r="J109" s="66">
        <v>0</v>
      </c>
      <c r="K109" s="561">
        <v>47</v>
      </c>
      <c r="L109" s="561">
        <v>8</v>
      </c>
      <c r="M109" s="562">
        <v>0.55000000000000004</v>
      </c>
      <c r="N109" s="562">
        <v>0.33</v>
      </c>
      <c r="O109" s="562">
        <v>0.1</v>
      </c>
      <c r="P109" s="562">
        <v>0.02</v>
      </c>
      <c r="Q109" s="562">
        <v>0</v>
      </c>
      <c r="R109" s="561">
        <v>50</v>
      </c>
      <c r="S109" s="561">
        <v>8</v>
      </c>
      <c r="T109" s="63">
        <v>0.39</v>
      </c>
      <c r="U109" s="63">
        <v>0.42</v>
      </c>
      <c r="V109" s="63">
        <v>0.15</v>
      </c>
      <c r="W109" s="63">
        <v>0.03</v>
      </c>
      <c r="X109" s="63">
        <v>0</v>
      </c>
      <c r="Y109" s="12">
        <v>49</v>
      </c>
      <c r="Z109" s="12">
        <v>10</v>
      </c>
      <c r="AA109" s="63">
        <v>0.47</v>
      </c>
      <c r="AB109" s="63">
        <v>0.37</v>
      </c>
      <c r="AC109" s="63">
        <v>0.11</v>
      </c>
      <c r="AD109" s="63">
        <v>0.04</v>
      </c>
      <c r="AE109" s="63">
        <v>0.01</v>
      </c>
      <c r="AF109" s="25">
        <v>44</v>
      </c>
      <c r="AG109" s="25">
        <v>8</v>
      </c>
      <c r="AH109" s="61">
        <v>0.68</v>
      </c>
      <c r="AI109" s="61">
        <v>0.28000000000000003</v>
      </c>
      <c r="AJ109" s="61">
        <v>0.04</v>
      </c>
      <c r="AK109" s="61">
        <v>0.01</v>
      </c>
      <c r="AL109" s="61">
        <v>0</v>
      </c>
      <c r="AM109" s="247">
        <v>48</v>
      </c>
      <c r="AN109" s="247" t="s">
        <v>874</v>
      </c>
      <c r="AO109" s="247">
        <v>10</v>
      </c>
      <c r="AP109" s="247" t="s">
        <v>874</v>
      </c>
      <c r="AQ109" s="264">
        <v>0.47</v>
      </c>
      <c r="AR109" s="264">
        <v>0.37</v>
      </c>
      <c r="AS109" s="264">
        <v>0.13</v>
      </c>
      <c r="AT109" s="264">
        <v>0.03</v>
      </c>
      <c r="AU109" s="264">
        <v>0</v>
      </c>
      <c r="AV109" s="311">
        <v>51</v>
      </c>
      <c r="AW109" s="311" t="s">
        <v>874</v>
      </c>
      <c r="AX109" s="311">
        <v>10</v>
      </c>
      <c r="AY109" s="311" t="s">
        <v>874</v>
      </c>
      <c r="AZ109" s="329">
        <v>0.39</v>
      </c>
      <c r="BA109" s="329">
        <v>0.37</v>
      </c>
      <c r="BB109" s="329">
        <v>0.21</v>
      </c>
      <c r="BC109" s="329">
        <v>0.03</v>
      </c>
      <c r="BD109" s="329">
        <v>0</v>
      </c>
      <c r="BE109" s="426">
        <v>50</v>
      </c>
      <c r="BF109" s="426" t="s">
        <v>874</v>
      </c>
      <c r="BG109" s="426">
        <v>10</v>
      </c>
      <c r="BH109" s="426" t="s">
        <v>874</v>
      </c>
      <c r="BI109" s="430">
        <v>0.41</v>
      </c>
      <c r="BJ109" s="430">
        <v>0.41</v>
      </c>
      <c r="BK109" s="430">
        <v>0.13</v>
      </c>
      <c r="BL109" s="430">
        <v>0.03</v>
      </c>
      <c r="BM109" s="430">
        <v>0.02</v>
      </c>
      <c r="BN109" s="466">
        <v>52</v>
      </c>
      <c r="BO109" s="466" t="s">
        <v>874</v>
      </c>
      <c r="BP109" s="466">
        <v>10</v>
      </c>
      <c r="BQ109" s="466" t="s">
        <v>874</v>
      </c>
      <c r="BR109" s="480">
        <v>0.37</v>
      </c>
      <c r="BS109" s="480">
        <v>0.36</v>
      </c>
      <c r="BT109" s="480">
        <v>0.19</v>
      </c>
      <c r="BU109" s="480">
        <v>7.0000000000000007E-2</v>
      </c>
      <c r="BV109" s="480">
        <v>0.01</v>
      </c>
    </row>
    <row r="110" spans="1:74" ht="24.95" customHeight="1" x14ac:dyDescent="0.2">
      <c r="A110" s="126" t="s">
        <v>46</v>
      </c>
      <c r="B110" s="1" t="s">
        <v>221</v>
      </c>
      <c r="C110" s="2">
        <v>5</v>
      </c>
      <c r="D110" s="12">
        <v>58</v>
      </c>
      <c r="E110" s="12">
        <v>9</v>
      </c>
      <c r="F110" s="66">
        <v>0.11</v>
      </c>
      <c r="G110" s="66">
        <v>0.44</v>
      </c>
      <c r="H110" s="66">
        <v>0.28000000000000003</v>
      </c>
      <c r="I110" s="66">
        <v>0.17</v>
      </c>
      <c r="J110" s="66">
        <v>0</v>
      </c>
      <c r="K110" s="12">
        <v>51</v>
      </c>
      <c r="L110" s="12">
        <v>8</v>
      </c>
      <c r="M110" s="61">
        <v>0.32</v>
      </c>
      <c r="N110" s="61">
        <v>0.46</v>
      </c>
      <c r="O110" s="61">
        <v>0.17</v>
      </c>
      <c r="P110" s="61">
        <v>0.05</v>
      </c>
      <c r="Q110" s="61">
        <v>0</v>
      </c>
      <c r="R110" s="12">
        <v>54</v>
      </c>
      <c r="S110" s="12">
        <v>11</v>
      </c>
      <c r="T110" s="63">
        <v>0.24</v>
      </c>
      <c r="U110" s="63">
        <v>0.38</v>
      </c>
      <c r="V110" s="63">
        <v>0.24</v>
      </c>
      <c r="W110" s="63">
        <v>0.14000000000000001</v>
      </c>
      <c r="X110" s="63">
        <v>0</v>
      </c>
      <c r="Y110" s="12">
        <v>55</v>
      </c>
      <c r="Z110" s="12">
        <v>8</v>
      </c>
      <c r="AA110" s="63">
        <v>0.17</v>
      </c>
      <c r="AB110" s="63">
        <v>0.4</v>
      </c>
      <c r="AC110" s="63">
        <v>0.37</v>
      </c>
      <c r="AD110" s="63">
        <v>0.06</v>
      </c>
      <c r="AE110" s="63">
        <v>0</v>
      </c>
      <c r="AF110" s="25">
        <v>52</v>
      </c>
      <c r="AG110" s="25">
        <v>10</v>
      </c>
      <c r="AH110" s="61">
        <v>0.33</v>
      </c>
      <c r="AI110" s="61">
        <v>0.41</v>
      </c>
      <c r="AJ110" s="61">
        <v>0.22</v>
      </c>
      <c r="AK110" s="61">
        <v>0.04</v>
      </c>
      <c r="AL110" s="61">
        <v>0</v>
      </c>
      <c r="AM110" s="247">
        <v>58</v>
      </c>
      <c r="AN110" s="247" t="s">
        <v>874</v>
      </c>
      <c r="AO110" s="247">
        <v>9</v>
      </c>
      <c r="AP110" s="247" t="s">
        <v>874</v>
      </c>
      <c r="AQ110" s="264">
        <v>0.11</v>
      </c>
      <c r="AR110" s="264">
        <v>0.44</v>
      </c>
      <c r="AS110" s="264">
        <v>0.22</v>
      </c>
      <c r="AT110" s="264">
        <v>0.22</v>
      </c>
      <c r="AU110" s="264">
        <v>0</v>
      </c>
      <c r="AV110" s="655"/>
      <c r="AW110" s="655"/>
      <c r="AX110" s="655"/>
      <c r="AY110" s="655"/>
      <c r="AZ110" s="655"/>
      <c r="BA110" s="655"/>
      <c r="BB110" s="655"/>
      <c r="BC110" s="655"/>
      <c r="BD110" s="655"/>
      <c r="BE110" s="657"/>
      <c r="BF110" s="657"/>
      <c r="BG110" s="657"/>
      <c r="BH110" s="657"/>
      <c r="BI110" s="657"/>
      <c r="BJ110" s="657"/>
      <c r="BK110" s="657"/>
      <c r="BL110" s="657"/>
      <c r="BM110" s="657"/>
      <c r="BN110" s="656"/>
      <c r="BO110" s="656"/>
      <c r="BP110" s="656"/>
      <c r="BQ110" s="656"/>
      <c r="BR110" s="656"/>
      <c r="BS110" s="656"/>
      <c r="BT110" s="656"/>
      <c r="BU110" s="656"/>
      <c r="BV110" s="656"/>
    </row>
    <row r="111" spans="1:74" ht="24.95" customHeight="1" x14ac:dyDescent="0.2">
      <c r="A111" s="126" t="s">
        <v>61</v>
      </c>
      <c r="B111" s="1" t="s">
        <v>219</v>
      </c>
      <c r="C111" s="2">
        <v>6</v>
      </c>
      <c r="D111" s="12">
        <v>53</v>
      </c>
      <c r="E111" s="12">
        <v>8</v>
      </c>
      <c r="F111" s="66">
        <v>0.22</v>
      </c>
      <c r="G111" s="66">
        <v>0.52</v>
      </c>
      <c r="H111" s="66">
        <v>0.22</v>
      </c>
      <c r="I111" s="66">
        <v>0.05</v>
      </c>
      <c r="J111" s="66">
        <v>0</v>
      </c>
      <c r="K111" s="12">
        <v>49</v>
      </c>
      <c r="L111" s="12">
        <v>9</v>
      </c>
      <c r="M111" s="61">
        <v>0.43</v>
      </c>
      <c r="N111" s="61">
        <v>0.39</v>
      </c>
      <c r="O111" s="61">
        <v>0.16</v>
      </c>
      <c r="P111" s="61">
        <v>0.01</v>
      </c>
      <c r="Q111" s="61">
        <v>0.01</v>
      </c>
      <c r="R111" s="12">
        <v>49</v>
      </c>
      <c r="S111" s="12">
        <v>7</v>
      </c>
      <c r="T111" s="63">
        <v>0.41</v>
      </c>
      <c r="U111" s="63">
        <v>0.47</v>
      </c>
      <c r="V111" s="63">
        <v>0.11</v>
      </c>
      <c r="W111" s="63">
        <v>0.01</v>
      </c>
      <c r="X111" s="63">
        <v>0</v>
      </c>
      <c r="Y111" s="12">
        <v>49</v>
      </c>
      <c r="Z111" s="12">
        <v>10</v>
      </c>
      <c r="AA111" s="63">
        <v>0.46</v>
      </c>
      <c r="AB111" s="63">
        <v>0.34</v>
      </c>
      <c r="AC111" s="63">
        <v>0.18</v>
      </c>
      <c r="AD111" s="63">
        <v>0.02</v>
      </c>
      <c r="AE111" s="63">
        <v>0</v>
      </c>
      <c r="AF111" s="25">
        <v>47</v>
      </c>
      <c r="AG111" s="25">
        <v>7</v>
      </c>
      <c r="AH111" s="61">
        <v>0.57999999999999996</v>
      </c>
      <c r="AI111" s="61">
        <v>0.36</v>
      </c>
      <c r="AJ111" s="61">
        <v>0.05</v>
      </c>
      <c r="AK111" s="61">
        <v>0.01</v>
      </c>
      <c r="AL111" s="61">
        <v>0</v>
      </c>
      <c r="AM111" s="247">
        <v>50</v>
      </c>
      <c r="AN111" s="247" t="s">
        <v>874</v>
      </c>
      <c r="AO111" s="247">
        <v>11</v>
      </c>
      <c r="AP111" s="247" t="s">
        <v>874</v>
      </c>
      <c r="AQ111" s="264">
        <v>0.38</v>
      </c>
      <c r="AR111" s="264">
        <v>0.44</v>
      </c>
      <c r="AS111" s="264">
        <v>0.11</v>
      </c>
      <c r="AT111" s="264">
        <v>7.0000000000000007E-2</v>
      </c>
      <c r="AU111" s="264">
        <v>0</v>
      </c>
      <c r="AV111" s="74">
        <v>52</v>
      </c>
      <c r="AW111" s="74" t="s">
        <v>874</v>
      </c>
      <c r="AX111" s="74">
        <v>10</v>
      </c>
      <c r="AY111" s="74" t="s">
        <v>874</v>
      </c>
      <c r="AZ111" s="96">
        <v>0.32</v>
      </c>
      <c r="BA111" s="96">
        <v>0.38</v>
      </c>
      <c r="BB111" s="96">
        <v>0.23</v>
      </c>
      <c r="BC111" s="96">
        <v>7.0000000000000007E-2</v>
      </c>
      <c r="BD111" s="96">
        <v>0</v>
      </c>
      <c r="BE111" s="658">
        <v>50</v>
      </c>
      <c r="BF111" s="658" t="s">
        <v>874</v>
      </c>
      <c r="BG111" s="658">
        <v>7</v>
      </c>
      <c r="BH111" s="658" t="s">
        <v>876</v>
      </c>
      <c r="BI111" s="659">
        <v>0.36</v>
      </c>
      <c r="BJ111" s="659">
        <v>0.5</v>
      </c>
      <c r="BK111" s="659">
        <v>0.1</v>
      </c>
      <c r="BL111" s="659">
        <v>0.03</v>
      </c>
      <c r="BM111" s="659">
        <v>0</v>
      </c>
      <c r="BN111" s="74">
        <v>53</v>
      </c>
      <c r="BO111" s="74" t="s">
        <v>874</v>
      </c>
      <c r="BP111" s="74">
        <v>10</v>
      </c>
      <c r="BQ111" s="74" t="s">
        <v>874</v>
      </c>
      <c r="BR111" s="96">
        <v>0.3</v>
      </c>
      <c r="BS111" s="96">
        <v>0.37</v>
      </c>
      <c r="BT111" s="96">
        <v>0.25</v>
      </c>
      <c r="BU111" s="96">
        <v>7.0000000000000007E-2</v>
      </c>
      <c r="BV111" s="96">
        <v>0.01</v>
      </c>
    </row>
    <row r="112" spans="1:74" ht="24.95" customHeight="1" x14ac:dyDescent="0.2">
      <c r="A112" s="126" t="s">
        <v>21</v>
      </c>
      <c r="B112" s="1" t="s">
        <v>219</v>
      </c>
      <c r="C112" s="2">
        <v>5</v>
      </c>
      <c r="D112" s="12">
        <v>52</v>
      </c>
      <c r="E112" s="12">
        <v>8</v>
      </c>
      <c r="F112" s="66">
        <v>0.27</v>
      </c>
      <c r="G112" s="66">
        <v>0.52</v>
      </c>
      <c r="H112" s="66">
        <v>0.17</v>
      </c>
      <c r="I112" s="66">
        <v>0.03</v>
      </c>
      <c r="J112" s="66">
        <v>0.01</v>
      </c>
      <c r="K112" s="12">
        <v>50</v>
      </c>
      <c r="L112" s="12">
        <v>9</v>
      </c>
      <c r="M112" s="61">
        <v>0.38</v>
      </c>
      <c r="N112" s="61">
        <v>0.38</v>
      </c>
      <c r="O112" s="61">
        <v>0.22</v>
      </c>
      <c r="P112" s="61">
        <v>0.02</v>
      </c>
      <c r="Q112" s="61">
        <v>0</v>
      </c>
      <c r="R112" s="12">
        <v>50</v>
      </c>
      <c r="S112" s="12">
        <v>9</v>
      </c>
      <c r="T112" s="63">
        <v>0.39</v>
      </c>
      <c r="U112" s="63">
        <v>0.42</v>
      </c>
      <c r="V112" s="63">
        <v>0.16</v>
      </c>
      <c r="W112" s="63">
        <v>0.02</v>
      </c>
      <c r="X112" s="63">
        <v>0.01</v>
      </c>
      <c r="Y112" s="12">
        <v>50</v>
      </c>
      <c r="Z112" s="12">
        <v>10</v>
      </c>
      <c r="AA112" s="63">
        <v>0.42</v>
      </c>
      <c r="AB112" s="63">
        <v>0.37</v>
      </c>
      <c r="AC112" s="63">
        <v>0.17</v>
      </c>
      <c r="AD112" s="63">
        <v>0.04</v>
      </c>
      <c r="AE112" s="63">
        <v>0.01</v>
      </c>
      <c r="AF112" s="25">
        <v>47</v>
      </c>
      <c r="AG112" s="25">
        <v>9</v>
      </c>
      <c r="AH112" s="61">
        <v>0.55000000000000004</v>
      </c>
      <c r="AI112" s="61">
        <v>0.33</v>
      </c>
      <c r="AJ112" s="61">
        <v>0.09</v>
      </c>
      <c r="AK112" s="61">
        <v>0.03</v>
      </c>
      <c r="AL112" s="61">
        <v>0</v>
      </c>
      <c r="AM112" s="247">
        <v>49</v>
      </c>
      <c r="AN112" s="247" t="s">
        <v>874</v>
      </c>
      <c r="AO112" s="247">
        <v>10</v>
      </c>
      <c r="AP112" s="247" t="s">
        <v>874</v>
      </c>
      <c r="AQ112" s="264">
        <v>0.42</v>
      </c>
      <c r="AR112" s="264">
        <v>0.4</v>
      </c>
      <c r="AS112" s="264">
        <v>0.14000000000000001</v>
      </c>
      <c r="AT112" s="264">
        <v>0.04</v>
      </c>
      <c r="AU112" s="264">
        <v>0</v>
      </c>
      <c r="AV112" s="311">
        <v>53</v>
      </c>
      <c r="AW112" s="311" t="s">
        <v>874</v>
      </c>
      <c r="AX112" s="311">
        <v>11</v>
      </c>
      <c r="AY112" s="311" t="s">
        <v>874</v>
      </c>
      <c r="AZ112" s="329">
        <v>0.31</v>
      </c>
      <c r="BA112" s="329">
        <v>0.37</v>
      </c>
      <c r="BB112" s="329">
        <v>0.24</v>
      </c>
      <c r="BC112" s="329">
        <v>7.0000000000000007E-2</v>
      </c>
      <c r="BD112" s="329">
        <v>0.01</v>
      </c>
      <c r="BE112" s="426">
        <v>51</v>
      </c>
      <c r="BF112" s="426" t="s">
        <v>874</v>
      </c>
      <c r="BG112" s="426">
        <v>10</v>
      </c>
      <c r="BH112" s="426" t="s">
        <v>874</v>
      </c>
      <c r="BI112" s="430">
        <v>0.4</v>
      </c>
      <c r="BJ112" s="430">
        <v>0.43</v>
      </c>
      <c r="BK112" s="430">
        <v>0.1</v>
      </c>
      <c r="BL112" s="430">
        <v>0.05</v>
      </c>
      <c r="BM112" s="430">
        <v>0.01</v>
      </c>
      <c r="BN112" s="466">
        <v>52</v>
      </c>
      <c r="BO112" s="466" t="s">
        <v>874</v>
      </c>
      <c r="BP112" s="466">
        <v>10</v>
      </c>
      <c r="BQ112" s="466" t="s">
        <v>874</v>
      </c>
      <c r="BR112" s="480">
        <v>0.36</v>
      </c>
      <c r="BS112" s="480">
        <v>0.37</v>
      </c>
      <c r="BT112" s="480">
        <v>0.18</v>
      </c>
      <c r="BU112" s="480">
        <v>0.08</v>
      </c>
      <c r="BV112" s="480">
        <v>0.01</v>
      </c>
    </row>
    <row r="113" spans="1:74" ht="24.95" customHeight="1" x14ac:dyDescent="0.2">
      <c r="A113" s="126" t="s">
        <v>124</v>
      </c>
      <c r="B113" s="1" t="s">
        <v>219</v>
      </c>
      <c r="C113" s="2">
        <v>4</v>
      </c>
      <c r="D113" s="12">
        <v>50</v>
      </c>
      <c r="E113" s="12">
        <v>9</v>
      </c>
      <c r="F113" s="66">
        <v>0.47</v>
      </c>
      <c r="G113" s="66">
        <v>0.43</v>
      </c>
      <c r="H113" s="66">
        <v>0.08</v>
      </c>
      <c r="I113" s="66">
        <v>0.02</v>
      </c>
      <c r="J113" s="66">
        <v>0</v>
      </c>
      <c r="K113" s="12">
        <v>48</v>
      </c>
      <c r="L113" s="12">
        <v>7</v>
      </c>
      <c r="M113" s="61">
        <v>0.46</v>
      </c>
      <c r="N113" s="61">
        <v>0.44</v>
      </c>
      <c r="O113" s="61">
        <v>0.08</v>
      </c>
      <c r="P113" s="61">
        <v>0.02</v>
      </c>
      <c r="Q113" s="61">
        <v>0</v>
      </c>
      <c r="R113" s="12">
        <v>49</v>
      </c>
      <c r="S113" s="12">
        <v>9</v>
      </c>
      <c r="T113" s="63">
        <v>0.43</v>
      </c>
      <c r="U113" s="63">
        <v>0.38</v>
      </c>
      <c r="V113" s="63">
        <v>0.17</v>
      </c>
      <c r="W113" s="63">
        <v>0.02</v>
      </c>
      <c r="X113" s="63">
        <v>0</v>
      </c>
      <c r="Y113" s="12">
        <v>47</v>
      </c>
      <c r="Z113" s="12">
        <v>9</v>
      </c>
      <c r="AA113" s="63">
        <v>0.51</v>
      </c>
      <c r="AB113" s="63">
        <v>0.41</v>
      </c>
      <c r="AC113" s="63">
        <v>0.08</v>
      </c>
      <c r="AD113" s="63">
        <v>0</v>
      </c>
      <c r="AE113" s="63">
        <v>0</v>
      </c>
      <c r="AF113" s="25">
        <v>44</v>
      </c>
      <c r="AG113" s="25">
        <v>6</v>
      </c>
      <c r="AH113" s="61">
        <v>0.7</v>
      </c>
      <c r="AI113" s="61">
        <v>0.3</v>
      </c>
      <c r="AJ113" s="61">
        <v>0</v>
      </c>
      <c r="AK113" s="61">
        <v>0</v>
      </c>
      <c r="AL113" s="61">
        <v>0</v>
      </c>
      <c r="AM113" s="247">
        <v>46</v>
      </c>
      <c r="AN113" s="247" t="s">
        <v>874</v>
      </c>
      <c r="AO113" s="247">
        <v>8</v>
      </c>
      <c r="AP113" s="247" t="s">
        <v>874</v>
      </c>
      <c r="AQ113" s="264">
        <v>0.42</v>
      </c>
      <c r="AR113" s="264">
        <v>0.53</v>
      </c>
      <c r="AS113" s="264">
        <v>0.04</v>
      </c>
      <c r="AT113" s="264">
        <v>0</v>
      </c>
      <c r="AU113" s="264">
        <v>0</v>
      </c>
      <c r="AV113" s="311">
        <v>49</v>
      </c>
      <c r="AW113" s="311" t="s">
        <v>874</v>
      </c>
      <c r="AX113" s="311">
        <v>8</v>
      </c>
      <c r="AY113" s="311" t="s">
        <v>874</v>
      </c>
      <c r="AZ113" s="329">
        <v>0.42</v>
      </c>
      <c r="BA113" s="329">
        <v>0.43</v>
      </c>
      <c r="BB113" s="329">
        <v>0.11</v>
      </c>
      <c r="BC113" s="329">
        <v>0.04</v>
      </c>
      <c r="BD113" s="329">
        <v>0</v>
      </c>
      <c r="BE113" s="426">
        <v>48</v>
      </c>
      <c r="BF113" s="426" t="s">
        <v>874</v>
      </c>
      <c r="BG113" s="426">
        <v>8</v>
      </c>
      <c r="BH113" s="426" t="s">
        <v>874</v>
      </c>
      <c r="BI113" s="430">
        <v>0.48</v>
      </c>
      <c r="BJ113" s="430">
        <v>0.44</v>
      </c>
      <c r="BK113" s="430">
        <v>0.06</v>
      </c>
      <c r="BL113" s="430">
        <v>0.02</v>
      </c>
      <c r="BM113" s="430">
        <v>0</v>
      </c>
      <c r="BN113" s="466">
        <v>47</v>
      </c>
      <c r="BO113" s="466" t="s">
        <v>874</v>
      </c>
      <c r="BP113" s="466">
        <v>7</v>
      </c>
      <c r="BQ113" s="466" t="s">
        <v>876</v>
      </c>
      <c r="BR113" s="480">
        <v>0.46</v>
      </c>
      <c r="BS113" s="480">
        <v>0.47</v>
      </c>
      <c r="BT113" s="480">
        <v>0.05</v>
      </c>
      <c r="BU113" s="480">
        <v>0.02</v>
      </c>
      <c r="BV113" s="480">
        <v>0</v>
      </c>
    </row>
    <row r="114" spans="1:74" ht="24.95" customHeight="1" x14ac:dyDescent="0.2">
      <c r="A114" s="126" t="s">
        <v>23</v>
      </c>
      <c r="B114" s="1" t="s">
        <v>219</v>
      </c>
      <c r="C114" s="2">
        <v>2</v>
      </c>
      <c r="D114" s="12">
        <v>53</v>
      </c>
      <c r="E114" s="12">
        <v>9</v>
      </c>
      <c r="F114" s="66">
        <v>0.32</v>
      </c>
      <c r="G114" s="66">
        <v>0.39</v>
      </c>
      <c r="H114" s="66">
        <v>0.23</v>
      </c>
      <c r="I114" s="66">
        <v>0.06</v>
      </c>
      <c r="J114" s="66">
        <v>0</v>
      </c>
      <c r="K114" s="12">
        <v>52</v>
      </c>
      <c r="L114" s="12">
        <v>9</v>
      </c>
      <c r="M114" s="61">
        <v>0.31</v>
      </c>
      <c r="N114" s="61">
        <v>0.44</v>
      </c>
      <c r="O114" s="61">
        <v>0.21</v>
      </c>
      <c r="P114" s="61">
        <v>0.03</v>
      </c>
      <c r="Q114" s="61">
        <v>0</v>
      </c>
      <c r="R114" s="12">
        <v>52</v>
      </c>
      <c r="S114" s="12">
        <v>9</v>
      </c>
      <c r="T114" s="63">
        <v>0.34</v>
      </c>
      <c r="U114" s="63">
        <v>0.4</v>
      </c>
      <c r="V114" s="63">
        <v>0.2</v>
      </c>
      <c r="W114" s="63">
        <v>0.05</v>
      </c>
      <c r="X114" s="63">
        <v>0</v>
      </c>
      <c r="Y114" s="12">
        <v>51</v>
      </c>
      <c r="Z114" s="12">
        <v>9</v>
      </c>
      <c r="AA114" s="63">
        <v>0.36</v>
      </c>
      <c r="AB114" s="63">
        <v>0.43</v>
      </c>
      <c r="AC114" s="63">
        <v>0.16</v>
      </c>
      <c r="AD114" s="63">
        <v>0.05</v>
      </c>
      <c r="AE114" s="63">
        <v>0</v>
      </c>
      <c r="AF114" s="25">
        <v>47</v>
      </c>
      <c r="AG114" s="25">
        <v>8</v>
      </c>
      <c r="AH114" s="61">
        <v>0.56000000000000005</v>
      </c>
      <c r="AI114" s="61">
        <v>0.33</v>
      </c>
      <c r="AJ114" s="61">
        <v>0.09</v>
      </c>
      <c r="AK114" s="61">
        <v>0.02</v>
      </c>
      <c r="AL114" s="61">
        <v>0</v>
      </c>
      <c r="AM114" s="247">
        <v>50</v>
      </c>
      <c r="AN114" s="247" t="s">
        <v>874</v>
      </c>
      <c r="AO114" s="247">
        <v>10</v>
      </c>
      <c r="AP114" s="247" t="s">
        <v>874</v>
      </c>
      <c r="AQ114" s="264">
        <v>0.41</v>
      </c>
      <c r="AR114" s="264">
        <v>0.38</v>
      </c>
      <c r="AS114" s="264">
        <v>0.16</v>
      </c>
      <c r="AT114" s="264">
        <v>0.04</v>
      </c>
      <c r="AU114" s="264">
        <v>0</v>
      </c>
      <c r="AV114" s="311">
        <v>52</v>
      </c>
      <c r="AW114" s="311" t="s">
        <v>874</v>
      </c>
      <c r="AX114" s="311">
        <v>10</v>
      </c>
      <c r="AY114" s="311" t="s">
        <v>874</v>
      </c>
      <c r="AZ114" s="329">
        <v>0.33</v>
      </c>
      <c r="BA114" s="329">
        <v>0.36</v>
      </c>
      <c r="BB114" s="329">
        <v>0.25</v>
      </c>
      <c r="BC114" s="329">
        <v>0.06</v>
      </c>
      <c r="BD114" s="329">
        <v>0.01</v>
      </c>
      <c r="BE114" s="426">
        <v>53</v>
      </c>
      <c r="BF114" s="426" t="s">
        <v>874</v>
      </c>
      <c r="BG114" s="426">
        <v>9</v>
      </c>
      <c r="BH114" s="426" t="s">
        <v>874</v>
      </c>
      <c r="BI114" s="430">
        <v>0.28999999999999998</v>
      </c>
      <c r="BJ114" s="430">
        <v>0.4</v>
      </c>
      <c r="BK114" s="430">
        <v>0.22</v>
      </c>
      <c r="BL114" s="430">
        <v>0.09</v>
      </c>
      <c r="BM114" s="430">
        <v>0</v>
      </c>
      <c r="BN114" s="466">
        <v>52</v>
      </c>
      <c r="BO114" s="466" t="s">
        <v>874</v>
      </c>
      <c r="BP114" s="466">
        <v>9</v>
      </c>
      <c r="BQ114" s="466" t="s">
        <v>874</v>
      </c>
      <c r="BR114" s="480">
        <v>0.31</v>
      </c>
      <c r="BS114" s="480">
        <v>0.44</v>
      </c>
      <c r="BT114" s="480">
        <v>0.19</v>
      </c>
      <c r="BU114" s="480">
        <v>0.05</v>
      </c>
      <c r="BV114" s="480">
        <v>0</v>
      </c>
    </row>
    <row r="115" spans="1:74" ht="24.95" customHeight="1" x14ac:dyDescent="0.2">
      <c r="A115" s="126" t="s">
        <v>222</v>
      </c>
      <c r="B115" s="1" t="s">
        <v>221</v>
      </c>
      <c r="C115" s="2">
        <v>1</v>
      </c>
      <c r="D115" s="12">
        <v>52</v>
      </c>
      <c r="E115" s="12">
        <v>8</v>
      </c>
      <c r="F115" s="66">
        <v>0.28000000000000003</v>
      </c>
      <c r="G115" s="66">
        <v>0.54</v>
      </c>
      <c r="H115" s="66">
        <v>0.11</v>
      </c>
      <c r="I115" s="66">
        <v>7.0000000000000007E-2</v>
      </c>
      <c r="J115" s="66">
        <v>0</v>
      </c>
      <c r="K115" s="12">
        <v>52</v>
      </c>
      <c r="L115" s="12">
        <v>8</v>
      </c>
      <c r="M115" s="61">
        <v>0.33</v>
      </c>
      <c r="N115" s="61">
        <v>0.36</v>
      </c>
      <c r="O115" s="61">
        <v>0.28000000000000003</v>
      </c>
      <c r="P115" s="61">
        <v>0.03</v>
      </c>
      <c r="Q115" s="61">
        <v>0</v>
      </c>
      <c r="R115" s="12">
        <v>55</v>
      </c>
      <c r="S115" s="12">
        <v>8</v>
      </c>
      <c r="T115" s="63">
        <v>0.16</v>
      </c>
      <c r="U115" s="63">
        <v>0.53</v>
      </c>
      <c r="V115" s="63">
        <v>0.26</v>
      </c>
      <c r="W115" s="63">
        <v>0.05</v>
      </c>
      <c r="X115" s="63">
        <v>0</v>
      </c>
      <c r="Y115" s="12">
        <v>55</v>
      </c>
      <c r="Z115" s="12">
        <v>9</v>
      </c>
      <c r="AA115" s="63">
        <v>0.16</v>
      </c>
      <c r="AB115" s="63">
        <v>0.56999999999999995</v>
      </c>
      <c r="AC115" s="63">
        <v>0.14000000000000001</v>
      </c>
      <c r="AD115" s="63">
        <v>0.14000000000000001</v>
      </c>
      <c r="AE115" s="63">
        <v>0</v>
      </c>
      <c r="AF115" s="25">
        <v>51</v>
      </c>
      <c r="AG115" s="25">
        <v>9</v>
      </c>
      <c r="AH115" s="61">
        <v>0.36</v>
      </c>
      <c r="AI115" s="61">
        <v>0.42</v>
      </c>
      <c r="AJ115" s="61">
        <v>0.18</v>
      </c>
      <c r="AK115" s="61">
        <v>0.04</v>
      </c>
      <c r="AL115" s="61">
        <v>0</v>
      </c>
      <c r="AM115" s="247">
        <v>57</v>
      </c>
      <c r="AN115" s="247" t="s">
        <v>874</v>
      </c>
      <c r="AO115" s="247">
        <v>10</v>
      </c>
      <c r="AP115" s="247" t="s">
        <v>874</v>
      </c>
      <c r="AQ115" s="264">
        <v>0.19</v>
      </c>
      <c r="AR115" s="264">
        <v>0.26</v>
      </c>
      <c r="AS115" s="264">
        <v>0.43</v>
      </c>
      <c r="AT115" s="264">
        <v>0.12</v>
      </c>
      <c r="AU115" s="264">
        <v>0</v>
      </c>
      <c r="AV115" s="311">
        <v>53</v>
      </c>
      <c r="AW115" s="311" t="s">
        <v>874</v>
      </c>
      <c r="AX115" s="311">
        <v>10</v>
      </c>
      <c r="AY115" s="311" t="s">
        <v>874</v>
      </c>
      <c r="AZ115" s="329">
        <v>0.28999999999999998</v>
      </c>
      <c r="BA115" s="329">
        <v>0.34</v>
      </c>
      <c r="BB115" s="329">
        <v>0.32</v>
      </c>
      <c r="BC115" s="329">
        <v>0.04</v>
      </c>
      <c r="BD115" s="329">
        <v>0</v>
      </c>
      <c r="BE115" s="426">
        <v>59</v>
      </c>
      <c r="BF115" s="426" t="s">
        <v>874</v>
      </c>
      <c r="BG115" s="426">
        <v>10</v>
      </c>
      <c r="BH115" s="426" t="s">
        <v>874</v>
      </c>
      <c r="BI115" s="430">
        <v>0.2</v>
      </c>
      <c r="BJ115" s="430">
        <v>0.2</v>
      </c>
      <c r="BK115" s="430">
        <v>0.35</v>
      </c>
      <c r="BL115" s="430">
        <v>0.24</v>
      </c>
      <c r="BM115" s="430">
        <v>0</v>
      </c>
      <c r="BN115" s="466">
        <v>56</v>
      </c>
      <c r="BO115" s="466" t="s">
        <v>874</v>
      </c>
      <c r="BP115" s="466">
        <v>10</v>
      </c>
      <c r="BQ115" s="466" t="s">
        <v>874</v>
      </c>
      <c r="BR115" s="480">
        <v>0.21</v>
      </c>
      <c r="BS115" s="480">
        <v>0.32</v>
      </c>
      <c r="BT115" s="480">
        <v>0.3</v>
      </c>
      <c r="BU115" s="480">
        <v>0.17</v>
      </c>
      <c r="BV115" s="480">
        <v>0</v>
      </c>
    </row>
    <row r="116" spans="1:74" ht="24.95" customHeight="1" x14ac:dyDescent="0.2">
      <c r="A116" s="126" t="s">
        <v>88</v>
      </c>
      <c r="B116" s="1" t="s">
        <v>219</v>
      </c>
      <c r="C116" s="2">
        <v>2</v>
      </c>
      <c r="D116" s="12">
        <v>51</v>
      </c>
      <c r="E116" s="12">
        <v>8</v>
      </c>
      <c r="F116" s="66">
        <v>0.34</v>
      </c>
      <c r="G116" s="66">
        <v>0.43</v>
      </c>
      <c r="H116" s="66">
        <v>0.22</v>
      </c>
      <c r="I116" s="66">
        <v>0.02</v>
      </c>
      <c r="J116" s="66">
        <v>0</v>
      </c>
      <c r="K116" s="12">
        <v>49</v>
      </c>
      <c r="L116" s="12">
        <v>9</v>
      </c>
      <c r="M116" s="61">
        <v>0.48</v>
      </c>
      <c r="N116" s="61">
        <v>0.34</v>
      </c>
      <c r="O116" s="61">
        <v>0.15</v>
      </c>
      <c r="P116" s="61">
        <v>0.03</v>
      </c>
      <c r="Q116" s="61">
        <v>0</v>
      </c>
      <c r="R116" s="12">
        <v>51</v>
      </c>
      <c r="S116" s="12">
        <v>9</v>
      </c>
      <c r="T116" s="63">
        <v>0.35</v>
      </c>
      <c r="U116" s="63">
        <v>0.41</v>
      </c>
      <c r="V116" s="63">
        <v>0.2</v>
      </c>
      <c r="W116" s="63">
        <v>0.04</v>
      </c>
      <c r="X116" s="63">
        <v>0</v>
      </c>
      <c r="Y116" s="12">
        <v>51</v>
      </c>
      <c r="Z116" s="12">
        <v>10</v>
      </c>
      <c r="AA116" s="63">
        <v>0.39</v>
      </c>
      <c r="AB116" s="63">
        <v>0.35</v>
      </c>
      <c r="AC116" s="63">
        <v>0.22</v>
      </c>
      <c r="AD116" s="63">
        <v>0.04</v>
      </c>
      <c r="AE116" s="63">
        <v>0</v>
      </c>
      <c r="AF116" s="25">
        <v>47</v>
      </c>
      <c r="AG116" s="25">
        <v>9</v>
      </c>
      <c r="AH116" s="61">
        <v>0.59</v>
      </c>
      <c r="AI116" s="61">
        <v>0.31</v>
      </c>
      <c r="AJ116" s="61">
        <v>7.0000000000000007E-2</v>
      </c>
      <c r="AK116" s="61">
        <v>0.03</v>
      </c>
      <c r="AL116" s="61">
        <v>0</v>
      </c>
      <c r="AM116" s="247">
        <v>50</v>
      </c>
      <c r="AN116" s="247" t="s">
        <v>874</v>
      </c>
      <c r="AO116" s="247">
        <v>10</v>
      </c>
      <c r="AP116" s="247" t="s">
        <v>874</v>
      </c>
      <c r="AQ116" s="264">
        <v>0.4</v>
      </c>
      <c r="AR116" s="264">
        <v>0.38</v>
      </c>
      <c r="AS116" s="264">
        <v>0.17</v>
      </c>
      <c r="AT116" s="264">
        <v>0.05</v>
      </c>
      <c r="AU116" s="264">
        <v>0</v>
      </c>
      <c r="AV116" s="311">
        <v>49</v>
      </c>
      <c r="AW116" s="311" t="s">
        <v>874</v>
      </c>
      <c r="AX116" s="311">
        <v>10</v>
      </c>
      <c r="AY116" s="311" t="s">
        <v>874</v>
      </c>
      <c r="AZ116" s="329">
        <v>0.45</v>
      </c>
      <c r="BA116" s="329">
        <v>0.38</v>
      </c>
      <c r="BB116" s="329">
        <v>0.13</v>
      </c>
      <c r="BC116" s="329">
        <v>0.05</v>
      </c>
      <c r="BD116" s="329">
        <v>0</v>
      </c>
      <c r="BE116" s="426">
        <v>51</v>
      </c>
      <c r="BF116" s="426" t="s">
        <v>874</v>
      </c>
      <c r="BG116" s="426">
        <v>9</v>
      </c>
      <c r="BH116" s="426" t="s">
        <v>874</v>
      </c>
      <c r="BI116" s="430">
        <v>0.39</v>
      </c>
      <c r="BJ116" s="430">
        <v>0.41</v>
      </c>
      <c r="BK116" s="430">
        <v>0.15</v>
      </c>
      <c r="BL116" s="430">
        <v>0.05</v>
      </c>
      <c r="BM116" s="430">
        <v>0</v>
      </c>
      <c r="BN116" s="466">
        <v>54</v>
      </c>
      <c r="BO116" s="466" t="s">
        <v>874</v>
      </c>
      <c r="BP116" s="466">
        <v>10</v>
      </c>
      <c r="BQ116" s="466" t="s">
        <v>874</v>
      </c>
      <c r="BR116" s="480">
        <v>0.28999999999999998</v>
      </c>
      <c r="BS116" s="480">
        <v>0.4</v>
      </c>
      <c r="BT116" s="480">
        <v>0.2</v>
      </c>
      <c r="BU116" s="480">
        <v>0.1</v>
      </c>
      <c r="BV116" s="480">
        <v>0.01</v>
      </c>
    </row>
    <row r="117" spans="1:74" ht="24.95" customHeight="1" x14ac:dyDescent="0.2">
      <c r="A117" s="126" t="s">
        <v>1096</v>
      </c>
      <c r="B117" s="1" t="s">
        <v>219</v>
      </c>
      <c r="C117" s="2">
        <v>4</v>
      </c>
      <c r="D117" s="12">
        <v>54</v>
      </c>
      <c r="E117" s="12">
        <v>10</v>
      </c>
      <c r="F117" s="66">
        <v>0.28999999999999998</v>
      </c>
      <c r="G117" s="66">
        <v>0.42</v>
      </c>
      <c r="H117" s="66">
        <v>0.21</v>
      </c>
      <c r="I117" s="66">
        <v>7.0000000000000007E-2</v>
      </c>
      <c r="J117" s="66">
        <v>0.01</v>
      </c>
      <c r="K117" s="12">
        <v>51</v>
      </c>
      <c r="L117" s="12">
        <v>10</v>
      </c>
      <c r="M117" s="61">
        <v>0.41</v>
      </c>
      <c r="N117" s="61">
        <v>0.34</v>
      </c>
      <c r="O117" s="61">
        <v>0.2</v>
      </c>
      <c r="P117" s="61">
        <v>0.05</v>
      </c>
      <c r="Q117" s="61">
        <v>0</v>
      </c>
      <c r="R117" s="12">
        <v>50</v>
      </c>
      <c r="S117" s="12">
        <v>8</v>
      </c>
      <c r="T117" s="63">
        <v>0.35</v>
      </c>
      <c r="U117" s="63">
        <v>0.51</v>
      </c>
      <c r="V117" s="63">
        <v>0.12</v>
      </c>
      <c r="W117" s="63">
        <v>0.02</v>
      </c>
      <c r="X117" s="63">
        <v>0</v>
      </c>
      <c r="Y117" s="12">
        <v>49</v>
      </c>
      <c r="Z117" s="12">
        <v>9</v>
      </c>
      <c r="AA117" s="63">
        <v>0.42</v>
      </c>
      <c r="AB117" s="63">
        <v>0.44</v>
      </c>
      <c r="AC117" s="63">
        <v>0.12</v>
      </c>
      <c r="AD117" s="63">
        <v>0.02</v>
      </c>
      <c r="AE117" s="63">
        <v>0</v>
      </c>
      <c r="AF117" s="25">
        <v>46</v>
      </c>
      <c r="AG117" s="25">
        <v>9</v>
      </c>
      <c r="AH117" s="61">
        <v>0.62</v>
      </c>
      <c r="AI117" s="61">
        <v>0.28999999999999998</v>
      </c>
      <c r="AJ117" s="61">
        <v>7.0000000000000007E-2</v>
      </c>
      <c r="AK117" s="61">
        <v>0.02</v>
      </c>
      <c r="AL117" s="61">
        <v>0</v>
      </c>
      <c r="AM117" s="247">
        <v>48</v>
      </c>
      <c r="AN117" s="247" t="s">
        <v>874</v>
      </c>
      <c r="AO117" s="247">
        <v>10</v>
      </c>
      <c r="AP117" s="247" t="s">
        <v>874</v>
      </c>
      <c r="AQ117" s="264">
        <v>0.52</v>
      </c>
      <c r="AR117" s="264">
        <v>0.33</v>
      </c>
      <c r="AS117" s="264">
        <v>0.1</v>
      </c>
      <c r="AT117" s="264">
        <v>0.04</v>
      </c>
      <c r="AU117" s="264">
        <v>0</v>
      </c>
      <c r="AV117" s="311">
        <v>52</v>
      </c>
      <c r="AW117" s="311" t="s">
        <v>874</v>
      </c>
      <c r="AX117" s="311">
        <v>10</v>
      </c>
      <c r="AY117" s="311" t="s">
        <v>874</v>
      </c>
      <c r="AZ117" s="329">
        <v>0.32</v>
      </c>
      <c r="BA117" s="329">
        <v>0.4</v>
      </c>
      <c r="BB117" s="329">
        <v>0.24</v>
      </c>
      <c r="BC117" s="329">
        <v>0.04</v>
      </c>
      <c r="BD117" s="329">
        <v>0</v>
      </c>
      <c r="BE117" s="426">
        <v>52</v>
      </c>
      <c r="BF117" s="426" t="s">
        <v>874</v>
      </c>
      <c r="BG117" s="426">
        <v>9</v>
      </c>
      <c r="BH117" s="426" t="s">
        <v>874</v>
      </c>
      <c r="BI117" s="430">
        <v>0.34</v>
      </c>
      <c r="BJ117" s="430">
        <v>0.4</v>
      </c>
      <c r="BK117" s="430">
        <v>0.22</v>
      </c>
      <c r="BL117" s="430">
        <v>0.05</v>
      </c>
      <c r="BM117" s="430">
        <v>0</v>
      </c>
      <c r="BN117" s="466">
        <v>51</v>
      </c>
      <c r="BO117" s="466" t="s">
        <v>874</v>
      </c>
      <c r="BP117" s="466">
        <v>9</v>
      </c>
      <c r="BQ117" s="466" t="s">
        <v>874</v>
      </c>
      <c r="BR117" s="480">
        <v>0.37</v>
      </c>
      <c r="BS117" s="480">
        <v>0.38</v>
      </c>
      <c r="BT117" s="480">
        <v>0.21</v>
      </c>
      <c r="BU117" s="480">
        <v>0.04</v>
      </c>
      <c r="BV117" s="480">
        <v>0</v>
      </c>
    </row>
    <row r="118" spans="1:74" ht="24.95" customHeight="1" x14ac:dyDescent="0.2">
      <c r="A118" s="126" t="s">
        <v>1097</v>
      </c>
      <c r="B118" s="1" t="s">
        <v>221</v>
      </c>
      <c r="C118" s="2">
        <v>1</v>
      </c>
      <c r="D118" s="12">
        <v>49</v>
      </c>
      <c r="E118" s="12">
        <v>8</v>
      </c>
      <c r="F118" s="66">
        <v>0.45</v>
      </c>
      <c r="G118" s="66">
        <v>0.43</v>
      </c>
      <c r="H118" s="66">
        <v>0.12</v>
      </c>
      <c r="I118" s="66">
        <v>0</v>
      </c>
      <c r="J118" s="66">
        <v>0</v>
      </c>
      <c r="K118" s="12">
        <v>46</v>
      </c>
      <c r="L118" s="12">
        <v>8</v>
      </c>
      <c r="M118" s="61">
        <v>0.59</v>
      </c>
      <c r="N118" s="61">
        <v>0.35</v>
      </c>
      <c r="O118" s="61">
        <v>0.06</v>
      </c>
      <c r="P118" s="61">
        <v>0</v>
      </c>
      <c r="Q118" s="61">
        <v>0</v>
      </c>
      <c r="R118" s="12">
        <v>46</v>
      </c>
      <c r="S118" s="12">
        <v>8</v>
      </c>
      <c r="T118" s="63">
        <v>0.64</v>
      </c>
      <c r="U118" s="63">
        <v>0.28999999999999998</v>
      </c>
      <c r="V118" s="63">
        <v>7.0000000000000007E-2</v>
      </c>
      <c r="W118" s="63">
        <v>0</v>
      </c>
      <c r="X118" s="63">
        <v>0</v>
      </c>
      <c r="Y118" s="12">
        <v>46</v>
      </c>
      <c r="Z118" s="12">
        <v>11</v>
      </c>
      <c r="AA118" s="63">
        <v>0.56999999999999995</v>
      </c>
      <c r="AB118" s="63">
        <v>0.26</v>
      </c>
      <c r="AC118" s="63">
        <v>0.17</v>
      </c>
      <c r="AD118" s="63">
        <v>0</v>
      </c>
      <c r="AE118" s="63">
        <v>0</v>
      </c>
      <c r="AF118" s="25">
        <v>45</v>
      </c>
      <c r="AG118" s="25">
        <v>11</v>
      </c>
      <c r="AH118" s="61">
        <v>0.69</v>
      </c>
      <c r="AI118" s="61">
        <v>0.23</v>
      </c>
      <c r="AJ118" s="61">
        <v>0.04</v>
      </c>
      <c r="AK118" s="61">
        <v>0</v>
      </c>
      <c r="AL118" s="61">
        <v>0.04</v>
      </c>
      <c r="AM118" s="247">
        <v>49</v>
      </c>
      <c r="AN118" s="247" t="s">
        <v>874</v>
      </c>
      <c r="AO118" s="247">
        <v>11</v>
      </c>
      <c r="AP118" s="247" t="s">
        <v>874</v>
      </c>
      <c r="AQ118" s="264">
        <v>0.38</v>
      </c>
      <c r="AR118" s="264">
        <v>0.28999999999999998</v>
      </c>
      <c r="AS118" s="264">
        <v>0.33</v>
      </c>
      <c r="AT118" s="264">
        <v>0</v>
      </c>
      <c r="AU118" s="264">
        <v>0</v>
      </c>
      <c r="AV118" s="311">
        <v>52</v>
      </c>
      <c r="AW118" s="311" t="s">
        <v>874</v>
      </c>
      <c r="AX118" s="311">
        <v>11</v>
      </c>
      <c r="AY118" s="311" t="s">
        <v>874</v>
      </c>
      <c r="AZ118" s="329">
        <v>0.33</v>
      </c>
      <c r="BA118" s="329">
        <v>0.24</v>
      </c>
      <c r="BB118" s="329">
        <v>0.38</v>
      </c>
      <c r="BC118" s="329">
        <v>0.05</v>
      </c>
      <c r="BD118" s="329">
        <v>0</v>
      </c>
      <c r="BE118" s="426">
        <v>51</v>
      </c>
      <c r="BF118" s="426" t="s">
        <v>874</v>
      </c>
      <c r="BG118" s="426">
        <v>8</v>
      </c>
      <c r="BH118" s="426" t="s">
        <v>874</v>
      </c>
      <c r="BI118" s="430">
        <v>0.32</v>
      </c>
      <c r="BJ118" s="430">
        <v>0.48</v>
      </c>
      <c r="BK118" s="430">
        <v>0.16</v>
      </c>
      <c r="BL118" s="430">
        <v>0.04</v>
      </c>
      <c r="BM118" s="430">
        <v>0</v>
      </c>
      <c r="BN118" s="466">
        <v>55</v>
      </c>
      <c r="BO118" s="466" t="s">
        <v>874</v>
      </c>
      <c r="BP118" s="466">
        <v>8</v>
      </c>
      <c r="BQ118" s="466" t="s">
        <v>874</v>
      </c>
      <c r="BR118" s="480">
        <v>0.16</v>
      </c>
      <c r="BS118" s="480">
        <v>0.57999999999999996</v>
      </c>
      <c r="BT118" s="480">
        <v>0.16</v>
      </c>
      <c r="BU118" s="480">
        <v>0.11</v>
      </c>
      <c r="BV118" s="480">
        <v>0</v>
      </c>
    </row>
    <row r="119" spans="1:74" ht="24.95" customHeight="1" x14ac:dyDescent="0.2">
      <c r="A119" s="126" t="s">
        <v>172</v>
      </c>
      <c r="B119" s="1" t="s">
        <v>219</v>
      </c>
      <c r="C119" s="2">
        <v>3</v>
      </c>
      <c r="D119" s="12">
        <v>51</v>
      </c>
      <c r="E119" s="12">
        <v>9</v>
      </c>
      <c r="F119" s="66">
        <v>0.41</v>
      </c>
      <c r="G119" s="66">
        <v>0.4</v>
      </c>
      <c r="H119" s="66">
        <v>0.15</v>
      </c>
      <c r="I119" s="66">
        <v>0.04</v>
      </c>
      <c r="J119" s="66">
        <v>0.01</v>
      </c>
      <c r="K119" s="12">
        <v>50</v>
      </c>
      <c r="L119" s="12">
        <v>9</v>
      </c>
      <c r="M119" s="61">
        <v>0.44</v>
      </c>
      <c r="N119" s="61">
        <v>0.36</v>
      </c>
      <c r="O119" s="61">
        <v>0.17</v>
      </c>
      <c r="P119" s="61">
        <v>0.03</v>
      </c>
      <c r="Q119" s="61">
        <v>0</v>
      </c>
      <c r="R119" s="12">
        <v>51</v>
      </c>
      <c r="S119" s="12">
        <v>10</v>
      </c>
      <c r="T119" s="63">
        <v>0.35</v>
      </c>
      <c r="U119" s="63">
        <v>0.42</v>
      </c>
      <c r="V119" s="63">
        <v>0.19</v>
      </c>
      <c r="W119" s="63">
        <v>0.04</v>
      </c>
      <c r="X119" s="63">
        <v>0</v>
      </c>
      <c r="Y119" s="12">
        <v>48</v>
      </c>
      <c r="Z119" s="12">
        <v>10</v>
      </c>
      <c r="AA119" s="63">
        <v>0.49</v>
      </c>
      <c r="AB119" s="63">
        <v>0.35</v>
      </c>
      <c r="AC119" s="63">
        <v>0.13</v>
      </c>
      <c r="AD119" s="63">
        <v>0.03</v>
      </c>
      <c r="AE119" s="63">
        <v>0</v>
      </c>
      <c r="AF119" s="25">
        <v>45</v>
      </c>
      <c r="AG119" s="25">
        <v>8</v>
      </c>
      <c r="AH119" s="61">
        <v>0.65</v>
      </c>
      <c r="AI119" s="61">
        <v>0.28999999999999998</v>
      </c>
      <c r="AJ119" s="61">
        <v>7.0000000000000007E-2</v>
      </c>
      <c r="AK119" s="61">
        <v>0</v>
      </c>
      <c r="AL119" s="61">
        <v>0</v>
      </c>
      <c r="AM119" s="247">
        <v>47</v>
      </c>
      <c r="AN119" s="247" t="s">
        <v>874</v>
      </c>
      <c r="AO119" s="247">
        <v>10</v>
      </c>
      <c r="AP119" s="247" t="s">
        <v>874</v>
      </c>
      <c r="AQ119" s="264">
        <v>0.53</v>
      </c>
      <c r="AR119" s="264">
        <v>0.3</v>
      </c>
      <c r="AS119" s="264">
        <v>0.13</v>
      </c>
      <c r="AT119" s="264">
        <v>0.03</v>
      </c>
      <c r="AU119" s="264">
        <v>0</v>
      </c>
      <c r="AV119" s="311">
        <v>50</v>
      </c>
      <c r="AW119" s="311" t="s">
        <v>874</v>
      </c>
      <c r="AX119" s="311">
        <v>12</v>
      </c>
      <c r="AY119" s="311" t="s">
        <v>874</v>
      </c>
      <c r="AZ119" s="329">
        <v>0.47</v>
      </c>
      <c r="BA119" s="329">
        <v>0.28000000000000003</v>
      </c>
      <c r="BB119" s="329">
        <v>0.2</v>
      </c>
      <c r="BC119" s="329">
        <v>0.05</v>
      </c>
      <c r="BD119" s="329">
        <v>0.01</v>
      </c>
      <c r="BE119" s="426">
        <v>48</v>
      </c>
      <c r="BF119" s="426" t="s">
        <v>874</v>
      </c>
      <c r="BG119" s="426">
        <v>9</v>
      </c>
      <c r="BH119" s="426" t="s">
        <v>874</v>
      </c>
      <c r="BI119" s="430">
        <v>0.45</v>
      </c>
      <c r="BJ119" s="430">
        <v>0.37</v>
      </c>
      <c r="BK119" s="430">
        <v>0.17</v>
      </c>
      <c r="BL119" s="430">
        <v>0.02</v>
      </c>
      <c r="BM119" s="430">
        <v>0</v>
      </c>
      <c r="BN119" s="466">
        <v>50</v>
      </c>
      <c r="BO119" s="466" t="s">
        <v>874</v>
      </c>
      <c r="BP119" s="466">
        <v>11</v>
      </c>
      <c r="BQ119" s="466" t="s">
        <v>874</v>
      </c>
      <c r="BR119" s="480">
        <v>0.43</v>
      </c>
      <c r="BS119" s="480">
        <v>0.34</v>
      </c>
      <c r="BT119" s="480">
        <v>0.17</v>
      </c>
      <c r="BU119" s="480">
        <v>0.05</v>
      </c>
      <c r="BV119" s="480">
        <v>0.01</v>
      </c>
    </row>
    <row r="120" spans="1:74" ht="24.95" customHeight="1" x14ac:dyDescent="0.2">
      <c r="A120" s="126" t="s">
        <v>33</v>
      </c>
      <c r="B120" s="1" t="s">
        <v>219</v>
      </c>
      <c r="C120" s="2">
        <v>6</v>
      </c>
      <c r="D120" s="12">
        <v>50</v>
      </c>
      <c r="E120" s="12">
        <v>9</v>
      </c>
      <c r="F120" s="66">
        <v>0.47</v>
      </c>
      <c r="G120" s="66">
        <v>0.37</v>
      </c>
      <c r="H120" s="66">
        <v>0.13</v>
      </c>
      <c r="I120" s="66">
        <v>0.03</v>
      </c>
      <c r="J120" s="66">
        <v>0</v>
      </c>
      <c r="K120" s="12">
        <v>50</v>
      </c>
      <c r="L120" s="12">
        <v>10</v>
      </c>
      <c r="M120" s="61">
        <v>0.44</v>
      </c>
      <c r="N120" s="61">
        <v>0.32</v>
      </c>
      <c r="O120" s="61">
        <v>0.18</v>
      </c>
      <c r="P120" s="61">
        <v>0.06</v>
      </c>
      <c r="Q120" s="61">
        <v>0</v>
      </c>
      <c r="R120" s="12">
        <v>52</v>
      </c>
      <c r="S120" s="12">
        <v>8</v>
      </c>
      <c r="T120" s="63">
        <v>0.26</v>
      </c>
      <c r="U120" s="63">
        <v>0.51</v>
      </c>
      <c r="V120" s="63">
        <v>0.18</v>
      </c>
      <c r="W120" s="63">
        <v>0.05</v>
      </c>
      <c r="X120" s="63">
        <v>0</v>
      </c>
      <c r="Y120" s="12">
        <v>49</v>
      </c>
      <c r="Z120" s="12">
        <v>9</v>
      </c>
      <c r="AA120" s="63">
        <v>0.39</v>
      </c>
      <c r="AB120" s="63">
        <v>0.44</v>
      </c>
      <c r="AC120" s="63">
        <v>0.16</v>
      </c>
      <c r="AD120" s="63">
        <v>0.02</v>
      </c>
      <c r="AE120" s="63">
        <v>0</v>
      </c>
      <c r="AF120" s="25">
        <v>47</v>
      </c>
      <c r="AG120" s="25">
        <v>8</v>
      </c>
      <c r="AH120" s="61">
        <v>0.54</v>
      </c>
      <c r="AI120" s="61">
        <v>0.37</v>
      </c>
      <c r="AJ120" s="61">
        <v>7.0000000000000007E-2</v>
      </c>
      <c r="AK120" s="61">
        <v>0.02</v>
      </c>
      <c r="AL120" s="61">
        <v>0</v>
      </c>
      <c r="AM120" s="247">
        <v>50</v>
      </c>
      <c r="AN120" s="247" t="s">
        <v>874</v>
      </c>
      <c r="AO120" s="247">
        <v>10</v>
      </c>
      <c r="AP120" s="247" t="s">
        <v>874</v>
      </c>
      <c r="AQ120" s="264">
        <v>0.42</v>
      </c>
      <c r="AR120" s="264">
        <v>0.37</v>
      </c>
      <c r="AS120" s="264">
        <v>0.16</v>
      </c>
      <c r="AT120" s="264">
        <v>0.05</v>
      </c>
      <c r="AU120" s="264">
        <v>0</v>
      </c>
      <c r="AV120" s="311">
        <v>52</v>
      </c>
      <c r="AW120" s="311" t="s">
        <v>874</v>
      </c>
      <c r="AX120" s="311">
        <v>10</v>
      </c>
      <c r="AY120" s="311" t="s">
        <v>874</v>
      </c>
      <c r="AZ120" s="329">
        <v>0.31</v>
      </c>
      <c r="BA120" s="329">
        <v>0.38</v>
      </c>
      <c r="BB120" s="329">
        <v>0.24</v>
      </c>
      <c r="BC120" s="329">
        <v>0.06</v>
      </c>
      <c r="BD120" s="329">
        <v>0.01</v>
      </c>
      <c r="BE120" s="426">
        <v>52</v>
      </c>
      <c r="BF120" s="426" t="s">
        <v>874</v>
      </c>
      <c r="BG120" s="426">
        <v>10</v>
      </c>
      <c r="BH120" s="426" t="s">
        <v>874</v>
      </c>
      <c r="BI120" s="430">
        <v>0.35</v>
      </c>
      <c r="BJ120" s="430">
        <v>0.37</v>
      </c>
      <c r="BK120" s="430">
        <v>0.22</v>
      </c>
      <c r="BL120" s="430">
        <v>0.06</v>
      </c>
      <c r="BM120" s="430">
        <v>0.01</v>
      </c>
      <c r="BN120" s="466">
        <v>52</v>
      </c>
      <c r="BO120" s="466" t="s">
        <v>874</v>
      </c>
      <c r="BP120" s="466">
        <v>10</v>
      </c>
      <c r="BQ120" s="466" t="s">
        <v>874</v>
      </c>
      <c r="BR120" s="480">
        <v>0.32</v>
      </c>
      <c r="BS120" s="480">
        <v>0.44</v>
      </c>
      <c r="BT120" s="480">
        <v>0.18</v>
      </c>
      <c r="BU120" s="480">
        <v>0.05</v>
      </c>
      <c r="BV120" s="480">
        <v>0.02</v>
      </c>
    </row>
    <row r="121" spans="1:74" ht="24.95" customHeight="1" x14ac:dyDescent="0.2">
      <c r="A121" s="126" t="s">
        <v>65</v>
      </c>
      <c r="B121" s="1" t="s">
        <v>219</v>
      </c>
      <c r="C121" s="2">
        <v>3</v>
      </c>
      <c r="D121" s="12">
        <v>52</v>
      </c>
      <c r="E121" s="12">
        <v>9</v>
      </c>
      <c r="F121" s="66">
        <v>0.36</v>
      </c>
      <c r="G121" s="66">
        <v>0.35</v>
      </c>
      <c r="H121" s="66">
        <v>0.24</v>
      </c>
      <c r="I121" s="66">
        <v>0.04</v>
      </c>
      <c r="J121" s="66">
        <v>0.01</v>
      </c>
      <c r="K121" s="12">
        <v>50</v>
      </c>
      <c r="L121" s="12">
        <v>9</v>
      </c>
      <c r="M121" s="61">
        <v>0.43</v>
      </c>
      <c r="N121" s="61">
        <v>0.37</v>
      </c>
      <c r="O121" s="61">
        <v>0.16</v>
      </c>
      <c r="P121" s="61">
        <v>0.03</v>
      </c>
      <c r="Q121" s="61">
        <v>0</v>
      </c>
      <c r="R121" s="12">
        <v>52</v>
      </c>
      <c r="S121" s="12">
        <v>8</v>
      </c>
      <c r="T121" s="63">
        <v>0.28999999999999998</v>
      </c>
      <c r="U121" s="63">
        <v>0.51</v>
      </c>
      <c r="V121" s="63">
        <v>0.18</v>
      </c>
      <c r="W121" s="63">
        <v>0.02</v>
      </c>
      <c r="X121" s="63">
        <v>0</v>
      </c>
      <c r="Y121" s="12">
        <v>50</v>
      </c>
      <c r="Z121" s="12">
        <v>9</v>
      </c>
      <c r="AA121" s="63">
        <v>0.4</v>
      </c>
      <c r="AB121" s="63">
        <v>0.41</v>
      </c>
      <c r="AC121" s="63">
        <v>0.15</v>
      </c>
      <c r="AD121" s="63">
        <v>0.04</v>
      </c>
      <c r="AE121" s="63">
        <v>0</v>
      </c>
      <c r="AF121" s="25">
        <v>47</v>
      </c>
      <c r="AG121" s="25">
        <v>9</v>
      </c>
      <c r="AH121" s="61">
        <v>0.56999999999999995</v>
      </c>
      <c r="AI121" s="61">
        <v>0.31</v>
      </c>
      <c r="AJ121" s="61">
        <v>0.08</v>
      </c>
      <c r="AK121" s="61">
        <v>0.03</v>
      </c>
      <c r="AL121" s="61">
        <v>0</v>
      </c>
      <c r="AM121" s="247">
        <v>49</v>
      </c>
      <c r="AN121" s="247" t="s">
        <v>874</v>
      </c>
      <c r="AO121" s="247">
        <v>10</v>
      </c>
      <c r="AP121" s="247" t="s">
        <v>874</v>
      </c>
      <c r="AQ121" s="264">
        <v>0.47</v>
      </c>
      <c r="AR121" s="264">
        <v>0.28999999999999998</v>
      </c>
      <c r="AS121" s="264">
        <v>0.21</v>
      </c>
      <c r="AT121" s="264">
        <v>0.03</v>
      </c>
      <c r="AU121" s="264">
        <v>0</v>
      </c>
      <c r="AV121" s="311">
        <v>49</v>
      </c>
      <c r="AW121" s="311" t="s">
        <v>874</v>
      </c>
      <c r="AX121" s="311">
        <v>10</v>
      </c>
      <c r="AY121" s="311" t="s">
        <v>874</v>
      </c>
      <c r="AZ121" s="329">
        <v>0.47</v>
      </c>
      <c r="BA121" s="329">
        <v>0.31</v>
      </c>
      <c r="BB121" s="329">
        <v>0.16</v>
      </c>
      <c r="BC121" s="329">
        <v>0.05</v>
      </c>
      <c r="BD121" s="329">
        <v>0</v>
      </c>
      <c r="BE121" s="426">
        <v>50</v>
      </c>
      <c r="BF121" s="426" t="s">
        <v>874</v>
      </c>
      <c r="BG121" s="426">
        <v>9</v>
      </c>
      <c r="BH121" s="426" t="s">
        <v>874</v>
      </c>
      <c r="BI121" s="430">
        <v>0.41</v>
      </c>
      <c r="BJ121" s="430">
        <v>0.38</v>
      </c>
      <c r="BK121" s="430">
        <v>0.17</v>
      </c>
      <c r="BL121" s="430">
        <v>0.04</v>
      </c>
      <c r="BM121" s="430">
        <v>0</v>
      </c>
      <c r="BN121" s="466">
        <v>53</v>
      </c>
      <c r="BO121" s="466" t="s">
        <v>874</v>
      </c>
      <c r="BP121" s="466">
        <v>11</v>
      </c>
      <c r="BQ121" s="466" t="s">
        <v>874</v>
      </c>
      <c r="BR121" s="480">
        <v>0.34</v>
      </c>
      <c r="BS121" s="480">
        <v>0.36</v>
      </c>
      <c r="BT121" s="480">
        <v>0.17</v>
      </c>
      <c r="BU121" s="480">
        <v>0.12</v>
      </c>
      <c r="BV121" s="480">
        <v>0.01</v>
      </c>
    </row>
    <row r="122" spans="1:74" ht="24.95" customHeight="1" x14ac:dyDescent="0.2">
      <c r="A122" s="126" t="s">
        <v>106</v>
      </c>
      <c r="B122" s="1" t="s">
        <v>221</v>
      </c>
      <c r="C122" s="2">
        <v>1</v>
      </c>
      <c r="D122" s="12">
        <v>55</v>
      </c>
      <c r="E122" s="12">
        <v>9</v>
      </c>
      <c r="F122" s="66">
        <v>0.13</v>
      </c>
      <c r="G122" s="66">
        <v>0.55000000000000004</v>
      </c>
      <c r="H122" s="66">
        <v>0.23</v>
      </c>
      <c r="I122" s="66">
        <v>0.1</v>
      </c>
      <c r="J122" s="66">
        <v>0</v>
      </c>
      <c r="K122" s="12">
        <v>52</v>
      </c>
      <c r="L122" s="12">
        <v>10</v>
      </c>
      <c r="M122" s="61">
        <v>0.32</v>
      </c>
      <c r="N122" s="61">
        <v>0.47</v>
      </c>
      <c r="O122" s="61">
        <v>0.11</v>
      </c>
      <c r="P122" s="61">
        <v>0.11</v>
      </c>
      <c r="Q122" s="61">
        <v>0</v>
      </c>
      <c r="R122" s="12">
        <v>52</v>
      </c>
      <c r="S122" s="12">
        <v>9</v>
      </c>
      <c r="T122" s="63">
        <v>0.41</v>
      </c>
      <c r="U122" s="63">
        <v>0.26</v>
      </c>
      <c r="V122" s="63">
        <v>0.28000000000000003</v>
      </c>
      <c r="W122" s="63">
        <v>0.04</v>
      </c>
      <c r="X122" s="63">
        <v>0</v>
      </c>
      <c r="Y122" s="12">
        <v>47</v>
      </c>
      <c r="Z122" s="12">
        <v>8</v>
      </c>
      <c r="AA122" s="63">
        <v>0.49</v>
      </c>
      <c r="AB122" s="63">
        <v>0.43</v>
      </c>
      <c r="AC122" s="63">
        <v>0.08</v>
      </c>
      <c r="AD122" s="63">
        <v>0</v>
      </c>
      <c r="AE122" s="63">
        <v>0</v>
      </c>
      <c r="AF122" s="25">
        <v>48</v>
      </c>
      <c r="AG122" s="25">
        <v>6</v>
      </c>
      <c r="AH122" s="61">
        <v>0.45</v>
      </c>
      <c r="AI122" s="61">
        <v>0.5</v>
      </c>
      <c r="AJ122" s="61">
        <v>0.05</v>
      </c>
      <c r="AK122" s="61">
        <v>0</v>
      </c>
      <c r="AL122" s="61">
        <v>0</v>
      </c>
      <c r="AM122" s="247">
        <v>50</v>
      </c>
      <c r="AN122" s="247" t="s">
        <v>874</v>
      </c>
      <c r="AO122" s="247">
        <v>10</v>
      </c>
      <c r="AP122" s="247" t="s">
        <v>874</v>
      </c>
      <c r="AQ122" s="264">
        <v>0.41</v>
      </c>
      <c r="AR122" s="264">
        <v>0.38</v>
      </c>
      <c r="AS122" s="264">
        <v>0.16</v>
      </c>
      <c r="AT122" s="264">
        <v>0.05</v>
      </c>
      <c r="AU122" s="264">
        <v>0</v>
      </c>
      <c r="AV122" s="311">
        <v>56</v>
      </c>
      <c r="AW122" s="311" t="s">
        <v>874</v>
      </c>
      <c r="AX122" s="311">
        <v>9</v>
      </c>
      <c r="AY122" s="311" t="s">
        <v>874</v>
      </c>
      <c r="AZ122" s="329">
        <v>0.15</v>
      </c>
      <c r="BA122" s="329">
        <v>0.44</v>
      </c>
      <c r="BB122" s="329">
        <v>0.32</v>
      </c>
      <c r="BC122" s="329">
        <v>0.09</v>
      </c>
      <c r="BD122" s="329">
        <v>0</v>
      </c>
      <c r="BE122" s="426">
        <v>55</v>
      </c>
      <c r="BF122" s="426" t="s">
        <v>874</v>
      </c>
      <c r="BG122" s="426">
        <v>12</v>
      </c>
      <c r="BH122" s="426" t="s">
        <v>874</v>
      </c>
      <c r="BI122" s="430">
        <v>0.22</v>
      </c>
      <c r="BJ122" s="430">
        <v>0.38</v>
      </c>
      <c r="BK122" s="430">
        <v>0.24</v>
      </c>
      <c r="BL122" s="430">
        <v>0.16</v>
      </c>
      <c r="BM122" s="430">
        <v>0</v>
      </c>
      <c r="BN122" s="466">
        <v>55</v>
      </c>
      <c r="BO122" s="466" t="s">
        <v>874</v>
      </c>
      <c r="BP122" s="466">
        <v>11</v>
      </c>
      <c r="BQ122" s="466" t="s">
        <v>874</v>
      </c>
      <c r="BR122" s="480">
        <v>0.23</v>
      </c>
      <c r="BS122" s="480">
        <v>0.4</v>
      </c>
      <c r="BT122" s="480">
        <v>0.27</v>
      </c>
      <c r="BU122" s="480">
        <v>0.06</v>
      </c>
      <c r="BV122" s="480">
        <v>0.04</v>
      </c>
    </row>
    <row r="123" spans="1:74" ht="24.95" customHeight="1" x14ac:dyDescent="0.2">
      <c r="A123" s="126" t="s">
        <v>187</v>
      </c>
      <c r="B123" s="1" t="s">
        <v>219</v>
      </c>
      <c r="C123" s="2">
        <v>4</v>
      </c>
      <c r="D123" s="12">
        <v>48</v>
      </c>
      <c r="E123" s="12">
        <v>8</v>
      </c>
      <c r="F123" s="66">
        <v>0.49</v>
      </c>
      <c r="G123" s="66">
        <v>0.34</v>
      </c>
      <c r="H123" s="66">
        <v>0.17</v>
      </c>
      <c r="I123" s="66">
        <v>0</v>
      </c>
      <c r="J123" s="66">
        <v>0</v>
      </c>
      <c r="K123" s="12">
        <v>46</v>
      </c>
      <c r="L123" s="12">
        <v>11</v>
      </c>
      <c r="M123" s="61">
        <v>0.54</v>
      </c>
      <c r="N123" s="61">
        <v>0.33</v>
      </c>
      <c r="O123" s="61">
        <v>0.13</v>
      </c>
      <c r="P123" s="61">
        <v>0</v>
      </c>
      <c r="Q123" s="61">
        <v>0</v>
      </c>
      <c r="R123" s="12">
        <v>48</v>
      </c>
      <c r="S123" s="12">
        <v>7</v>
      </c>
      <c r="T123" s="63">
        <v>0.52</v>
      </c>
      <c r="U123" s="63">
        <v>0.39</v>
      </c>
      <c r="V123" s="63">
        <v>0.06</v>
      </c>
      <c r="W123" s="63">
        <v>0.03</v>
      </c>
      <c r="X123" s="63">
        <v>0</v>
      </c>
      <c r="Y123" s="12">
        <v>48</v>
      </c>
      <c r="Z123" s="12">
        <v>10</v>
      </c>
      <c r="AA123" s="63">
        <v>0.54</v>
      </c>
      <c r="AB123" s="63">
        <v>0.28999999999999998</v>
      </c>
      <c r="AC123" s="63">
        <v>0.15</v>
      </c>
      <c r="AD123" s="63">
        <v>0.02</v>
      </c>
      <c r="AE123" s="63">
        <v>0</v>
      </c>
      <c r="AF123" s="25">
        <v>45</v>
      </c>
      <c r="AG123" s="25">
        <v>7</v>
      </c>
      <c r="AH123" s="61">
        <v>0.66</v>
      </c>
      <c r="AI123" s="61">
        <v>0.31</v>
      </c>
      <c r="AJ123" s="61">
        <v>0.03</v>
      </c>
      <c r="AK123" s="61">
        <v>0</v>
      </c>
      <c r="AL123" s="61">
        <v>0</v>
      </c>
      <c r="AM123" s="247">
        <v>45</v>
      </c>
      <c r="AN123" s="247" t="s">
        <v>874</v>
      </c>
      <c r="AO123" s="247">
        <v>10</v>
      </c>
      <c r="AP123" s="247" t="s">
        <v>874</v>
      </c>
      <c r="AQ123" s="264">
        <v>0.63</v>
      </c>
      <c r="AR123" s="264">
        <v>0.2</v>
      </c>
      <c r="AS123" s="264">
        <v>0.13</v>
      </c>
      <c r="AT123" s="264">
        <v>0.03</v>
      </c>
      <c r="AU123" s="264">
        <v>0</v>
      </c>
      <c r="AV123" s="311">
        <v>49</v>
      </c>
      <c r="AW123" s="311" t="s">
        <v>874</v>
      </c>
      <c r="AX123" s="311">
        <v>11</v>
      </c>
      <c r="AY123" s="311" t="s">
        <v>874</v>
      </c>
      <c r="AZ123" s="329">
        <v>0.42</v>
      </c>
      <c r="BA123" s="329">
        <v>0.42</v>
      </c>
      <c r="BB123" s="329">
        <v>0.11</v>
      </c>
      <c r="BC123" s="329">
        <v>0.06</v>
      </c>
      <c r="BD123" s="329">
        <v>0</v>
      </c>
      <c r="BE123" s="426">
        <v>49</v>
      </c>
      <c r="BF123" s="426" t="s">
        <v>874</v>
      </c>
      <c r="BG123" s="426">
        <v>9</v>
      </c>
      <c r="BH123" s="426" t="s">
        <v>874</v>
      </c>
      <c r="BI123" s="430">
        <v>0.47</v>
      </c>
      <c r="BJ123" s="430">
        <v>0.41</v>
      </c>
      <c r="BK123" s="430">
        <v>0.06</v>
      </c>
      <c r="BL123" s="430">
        <v>0.06</v>
      </c>
      <c r="BM123" s="430">
        <v>0</v>
      </c>
      <c r="BN123" s="466">
        <v>47</v>
      </c>
      <c r="BO123" s="466" t="s">
        <v>874</v>
      </c>
      <c r="BP123" s="466">
        <v>9</v>
      </c>
      <c r="BQ123" s="466" t="s">
        <v>874</v>
      </c>
      <c r="BR123" s="480">
        <v>0.53</v>
      </c>
      <c r="BS123" s="480">
        <v>0.3</v>
      </c>
      <c r="BT123" s="480">
        <v>0.17</v>
      </c>
      <c r="BU123" s="480">
        <v>0</v>
      </c>
      <c r="BV123" s="480">
        <v>0</v>
      </c>
    </row>
    <row r="124" spans="1:74" ht="24.95" customHeight="1" x14ac:dyDescent="0.2">
      <c r="A124" s="126" t="s">
        <v>928</v>
      </c>
      <c r="B124" s="1" t="s">
        <v>219</v>
      </c>
      <c r="C124" s="2">
        <v>2</v>
      </c>
      <c r="D124" s="12"/>
      <c r="E124" s="12"/>
      <c r="F124" s="66"/>
      <c r="G124" s="66"/>
      <c r="H124" s="66"/>
      <c r="I124" s="66"/>
      <c r="J124" s="66"/>
      <c r="K124" s="12"/>
      <c r="L124" s="12"/>
      <c r="M124" s="61"/>
      <c r="N124" s="61"/>
      <c r="O124" s="61"/>
      <c r="P124" s="61"/>
      <c r="Q124" s="61"/>
      <c r="R124" s="12"/>
      <c r="S124" s="12"/>
      <c r="T124" s="63"/>
      <c r="U124" s="63"/>
      <c r="V124" s="63"/>
      <c r="W124" s="63"/>
      <c r="X124" s="63"/>
      <c r="Y124" s="12"/>
      <c r="Z124" s="12"/>
      <c r="AA124" s="63"/>
      <c r="AB124" s="63"/>
      <c r="AC124" s="63"/>
      <c r="AD124" s="63"/>
      <c r="AE124" s="63"/>
      <c r="AF124" s="25"/>
      <c r="AG124" s="25"/>
      <c r="AH124" s="61"/>
      <c r="AI124" s="61"/>
      <c r="AJ124" s="61"/>
      <c r="AK124" s="61"/>
      <c r="AL124" s="61"/>
      <c r="AM124" s="247"/>
      <c r="AN124" s="247"/>
      <c r="AO124" s="247"/>
      <c r="AP124" s="247"/>
      <c r="AQ124" s="264"/>
      <c r="AR124" s="264"/>
      <c r="AS124" s="264"/>
      <c r="AT124" s="264"/>
      <c r="AU124" s="264"/>
      <c r="AV124" s="311">
        <v>52</v>
      </c>
      <c r="AW124" s="311" t="s">
        <v>874</v>
      </c>
      <c r="AX124" s="311">
        <v>9</v>
      </c>
      <c r="AY124" s="311" t="s">
        <v>874</v>
      </c>
      <c r="AZ124" s="329">
        <v>0.28999999999999998</v>
      </c>
      <c r="BA124" s="329">
        <v>0.34</v>
      </c>
      <c r="BB124" s="329">
        <v>0.32</v>
      </c>
      <c r="BC124" s="329">
        <v>0.05</v>
      </c>
      <c r="BD124" s="329">
        <v>0</v>
      </c>
      <c r="BE124" s="426">
        <v>51</v>
      </c>
      <c r="BF124" s="426" t="s">
        <v>874</v>
      </c>
      <c r="BG124" s="426">
        <v>10</v>
      </c>
      <c r="BH124" s="426" t="s">
        <v>874</v>
      </c>
      <c r="BI124" s="430">
        <v>0.39</v>
      </c>
      <c r="BJ124" s="430">
        <v>0.39</v>
      </c>
      <c r="BK124" s="430">
        <v>0.16</v>
      </c>
      <c r="BL124" s="430">
        <v>0.05</v>
      </c>
      <c r="BM124" s="430">
        <v>0</v>
      </c>
      <c r="BN124" s="466">
        <v>52</v>
      </c>
      <c r="BO124" s="466" t="s">
        <v>874</v>
      </c>
      <c r="BP124" s="466">
        <v>10</v>
      </c>
      <c r="BQ124" s="466" t="s">
        <v>874</v>
      </c>
      <c r="BR124" s="480">
        <v>0.43</v>
      </c>
      <c r="BS124" s="480">
        <v>0.36</v>
      </c>
      <c r="BT124" s="480">
        <v>0.13</v>
      </c>
      <c r="BU124" s="480">
        <v>7.0000000000000007E-2</v>
      </c>
      <c r="BV124" s="480">
        <v>0.01</v>
      </c>
    </row>
    <row r="125" spans="1:74" ht="24.95" customHeight="1" x14ac:dyDescent="0.2">
      <c r="A125" s="560" t="s">
        <v>130</v>
      </c>
      <c r="B125" s="1" t="s">
        <v>219</v>
      </c>
      <c r="C125" s="311">
        <v>3</v>
      </c>
      <c r="D125" s="330">
        <v>52</v>
      </c>
      <c r="E125" s="330">
        <v>9</v>
      </c>
      <c r="F125" s="335">
        <v>0.35</v>
      </c>
      <c r="G125" s="335">
        <v>0.39</v>
      </c>
      <c r="H125" s="335">
        <v>0.22</v>
      </c>
      <c r="I125" s="335">
        <v>0.05</v>
      </c>
      <c r="J125" s="335">
        <v>0</v>
      </c>
      <c r="K125" s="330">
        <v>49</v>
      </c>
      <c r="L125" s="330">
        <v>10</v>
      </c>
      <c r="M125" s="332">
        <v>0.44</v>
      </c>
      <c r="N125" s="332">
        <v>0.37</v>
      </c>
      <c r="O125" s="332">
        <v>0.16</v>
      </c>
      <c r="P125" s="332">
        <v>0.02</v>
      </c>
      <c r="Q125" s="332">
        <v>0.01</v>
      </c>
      <c r="R125" s="330">
        <v>50</v>
      </c>
      <c r="S125" s="330">
        <v>10</v>
      </c>
      <c r="T125" s="329">
        <v>0.43</v>
      </c>
      <c r="U125" s="329">
        <v>0.38</v>
      </c>
      <c r="V125" s="329">
        <v>0.11</v>
      </c>
      <c r="W125" s="329">
        <v>0.06</v>
      </c>
      <c r="X125" s="329">
        <v>0.01</v>
      </c>
      <c r="Y125" s="330">
        <v>49</v>
      </c>
      <c r="Z125" s="330">
        <v>9</v>
      </c>
      <c r="AA125" s="329">
        <v>0.47</v>
      </c>
      <c r="AB125" s="329">
        <v>0.39</v>
      </c>
      <c r="AC125" s="329">
        <v>0.11</v>
      </c>
      <c r="AD125" s="329">
        <v>0.03</v>
      </c>
      <c r="AE125" s="329">
        <v>0</v>
      </c>
      <c r="AF125" s="331">
        <v>47</v>
      </c>
      <c r="AG125" s="331">
        <v>8</v>
      </c>
      <c r="AH125" s="332">
        <v>0.55000000000000004</v>
      </c>
      <c r="AI125" s="332">
        <v>0.38</v>
      </c>
      <c r="AJ125" s="332">
        <v>0.05</v>
      </c>
      <c r="AK125" s="332">
        <v>0.01</v>
      </c>
      <c r="AL125" s="332">
        <v>0</v>
      </c>
      <c r="AM125" s="314">
        <v>49</v>
      </c>
      <c r="AN125" s="314" t="s">
        <v>874</v>
      </c>
      <c r="AO125" s="314">
        <v>10</v>
      </c>
      <c r="AP125" s="314" t="s">
        <v>874</v>
      </c>
      <c r="AQ125" s="334">
        <v>0.44</v>
      </c>
      <c r="AR125" s="334">
        <v>0.38</v>
      </c>
      <c r="AS125" s="334">
        <v>0.14000000000000001</v>
      </c>
      <c r="AT125" s="334">
        <v>0.04</v>
      </c>
      <c r="AU125" s="334">
        <v>0.01</v>
      </c>
      <c r="AV125" s="311">
        <v>53</v>
      </c>
      <c r="AW125" s="311" t="s">
        <v>874</v>
      </c>
      <c r="AX125" s="311">
        <v>11</v>
      </c>
      <c r="AY125" s="311" t="s">
        <v>874</v>
      </c>
      <c r="AZ125" s="329">
        <v>0.31</v>
      </c>
      <c r="BA125" s="329">
        <v>0.35</v>
      </c>
      <c r="BB125" s="329">
        <v>0.24</v>
      </c>
      <c r="BC125" s="329">
        <v>0.09</v>
      </c>
      <c r="BD125" s="329">
        <v>0.01</v>
      </c>
      <c r="BE125" s="426">
        <v>50</v>
      </c>
      <c r="BF125" s="426" t="s">
        <v>874</v>
      </c>
      <c r="BG125" s="426">
        <v>9</v>
      </c>
      <c r="BH125" s="426" t="s">
        <v>874</v>
      </c>
      <c r="BI125" s="430">
        <v>0.42</v>
      </c>
      <c r="BJ125" s="430">
        <v>0.37</v>
      </c>
      <c r="BK125" s="430">
        <v>0.16</v>
      </c>
      <c r="BL125" s="430">
        <v>0.04</v>
      </c>
      <c r="BM125" s="430">
        <v>0</v>
      </c>
      <c r="BN125" s="466">
        <v>51</v>
      </c>
      <c r="BO125" s="466" t="s">
        <v>874</v>
      </c>
      <c r="BP125" s="466">
        <v>9</v>
      </c>
      <c r="BQ125" s="466" t="s">
        <v>874</v>
      </c>
      <c r="BR125" s="480">
        <v>0.37</v>
      </c>
      <c r="BS125" s="480">
        <v>0.42</v>
      </c>
      <c r="BT125" s="480">
        <v>0.15</v>
      </c>
      <c r="BU125" s="480">
        <v>0.06</v>
      </c>
      <c r="BV125" s="480">
        <v>0</v>
      </c>
    </row>
    <row r="126" spans="1:74" ht="24.95" customHeight="1" x14ac:dyDescent="0.2">
      <c r="A126" s="126" t="s">
        <v>930</v>
      </c>
      <c r="B126" s="1" t="s">
        <v>219</v>
      </c>
      <c r="C126" s="2">
        <v>1</v>
      </c>
      <c r="D126" s="12"/>
      <c r="E126" s="12"/>
      <c r="F126" s="66"/>
      <c r="G126" s="66"/>
      <c r="H126" s="66"/>
      <c r="I126" s="66"/>
      <c r="J126" s="66"/>
      <c r="K126" s="12"/>
      <c r="L126" s="12"/>
      <c r="M126" s="61"/>
      <c r="N126" s="61"/>
      <c r="O126" s="61"/>
      <c r="P126" s="61"/>
      <c r="Q126" s="61"/>
      <c r="R126" s="12"/>
      <c r="S126" s="12"/>
      <c r="T126" s="63"/>
      <c r="U126" s="63"/>
      <c r="V126" s="63"/>
      <c r="W126" s="63"/>
      <c r="X126" s="63"/>
      <c r="Y126" s="12"/>
      <c r="Z126" s="12"/>
      <c r="AA126" s="63"/>
      <c r="AB126" s="63"/>
      <c r="AC126" s="63"/>
      <c r="AD126" s="63"/>
      <c r="AE126" s="63"/>
      <c r="AF126" s="25"/>
      <c r="AG126" s="25"/>
      <c r="AH126" s="61"/>
      <c r="AI126" s="61"/>
      <c r="AJ126" s="61"/>
      <c r="AK126" s="61"/>
      <c r="AL126" s="61"/>
      <c r="AM126" s="247"/>
      <c r="AN126" s="247"/>
      <c r="AO126" s="247"/>
      <c r="AP126" s="247"/>
      <c r="AQ126" s="264"/>
      <c r="AR126" s="264"/>
      <c r="AS126" s="264"/>
      <c r="AT126" s="264"/>
      <c r="AU126" s="264"/>
      <c r="AV126" s="311">
        <v>49</v>
      </c>
      <c r="AW126" s="311" t="s">
        <v>874</v>
      </c>
      <c r="AX126" s="311">
        <v>9</v>
      </c>
      <c r="AY126" s="311" t="s">
        <v>874</v>
      </c>
      <c r="AZ126" s="329">
        <v>0.38</v>
      </c>
      <c r="BA126" s="329">
        <v>0.54</v>
      </c>
      <c r="BB126" s="329">
        <v>0.05</v>
      </c>
      <c r="BC126" s="329">
        <v>0.03</v>
      </c>
      <c r="BD126" s="329">
        <v>0</v>
      </c>
      <c r="BE126" s="426">
        <v>50</v>
      </c>
      <c r="BF126" s="426" t="s">
        <v>874</v>
      </c>
      <c r="BG126" s="426">
        <v>9</v>
      </c>
      <c r="BH126" s="426" t="s">
        <v>874</v>
      </c>
      <c r="BI126" s="430">
        <v>0.39</v>
      </c>
      <c r="BJ126" s="430">
        <v>0.43</v>
      </c>
      <c r="BK126" s="430">
        <v>0.15</v>
      </c>
      <c r="BL126" s="430">
        <v>0.03</v>
      </c>
      <c r="BM126" s="430">
        <v>0</v>
      </c>
      <c r="BN126" s="466">
        <v>49</v>
      </c>
      <c r="BO126" s="466" t="s">
        <v>874</v>
      </c>
      <c r="BP126" s="466">
        <v>10</v>
      </c>
      <c r="BQ126" s="466" t="s">
        <v>874</v>
      </c>
      <c r="BR126" s="480">
        <v>0.47</v>
      </c>
      <c r="BS126" s="480">
        <v>0.35</v>
      </c>
      <c r="BT126" s="480">
        <v>0.13</v>
      </c>
      <c r="BU126" s="480">
        <v>0.05</v>
      </c>
      <c r="BV126" s="480">
        <v>0</v>
      </c>
    </row>
    <row r="127" spans="1:74" ht="24.95" customHeight="1" x14ac:dyDescent="0.2">
      <c r="A127" s="560" t="s">
        <v>90</v>
      </c>
      <c r="B127" s="1" t="s">
        <v>219</v>
      </c>
      <c r="C127" s="311">
        <v>1</v>
      </c>
      <c r="D127" s="330">
        <v>54</v>
      </c>
      <c r="E127" s="330">
        <v>8</v>
      </c>
      <c r="F127" s="335">
        <v>0.2</v>
      </c>
      <c r="G127" s="335">
        <v>0.47</v>
      </c>
      <c r="H127" s="335">
        <v>0.28000000000000003</v>
      </c>
      <c r="I127" s="335">
        <v>0.05</v>
      </c>
      <c r="J127" s="335">
        <v>0</v>
      </c>
      <c r="K127" s="330">
        <v>53</v>
      </c>
      <c r="L127" s="330">
        <v>9</v>
      </c>
      <c r="M127" s="332">
        <v>0.3</v>
      </c>
      <c r="N127" s="332">
        <v>0.38</v>
      </c>
      <c r="O127" s="332">
        <v>0.25</v>
      </c>
      <c r="P127" s="332">
        <v>7.0000000000000007E-2</v>
      </c>
      <c r="Q127" s="332">
        <v>0.01</v>
      </c>
      <c r="R127" s="330">
        <v>56</v>
      </c>
      <c r="S127" s="330">
        <v>10</v>
      </c>
      <c r="T127" s="329">
        <v>0.19</v>
      </c>
      <c r="U127" s="329">
        <v>0.38</v>
      </c>
      <c r="V127" s="329">
        <v>0.3</v>
      </c>
      <c r="W127" s="329">
        <v>0.11</v>
      </c>
      <c r="X127" s="329">
        <v>0.02</v>
      </c>
      <c r="Y127" s="330">
        <v>53</v>
      </c>
      <c r="Z127" s="330">
        <v>10</v>
      </c>
      <c r="AA127" s="329">
        <v>0.25</v>
      </c>
      <c r="AB127" s="329">
        <v>0.45</v>
      </c>
      <c r="AC127" s="329">
        <v>0.24</v>
      </c>
      <c r="AD127" s="329">
        <v>0.06</v>
      </c>
      <c r="AE127" s="329">
        <v>0.01</v>
      </c>
      <c r="AF127" s="331">
        <v>47</v>
      </c>
      <c r="AG127" s="331">
        <v>9</v>
      </c>
      <c r="AH127" s="332">
        <v>0.63</v>
      </c>
      <c r="AI127" s="332">
        <v>0.25</v>
      </c>
      <c r="AJ127" s="332">
        <v>0.08</v>
      </c>
      <c r="AK127" s="332">
        <v>0.04</v>
      </c>
      <c r="AL127" s="332">
        <v>0</v>
      </c>
      <c r="AM127" s="314">
        <v>51</v>
      </c>
      <c r="AN127" s="314" t="s">
        <v>874</v>
      </c>
      <c r="AO127" s="314">
        <v>10</v>
      </c>
      <c r="AP127" s="314" t="s">
        <v>874</v>
      </c>
      <c r="AQ127" s="334">
        <v>0.33</v>
      </c>
      <c r="AR127" s="334">
        <v>0.42</v>
      </c>
      <c r="AS127" s="334">
        <v>0.22</v>
      </c>
      <c r="AT127" s="334">
        <v>0.04</v>
      </c>
      <c r="AU127" s="334">
        <v>0</v>
      </c>
      <c r="AV127" s="311">
        <v>52</v>
      </c>
      <c r="AW127" s="311" t="s">
        <v>874</v>
      </c>
      <c r="AX127" s="311">
        <v>9</v>
      </c>
      <c r="AY127" s="311" t="s">
        <v>874</v>
      </c>
      <c r="AZ127" s="329">
        <v>0.35</v>
      </c>
      <c r="BA127" s="329">
        <v>0.38</v>
      </c>
      <c r="BB127" s="329">
        <v>0.21</v>
      </c>
      <c r="BC127" s="329">
        <v>0.05</v>
      </c>
      <c r="BD127" s="329">
        <v>0</v>
      </c>
      <c r="BE127" s="426">
        <v>51</v>
      </c>
      <c r="BF127" s="426" t="s">
        <v>874</v>
      </c>
      <c r="BG127" s="426">
        <v>8</v>
      </c>
      <c r="BH127" s="426" t="s">
        <v>874</v>
      </c>
      <c r="BI127" s="430">
        <v>0.35</v>
      </c>
      <c r="BJ127" s="430">
        <v>0.42</v>
      </c>
      <c r="BK127" s="430">
        <v>0.2</v>
      </c>
      <c r="BL127" s="430">
        <v>0.03</v>
      </c>
      <c r="BM127" s="430">
        <v>0</v>
      </c>
      <c r="BN127" s="466">
        <v>53</v>
      </c>
      <c r="BO127" s="466" t="s">
        <v>874</v>
      </c>
      <c r="BP127" s="466">
        <v>9</v>
      </c>
      <c r="BQ127" s="466" t="s">
        <v>874</v>
      </c>
      <c r="BR127" s="480">
        <v>0.31</v>
      </c>
      <c r="BS127" s="480">
        <v>0.43</v>
      </c>
      <c r="BT127" s="480">
        <v>0.19</v>
      </c>
      <c r="BU127" s="480">
        <v>7.0000000000000007E-2</v>
      </c>
      <c r="BV127" s="480">
        <v>0</v>
      </c>
    </row>
    <row r="128" spans="1:74" ht="24.95" customHeight="1" x14ac:dyDescent="0.2">
      <c r="A128" s="126" t="s">
        <v>50</v>
      </c>
      <c r="B128" s="1" t="s">
        <v>221</v>
      </c>
      <c r="C128" s="2">
        <v>1</v>
      </c>
      <c r="D128" s="12">
        <v>54</v>
      </c>
      <c r="E128" s="12">
        <v>9</v>
      </c>
      <c r="F128" s="66">
        <v>0.27</v>
      </c>
      <c r="G128" s="66">
        <v>0.45</v>
      </c>
      <c r="H128" s="66">
        <v>0.18</v>
      </c>
      <c r="I128" s="66">
        <v>0.1</v>
      </c>
      <c r="J128" s="66">
        <v>0</v>
      </c>
      <c r="K128" s="12">
        <v>50</v>
      </c>
      <c r="L128" s="12">
        <v>9</v>
      </c>
      <c r="M128" s="61">
        <v>0.41</v>
      </c>
      <c r="N128" s="61">
        <v>0.41</v>
      </c>
      <c r="O128" s="61">
        <v>0.16</v>
      </c>
      <c r="P128" s="61">
        <v>0.03</v>
      </c>
      <c r="Q128" s="61">
        <v>0</v>
      </c>
      <c r="R128" s="12">
        <v>53</v>
      </c>
      <c r="S128" s="12">
        <v>9</v>
      </c>
      <c r="T128" s="63">
        <v>0.33</v>
      </c>
      <c r="U128" s="63">
        <v>0.32</v>
      </c>
      <c r="V128" s="63">
        <v>0.3</v>
      </c>
      <c r="W128" s="63">
        <v>0.05</v>
      </c>
      <c r="X128" s="63">
        <v>0</v>
      </c>
      <c r="Y128" s="12">
        <v>51</v>
      </c>
      <c r="Z128" s="12">
        <v>8</v>
      </c>
      <c r="AA128" s="63">
        <v>0.3</v>
      </c>
      <c r="AB128" s="63">
        <v>0.47</v>
      </c>
      <c r="AC128" s="63">
        <v>0.23</v>
      </c>
      <c r="AD128" s="63">
        <v>0</v>
      </c>
      <c r="AE128" s="63">
        <v>0</v>
      </c>
      <c r="AF128" s="25">
        <v>48</v>
      </c>
      <c r="AG128" s="25">
        <v>9</v>
      </c>
      <c r="AH128" s="61">
        <v>0.5</v>
      </c>
      <c r="AI128" s="61">
        <v>0.35</v>
      </c>
      <c r="AJ128" s="61">
        <v>0.1</v>
      </c>
      <c r="AK128" s="61">
        <v>0.05</v>
      </c>
      <c r="AL128" s="61">
        <v>0</v>
      </c>
      <c r="AM128" s="247">
        <v>53</v>
      </c>
      <c r="AN128" s="247" t="s">
        <v>874</v>
      </c>
      <c r="AO128" s="247">
        <v>10</v>
      </c>
      <c r="AP128" s="247" t="s">
        <v>874</v>
      </c>
      <c r="AQ128" s="264">
        <v>0.33</v>
      </c>
      <c r="AR128" s="264">
        <v>0.31</v>
      </c>
      <c r="AS128" s="264">
        <v>0.3</v>
      </c>
      <c r="AT128" s="264">
        <v>0.05</v>
      </c>
      <c r="AU128" s="264">
        <v>0.02</v>
      </c>
      <c r="AV128" s="311">
        <v>54</v>
      </c>
      <c r="AW128" s="311" t="s">
        <v>874</v>
      </c>
      <c r="AX128" s="311">
        <v>9</v>
      </c>
      <c r="AY128" s="311" t="s">
        <v>874</v>
      </c>
      <c r="AZ128" s="329">
        <v>0.17</v>
      </c>
      <c r="BA128" s="329">
        <v>0.47</v>
      </c>
      <c r="BB128" s="329">
        <v>0.28000000000000003</v>
      </c>
      <c r="BC128" s="329">
        <v>0.09</v>
      </c>
      <c r="BD128" s="329">
        <v>0</v>
      </c>
      <c r="BE128" s="657"/>
      <c r="BF128" s="657"/>
      <c r="BG128" s="657"/>
      <c r="BH128" s="657"/>
      <c r="BI128" s="657"/>
      <c r="BJ128" s="657"/>
      <c r="BK128" s="657"/>
      <c r="BL128" s="657"/>
      <c r="BM128" s="657"/>
      <c r="BN128" s="656"/>
      <c r="BO128" s="656"/>
      <c r="BP128" s="656"/>
      <c r="BQ128" s="656"/>
      <c r="BR128" s="656"/>
      <c r="BS128" s="656"/>
      <c r="BT128" s="656"/>
      <c r="BU128" s="656"/>
      <c r="BV128" s="656"/>
    </row>
    <row r="129" spans="1:74" ht="24.95" customHeight="1" x14ac:dyDescent="0.2">
      <c r="A129" s="126" t="s">
        <v>932</v>
      </c>
      <c r="B129" s="1" t="s">
        <v>219</v>
      </c>
      <c r="C129" s="2">
        <v>3</v>
      </c>
      <c r="D129" s="12"/>
      <c r="E129" s="12"/>
      <c r="F129" s="66"/>
      <c r="G129" s="66"/>
      <c r="H129" s="66"/>
      <c r="I129" s="66"/>
      <c r="J129" s="66"/>
      <c r="K129" s="12"/>
      <c r="L129" s="12"/>
      <c r="M129" s="61"/>
      <c r="N129" s="61"/>
      <c r="O129" s="61"/>
      <c r="P129" s="61"/>
      <c r="Q129" s="61"/>
      <c r="R129" s="12"/>
      <c r="S129" s="12"/>
      <c r="T129" s="63"/>
      <c r="U129" s="63"/>
      <c r="V129" s="63"/>
      <c r="W129" s="63"/>
      <c r="X129" s="63"/>
      <c r="Y129" s="12"/>
      <c r="Z129" s="12"/>
      <c r="AA129" s="63"/>
      <c r="AB129" s="63"/>
      <c r="AC129" s="63"/>
      <c r="AD129" s="63"/>
      <c r="AE129" s="63"/>
      <c r="AF129" s="25"/>
      <c r="AG129" s="25"/>
      <c r="AH129" s="61"/>
      <c r="AI129" s="61"/>
      <c r="AJ129" s="61"/>
      <c r="AK129" s="61"/>
      <c r="AL129" s="61"/>
      <c r="AM129" s="247"/>
      <c r="AN129" s="247"/>
      <c r="AO129" s="247"/>
      <c r="AP129" s="247"/>
      <c r="AQ129" s="264"/>
      <c r="AR129" s="264"/>
      <c r="AS129" s="264"/>
      <c r="AT129" s="264"/>
      <c r="AU129" s="264"/>
      <c r="AV129" s="311">
        <v>52</v>
      </c>
      <c r="AW129" s="311" t="s">
        <v>874</v>
      </c>
      <c r="AX129" s="311">
        <v>10</v>
      </c>
      <c r="AY129" s="311" t="s">
        <v>874</v>
      </c>
      <c r="AZ129" s="329">
        <v>0.32</v>
      </c>
      <c r="BA129" s="329">
        <v>0.42</v>
      </c>
      <c r="BB129" s="329">
        <v>0.24</v>
      </c>
      <c r="BC129" s="329">
        <v>0.01</v>
      </c>
      <c r="BD129" s="329">
        <v>0.01</v>
      </c>
      <c r="BE129" s="658">
        <v>54</v>
      </c>
      <c r="BF129" s="658" t="s">
        <v>874</v>
      </c>
      <c r="BG129" s="658">
        <v>10</v>
      </c>
      <c r="BH129" s="658" t="s">
        <v>874</v>
      </c>
      <c r="BI129" s="659">
        <v>0.31</v>
      </c>
      <c r="BJ129" s="659">
        <v>0.36</v>
      </c>
      <c r="BK129" s="659">
        <v>0.23</v>
      </c>
      <c r="BL129" s="659">
        <v>0.11</v>
      </c>
      <c r="BM129" s="659">
        <v>0</v>
      </c>
      <c r="BN129" s="74">
        <v>54</v>
      </c>
      <c r="BO129" s="74" t="s">
        <v>874</v>
      </c>
      <c r="BP129" s="74">
        <v>12</v>
      </c>
      <c r="BQ129" s="74" t="s">
        <v>874</v>
      </c>
      <c r="BR129" s="96">
        <v>0.3</v>
      </c>
      <c r="BS129" s="96">
        <v>0.33</v>
      </c>
      <c r="BT129" s="96">
        <v>0.21</v>
      </c>
      <c r="BU129" s="96">
        <v>0.14000000000000001</v>
      </c>
      <c r="BV129" s="96">
        <v>0.02</v>
      </c>
    </row>
    <row r="130" spans="1:74" ht="24.95" customHeight="1" x14ac:dyDescent="0.2">
      <c r="A130" s="126" t="s">
        <v>286</v>
      </c>
      <c r="B130" s="1" t="s">
        <v>219</v>
      </c>
      <c r="C130" s="311">
        <v>6</v>
      </c>
      <c r="D130" s="330">
        <v>53</v>
      </c>
      <c r="E130" s="330">
        <v>9</v>
      </c>
      <c r="F130" s="335">
        <v>0.28999999999999998</v>
      </c>
      <c r="G130" s="335">
        <v>0.38</v>
      </c>
      <c r="H130" s="335">
        <v>0.27</v>
      </c>
      <c r="I130" s="335">
        <v>0.06</v>
      </c>
      <c r="J130" s="335">
        <v>0</v>
      </c>
      <c r="K130" s="330">
        <v>52</v>
      </c>
      <c r="L130" s="330">
        <v>8</v>
      </c>
      <c r="M130" s="332">
        <v>0.36</v>
      </c>
      <c r="N130" s="332">
        <v>0.41</v>
      </c>
      <c r="O130" s="332">
        <v>0.21</v>
      </c>
      <c r="P130" s="332">
        <v>0.02</v>
      </c>
      <c r="Q130" s="332">
        <v>0</v>
      </c>
      <c r="R130" s="330">
        <v>52</v>
      </c>
      <c r="S130" s="330">
        <v>8</v>
      </c>
      <c r="T130" s="329">
        <v>0.28000000000000003</v>
      </c>
      <c r="U130" s="329">
        <v>0.5</v>
      </c>
      <c r="V130" s="329">
        <v>0.17</v>
      </c>
      <c r="W130" s="329">
        <v>0.05</v>
      </c>
      <c r="X130" s="329">
        <v>0</v>
      </c>
      <c r="Y130" s="330">
        <v>49</v>
      </c>
      <c r="Z130" s="330">
        <v>9</v>
      </c>
      <c r="AA130" s="329">
        <v>0.4</v>
      </c>
      <c r="AB130" s="329">
        <v>0.47</v>
      </c>
      <c r="AC130" s="329">
        <v>0.11</v>
      </c>
      <c r="AD130" s="329">
        <v>0.03</v>
      </c>
      <c r="AE130" s="329">
        <v>0</v>
      </c>
      <c r="AF130" s="331">
        <v>48</v>
      </c>
      <c r="AG130" s="331">
        <v>9</v>
      </c>
      <c r="AH130" s="332">
        <v>0.54</v>
      </c>
      <c r="AI130" s="332">
        <v>0.35</v>
      </c>
      <c r="AJ130" s="332">
        <v>0.08</v>
      </c>
      <c r="AK130" s="332">
        <v>0.02</v>
      </c>
      <c r="AL130" s="332">
        <v>0.01</v>
      </c>
      <c r="AM130" s="314">
        <v>50</v>
      </c>
      <c r="AN130" s="314" t="s">
        <v>874</v>
      </c>
      <c r="AO130" s="314">
        <v>10</v>
      </c>
      <c r="AP130" s="314" t="s">
        <v>874</v>
      </c>
      <c r="AQ130" s="334">
        <v>0.37</v>
      </c>
      <c r="AR130" s="334">
        <v>0.43</v>
      </c>
      <c r="AS130" s="334">
        <v>0.17</v>
      </c>
      <c r="AT130" s="334">
        <v>0.04</v>
      </c>
      <c r="AU130" s="334">
        <v>0</v>
      </c>
      <c r="AV130" s="311">
        <v>50</v>
      </c>
      <c r="AW130" s="311" t="s">
        <v>874</v>
      </c>
      <c r="AX130" s="311">
        <v>10</v>
      </c>
      <c r="AY130" s="311" t="s">
        <v>874</v>
      </c>
      <c r="AZ130" s="329">
        <v>0.34</v>
      </c>
      <c r="BA130" s="329">
        <v>0.47</v>
      </c>
      <c r="BB130" s="329">
        <v>0.14000000000000001</v>
      </c>
      <c r="BC130" s="329">
        <v>0.04</v>
      </c>
      <c r="BD130" s="329">
        <v>0.01</v>
      </c>
      <c r="BE130" s="426">
        <v>51</v>
      </c>
      <c r="BF130" s="426" t="s">
        <v>874</v>
      </c>
      <c r="BG130" s="426">
        <v>10</v>
      </c>
      <c r="BH130" s="426" t="s">
        <v>874</v>
      </c>
      <c r="BI130" s="430">
        <v>0.31</v>
      </c>
      <c r="BJ130" s="430">
        <v>0.49</v>
      </c>
      <c r="BK130" s="430">
        <v>0.14000000000000001</v>
      </c>
      <c r="BL130" s="430">
        <v>0.06</v>
      </c>
      <c r="BM130" s="430">
        <v>0</v>
      </c>
      <c r="BN130" s="466">
        <v>52</v>
      </c>
      <c r="BO130" s="466" t="s">
        <v>874</v>
      </c>
      <c r="BP130" s="466">
        <v>11</v>
      </c>
      <c r="BQ130" s="466" t="s">
        <v>874</v>
      </c>
      <c r="BR130" s="480">
        <v>0.36</v>
      </c>
      <c r="BS130" s="480">
        <v>0.36</v>
      </c>
      <c r="BT130" s="480">
        <v>0.17</v>
      </c>
      <c r="BU130" s="480">
        <v>0.11</v>
      </c>
      <c r="BV130" s="480">
        <v>0</v>
      </c>
    </row>
    <row r="131" spans="1:74" ht="24.95" customHeight="1" x14ac:dyDescent="0.2">
      <c r="A131" s="126" t="s">
        <v>934</v>
      </c>
      <c r="B131" s="1" t="s">
        <v>219</v>
      </c>
      <c r="C131" s="2">
        <v>2</v>
      </c>
      <c r="D131" s="12"/>
      <c r="E131" s="12"/>
      <c r="F131" s="66"/>
      <c r="G131" s="66"/>
      <c r="H131" s="66"/>
      <c r="I131" s="66"/>
      <c r="J131" s="66"/>
      <c r="K131" s="12"/>
      <c r="L131" s="12"/>
      <c r="M131" s="61"/>
      <c r="N131" s="61"/>
      <c r="O131" s="61"/>
      <c r="P131" s="61"/>
      <c r="Q131" s="61"/>
      <c r="R131" s="12"/>
      <c r="S131" s="12"/>
      <c r="T131" s="63"/>
      <c r="U131" s="63"/>
      <c r="V131" s="63"/>
      <c r="W131" s="63"/>
      <c r="X131" s="63"/>
      <c r="Y131" s="12"/>
      <c r="Z131" s="12"/>
      <c r="AA131" s="63"/>
      <c r="AB131" s="63"/>
      <c r="AC131" s="63"/>
      <c r="AD131" s="63"/>
      <c r="AE131" s="63"/>
      <c r="AF131" s="25"/>
      <c r="AG131" s="25"/>
      <c r="AH131" s="61"/>
      <c r="AI131" s="61"/>
      <c r="AJ131" s="61"/>
      <c r="AK131" s="61"/>
      <c r="AL131" s="61"/>
      <c r="AM131" s="247"/>
      <c r="AN131" s="247"/>
      <c r="AO131" s="247"/>
      <c r="AP131" s="247"/>
      <c r="AQ131" s="264"/>
      <c r="AR131" s="264"/>
      <c r="AS131" s="264"/>
      <c r="AT131" s="264"/>
      <c r="AU131" s="264"/>
      <c r="AV131" s="311">
        <v>49</v>
      </c>
      <c r="AW131" s="311" t="s">
        <v>874</v>
      </c>
      <c r="AX131" s="311">
        <v>9</v>
      </c>
      <c r="AY131" s="311" t="s">
        <v>874</v>
      </c>
      <c r="AZ131" s="329">
        <v>0.51</v>
      </c>
      <c r="BA131" s="329">
        <v>0.32</v>
      </c>
      <c r="BB131" s="329">
        <v>0.12</v>
      </c>
      <c r="BC131" s="329">
        <v>0.05</v>
      </c>
      <c r="BD131" s="329">
        <v>0</v>
      </c>
      <c r="BE131" s="426">
        <v>49</v>
      </c>
      <c r="BF131" s="426" t="s">
        <v>874</v>
      </c>
      <c r="BG131" s="426">
        <v>10</v>
      </c>
      <c r="BH131" s="426" t="s">
        <v>874</v>
      </c>
      <c r="BI131" s="430">
        <v>0.48</v>
      </c>
      <c r="BJ131" s="430">
        <v>0.33</v>
      </c>
      <c r="BK131" s="430">
        <v>0.17</v>
      </c>
      <c r="BL131" s="430">
        <v>0.03</v>
      </c>
      <c r="BM131" s="430">
        <v>0</v>
      </c>
      <c r="BN131" s="466">
        <v>54</v>
      </c>
      <c r="BO131" s="466" t="s">
        <v>874</v>
      </c>
      <c r="BP131" s="466">
        <v>10</v>
      </c>
      <c r="BQ131" s="466" t="s">
        <v>874</v>
      </c>
      <c r="BR131" s="480">
        <v>0.23</v>
      </c>
      <c r="BS131" s="480">
        <v>0.43</v>
      </c>
      <c r="BT131" s="480">
        <v>0.27</v>
      </c>
      <c r="BU131" s="480">
        <v>0.06</v>
      </c>
      <c r="BV131" s="480">
        <v>0.02</v>
      </c>
    </row>
    <row r="132" spans="1:74" ht="24.95" customHeight="1" x14ac:dyDescent="0.2">
      <c r="A132" s="560" t="s">
        <v>192</v>
      </c>
      <c r="B132" s="1" t="s">
        <v>221</v>
      </c>
      <c r="C132" s="311">
        <v>2</v>
      </c>
      <c r="D132" s="330">
        <v>49</v>
      </c>
      <c r="E132" s="330">
        <v>16</v>
      </c>
      <c r="F132" s="335">
        <v>0.5</v>
      </c>
      <c r="G132" s="335">
        <v>0</v>
      </c>
      <c r="H132" s="335">
        <v>0.5</v>
      </c>
      <c r="I132" s="335">
        <v>0</v>
      </c>
      <c r="J132" s="335">
        <v>0</v>
      </c>
      <c r="K132" s="330" t="s">
        <v>224</v>
      </c>
      <c r="L132" s="330" t="s">
        <v>224</v>
      </c>
      <c r="M132" s="332"/>
      <c r="N132" s="332"/>
      <c r="O132" s="332"/>
      <c r="P132" s="332"/>
      <c r="Q132" s="332"/>
      <c r="R132" s="330" t="s">
        <v>224</v>
      </c>
      <c r="S132" s="330" t="s">
        <v>224</v>
      </c>
      <c r="T132" s="311"/>
      <c r="U132" s="311"/>
      <c r="V132" s="311"/>
      <c r="W132" s="311"/>
      <c r="X132" s="311"/>
      <c r="Y132" s="330" t="s">
        <v>224</v>
      </c>
      <c r="Z132" s="330" t="s">
        <v>224</v>
      </c>
      <c r="AA132" s="311"/>
      <c r="AB132" s="311"/>
      <c r="AC132" s="311"/>
      <c r="AD132" s="311"/>
      <c r="AE132" s="311"/>
      <c r="AF132" s="331">
        <v>44</v>
      </c>
      <c r="AG132" s="331">
        <v>8</v>
      </c>
      <c r="AH132" s="332">
        <v>0.68</v>
      </c>
      <c r="AI132" s="332">
        <v>0.27</v>
      </c>
      <c r="AJ132" s="332">
        <v>0.03</v>
      </c>
      <c r="AK132" s="332">
        <v>0.02</v>
      </c>
      <c r="AL132" s="332">
        <v>0</v>
      </c>
      <c r="AM132" s="314">
        <v>40</v>
      </c>
      <c r="AN132" s="314" t="s">
        <v>876</v>
      </c>
      <c r="AO132" s="314">
        <v>6</v>
      </c>
      <c r="AP132" s="314" t="s">
        <v>876</v>
      </c>
      <c r="AQ132" s="334">
        <v>0.89</v>
      </c>
      <c r="AR132" s="334">
        <v>0.11</v>
      </c>
      <c r="AS132" s="334">
        <v>0</v>
      </c>
      <c r="AT132" s="334">
        <v>0</v>
      </c>
      <c r="AU132" s="334">
        <v>0</v>
      </c>
      <c r="AV132" s="655"/>
      <c r="AW132" s="655"/>
      <c r="AX132" s="655"/>
      <c r="AY132" s="655"/>
      <c r="AZ132" s="655"/>
      <c r="BA132" s="655"/>
      <c r="BB132" s="655"/>
      <c r="BC132" s="655"/>
      <c r="BD132" s="655"/>
      <c r="BE132" s="657"/>
      <c r="BF132" s="657"/>
      <c r="BG132" s="657"/>
      <c r="BH132" s="657"/>
      <c r="BI132" s="657"/>
      <c r="BJ132" s="657"/>
      <c r="BK132" s="657"/>
      <c r="BL132" s="657"/>
      <c r="BM132" s="657"/>
      <c r="BN132" s="466">
        <v>52</v>
      </c>
      <c r="BO132" s="466" t="s">
        <v>874</v>
      </c>
      <c r="BP132" s="466">
        <v>26</v>
      </c>
      <c r="BQ132" s="466" t="s">
        <v>875</v>
      </c>
      <c r="BR132" s="480">
        <v>0.5</v>
      </c>
      <c r="BS132" s="480">
        <v>0</v>
      </c>
      <c r="BT132" s="480">
        <v>0</v>
      </c>
      <c r="BU132" s="480">
        <v>0.5</v>
      </c>
      <c r="BV132" s="480">
        <v>0</v>
      </c>
    </row>
    <row r="133" spans="1:74" ht="24.95" customHeight="1" x14ac:dyDescent="0.2">
      <c r="A133" s="126" t="s">
        <v>231</v>
      </c>
      <c r="B133" s="1" t="s">
        <v>221</v>
      </c>
      <c r="C133" s="2">
        <v>4</v>
      </c>
      <c r="D133" s="12" t="s">
        <v>224</v>
      </c>
      <c r="E133" s="12" t="s">
        <v>224</v>
      </c>
      <c r="F133" s="12"/>
      <c r="G133" s="12"/>
      <c r="H133" s="12"/>
      <c r="I133" s="12"/>
      <c r="J133" s="12"/>
      <c r="K133" s="12" t="s">
        <v>224</v>
      </c>
      <c r="L133" s="12" t="s">
        <v>224</v>
      </c>
      <c r="M133" s="61"/>
      <c r="N133" s="61"/>
      <c r="O133" s="61"/>
      <c r="P133" s="61"/>
      <c r="Q133" s="61"/>
      <c r="R133" s="12">
        <v>66</v>
      </c>
      <c r="S133" s="12">
        <v>12</v>
      </c>
      <c r="T133" s="63">
        <v>0</v>
      </c>
      <c r="U133" s="63">
        <v>0.5</v>
      </c>
      <c r="V133" s="63">
        <v>0</v>
      </c>
      <c r="W133" s="63">
        <v>0.5</v>
      </c>
      <c r="X133" s="63">
        <v>0</v>
      </c>
      <c r="Y133" s="12" t="s">
        <v>224</v>
      </c>
      <c r="Z133" s="12" t="s">
        <v>224</v>
      </c>
      <c r="AA133" s="2"/>
      <c r="AB133" s="2"/>
      <c r="AC133" s="2"/>
      <c r="AD133" s="2"/>
      <c r="AE133" s="2"/>
      <c r="AF133" s="25"/>
      <c r="AG133" s="25"/>
      <c r="AH133" s="61"/>
      <c r="AI133" s="61"/>
      <c r="AJ133" s="61"/>
      <c r="AK133" s="61"/>
      <c r="AL133" s="61"/>
      <c r="AM133" s="652"/>
      <c r="AN133" s="652"/>
      <c r="AO133" s="652"/>
      <c r="AP133" s="652"/>
      <c r="AQ133" s="652"/>
      <c r="AR133" s="652"/>
      <c r="AS133" s="652"/>
      <c r="AT133" s="652"/>
      <c r="AU133" s="652"/>
      <c r="BN133" s="656"/>
      <c r="BO133" s="656"/>
      <c r="BP133" s="656"/>
      <c r="BQ133" s="656"/>
      <c r="BR133" s="656"/>
      <c r="BS133" s="656"/>
      <c r="BT133" s="656"/>
      <c r="BU133" s="656"/>
      <c r="BV133" s="656"/>
    </row>
    <row r="134" spans="1:74" ht="24.95" customHeight="1" x14ac:dyDescent="0.2">
      <c r="A134" s="126" t="s">
        <v>1098</v>
      </c>
      <c r="B134" s="1" t="s">
        <v>221</v>
      </c>
      <c r="C134" s="2">
        <v>5</v>
      </c>
      <c r="D134" s="12">
        <v>56</v>
      </c>
      <c r="E134" s="12">
        <v>11</v>
      </c>
      <c r="F134" s="66">
        <v>0.28000000000000003</v>
      </c>
      <c r="G134" s="66">
        <v>0.35</v>
      </c>
      <c r="H134" s="66">
        <v>0.21</v>
      </c>
      <c r="I134" s="66">
        <v>0.14000000000000001</v>
      </c>
      <c r="J134" s="66">
        <v>0.02</v>
      </c>
      <c r="K134" s="12">
        <v>56</v>
      </c>
      <c r="L134" s="12">
        <v>9</v>
      </c>
      <c r="M134" s="61">
        <v>0.16</v>
      </c>
      <c r="N134" s="61">
        <v>0.37</v>
      </c>
      <c r="O134" s="61">
        <v>0.4</v>
      </c>
      <c r="P134" s="61">
        <v>7.0000000000000007E-2</v>
      </c>
      <c r="Q134" s="61">
        <v>0</v>
      </c>
      <c r="R134" s="12">
        <v>54</v>
      </c>
      <c r="S134" s="12">
        <v>8</v>
      </c>
      <c r="T134" s="63">
        <v>0.17</v>
      </c>
      <c r="U134" s="63">
        <v>0.43</v>
      </c>
      <c r="V134" s="63">
        <v>0.4</v>
      </c>
      <c r="W134" s="63">
        <v>0</v>
      </c>
      <c r="X134" s="63">
        <v>0</v>
      </c>
      <c r="Y134" s="12">
        <v>53</v>
      </c>
      <c r="Z134" s="12">
        <v>8</v>
      </c>
      <c r="AA134" s="63">
        <v>0.22</v>
      </c>
      <c r="AB134" s="63">
        <v>0.48</v>
      </c>
      <c r="AC134" s="63">
        <v>0.28000000000000003</v>
      </c>
      <c r="AD134" s="63">
        <v>0.02</v>
      </c>
      <c r="AE134" s="63">
        <v>0</v>
      </c>
      <c r="AF134" s="25">
        <v>52</v>
      </c>
      <c r="AG134" s="25">
        <v>11</v>
      </c>
      <c r="AH134" s="61">
        <v>0.4</v>
      </c>
      <c r="AI134" s="61">
        <v>0.25</v>
      </c>
      <c r="AJ134" s="61">
        <v>0.24</v>
      </c>
      <c r="AK134" s="61">
        <v>0.11</v>
      </c>
      <c r="AL134" s="61">
        <v>0</v>
      </c>
      <c r="AM134" s="653">
        <v>53</v>
      </c>
      <c r="AN134" s="653" t="s">
        <v>874</v>
      </c>
      <c r="AO134" s="653">
        <v>9</v>
      </c>
      <c r="AP134" s="653" t="s">
        <v>874</v>
      </c>
      <c r="AQ134" s="654">
        <v>0.28000000000000003</v>
      </c>
      <c r="AR134" s="654">
        <v>0.46</v>
      </c>
      <c r="AS134" s="654">
        <v>0.22</v>
      </c>
      <c r="AT134" s="654">
        <v>0.04</v>
      </c>
      <c r="AU134" s="654">
        <v>0</v>
      </c>
      <c r="AV134" s="74">
        <v>54</v>
      </c>
      <c r="AW134" s="74" t="s">
        <v>874</v>
      </c>
      <c r="AX134" s="74">
        <v>8</v>
      </c>
      <c r="AY134" s="74" t="s">
        <v>874</v>
      </c>
      <c r="AZ134" s="96">
        <v>0.2</v>
      </c>
      <c r="BA134" s="96">
        <v>0.5</v>
      </c>
      <c r="BB134" s="96">
        <v>0.27</v>
      </c>
      <c r="BC134" s="96">
        <v>0.02</v>
      </c>
      <c r="BD134" s="96">
        <v>0.01</v>
      </c>
      <c r="BE134" s="658">
        <v>54</v>
      </c>
      <c r="BF134" s="658" t="s">
        <v>874</v>
      </c>
      <c r="BG134" s="658">
        <v>10</v>
      </c>
      <c r="BH134" s="658" t="s">
        <v>874</v>
      </c>
      <c r="BI134" s="659">
        <v>0.3</v>
      </c>
      <c r="BJ134" s="659">
        <v>0.24</v>
      </c>
      <c r="BK134" s="659">
        <v>0.41</v>
      </c>
      <c r="BL134" s="659">
        <v>0.02</v>
      </c>
      <c r="BM134" s="659">
        <v>0.04</v>
      </c>
      <c r="BN134" s="74">
        <v>53</v>
      </c>
      <c r="BO134" s="74" t="s">
        <v>874</v>
      </c>
      <c r="BP134" s="74">
        <v>11</v>
      </c>
      <c r="BQ134" s="74" t="s">
        <v>874</v>
      </c>
      <c r="BR134" s="96">
        <v>0.28000000000000003</v>
      </c>
      <c r="BS134" s="96">
        <v>0.42</v>
      </c>
      <c r="BT134" s="96">
        <v>0.23</v>
      </c>
      <c r="BU134" s="96">
        <v>0.04</v>
      </c>
      <c r="BV134" s="96">
        <v>0.04</v>
      </c>
    </row>
    <row r="135" spans="1:74" ht="24.95" customHeight="1" x14ac:dyDescent="0.2">
      <c r="A135" s="126" t="s">
        <v>215</v>
      </c>
      <c r="B135" s="1" t="s">
        <v>221</v>
      </c>
      <c r="C135" s="2">
        <v>6</v>
      </c>
      <c r="D135" s="12">
        <v>44</v>
      </c>
      <c r="E135" s="12">
        <v>0</v>
      </c>
      <c r="F135" s="66">
        <v>1</v>
      </c>
      <c r="G135" s="66">
        <v>0</v>
      </c>
      <c r="H135" s="66">
        <v>0</v>
      </c>
      <c r="I135" s="66">
        <v>0</v>
      </c>
      <c r="J135" s="66">
        <v>0</v>
      </c>
      <c r="K135" s="12" t="s">
        <v>226</v>
      </c>
      <c r="L135" s="12" t="s">
        <v>226</v>
      </c>
      <c r="M135" s="61"/>
      <c r="N135" s="61"/>
      <c r="O135" s="61"/>
      <c r="P135" s="61"/>
      <c r="Q135" s="61"/>
      <c r="R135" s="12" t="s">
        <v>224</v>
      </c>
      <c r="S135" s="12" t="s">
        <v>224</v>
      </c>
      <c r="T135" s="2"/>
      <c r="U135" s="2"/>
      <c r="V135" s="2"/>
      <c r="W135" s="2"/>
      <c r="X135" s="2"/>
      <c r="Y135" s="12" t="s">
        <v>224</v>
      </c>
      <c r="Z135" s="12" t="s">
        <v>224</v>
      </c>
      <c r="AA135" s="2"/>
      <c r="AB135" s="2"/>
      <c r="AC135" s="2"/>
      <c r="AD135" s="2"/>
      <c r="AE135" s="2"/>
      <c r="AF135" s="25"/>
      <c r="AG135" s="25"/>
      <c r="AH135" s="61"/>
      <c r="AI135" s="61"/>
      <c r="AJ135" s="61"/>
      <c r="AK135" s="61"/>
      <c r="AL135" s="61"/>
      <c r="AM135" s="247">
        <v>51</v>
      </c>
      <c r="AN135" s="247" t="s">
        <v>874</v>
      </c>
      <c r="AO135" s="247">
        <v>0</v>
      </c>
      <c r="AP135" s="247" t="s">
        <v>876</v>
      </c>
      <c r="AQ135" s="264">
        <v>0</v>
      </c>
      <c r="AR135" s="264">
        <v>1</v>
      </c>
      <c r="AS135" s="264">
        <v>0</v>
      </c>
      <c r="AT135" s="264">
        <v>0</v>
      </c>
      <c r="AU135" s="264">
        <v>0</v>
      </c>
      <c r="AV135" s="655"/>
      <c r="AW135" s="655"/>
      <c r="AX135" s="655"/>
      <c r="AY135" s="655"/>
      <c r="AZ135" s="655"/>
      <c r="BA135" s="655"/>
      <c r="BB135" s="655"/>
      <c r="BC135" s="655"/>
      <c r="BD135" s="655"/>
      <c r="BE135" s="657"/>
      <c r="BF135" s="657"/>
      <c r="BG135" s="657"/>
      <c r="BH135" s="657"/>
      <c r="BI135" s="657"/>
      <c r="BJ135" s="657"/>
      <c r="BK135" s="657"/>
      <c r="BL135" s="657"/>
      <c r="BM135" s="657"/>
      <c r="BN135" s="656"/>
      <c r="BO135" s="656"/>
      <c r="BP135" s="656"/>
      <c r="BQ135" s="656"/>
      <c r="BR135" s="656"/>
      <c r="BS135" s="656"/>
      <c r="BT135" s="656"/>
      <c r="BU135" s="656"/>
      <c r="BV135" s="656"/>
    </row>
    <row r="136" spans="1:74" ht="24.95" customHeight="1" x14ac:dyDescent="0.2">
      <c r="A136" s="126" t="s">
        <v>120</v>
      </c>
      <c r="B136" s="1" t="s">
        <v>221</v>
      </c>
      <c r="C136" s="2">
        <v>4</v>
      </c>
      <c r="D136" s="12">
        <v>59</v>
      </c>
      <c r="E136" s="12">
        <v>10</v>
      </c>
      <c r="F136" s="66">
        <v>0.19</v>
      </c>
      <c r="G136" s="66">
        <v>0.19</v>
      </c>
      <c r="H136" s="66">
        <v>0.38</v>
      </c>
      <c r="I136" s="66">
        <v>0.25</v>
      </c>
      <c r="J136" s="66">
        <v>0</v>
      </c>
      <c r="K136" s="12">
        <v>57</v>
      </c>
      <c r="L136" s="12">
        <v>9</v>
      </c>
      <c r="M136" s="61">
        <v>0.2</v>
      </c>
      <c r="N136" s="61">
        <v>0.25</v>
      </c>
      <c r="O136" s="61">
        <v>0.5</v>
      </c>
      <c r="P136" s="61">
        <v>0.05</v>
      </c>
      <c r="Q136" s="61">
        <v>0</v>
      </c>
      <c r="R136" s="12">
        <v>63</v>
      </c>
      <c r="S136" s="12">
        <v>7</v>
      </c>
      <c r="T136" s="63">
        <v>0</v>
      </c>
      <c r="U136" s="63">
        <v>0.09</v>
      </c>
      <c r="V136" s="63">
        <v>0.73</v>
      </c>
      <c r="W136" s="63">
        <v>0.18</v>
      </c>
      <c r="X136" s="63">
        <v>0</v>
      </c>
      <c r="Y136" s="12">
        <v>54</v>
      </c>
      <c r="Z136" s="12">
        <v>8</v>
      </c>
      <c r="AA136" s="63">
        <v>0.23</v>
      </c>
      <c r="AB136" s="63">
        <v>0.38</v>
      </c>
      <c r="AC136" s="63">
        <v>0.31</v>
      </c>
      <c r="AD136" s="63">
        <v>0.08</v>
      </c>
      <c r="AE136" s="63">
        <v>0</v>
      </c>
      <c r="AF136" s="25">
        <v>51</v>
      </c>
      <c r="AG136" s="25">
        <v>10</v>
      </c>
      <c r="AH136" s="61">
        <v>0.5</v>
      </c>
      <c r="AI136" s="61">
        <v>0.25</v>
      </c>
      <c r="AJ136" s="61">
        <v>0.17</v>
      </c>
      <c r="AK136" s="61">
        <v>0.08</v>
      </c>
      <c r="AL136" s="61">
        <v>0</v>
      </c>
      <c r="AM136" s="247">
        <v>51</v>
      </c>
      <c r="AN136" s="247" t="s">
        <v>874</v>
      </c>
      <c r="AO136" s="247">
        <v>9</v>
      </c>
      <c r="AP136" s="247" t="s">
        <v>874</v>
      </c>
      <c r="AQ136" s="264">
        <v>0.32</v>
      </c>
      <c r="AR136" s="264">
        <v>0.41</v>
      </c>
      <c r="AS136" s="264">
        <v>0.23</v>
      </c>
      <c r="AT136" s="264">
        <v>0.05</v>
      </c>
      <c r="AU136" s="264">
        <v>0</v>
      </c>
      <c r="AV136" s="74">
        <v>60</v>
      </c>
      <c r="AW136" s="74" t="s">
        <v>874</v>
      </c>
      <c r="AX136" s="74">
        <v>8</v>
      </c>
      <c r="AY136" s="74" t="s">
        <v>874</v>
      </c>
      <c r="AZ136" s="96">
        <v>0.06</v>
      </c>
      <c r="BA136" s="96">
        <v>0.35</v>
      </c>
      <c r="BB136" s="96">
        <v>0.41</v>
      </c>
      <c r="BC136" s="96">
        <v>0.18</v>
      </c>
      <c r="BD136" s="96">
        <v>0</v>
      </c>
      <c r="BE136" s="658">
        <v>55</v>
      </c>
      <c r="BF136" s="658" t="s">
        <v>874</v>
      </c>
      <c r="BG136" s="658">
        <v>8</v>
      </c>
      <c r="BH136" s="658" t="s">
        <v>874</v>
      </c>
      <c r="BI136" s="659">
        <v>0.18</v>
      </c>
      <c r="BJ136" s="659">
        <v>0.36</v>
      </c>
      <c r="BK136" s="659">
        <v>0.36</v>
      </c>
      <c r="BL136" s="659">
        <v>0.09</v>
      </c>
      <c r="BM136" s="659">
        <v>0</v>
      </c>
      <c r="BN136" s="74">
        <v>58</v>
      </c>
      <c r="BO136" s="74" t="s">
        <v>874</v>
      </c>
      <c r="BP136" s="74">
        <v>9</v>
      </c>
      <c r="BQ136" s="74" t="s">
        <v>874</v>
      </c>
      <c r="BR136" s="96">
        <v>0.15</v>
      </c>
      <c r="BS136" s="96">
        <v>0.3</v>
      </c>
      <c r="BT136" s="96">
        <v>0.36</v>
      </c>
      <c r="BU136" s="96">
        <v>0.18</v>
      </c>
      <c r="BV136" s="96">
        <v>0</v>
      </c>
    </row>
    <row r="137" spans="1:74" ht="24.95" customHeight="1" x14ac:dyDescent="0.2">
      <c r="A137" s="126" t="s">
        <v>52</v>
      </c>
      <c r="B137" s="1" t="s">
        <v>221</v>
      </c>
      <c r="C137" s="2">
        <v>6</v>
      </c>
      <c r="D137" s="12">
        <v>57</v>
      </c>
      <c r="E137" s="12">
        <v>10</v>
      </c>
      <c r="F137" s="66">
        <v>0.19</v>
      </c>
      <c r="G137" s="66">
        <v>0.32</v>
      </c>
      <c r="H137" s="66">
        <v>0.35</v>
      </c>
      <c r="I137" s="66">
        <v>0.14000000000000001</v>
      </c>
      <c r="J137" s="66">
        <v>0</v>
      </c>
      <c r="K137" s="12">
        <v>53</v>
      </c>
      <c r="L137" s="12">
        <v>9</v>
      </c>
      <c r="M137" s="61">
        <v>0.3</v>
      </c>
      <c r="N137" s="61">
        <v>0.38</v>
      </c>
      <c r="O137" s="61">
        <v>0.28000000000000003</v>
      </c>
      <c r="P137" s="61">
        <v>0.04</v>
      </c>
      <c r="Q137" s="61">
        <v>0</v>
      </c>
      <c r="R137" s="12">
        <v>54</v>
      </c>
      <c r="S137" s="12">
        <v>10</v>
      </c>
      <c r="T137" s="63">
        <v>0.28999999999999998</v>
      </c>
      <c r="U137" s="63">
        <v>0.31</v>
      </c>
      <c r="V137" s="63">
        <v>0.27</v>
      </c>
      <c r="W137" s="63">
        <v>0.1</v>
      </c>
      <c r="X137" s="63">
        <v>0.02</v>
      </c>
      <c r="Y137" s="12">
        <v>56</v>
      </c>
      <c r="Z137" s="12">
        <v>10</v>
      </c>
      <c r="AA137" s="63">
        <v>0.17</v>
      </c>
      <c r="AB137" s="63">
        <v>0.41</v>
      </c>
      <c r="AC137" s="63">
        <v>0.27</v>
      </c>
      <c r="AD137" s="63">
        <v>0.15</v>
      </c>
      <c r="AE137" s="63">
        <v>0</v>
      </c>
      <c r="AF137" s="25">
        <v>50</v>
      </c>
      <c r="AG137" s="25">
        <v>10</v>
      </c>
      <c r="AH137" s="61">
        <v>0.38</v>
      </c>
      <c r="AI137" s="61">
        <v>0.45</v>
      </c>
      <c r="AJ137" s="61">
        <v>0.14000000000000001</v>
      </c>
      <c r="AK137" s="61">
        <v>0.03</v>
      </c>
      <c r="AL137" s="61">
        <v>0</v>
      </c>
      <c r="AM137" s="247">
        <v>52</v>
      </c>
      <c r="AN137" s="247" t="s">
        <v>874</v>
      </c>
      <c r="AO137" s="247">
        <v>11</v>
      </c>
      <c r="AP137" s="247" t="s">
        <v>874</v>
      </c>
      <c r="AQ137" s="264">
        <v>0.38</v>
      </c>
      <c r="AR137" s="264">
        <v>0.31</v>
      </c>
      <c r="AS137" s="264">
        <v>0.23</v>
      </c>
      <c r="AT137" s="264">
        <v>0.08</v>
      </c>
      <c r="AU137" s="264">
        <v>0</v>
      </c>
      <c r="AV137" s="311">
        <v>57</v>
      </c>
      <c r="AW137" s="311" t="s">
        <v>874</v>
      </c>
      <c r="AX137" s="311">
        <v>10</v>
      </c>
      <c r="AY137" s="311" t="s">
        <v>874</v>
      </c>
      <c r="AZ137" s="329">
        <v>0.17</v>
      </c>
      <c r="BA137" s="329">
        <v>0.41</v>
      </c>
      <c r="BB137" s="329">
        <v>0.23</v>
      </c>
      <c r="BC137" s="329">
        <v>0.18</v>
      </c>
      <c r="BD137" s="329">
        <v>0.02</v>
      </c>
      <c r="BE137" s="426">
        <v>55</v>
      </c>
      <c r="BF137" s="426" t="s">
        <v>874</v>
      </c>
      <c r="BG137" s="426">
        <v>9</v>
      </c>
      <c r="BH137" s="426" t="s">
        <v>874</v>
      </c>
      <c r="BI137" s="430">
        <v>0.17</v>
      </c>
      <c r="BJ137" s="430">
        <v>0.51</v>
      </c>
      <c r="BK137" s="430">
        <v>0.24</v>
      </c>
      <c r="BL137" s="430">
        <v>7.0000000000000007E-2</v>
      </c>
      <c r="BM137" s="430">
        <v>0</v>
      </c>
      <c r="BN137" s="466">
        <v>58</v>
      </c>
      <c r="BO137" s="466" t="s">
        <v>874</v>
      </c>
      <c r="BP137" s="466">
        <v>12</v>
      </c>
      <c r="BQ137" s="466" t="s">
        <v>874</v>
      </c>
      <c r="BR137" s="480">
        <v>0.19</v>
      </c>
      <c r="BS137" s="480">
        <v>0.33</v>
      </c>
      <c r="BT137" s="480">
        <v>0.28999999999999998</v>
      </c>
      <c r="BU137" s="480">
        <v>0.12</v>
      </c>
      <c r="BV137" s="480">
        <v>7.0000000000000007E-2</v>
      </c>
    </row>
    <row r="138" spans="1:74" ht="24.95" customHeight="1" x14ac:dyDescent="0.2">
      <c r="A138" s="126" t="s">
        <v>40</v>
      </c>
      <c r="B138" s="1" t="s">
        <v>221</v>
      </c>
      <c r="C138" s="2">
        <v>2</v>
      </c>
      <c r="D138" s="12">
        <v>51</v>
      </c>
      <c r="E138" s="12">
        <v>8</v>
      </c>
      <c r="F138" s="66">
        <v>0.4</v>
      </c>
      <c r="G138" s="66">
        <v>0.4</v>
      </c>
      <c r="H138" s="66">
        <v>0.16</v>
      </c>
      <c r="I138" s="66">
        <v>0.04</v>
      </c>
      <c r="J138" s="66">
        <v>0</v>
      </c>
      <c r="K138" s="12">
        <v>48</v>
      </c>
      <c r="L138" s="12">
        <v>8</v>
      </c>
      <c r="M138" s="61">
        <v>0.5</v>
      </c>
      <c r="N138" s="61">
        <v>0.38</v>
      </c>
      <c r="O138" s="61">
        <v>0.11</v>
      </c>
      <c r="P138" s="61">
        <v>0.02</v>
      </c>
      <c r="Q138" s="61">
        <v>0</v>
      </c>
      <c r="R138" s="12">
        <v>49</v>
      </c>
      <c r="S138" s="12">
        <v>8</v>
      </c>
      <c r="T138" s="63">
        <v>0.41</v>
      </c>
      <c r="U138" s="63">
        <v>0.44</v>
      </c>
      <c r="V138" s="63">
        <v>0.1</v>
      </c>
      <c r="W138" s="63">
        <v>0.05</v>
      </c>
      <c r="X138" s="63">
        <v>0</v>
      </c>
      <c r="Y138" s="12">
        <v>47</v>
      </c>
      <c r="Z138" s="12">
        <v>10</v>
      </c>
      <c r="AA138" s="63">
        <v>0.51</v>
      </c>
      <c r="AB138" s="63">
        <v>0.36</v>
      </c>
      <c r="AC138" s="63">
        <v>0.12</v>
      </c>
      <c r="AD138" s="63">
        <v>0.01</v>
      </c>
      <c r="AE138" s="63">
        <v>0</v>
      </c>
      <c r="AF138" s="25">
        <v>47</v>
      </c>
      <c r="AG138" s="25">
        <v>10</v>
      </c>
      <c r="AH138" s="61">
        <v>0.56999999999999995</v>
      </c>
      <c r="AI138" s="61">
        <v>0.28999999999999998</v>
      </c>
      <c r="AJ138" s="61">
        <v>0.1</v>
      </c>
      <c r="AK138" s="61">
        <v>0.02</v>
      </c>
      <c r="AL138" s="61">
        <v>0.02</v>
      </c>
      <c r="AM138" s="247">
        <v>52</v>
      </c>
      <c r="AN138" s="247" t="s">
        <v>874</v>
      </c>
      <c r="AO138" s="247">
        <v>9</v>
      </c>
      <c r="AP138" s="247" t="s">
        <v>874</v>
      </c>
      <c r="AQ138" s="264">
        <v>0.28999999999999998</v>
      </c>
      <c r="AR138" s="264">
        <v>0.47</v>
      </c>
      <c r="AS138" s="264">
        <v>0.2</v>
      </c>
      <c r="AT138" s="264">
        <v>0.04</v>
      </c>
      <c r="AU138" s="264">
        <v>0</v>
      </c>
      <c r="AV138" s="311">
        <v>50</v>
      </c>
      <c r="AW138" s="311" t="s">
        <v>874</v>
      </c>
      <c r="AX138" s="311">
        <v>10</v>
      </c>
      <c r="AY138" s="311" t="s">
        <v>874</v>
      </c>
      <c r="AZ138" s="329">
        <v>0.35</v>
      </c>
      <c r="BA138" s="329">
        <v>0.46</v>
      </c>
      <c r="BB138" s="329">
        <v>0.14000000000000001</v>
      </c>
      <c r="BC138" s="329">
        <v>0.06</v>
      </c>
      <c r="BD138" s="329">
        <v>0</v>
      </c>
      <c r="BE138" s="426">
        <v>52</v>
      </c>
      <c r="BF138" s="426" t="s">
        <v>874</v>
      </c>
      <c r="BG138" s="426">
        <v>10</v>
      </c>
      <c r="BH138" s="426" t="s">
        <v>874</v>
      </c>
      <c r="BI138" s="430">
        <v>0.34</v>
      </c>
      <c r="BJ138" s="430">
        <v>0.38</v>
      </c>
      <c r="BK138" s="430">
        <v>0.18</v>
      </c>
      <c r="BL138" s="430">
        <v>0.08</v>
      </c>
      <c r="BM138" s="430">
        <v>0.02</v>
      </c>
      <c r="BN138" s="466">
        <v>53</v>
      </c>
      <c r="BO138" s="466" t="s">
        <v>874</v>
      </c>
      <c r="BP138" s="466">
        <v>8</v>
      </c>
      <c r="BQ138" s="466" t="s">
        <v>874</v>
      </c>
      <c r="BR138" s="480">
        <v>0.24</v>
      </c>
      <c r="BS138" s="480">
        <v>0.53</v>
      </c>
      <c r="BT138" s="480">
        <v>0.24</v>
      </c>
      <c r="BU138" s="480">
        <v>0</v>
      </c>
      <c r="BV138" s="480">
        <v>0</v>
      </c>
    </row>
    <row r="139" spans="1:74" ht="24.95" customHeight="1" x14ac:dyDescent="0.2">
      <c r="A139" s="126" t="s">
        <v>227</v>
      </c>
      <c r="B139" s="1" t="s">
        <v>221</v>
      </c>
      <c r="C139" s="2">
        <v>2</v>
      </c>
      <c r="D139" s="12" t="s">
        <v>224</v>
      </c>
      <c r="E139" s="12" t="s">
        <v>224</v>
      </c>
      <c r="F139" s="12"/>
      <c r="G139" s="12"/>
      <c r="H139" s="12"/>
      <c r="I139" s="12"/>
      <c r="J139" s="12"/>
      <c r="K139" s="12">
        <v>43</v>
      </c>
      <c r="L139" s="12">
        <v>9</v>
      </c>
      <c r="M139" s="61">
        <v>0.72</v>
      </c>
      <c r="N139" s="61">
        <v>0.22</v>
      </c>
      <c r="O139" s="61">
        <v>0.06</v>
      </c>
      <c r="P139" s="61">
        <v>0</v>
      </c>
      <c r="Q139" s="61">
        <v>0</v>
      </c>
      <c r="R139" s="12" t="s">
        <v>224</v>
      </c>
      <c r="S139" s="12" t="s">
        <v>224</v>
      </c>
      <c r="T139" s="2"/>
      <c r="U139" s="2"/>
      <c r="V139" s="2"/>
      <c r="W139" s="2"/>
      <c r="X139" s="2"/>
      <c r="Y139" s="12" t="s">
        <v>224</v>
      </c>
      <c r="Z139" s="12" t="s">
        <v>224</v>
      </c>
      <c r="AA139" s="2"/>
      <c r="AB139" s="2"/>
      <c r="AC139" s="2"/>
      <c r="AD139" s="2"/>
      <c r="AE139" s="2"/>
      <c r="AF139" s="25"/>
      <c r="AG139" s="25"/>
      <c r="AH139" s="61"/>
      <c r="AI139" s="61"/>
      <c r="AJ139" s="61"/>
      <c r="AK139" s="61"/>
      <c r="AL139" s="61"/>
      <c r="AM139" s="652"/>
      <c r="AN139" s="652"/>
      <c r="AO139" s="652"/>
      <c r="AP139" s="652"/>
      <c r="AQ139" s="652"/>
      <c r="AR139" s="652"/>
      <c r="AS139" s="652"/>
      <c r="AT139" s="652"/>
      <c r="AU139" s="652"/>
      <c r="AV139" s="311">
        <v>59</v>
      </c>
      <c r="AW139" s="311" t="s">
        <v>874</v>
      </c>
      <c r="AX139" s="311">
        <v>0</v>
      </c>
      <c r="AY139" s="311" t="s">
        <v>876</v>
      </c>
      <c r="AZ139" s="329">
        <v>0</v>
      </c>
      <c r="BA139" s="329">
        <v>0</v>
      </c>
      <c r="BB139" s="329">
        <v>1</v>
      </c>
      <c r="BC139" s="329">
        <v>0</v>
      </c>
      <c r="BD139" s="329">
        <v>0</v>
      </c>
      <c r="BE139" s="426">
        <v>45</v>
      </c>
      <c r="BF139" s="426" t="s">
        <v>876</v>
      </c>
      <c r="BG139" s="426">
        <v>8</v>
      </c>
      <c r="BH139" s="426" t="s">
        <v>874</v>
      </c>
      <c r="BI139" s="430">
        <v>0.69</v>
      </c>
      <c r="BJ139" s="430">
        <v>0.23</v>
      </c>
      <c r="BK139" s="430">
        <v>0.08</v>
      </c>
      <c r="BL139" s="430">
        <v>0</v>
      </c>
      <c r="BM139" s="430">
        <v>0</v>
      </c>
      <c r="BN139" s="647"/>
      <c r="BO139" s="647"/>
      <c r="BP139" s="647"/>
      <c r="BQ139" s="647"/>
      <c r="BR139" s="648"/>
      <c r="BS139" s="648"/>
      <c r="BT139" s="648"/>
      <c r="BU139" s="648"/>
      <c r="BV139" s="648"/>
    </row>
    <row r="140" spans="1:74" ht="24.95" customHeight="1" x14ac:dyDescent="0.2">
      <c r="A140" s="126" t="s">
        <v>936</v>
      </c>
      <c r="B140" s="1" t="s">
        <v>221</v>
      </c>
      <c r="C140" s="2">
        <v>4</v>
      </c>
      <c r="D140" s="12"/>
      <c r="E140" s="12"/>
      <c r="F140" s="12"/>
      <c r="G140" s="12"/>
      <c r="H140" s="12"/>
      <c r="I140" s="12"/>
      <c r="J140" s="12"/>
      <c r="K140" s="12"/>
      <c r="L140" s="12"/>
      <c r="M140" s="61"/>
      <c r="N140" s="61"/>
      <c r="O140" s="61"/>
      <c r="P140" s="61"/>
      <c r="Q140" s="61"/>
      <c r="R140" s="12"/>
      <c r="S140" s="12"/>
      <c r="T140" s="2"/>
      <c r="U140" s="2"/>
      <c r="V140" s="2"/>
      <c r="W140" s="2"/>
      <c r="X140" s="2"/>
      <c r="Y140" s="12"/>
      <c r="Z140" s="12"/>
      <c r="AA140" s="2"/>
      <c r="AB140" s="2"/>
      <c r="AC140" s="2"/>
      <c r="AD140" s="2"/>
      <c r="AE140" s="2"/>
      <c r="AF140" s="25"/>
      <c r="AG140" s="25"/>
      <c r="AH140" s="61"/>
      <c r="AI140" s="61"/>
      <c r="AJ140" s="61"/>
      <c r="AK140" s="61"/>
      <c r="AL140" s="61"/>
      <c r="AV140" s="311">
        <v>41</v>
      </c>
      <c r="AW140" s="311" t="s">
        <v>876</v>
      </c>
      <c r="AX140" s="311">
        <v>9</v>
      </c>
      <c r="AY140" s="311" t="s">
        <v>874</v>
      </c>
      <c r="AZ140" s="329">
        <v>0.73</v>
      </c>
      <c r="BA140" s="329">
        <v>0.2</v>
      </c>
      <c r="BB140" s="329">
        <v>7.0000000000000007E-2</v>
      </c>
      <c r="BC140" s="329">
        <v>0</v>
      </c>
      <c r="BD140" s="329">
        <v>0</v>
      </c>
      <c r="BE140" s="426">
        <v>38</v>
      </c>
      <c r="BF140" s="426" t="s">
        <v>876</v>
      </c>
      <c r="BG140" s="426">
        <v>6</v>
      </c>
      <c r="BH140" s="426" t="s">
        <v>876</v>
      </c>
      <c r="BI140" s="430">
        <v>1</v>
      </c>
      <c r="BJ140" s="430">
        <v>0</v>
      </c>
      <c r="BK140" s="430">
        <v>0</v>
      </c>
      <c r="BL140" s="430">
        <v>0</v>
      </c>
      <c r="BM140" s="430">
        <v>0</v>
      </c>
      <c r="BN140" s="426"/>
      <c r="BO140" s="426"/>
      <c r="BP140" s="426"/>
      <c r="BQ140" s="426"/>
      <c r="BR140" s="430"/>
      <c r="BS140" s="430"/>
      <c r="BT140" s="430"/>
      <c r="BU140" s="430"/>
      <c r="BV140" s="430"/>
    </row>
    <row r="141" spans="1:74" ht="24.95" customHeight="1" x14ac:dyDescent="0.2">
      <c r="A141" s="560" t="s">
        <v>155</v>
      </c>
      <c r="B141" s="1" t="s">
        <v>221</v>
      </c>
      <c r="C141" s="311">
        <v>5</v>
      </c>
      <c r="D141" s="330">
        <v>42</v>
      </c>
      <c r="E141" s="330">
        <v>8</v>
      </c>
      <c r="F141" s="335">
        <v>0.67</v>
      </c>
      <c r="G141" s="335">
        <v>0.33</v>
      </c>
      <c r="H141" s="335">
        <v>0</v>
      </c>
      <c r="I141" s="335">
        <v>0</v>
      </c>
      <c r="J141" s="335">
        <v>0</v>
      </c>
      <c r="K141" s="330">
        <v>51</v>
      </c>
      <c r="L141" s="330">
        <v>10</v>
      </c>
      <c r="M141" s="332">
        <v>0.5</v>
      </c>
      <c r="N141" s="332">
        <v>0.25</v>
      </c>
      <c r="O141" s="332">
        <v>0.08</v>
      </c>
      <c r="P141" s="332">
        <v>0.17</v>
      </c>
      <c r="Q141" s="332">
        <v>0</v>
      </c>
      <c r="R141" s="330">
        <v>40</v>
      </c>
      <c r="S141" s="330">
        <v>11</v>
      </c>
      <c r="T141" s="329">
        <v>0.5</v>
      </c>
      <c r="U141" s="329">
        <v>0.5</v>
      </c>
      <c r="V141" s="329">
        <v>0</v>
      </c>
      <c r="W141" s="329">
        <v>0</v>
      </c>
      <c r="X141" s="329">
        <v>0</v>
      </c>
      <c r="Y141" s="330">
        <v>49</v>
      </c>
      <c r="Z141" s="330">
        <v>11</v>
      </c>
      <c r="AA141" s="329">
        <v>0.6</v>
      </c>
      <c r="AB141" s="329">
        <v>0.2</v>
      </c>
      <c r="AC141" s="329">
        <v>0.2</v>
      </c>
      <c r="AD141" s="329">
        <v>0</v>
      </c>
      <c r="AE141" s="329">
        <v>0</v>
      </c>
      <c r="AF141" s="331">
        <v>42</v>
      </c>
      <c r="AG141" s="331">
        <v>13</v>
      </c>
      <c r="AH141" s="332">
        <v>0.67</v>
      </c>
      <c r="AI141" s="332">
        <v>0.33</v>
      </c>
      <c r="AJ141" s="332">
        <v>0</v>
      </c>
      <c r="AK141" s="332">
        <v>0</v>
      </c>
      <c r="AL141" s="332">
        <v>0</v>
      </c>
      <c r="AM141" s="653">
        <v>55</v>
      </c>
      <c r="AN141" s="653" t="s">
        <v>874</v>
      </c>
      <c r="AO141" s="653">
        <v>11</v>
      </c>
      <c r="AP141" s="653" t="s">
        <v>874</v>
      </c>
      <c r="AQ141" s="654">
        <v>0.17</v>
      </c>
      <c r="AR141" s="654">
        <v>0.67</v>
      </c>
      <c r="AS141" s="654">
        <v>0</v>
      </c>
      <c r="AT141" s="654">
        <v>0.17</v>
      </c>
      <c r="AU141" s="654">
        <v>0</v>
      </c>
      <c r="AV141" s="311">
        <v>47</v>
      </c>
      <c r="AW141" s="311" t="s">
        <v>874</v>
      </c>
      <c r="AX141" s="311">
        <v>10</v>
      </c>
      <c r="AY141" s="311" t="s">
        <v>874</v>
      </c>
      <c r="AZ141" s="329">
        <v>0.25</v>
      </c>
      <c r="BA141" s="329">
        <v>0.75</v>
      </c>
      <c r="BB141" s="329">
        <v>0</v>
      </c>
      <c r="BC141" s="329">
        <v>0</v>
      </c>
      <c r="BD141" s="329">
        <v>0</v>
      </c>
      <c r="BE141" s="426">
        <v>57</v>
      </c>
      <c r="BF141" s="426" t="s">
        <v>874</v>
      </c>
      <c r="BG141" s="426">
        <v>8</v>
      </c>
      <c r="BH141" s="426" t="s">
        <v>874</v>
      </c>
      <c r="BI141" s="430">
        <v>0.25</v>
      </c>
      <c r="BJ141" s="430">
        <v>0</v>
      </c>
      <c r="BK141" s="430">
        <v>0.75</v>
      </c>
      <c r="BL141" s="430">
        <v>0</v>
      </c>
      <c r="BM141" s="430">
        <v>0</v>
      </c>
      <c r="BN141" s="660">
        <v>53</v>
      </c>
      <c r="BO141" s="660" t="s">
        <v>874</v>
      </c>
      <c r="BP141" s="660">
        <v>10</v>
      </c>
      <c r="BQ141" s="660" t="s">
        <v>874</v>
      </c>
      <c r="BR141" s="661">
        <v>0.28999999999999998</v>
      </c>
      <c r="BS141" s="661">
        <v>0.28999999999999998</v>
      </c>
      <c r="BT141" s="661">
        <v>0.43</v>
      </c>
      <c r="BU141" s="661">
        <v>0</v>
      </c>
      <c r="BV141" s="661">
        <v>0</v>
      </c>
    </row>
    <row r="142" spans="1:74" ht="24.95" customHeight="1" x14ac:dyDescent="0.2">
      <c r="A142" s="126" t="s">
        <v>233</v>
      </c>
      <c r="B142" s="1" t="s">
        <v>221</v>
      </c>
      <c r="C142" s="2">
        <v>2</v>
      </c>
      <c r="D142" s="12" t="s">
        <v>224</v>
      </c>
      <c r="E142" s="12" t="s">
        <v>224</v>
      </c>
      <c r="F142" s="12"/>
      <c r="G142" s="12"/>
      <c r="H142" s="12"/>
      <c r="I142" s="12"/>
      <c r="J142" s="12"/>
      <c r="K142" s="12" t="s">
        <v>224</v>
      </c>
      <c r="L142" s="12" t="s">
        <v>224</v>
      </c>
      <c r="M142" s="61"/>
      <c r="N142" s="61"/>
      <c r="O142" s="61"/>
      <c r="P142" s="61"/>
      <c r="Q142" s="61"/>
      <c r="R142" s="12" t="s">
        <v>224</v>
      </c>
      <c r="S142" s="12" t="s">
        <v>224</v>
      </c>
      <c r="T142" s="2"/>
      <c r="U142" s="2"/>
      <c r="V142" s="2"/>
      <c r="W142" s="2"/>
      <c r="X142" s="2"/>
      <c r="Y142" s="12">
        <v>52</v>
      </c>
      <c r="Z142" s="12">
        <v>12</v>
      </c>
      <c r="AA142" s="63">
        <v>0.33</v>
      </c>
      <c r="AB142" s="63">
        <v>0.33</v>
      </c>
      <c r="AC142" s="63">
        <v>0.33</v>
      </c>
      <c r="AD142" s="63">
        <v>0</v>
      </c>
      <c r="AE142" s="63">
        <v>0</v>
      </c>
      <c r="AF142" s="25">
        <v>48</v>
      </c>
      <c r="AG142" s="25">
        <v>7</v>
      </c>
      <c r="AH142" s="61">
        <v>0.67</v>
      </c>
      <c r="AI142" s="61">
        <v>0.33</v>
      </c>
      <c r="AJ142" s="61">
        <v>0</v>
      </c>
      <c r="AK142" s="61">
        <v>0</v>
      </c>
      <c r="AL142" s="61">
        <v>0</v>
      </c>
      <c r="AM142" s="247">
        <v>46</v>
      </c>
      <c r="AN142" s="247" t="s">
        <v>874</v>
      </c>
      <c r="AO142" s="247">
        <v>12</v>
      </c>
      <c r="AP142" s="247" t="s">
        <v>874</v>
      </c>
      <c r="AQ142" s="264">
        <v>0.64</v>
      </c>
      <c r="AR142" s="264">
        <v>0.14000000000000001</v>
      </c>
      <c r="AS142" s="264">
        <v>0.14000000000000001</v>
      </c>
      <c r="AT142" s="264">
        <v>7.0000000000000007E-2</v>
      </c>
      <c r="AU142" s="264">
        <v>0</v>
      </c>
      <c r="AV142" s="311">
        <v>50</v>
      </c>
      <c r="AW142" s="311" t="s">
        <v>874</v>
      </c>
      <c r="AX142" s="311">
        <v>9</v>
      </c>
      <c r="AY142" s="311" t="s">
        <v>874</v>
      </c>
      <c r="AZ142" s="329">
        <v>0.38</v>
      </c>
      <c r="BA142" s="329">
        <v>0.43</v>
      </c>
      <c r="BB142" s="329">
        <v>0.19</v>
      </c>
      <c r="BC142" s="329">
        <v>0</v>
      </c>
      <c r="BD142" s="329">
        <v>0</v>
      </c>
      <c r="BE142" s="426">
        <v>45</v>
      </c>
      <c r="BF142" s="426" t="s">
        <v>876</v>
      </c>
      <c r="BG142" s="426">
        <v>12</v>
      </c>
      <c r="BH142" s="426" t="s">
        <v>874</v>
      </c>
      <c r="BI142" s="430">
        <v>0.68</v>
      </c>
      <c r="BJ142" s="430">
        <v>0.26</v>
      </c>
      <c r="BK142" s="430">
        <v>0</v>
      </c>
      <c r="BL142" s="430">
        <v>0.05</v>
      </c>
      <c r="BM142" s="430">
        <v>0</v>
      </c>
      <c r="BN142" s="466">
        <v>49</v>
      </c>
      <c r="BO142" s="466" t="s">
        <v>874</v>
      </c>
      <c r="BP142" s="466">
        <v>9</v>
      </c>
      <c r="BQ142" s="466" t="s">
        <v>874</v>
      </c>
      <c r="BR142" s="480">
        <v>0.5</v>
      </c>
      <c r="BS142" s="480">
        <v>0.42</v>
      </c>
      <c r="BT142" s="480">
        <v>0</v>
      </c>
      <c r="BU142" s="480">
        <v>0.08</v>
      </c>
      <c r="BV142" s="480">
        <v>0</v>
      </c>
    </row>
    <row r="143" spans="1:74" ht="24.95" customHeight="1" x14ac:dyDescent="0.2">
      <c r="A143" s="126" t="s">
        <v>144</v>
      </c>
      <c r="B143" s="1" t="s">
        <v>221</v>
      </c>
      <c r="C143" s="2">
        <v>2</v>
      </c>
      <c r="D143" s="12">
        <v>51</v>
      </c>
      <c r="E143" s="12">
        <v>9</v>
      </c>
      <c r="F143" s="66">
        <v>0.28999999999999998</v>
      </c>
      <c r="G143" s="66">
        <v>0.56999999999999995</v>
      </c>
      <c r="H143" s="66">
        <v>0.12</v>
      </c>
      <c r="I143" s="66">
        <v>0.02</v>
      </c>
      <c r="J143" s="66">
        <v>0</v>
      </c>
      <c r="K143" s="12">
        <v>55</v>
      </c>
      <c r="L143" s="12">
        <v>10</v>
      </c>
      <c r="M143" s="61">
        <v>0.26</v>
      </c>
      <c r="N143" s="61">
        <v>0.31</v>
      </c>
      <c r="O143" s="61">
        <v>0.31</v>
      </c>
      <c r="P143" s="61">
        <v>0.1</v>
      </c>
      <c r="Q143" s="61">
        <v>0.03</v>
      </c>
      <c r="R143" s="12">
        <v>52</v>
      </c>
      <c r="S143" s="12">
        <v>9</v>
      </c>
      <c r="T143" s="63">
        <v>0.35</v>
      </c>
      <c r="U143" s="63">
        <v>0.35</v>
      </c>
      <c r="V143" s="63">
        <v>0.25</v>
      </c>
      <c r="W143" s="63">
        <v>0.04</v>
      </c>
      <c r="X143" s="63">
        <v>0</v>
      </c>
      <c r="Y143" s="12">
        <v>53</v>
      </c>
      <c r="Z143" s="12">
        <v>7</v>
      </c>
      <c r="AA143" s="63">
        <v>0.25</v>
      </c>
      <c r="AB143" s="63">
        <v>0.48</v>
      </c>
      <c r="AC143" s="63">
        <v>0.27</v>
      </c>
      <c r="AD143" s="63">
        <v>0</v>
      </c>
      <c r="AE143" s="63">
        <v>0</v>
      </c>
      <c r="AF143" s="25">
        <v>51</v>
      </c>
      <c r="AG143" s="25">
        <v>11</v>
      </c>
      <c r="AH143" s="61">
        <v>0.39</v>
      </c>
      <c r="AI143" s="61">
        <v>0.41</v>
      </c>
      <c r="AJ143" s="61">
        <v>0.13</v>
      </c>
      <c r="AK143" s="61">
        <v>0.05</v>
      </c>
      <c r="AL143" s="61">
        <v>0.02</v>
      </c>
      <c r="AM143" s="247">
        <v>56</v>
      </c>
      <c r="AN143" s="247" t="s">
        <v>874</v>
      </c>
      <c r="AO143" s="247">
        <v>9</v>
      </c>
      <c r="AP143" s="247" t="s">
        <v>874</v>
      </c>
      <c r="AQ143" s="264">
        <v>0.15</v>
      </c>
      <c r="AR143" s="264">
        <v>0.41</v>
      </c>
      <c r="AS143" s="264">
        <v>0.37</v>
      </c>
      <c r="AT143" s="264">
        <v>7.0000000000000007E-2</v>
      </c>
      <c r="AU143" s="264">
        <v>0</v>
      </c>
      <c r="AV143" s="311">
        <v>53</v>
      </c>
      <c r="AW143" s="311" t="s">
        <v>874</v>
      </c>
      <c r="AX143" s="311">
        <v>11</v>
      </c>
      <c r="AY143" s="311" t="s">
        <v>874</v>
      </c>
      <c r="AZ143" s="329">
        <v>0.28000000000000003</v>
      </c>
      <c r="BA143" s="329">
        <v>0.35</v>
      </c>
      <c r="BB143" s="329">
        <v>0.32</v>
      </c>
      <c r="BC143" s="329">
        <v>0.04</v>
      </c>
      <c r="BD143" s="329">
        <v>0.01</v>
      </c>
      <c r="BE143" s="426">
        <v>54</v>
      </c>
      <c r="BF143" s="426" t="s">
        <v>874</v>
      </c>
      <c r="BG143" s="426">
        <v>10</v>
      </c>
      <c r="BH143" s="426" t="s">
        <v>874</v>
      </c>
      <c r="BI143" s="430">
        <v>0.25</v>
      </c>
      <c r="BJ143" s="430">
        <v>0.41</v>
      </c>
      <c r="BK143" s="430">
        <v>0.25</v>
      </c>
      <c r="BL143" s="430">
        <v>0.09</v>
      </c>
      <c r="BM143" s="430">
        <v>0.01</v>
      </c>
      <c r="BN143" s="466">
        <v>55</v>
      </c>
      <c r="BO143" s="466" t="s">
        <v>874</v>
      </c>
      <c r="BP143" s="466">
        <v>10</v>
      </c>
      <c r="BQ143" s="466" t="s">
        <v>874</v>
      </c>
      <c r="BR143" s="480">
        <v>0.26</v>
      </c>
      <c r="BS143" s="480">
        <v>0.41</v>
      </c>
      <c r="BT143" s="480">
        <v>0.22</v>
      </c>
      <c r="BU143" s="480">
        <v>0.1</v>
      </c>
      <c r="BV143" s="480">
        <v>0.01</v>
      </c>
    </row>
    <row r="144" spans="1:74" ht="24.95" customHeight="1" x14ac:dyDescent="0.2">
      <c r="A144" s="126" t="s">
        <v>209</v>
      </c>
      <c r="B144" s="1" t="s">
        <v>221</v>
      </c>
      <c r="C144" s="2">
        <v>1</v>
      </c>
      <c r="D144" s="12">
        <v>52</v>
      </c>
      <c r="E144" s="12">
        <v>6</v>
      </c>
      <c r="F144" s="66">
        <v>0.14000000000000001</v>
      </c>
      <c r="G144" s="66">
        <v>0.71</v>
      </c>
      <c r="H144" s="66">
        <v>0.14000000000000001</v>
      </c>
      <c r="I144" s="66">
        <v>0</v>
      </c>
      <c r="J144" s="66">
        <v>0</v>
      </c>
      <c r="K144" s="12">
        <v>54</v>
      </c>
      <c r="L144" s="12">
        <v>9</v>
      </c>
      <c r="M144" s="61">
        <v>0.28999999999999998</v>
      </c>
      <c r="N144" s="61">
        <v>0.43</v>
      </c>
      <c r="O144" s="61">
        <v>0.19</v>
      </c>
      <c r="P144" s="61">
        <v>0.1</v>
      </c>
      <c r="Q144" s="61">
        <v>0</v>
      </c>
      <c r="R144" s="12">
        <v>55</v>
      </c>
      <c r="S144" s="12">
        <v>8</v>
      </c>
      <c r="T144" s="63">
        <v>0.25</v>
      </c>
      <c r="U144" s="63">
        <v>0.38</v>
      </c>
      <c r="V144" s="63">
        <v>0.38</v>
      </c>
      <c r="W144" s="63">
        <v>0</v>
      </c>
      <c r="X144" s="63">
        <v>0</v>
      </c>
      <c r="Y144" s="12">
        <v>55</v>
      </c>
      <c r="Z144" s="12">
        <v>7</v>
      </c>
      <c r="AA144" s="63">
        <v>0.17</v>
      </c>
      <c r="AB144" s="63">
        <v>0.5</v>
      </c>
      <c r="AC144" s="63">
        <v>0.28000000000000003</v>
      </c>
      <c r="AD144" s="63">
        <v>0.06</v>
      </c>
      <c r="AE144" s="63">
        <v>0</v>
      </c>
      <c r="AF144" s="25">
        <v>53</v>
      </c>
      <c r="AG144" s="25">
        <v>10</v>
      </c>
      <c r="AH144" s="61">
        <v>0.28000000000000003</v>
      </c>
      <c r="AI144" s="61">
        <v>0.36</v>
      </c>
      <c r="AJ144" s="61">
        <v>0.28000000000000003</v>
      </c>
      <c r="AK144" s="61">
        <v>0.08</v>
      </c>
      <c r="AL144" s="61">
        <v>0</v>
      </c>
      <c r="AM144" s="247">
        <v>53</v>
      </c>
      <c r="AN144" s="247" t="s">
        <v>874</v>
      </c>
      <c r="AO144" s="247">
        <v>10</v>
      </c>
      <c r="AP144" s="247" t="s">
        <v>874</v>
      </c>
      <c r="AQ144" s="264">
        <v>0.28999999999999998</v>
      </c>
      <c r="AR144" s="264">
        <v>0.46</v>
      </c>
      <c r="AS144" s="264">
        <v>0.13</v>
      </c>
      <c r="AT144" s="264">
        <v>0.08</v>
      </c>
      <c r="AU144" s="264">
        <v>0.04</v>
      </c>
      <c r="AV144" s="311">
        <v>58</v>
      </c>
      <c r="AW144" s="311" t="s">
        <v>874</v>
      </c>
      <c r="AX144" s="311">
        <v>9</v>
      </c>
      <c r="AY144" s="311" t="s">
        <v>874</v>
      </c>
      <c r="AZ144" s="329">
        <v>0.14000000000000001</v>
      </c>
      <c r="BA144" s="329">
        <v>0.31</v>
      </c>
      <c r="BB144" s="329">
        <v>0.45</v>
      </c>
      <c r="BC144" s="329">
        <v>7.0000000000000007E-2</v>
      </c>
      <c r="BD144" s="329">
        <v>0.03</v>
      </c>
      <c r="BE144" s="426">
        <v>57</v>
      </c>
      <c r="BF144" s="426" t="s">
        <v>874</v>
      </c>
      <c r="BG144" s="426">
        <v>10</v>
      </c>
      <c r="BH144" s="426" t="s">
        <v>874</v>
      </c>
      <c r="BI144" s="430">
        <v>0.17</v>
      </c>
      <c r="BJ144" s="430">
        <v>0.34</v>
      </c>
      <c r="BK144" s="430">
        <v>0.36</v>
      </c>
      <c r="BL144" s="430">
        <v>0.11</v>
      </c>
      <c r="BM144" s="430">
        <v>0.02</v>
      </c>
      <c r="BN144" s="466">
        <v>58</v>
      </c>
      <c r="BO144" s="466" t="s">
        <v>874</v>
      </c>
      <c r="BP144" s="466">
        <v>9</v>
      </c>
      <c r="BQ144" s="466" t="s">
        <v>874</v>
      </c>
      <c r="BR144" s="480">
        <v>0.1</v>
      </c>
      <c r="BS144" s="480">
        <v>0.49</v>
      </c>
      <c r="BT144" s="480">
        <v>0.22</v>
      </c>
      <c r="BU144" s="480">
        <v>0.16</v>
      </c>
      <c r="BV144" s="480">
        <v>0.04</v>
      </c>
    </row>
    <row r="145" spans="1:74" ht="24.95" customHeight="1" x14ac:dyDescent="0.2">
      <c r="A145" s="126" t="s">
        <v>67</v>
      </c>
      <c r="B145" s="1" t="s">
        <v>221</v>
      </c>
      <c r="C145" s="2">
        <v>1</v>
      </c>
      <c r="D145" s="12">
        <v>55</v>
      </c>
      <c r="E145" s="12">
        <v>8</v>
      </c>
      <c r="F145" s="66">
        <v>0.2</v>
      </c>
      <c r="G145" s="66">
        <v>0.45</v>
      </c>
      <c r="H145" s="66">
        <v>0.3</v>
      </c>
      <c r="I145" s="66">
        <v>0.05</v>
      </c>
      <c r="J145" s="66">
        <v>0</v>
      </c>
      <c r="K145" s="12">
        <v>55</v>
      </c>
      <c r="L145" s="12">
        <v>10</v>
      </c>
      <c r="M145" s="61">
        <v>0.25</v>
      </c>
      <c r="N145" s="61">
        <v>0.38</v>
      </c>
      <c r="O145" s="61">
        <v>0.28000000000000003</v>
      </c>
      <c r="P145" s="61">
        <v>0.09</v>
      </c>
      <c r="Q145" s="61">
        <v>0</v>
      </c>
      <c r="R145" s="12">
        <v>53</v>
      </c>
      <c r="S145" s="12">
        <v>9</v>
      </c>
      <c r="T145" s="63">
        <v>0.27</v>
      </c>
      <c r="U145" s="63">
        <v>0.37</v>
      </c>
      <c r="V145" s="63">
        <v>0.3</v>
      </c>
      <c r="W145" s="63">
        <v>7.0000000000000007E-2</v>
      </c>
      <c r="X145" s="63">
        <v>0</v>
      </c>
      <c r="Y145" s="12">
        <v>53</v>
      </c>
      <c r="Z145" s="12">
        <v>9</v>
      </c>
      <c r="AA145" s="63">
        <v>0.23</v>
      </c>
      <c r="AB145" s="63">
        <v>0.5</v>
      </c>
      <c r="AC145" s="63">
        <v>0.2</v>
      </c>
      <c r="AD145" s="63">
        <v>7.0000000000000007E-2</v>
      </c>
      <c r="AE145" s="63">
        <v>0</v>
      </c>
      <c r="AF145" s="25">
        <v>50</v>
      </c>
      <c r="AG145" s="25">
        <v>9</v>
      </c>
      <c r="AH145" s="61">
        <v>0.44</v>
      </c>
      <c r="AI145" s="61">
        <v>0.37</v>
      </c>
      <c r="AJ145" s="61">
        <v>0.15</v>
      </c>
      <c r="AK145" s="61">
        <v>0.04</v>
      </c>
      <c r="AL145" s="61">
        <v>0</v>
      </c>
      <c r="AM145" s="247">
        <v>56</v>
      </c>
      <c r="AN145" s="247" t="s">
        <v>874</v>
      </c>
      <c r="AO145" s="247">
        <v>10</v>
      </c>
      <c r="AP145" s="247" t="s">
        <v>874</v>
      </c>
      <c r="AQ145" s="264">
        <v>0.18</v>
      </c>
      <c r="AR145" s="264">
        <v>0.42</v>
      </c>
      <c r="AS145" s="264">
        <v>0.27</v>
      </c>
      <c r="AT145" s="264">
        <v>0.12</v>
      </c>
      <c r="AU145" s="264">
        <v>0.02</v>
      </c>
      <c r="AV145" s="311">
        <v>58</v>
      </c>
      <c r="AW145" s="311" t="s">
        <v>874</v>
      </c>
      <c r="AX145" s="311">
        <v>10</v>
      </c>
      <c r="AY145" s="311" t="s">
        <v>874</v>
      </c>
      <c r="AZ145" s="329">
        <v>0.15</v>
      </c>
      <c r="BA145" s="329">
        <v>0.34</v>
      </c>
      <c r="BB145" s="329">
        <v>0.31</v>
      </c>
      <c r="BC145" s="329">
        <v>0.19</v>
      </c>
      <c r="BD145" s="329">
        <v>0.01</v>
      </c>
      <c r="BE145" s="426">
        <v>59</v>
      </c>
      <c r="BF145" s="426" t="s">
        <v>874</v>
      </c>
      <c r="BG145" s="426">
        <v>12</v>
      </c>
      <c r="BH145" s="426" t="s">
        <v>874</v>
      </c>
      <c r="BI145" s="430">
        <v>0.19</v>
      </c>
      <c r="BJ145" s="430">
        <v>0.32</v>
      </c>
      <c r="BK145" s="430">
        <v>0.24</v>
      </c>
      <c r="BL145" s="430">
        <v>0.22</v>
      </c>
      <c r="BM145" s="430">
        <v>0.03</v>
      </c>
      <c r="BN145" s="466">
        <v>58</v>
      </c>
      <c r="BO145" s="466" t="s">
        <v>874</v>
      </c>
      <c r="BP145" s="466">
        <v>10</v>
      </c>
      <c r="BQ145" s="466" t="s">
        <v>874</v>
      </c>
      <c r="BR145" s="480">
        <v>0.15</v>
      </c>
      <c r="BS145" s="480">
        <v>0.34</v>
      </c>
      <c r="BT145" s="480">
        <v>0.34</v>
      </c>
      <c r="BU145" s="480">
        <v>0.14000000000000001</v>
      </c>
      <c r="BV145" s="480">
        <v>0.02</v>
      </c>
    </row>
    <row r="146" spans="1:74" ht="24.95" customHeight="1" x14ac:dyDescent="0.2">
      <c r="A146" s="126" t="s">
        <v>892</v>
      </c>
      <c r="B146" s="1" t="s">
        <v>221</v>
      </c>
      <c r="C146" s="2">
        <v>6</v>
      </c>
      <c r="D146" s="12"/>
      <c r="E146" s="12"/>
      <c r="F146" s="66"/>
      <c r="G146" s="66"/>
      <c r="H146" s="66"/>
      <c r="I146" s="66"/>
      <c r="J146" s="66"/>
      <c r="K146" s="12"/>
      <c r="L146" s="12"/>
      <c r="M146" s="61"/>
      <c r="N146" s="61"/>
      <c r="O146" s="61"/>
      <c r="P146" s="61"/>
      <c r="Q146" s="61"/>
      <c r="R146" s="12"/>
      <c r="S146" s="12"/>
      <c r="T146" s="63"/>
      <c r="U146" s="63"/>
      <c r="V146" s="63"/>
      <c r="W146" s="63"/>
      <c r="X146" s="63"/>
      <c r="Y146" s="12"/>
      <c r="Z146" s="12"/>
      <c r="AA146" s="63"/>
      <c r="AB146" s="63"/>
      <c r="AC146" s="63"/>
      <c r="AD146" s="63"/>
      <c r="AE146" s="63"/>
      <c r="AF146" s="25"/>
      <c r="AG146" s="25"/>
      <c r="AH146" s="61"/>
      <c r="AI146" s="61"/>
      <c r="AJ146" s="61"/>
      <c r="AK146" s="61"/>
      <c r="AL146" s="61"/>
      <c r="AM146" s="247"/>
      <c r="AN146" s="247"/>
      <c r="AO146" s="247"/>
      <c r="AP146" s="247"/>
      <c r="AQ146" s="264"/>
      <c r="AR146" s="264"/>
      <c r="AS146" s="264"/>
      <c r="AT146" s="264"/>
      <c r="AU146" s="264"/>
      <c r="AV146" s="311">
        <v>46</v>
      </c>
      <c r="AW146" s="311" t="s">
        <v>874</v>
      </c>
      <c r="AX146" s="311">
        <v>9</v>
      </c>
      <c r="AY146" s="311" t="s">
        <v>874</v>
      </c>
      <c r="AZ146" s="329">
        <v>0.43</v>
      </c>
      <c r="BA146" s="329">
        <v>0.56999999999999995</v>
      </c>
      <c r="BB146" s="329">
        <v>0</v>
      </c>
      <c r="BC146" s="329">
        <v>0</v>
      </c>
      <c r="BD146" s="329">
        <v>0</v>
      </c>
      <c r="BE146" s="426">
        <v>42</v>
      </c>
      <c r="BF146" s="426" t="s">
        <v>876</v>
      </c>
      <c r="BG146" s="426">
        <v>9</v>
      </c>
      <c r="BH146" s="426" t="s">
        <v>874</v>
      </c>
      <c r="BI146" s="430">
        <v>0.67</v>
      </c>
      <c r="BJ146" s="430">
        <v>0.33</v>
      </c>
      <c r="BK146" s="430">
        <v>0</v>
      </c>
      <c r="BL146" s="430">
        <v>0</v>
      </c>
      <c r="BM146" s="430">
        <v>0</v>
      </c>
      <c r="BN146" s="466">
        <v>52</v>
      </c>
      <c r="BO146" s="466" t="s">
        <v>874</v>
      </c>
      <c r="BP146" s="466">
        <v>12</v>
      </c>
      <c r="BQ146" s="466" t="s">
        <v>874</v>
      </c>
      <c r="BR146" s="480">
        <v>0.25</v>
      </c>
      <c r="BS146" s="480">
        <v>0.5</v>
      </c>
      <c r="BT146" s="480">
        <v>0.25</v>
      </c>
      <c r="BU146" s="480">
        <v>0</v>
      </c>
      <c r="BV146" s="480">
        <v>0</v>
      </c>
    </row>
    <row r="147" spans="1:74" ht="24.95" customHeight="1" x14ac:dyDescent="0.2">
      <c r="A147" s="560" t="s">
        <v>31</v>
      </c>
      <c r="B147" s="1" t="s">
        <v>221</v>
      </c>
      <c r="C147" s="311">
        <v>6</v>
      </c>
      <c r="D147" s="330">
        <v>55</v>
      </c>
      <c r="E147" s="330">
        <v>11</v>
      </c>
      <c r="F147" s="335">
        <v>0.27</v>
      </c>
      <c r="G147" s="335">
        <v>0.27</v>
      </c>
      <c r="H147" s="335">
        <v>0.36</v>
      </c>
      <c r="I147" s="335">
        <v>0.09</v>
      </c>
      <c r="J147" s="335">
        <v>0</v>
      </c>
      <c r="K147" s="330">
        <v>43</v>
      </c>
      <c r="L147" s="330">
        <v>8</v>
      </c>
      <c r="M147" s="332">
        <v>0.83</v>
      </c>
      <c r="N147" s="332">
        <v>0.08</v>
      </c>
      <c r="O147" s="332">
        <v>0.08</v>
      </c>
      <c r="P147" s="332">
        <v>0</v>
      </c>
      <c r="Q147" s="332">
        <v>0</v>
      </c>
      <c r="R147" s="330">
        <v>50</v>
      </c>
      <c r="S147" s="330">
        <v>13</v>
      </c>
      <c r="T147" s="329">
        <v>0.38</v>
      </c>
      <c r="U147" s="329">
        <v>0.5</v>
      </c>
      <c r="V147" s="329">
        <v>0</v>
      </c>
      <c r="W147" s="329">
        <v>0.13</v>
      </c>
      <c r="X147" s="329">
        <v>0</v>
      </c>
      <c r="Y147" s="330">
        <v>45</v>
      </c>
      <c r="Z147" s="330">
        <v>10</v>
      </c>
      <c r="AA147" s="329">
        <v>0.75</v>
      </c>
      <c r="AB147" s="329">
        <v>0.25</v>
      </c>
      <c r="AC147" s="329">
        <v>0</v>
      </c>
      <c r="AD147" s="329">
        <v>0</v>
      </c>
      <c r="AE147" s="329">
        <v>0</v>
      </c>
      <c r="AF147" s="331">
        <v>43</v>
      </c>
      <c r="AG147" s="331">
        <v>5</v>
      </c>
      <c r="AH147" s="332">
        <v>0.75</v>
      </c>
      <c r="AI147" s="332">
        <v>0.25</v>
      </c>
      <c r="AJ147" s="332">
        <v>0</v>
      </c>
      <c r="AK147" s="332">
        <v>0</v>
      </c>
      <c r="AL147" s="332">
        <v>0</v>
      </c>
      <c r="AM147" s="314">
        <v>59</v>
      </c>
      <c r="AN147" s="314" t="s">
        <v>874</v>
      </c>
      <c r="AO147" s="314">
        <v>17</v>
      </c>
      <c r="AP147" s="314" t="s">
        <v>875</v>
      </c>
      <c r="AQ147" s="334">
        <v>0.2</v>
      </c>
      <c r="AR147" s="334">
        <v>0.2</v>
      </c>
      <c r="AS147" s="334">
        <v>0.2</v>
      </c>
      <c r="AT147" s="334">
        <v>0.2</v>
      </c>
      <c r="AU147" s="334">
        <v>0.2</v>
      </c>
      <c r="AV147" s="311">
        <v>51</v>
      </c>
      <c r="AW147" s="311" t="s">
        <v>874</v>
      </c>
      <c r="AX147" s="311">
        <v>10</v>
      </c>
      <c r="AY147" s="311" t="s">
        <v>874</v>
      </c>
      <c r="AZ147" s="329">
        <v>0.4</v>
      </c>
      <c r="BA147" s="329">
        <v>0.5</v>
      </c>
      <c r="BB147" s="329">
        <v>0</v>
      </c>
      <c r="BC147" s="329">
        <v>0.1</v>
      </c>
      <c r="BD147" s="329">
        <v>0</v>
      </c>
      <c r="BE147" s="426">
        <v>57</v>
      </c>
      <c r="BF147" s="426" t="s">
        <v>874</v>
      </c>
      <c r="BG147" s="426">
        <v>9</v>
      </c>
      <c r="BH147" s="426" t="s">
        <v>874</v>
      </c>
      <c r="BI147" s="430">
        <v>0.28999999999999998</v>
      </c>
      <c r="BJ147" s="430">
        <v>0.28999999999999998</v>
      </c>
      <c r="BK147" s="430">
        <v>0.28999999999999998</v>
      </c>
      <c r="BL147" s="430">
        <v>0.14000000000000001</v>
      </c>
      <c r="BM147" s="430">
        <v>0</v>
      </c>
      <c r="BN147" s="466">
        <v>55</v>
      </c>
      <c r="BO147" s="466" t="s">
        <v>874</v>
      </c>
      <c r="BP147" s="466">
        <v>10</v>
      </c>
      <c r="BQ147" s="466" t="s">
        <v>874</v>
      </c>
      <c r="BR147" s="480">
        <v>0.2</v>
      </c>
      <c r="BS147" s="480">
        <v>0.4</v>
      </c>
      <c r="BT147" s="480">
        <v>0.3</v>
      </c>
      <c r="BU147" s="480">
        <v>0.1</v>
      </c>
      <c r="BV147" s="480">
        <v>0</v>
      </c>
    </row>
    <row r="148" spans="1:74" ht="24.95" customHeight="1" x14ac:dyDescent="0.2">
      <c r="A148" s="126" t="s">
        <v>54</v>
      </c>
      <c r="B148" s="1" t="s">
        <v>221</v>
      </c>
      <c r="C148" s="2">
        <v>6</v>
      </c>
      <c r="D148" s="12">
        <v>58</v>
      </c>
      <c r="E148" s="12">
        <v>9</v>
      </c>
      <c r="F148" s="66">
        <v>0.14000000000000001</v>
      </c>
      <c r="G148" s="66">
        <v>0.36</v>
      </c>
      <c r="H148" s="66">
        <v>0.33</v>
      </c>
      <c r="I148" s="66">
        <v>0.17</v>
      </c>
      <c r="J148" s="66">
        <v>0</v>
      </c>
      <c r="K148" s="12">
        <v>56</v>
      </c>
      <c r="L148" s="12">
        <v>12</v>
      </c>
      <c r="M148" s="61">
        <v>0.26</v>
      </c>
      <c r="N148" s="61">
        <v>0.28999999999999998</v>
      </c>
      <c r="O148" s="61">
        <v>0.28999999999999998</v>
      </c>
      <c r="P148" s="61">
        <v>0.14000000000000001</v>
      </c>
      <c r="Q148" s="61">
        <v>0.03</v>
      </c>
      <c r="R148" s="12">
        <v>55</v>
      </c>
      <c r="S148" s="12">
        <v>10</v>
      </c>
      <c r="T148" s="63">
        <v>0.24</v>
      </c>
      <c r="U148" s="63">
        <v>0.28000000000000003</v>
      </c>
      <c r="V148" s="63">
        <v>0.36</v>
      </c>
      <c r="W148" s="63">
        <v>0.12</v>
      </c>
      <c r="X148" s="63">
        <v>0</v>
      </c>
      <c r="Y148" s="12">
        <v>59</v>
      </c>
      <c r="Z148" s="12">
        <v>10</v>
      </c>
      <c r="AA148" s="63">
        <v>0.17</v>
      </c>
      <c r="AB148" s="63">
        <v>0.27</v>
      </c>
      <c r="AC148" s="63">
        <v>0.33</v>
      </c>
      <c r="AD148" s="63">
        <v>0.23</v>
      </c>
      <c r="AE148" s="63">
        <v>0</v>
      </c>
      <c r="AF148" s="25">
        <v>52</v>
      </c>
      <c r="AG148" s="25">
        <v>12</v>
      </c>
      <c r="AH148" s="61">
        <v>0.28000000000000003</v>
      </c>
      <c r="AI148" s="61">
        <v>0.52</v>
      </c>
      <c r="AJ148" s="61">
        <v>0.16</v>
      </c>
      <c r="AK148" s="61">
        <v>0</v>
      </c>
      <c r="AL148" s="61">
        <v>0.04</v>
      </c>
      <c r="AM148" s="247">
        <v>61</v>
      </c>
      <c r="AN148" s="247" t="s">
        <v>875</v>
      </c>
      <c r="AO148" s="247">
        <v>8</v>
      </c>
      <c r="AP148" s="247" t="s">
        <v>874</v>
      </c>
      <c r="AQ148" s="264">
        <v>0.06</v>
      </c>
      <c r="AR148" s="264">
        <v>0.28999999999999998</v>
      </c>
      <c r="AS148" s="264">
        <v>0.48</v>
      </c>
      <c r="AT148" s="264">
        <v>0.16</v>
      </c>
      <c r="AU148" s="264">
        <v>0</v>
      </c>
      <c r="AV148" s="311">
        <v>62</v>
      </c>
      <c r="AW148" s="311" t="s">
        <v>875</v>
      </c>
      <c r="AX148" s="311">
        <v>8</v>
      </c>
      <c r="AY148" s="311" t="s">
        <v>874</v>
      </c>
      <c r="AZ148" s="329">
        <v>0</v>
      </c>
      <c r="BA148" s="329">
        <v>0.38</v>
      </c>
      <c r="BB148" s="329">
        <v>0.38</v>
      </c>
      <c r="BC148" s="329">
        <v>0.19</v>
      </c>
      <c r="BD148" s="329">
        <v>0.04</v>
      </c>
      <c r="BE148" s="426">
        <v>65</v>
      </c>
      <c r="BF148" s="426" t="s">
        <v>875</v>
      </c>
      <c r="BG148" s="426">
        <v>8</v>
      </c>
      <c r="BH148" s="426" t="s">
        <v>874</v>
      </c>
      <c r="BI148" s="430">
        <v>0.04</v>
      </c>
      <c r="BJ148" s="430">
        <v>0.17</v>
      </c>
      <c r="BK148" s="430">
        <v>0.35</v>
      </c>
      <c r="BL148" s="430">
        <v>0.39</v>
      </c>
      <c r="BM148" s="430">
        <v>0.04</v>
      </c>
      <c r="BN148" s="466">
        <v>58</v>
      </c>
      <c r="BO148" s="466" t="s">
        <v>874</v>
      </c>
      <c r="BP148" s="466">
        <v>7</v>
      </c>
      <c r="BQ148" s="466" t="s">
        <v>876</v>
      </c>
      <c r="BR148" s="480">
        <v>0.14000000000000001</v>
      </c>
      <c r="BS148" s="480">
        <v>0.19</v>
      </c>
      <c r="BT148" s="480">
        <v>0.62</v>
      </c>
      <c r="BU148" s="480">
        <v>0.05</v>
      </c>
      <c r="BV148" s="480">
        <v>0</v>
      </c>
    </row>
    <row r="149" spans="1:74" ht="24.95" customHeight="1" x14ac:dyDescent="0.2">
      <c r="A149" s="126" t="s">
        <v>844</v>
      </c>
      <c r="B149" s="1" t="s">
        <v>221</v>
      </c>
      <c r="C149" s="2">
        <v>4</v>
      </c>
      <c r="D149" s="12"/>
      <c r="E149" s="12"/>
      <c r="F149" s="66"/>
      <c r="G149" s="66"/>
      <c r="H149" s="66"/>
      <c r="I149" s="66"/>
      <c r="J149" s="66"/>
      <c r="K149" s="12"/>
      <c r="L149" s="12"/>
      <c r="M149" s="61"/>
      <c r="N149" s="61"/>
      <c r="O149" s="61"/>
      <c r="P149" s="61"/>
      <c r="Q149" s="61"/>
      <c r="R149" s="12"/>
      <c r="S149" s="12"/>
      <c r="T149" s="63"/>
      <c r="U149" s="63"/>
      <c r="V149" s="63"/>
      <c r="W149" s="63"/>
      <c r="X149" s="63"/>
      <c r="Y149" s="12"/>
      <c r="Z149" s="12"/>
      <c r="AA149" s="63"/>
      <c r="AB149" s="63"/>
      <c r="AC149" s="63"/>
      <c r="AD149" s="63"/>
      <c r="AE149" s="63"/>
      <c r="AF149" s="25"/>
      <c r="AG149" s="25"/>
      <c r="AH149" s="61"/>
      <c r="AI149" s="61"/>
      <c r="AJ149" s="61"/>
      <c r="AK149" s="61"/>
      <c r="AL149" s="61"/>
      <c r="AM149" s="652"/>
      <c r="AN149" s="652"/>
      <c r="AO149" s="652"/>
      <c r="AP149" s="652"/>
      <c r="AQ149" s="652"/>
      <c r="AR149" s="652"/>
      <c r="AS149" s="652"/>
      <c r="AT149" s="652"/>
      <c r="AU149" s="652"/>
      <c r="AV149" s="655"/>
      <c r="AW149" s="655"/>
      <c r="AX149" s="655"/>
      <c r="AY149" s="655"/>
      <c r="AZ149" s="655"/>
      <c r="BA149" s="655"/>
      <c r="BB149" s="655"/>
      <c r="BC149" s="655"/>
      <c r="BD149" s="655"/>
      <c r="BE149" s="426">
        <v>55</v>
      </c>
      <c r="BF149" s="426" t="s">
        <v>874</v>
      </c>
      <c r="BG149" s="426">
        <v>8</v>
      </c>
      <c r="BH149" s="426" t="s">
        <v>874</v>
      </c>
      <c r="BI149" s="430">
        <v>0.13</v>
      </c>
      <c r="BJ149" s="430">
        <v>0.5</v>
      </c>
      <c r="BK149" s="430">
        <v>0.38</v>
      </c>
      <c r="BL149" s="430">
        <v>0</v>
      </c>
      <c r="BM149" s="430">
        <v>0</v>
      </c>
      <c r="BN149" s="647"/>
      <c r="BO149" s="647"/>
      <c r="BP149" s="647"/>
      <c r="BQ149" s="647"/>
      <c r="BR149" s="648"/>
      <c r="BS149" s="648"/>
      <c r="BT149" s="648"/>
      <c r="BU149" s="648"/>
      <c r="BV149" s="648"/>
    </row>
    <row r="150" spans="1:74" ht="24.95" customHeight="1" x14ac:dyDescent="0.2">
      <c r="A150" s="126" t="s">
        <v>142</v>
      </c>
      <c r="B150" s="1" t="s">
        <v>221</v>
      </c>
      <c r="C150" s="2">
        <v>2</v>
      </c>
      <c r="D150" s="12">
        <v>50</v>
      </c>
      <c r="E150" s="12">
        <v>11</v>
      </c>
      <c r="F150" s="66">
        <v>0.56000000000000005</v>
      </c>
      <c r="G150" s="66">
        <v>0.31</v>
      </c>
      <c r="H150" s="66">
        <v>0</v>
      </c>
      <c r="I150" s="66">
        <v>0.13</v>
      </c>
      <c r="J150" s="66">
        <v>0</v>
      </c>
      <c r="K150" s="12">
        <v>51</v>
      </c>
      <c r="L150" s="12">
        <v>10</v>
      </c>
      <c r="M150" s="61">
        <v>0.44</v>
      </c>
      <c r="N150" s="61">
        <v>0.33</v>
      </c>
      <c r="O150" s="61">
        <v>0.11</v>
      </c>
      <c r="P150" s="61">
        <v>0.11</v>
      </c>
      <c r="Q150" s="61">
        <v>0</v>
      </c>
      <c r="R150" s="12">
        <v>51</v>
      </c>
      <c r="S150" s="12">
        <v>9</v>
      </c>
      <c r="T150" s="63">
        <v>0.27</v>
      </c>
      <c r="U150" s="63">
        <v>0.53</v>
      </c>
      <c r="V150" s="63">
        <v>0.2</v>
      </c>
      <c r="W150" s="63">
        <v>0</v>
      </c>
      <c r="X150" s="63">
        <v>0</v>
      </c>
      <c r="Y150" s="12">
        <v>44</v>
      </c>
      <c r="Z150" s="12">
        <v>11</v>
      </c>
      <c r="AA150" s="63">
        <v>0.64</v>
      </c>
      <c r="AB150" s="63">
        <v>0.27</v>
      </c>
      <c r="AC150" s="63">
        <v>0.09</v>
      </c>
      <c r="AD150" s="63">
        <v>0</v>
      </c>
      <c r="AE150" s="63">
        <v>0</v>
      </c>
      <c r="AF150" s="25">
        <v>47</v>
      </c>
      <c r="AG150" s="25">
        <v>11</v>
      </c>
      <c r="AH150" s="61">
        <v>0.56999999999999995</v>
      </c>
      <c r="AI150" s="61">
        <v>0.28999999999999998</v>
      </c>
      <c r="AJ150" s="61">
        <v>0</v>
      </c>
      <c r="AK150" s="61">
        <v>0.14000000000000001</v>
      </c>
      <c r="AL150" s="61">
        <v>0</v>
      </c>
      <c r="AM150" s="653">
        <v>51</v>
      </c>
      <c r="AN150" s="653" t="s">
        <v>874</v>
      </c>
      <c r="AO150" s="653">
        <v>9</v>
      </c>
      <c r="AP150" s="653" t="s">
        <v>874</v>
      </c>
      <c r="AQ150" s="654">
        <v>0.31</v>
      </c>
      <c r="AR150" s="654">
        <v>0.38</v>
      </c>
      <c r="AS150" s="654">
        <v>0.31</v>
      </c>
      <c r="AT150" s="654">
        <v>0</v>
      </c>
      <c r="AU150" s="654">
        <v>0</v>
      </c>
      <c r="AV150" s="74">
        <v>55</v>
      </c>
      <c r="AW150" s="74" t="s">
        <v>874</v>
      </c>
      <c r="AX150" s="74">
        <v>7</v>
      </c>
      <c r="AY150" s="74" t="s">
        <v>876</v>
      </c>
      <c r="AZ150" s="96">
        <v>0.21</v>
      </c>
      <c r="BA150" s="96">
        <v>0.5</v>
      </c>
      <c r="BB150" s="96">
        <v>0.21</v>
      </c>
      <c r="BC150" s="96">
        <v>7.0000000000000007E-2</v>
      </c>
      <c r="BD150" s="96">
        <v>0</v>
      </c>
      <c r="BE150" s="426">
        <v>53</v>
      </c>
      <c r="BF150" s="426" t="s">
        <v>874</v>
      </c>
      <c r="BG150" s="426">
        <v>10</v>
      </c>
      <c r="BH150" s="426" t="s">
        <v>874</v>
      </c>
      <c r="BI150" s="430">
        <v>0.26</v>
      </c>
      <c r="BJ150" s="430">
        <v>0.42</v>
      </c>
      <c r="BK150" s="430">
        <v>0.21</v>
      </c>
      <c r="BL150" s="430">
        <v>0.11</v>
      </c>
      <c r="BM150" s="430">
        <v>0</v>
      </c>
      <c r="BN150" s="660">
        <v>58</v>
      </c>
      <c r="BO150" s="660" t="s">
        <v>874</v>
      </c>
      <c r="BP150" s="660">
        <v>10</v>
      </c>
      <c r="BQ150" s="660" t="s">
        <v>874</v>
      </c>
      <c r="BR150" s="661">
        <v>0.21</v>
      </c>
      <c r="BS150" s="661">
        <v>0.21</v>
      </c>
      <c r="BT150" s="661">
        <v>0.42</v>
      </c>
      <c r="BU150" s="661">
        <v>0.16</v>
      </c>
      <c r="BV150" s="661">
        <v>0</v>
      </c>
    </row>
    <row r="151" spans="1:74" ht="24.95" customHeight="1" x14ac:dyDescent="0.2">
      <c r="A151" s="126" t="s">
        <v>149</v>
      </c>
      <c r="B151" s="1" t="s">
        <v>221</v>
      </c>
      <c r="C151" s="2">
        <v>5</v>
      </c>
      <c r="D151" s="12">
        <v>53</v>
      </c>
      <c r="E151" s="12">
        <v>10</v>
      </c>
      <c r="F151" s="66">
        <v>0.36</v>
      </c>
      <c r="G151" s="66">
        <v>0.33</v>
      </c>
      <c r="H151" s="66">
        <v>0.19</v>
      </c>
      <c r="I151" s="66">
        <v>0.12</v>
      </c>
      <c r="J151" s="66">
        <v>0</v>
      </c>
      <c r="K151" s="12">
        <v>48</v>
      </c>
      <c r="L151" s="12">
        <v>9</v>
      </c>
      <c r="M151" s="61">
        <v>0.49</v>
      </c>
      <c r="N151" s="61">
        <v>0.32</v>
      </c>
      <c r="O151" s="61">
        <v>0.17</v>
      </c>
      <c r="P151" s="61">
        <v>0.02</v>
      </c>
      <c r="Q151" s="61">
        <v>0</v>
      </c>
      <c r="R151" s="12">
        <v>50</v>
      </c>
      <c r="S151" s="12">
        <v>10</v>
      </c>
      <c r="T151" s="63">
        <v>0.38</v>
      </c>
      <c r="U151" s="63">
        <v>0.5</v>
      </c>
      <c r="V151" s="63">
        <v>0.06</v>
      </c>
      <c r="W151" s="63">
        <v>0.06</v>
      </c>
      <c r="X151" s="63">
        <v>0</v>
      </c>
      <c r="Y151" s="12">
        <v>50</v>
      </c>
      <c r="Z151" s="12">
        <v>7</v>
      </c>
      <c r="AA151" s="63">
        <v>0.38</v>
      </c>
      <c r="AB151" s="63">
        <v>0.54</v>
      </c>
      <c r="AC151" s="63">
        <v>0.08</v>
      </c>
      <c r="AD151" s="63">
        <v>0</v>
      </c>
      <c r="AE151" s="63">
        <v>0</v>
      </c>
      <c r="AF151" s="25">
        <v>45</v>
      </c>
      <c r="AG151" s="25">
        <v>9</v>
      </c>
      <c r="AH151" s="61">
        <v>0.74</v>
      </c>
      <c r="AI151" s="61">
        <v>0.04</v>
      </c>
      <c r="AJ151" s="61">
        <v>0.22</v>
      </c>
      <c r="AK151" s="61">
        <v>0</v>
      </c>
      <c r="AL151" s="61">
        <v>0</v>
      </c>
      <c r="AM151" s="247">
        <v>47</v>
      </c>
      <c r="AN151" s="247" t="s">
        <v>874</v>
      </c>
      <c r="AO151" s="247">
        <v>11</v>
      </c>
      <c r="AP151" s="247" t="s">
        <v>874</v>
      </c>
      <c r="AQ151" s="264">
        <v>0.59</v>
      </c>
      <c r="AR151" s="264">
        <v>0.21</v>
      </c>
      <c r="AS151" s="264">
        <v>0.17</v>
      </c>
      <c r="AT151" s="264">
        <v>0.03</v>
      </c>
      <c r="AU151" s="264">
        <v>0</v>
      </c>
      <c r="AV151" s="311">
        <v>49</v>
      </c>
      <c r="AW151" s="311" t="s">
        <v>874</v>
      </c>
      <c r="AX151" s="311">
        <v>9</v>
      </c>
      <c r="AY151" s="311" t="s">
        <v>874</v>
      </c>
      <c r="AZ151" s="329">
        <v>0.42</v>
      </c>
      <c r="BA151" s="329">
        <v>0.42</v>
      </c>
      <c r="BB151" s="329">
        <v>0.15</v>
      </c>
      <c r="BC151" s="329">
        <v>0</v>
      </c>
      <c r="BD151" s="329">
        <v>0</v>
      </c>
      <c r="BE151" s="426">
        <v>52</v>
      </c>
      <c r="BF151" s="426" t="s">
        <v>874</v>
      </c>
      <c r="BG151" s="426">
        <v>9</v>
      </c>
      <c r="BH151" s="426" t="s">
        <v>874</v>
      </c>
      <c r="BI151" s="430">
        <v>0.37</v>
      </c>
      <c r="BJ151" s="430">
        <v>0.43</v>
      </c>
      <c r="BK151" s="430">
        <v>0.11</v>
      </c>
      <c r="BL151" s="430">
        <v>0.09</v>
      </c>
      <c r="BM151" s="430">
        <v>0</v>
      </c>
      <c r="BN151" s="466">
        <v>51</v>
      </c>
      <c r="BO151" s="466" t="s">
        <v>874</v>
      </c>
      <c r="BP151" s="466">
        <v>8</v>
      </c>
      <c r="BQ151" s="466" t="s">
        <v>874</v>
      </c>
      <c r="BR151" s="480">
        <v>0.34</v>
      </c>
      <c r="BS151" s="480">
        <v>0.41</v>
      </c>
      <c r="BT151" s="480">
        <v>0.25</v>
      </c>
      <c r="BU151" s="480">
        <v>0</v>
      </c>
      <c r="BV151" s="480">
        <v>0</v>
      </c>
    </row>
    <row r="152" spans="1:74" ht="24.95" customHeight="1" x14ac:dyDescent="0.2">
      <c r="A152" s="126" t="s">
        <v>140</v>
      </c>
      <c r="B152" s="1" t="s">
        <v>221</v>
      </c>
      <c r="C152" s="2">
        <v>2</v>
      </c>
      <c r="D152" s="12">
        <v>56</v>
      </c>
      <c r="E152" s="12">
        <v>14</v>
      </c>
      <c r="F152" s="66">
        <v>0.25</v>
      </c>
      <c r="G152" s="66">
        <v>0.25</v>
      </c>
      <c r="H152" s="66">
        <v>0.38</v>
      </c>
      <c r="I152" s="66">
        <v>0.13</v>
      </c>
      <c r="J152" s="66">
        <v>0</v>
      </c>
      <c r="K152" s="12">
        <v>54</v>
      </c>
      <c r="L152" s="12">
        <v>8</v>
      </c>
      <c r="M152" s="61">
        <v>0.2</v>
      </c>
      <c r="N152" s="61">
        <v>0.55000000000000004</v>
      </c>
      <c r="O152" s="61">
        <v>0.2</v>
      </c>
      <c r="P152" s="61">
        <v>0.05</v>
      </c>
      <c r="Q152" s="61">
        <v>0</v>
      </c>
      <c r="R152" s="12">
        <v>56</v>
      </c>
      <c r="S152" s="12">
        <v>9</v>
      </c>
      <c r="T152" s="63">
        <v>0.13</v>
      </c>
      <c r="U152" s="63">
        <v>0.52</v>
      </c>
      <c r="V152" s="63">
        <v>0.26</v>
      </c>
      <c r="W152" s="63">
        <v>0.09</v>
      </c>
      <c r="X152" s="63">
        <v>0</v>
      </c>
      <c r="Y152" s="12">
        <v>53</v>
      </c>
      <c r="Z152" s="12">
        <v>11</v>
      </c>
      <c r="AA152" s="63">
        <v>0.27</v>
      </c>
      <c r="AB152" s="63">
        <v>0.42</v>
      </c>
      <c r="AC152" s="63">
        <v>0.24</v>
      </c>
      <c r="AD152" s="63">
        <v>0.06</v>
      </c>
      <c r="AE152" s="63">
        <v>0</v>
      </c>
      <c r="AF152" s="25">
        <v>47</v>
      </c>
      <c r="AG152" s="25">
        <v>6</v>
      </c>
      <c r="AH152" s="61">
        <v>0.55000000000000004</v>
      </c>
      <c r="AI152" s="61">
        <v>0.39</v>
      </c>
      <c r="AJ152" s="61">
        <v>0.06</v>
      </c>
      <c r="AK152" s="61">
        <v>0</v>
      </c>
      <c r="AL152" s="61">
        <v>0</v>
      </c>
      <c r="AM152" s="247">
        <v>52</v>
      </c>
      <c r="AN152" s="247" t="s">
        <v>874</v>
      </c>
      <c r="AO152" s="247">
        <v>8</v>
      </c>
      <c r="AP152" s="247" t="s">
        <v>874</v>
      </c>
      <c r="AQ152" s="264">
        <v>0.35</v>
      </c>
      <c r="AR152" s="264">
        <v>0.38</v>
      </c>
      <c r="AS152" s="264">
        <v>0.26</v>
      </c>
      <c r="AT152" s="264">
        <v>0</v>
      </c>
      <c r="AU152" s="264">
        <v>0</v>
      </c>
      <c r="AV152" s="311">
        <v>54</v>
      </c>
      <c r="AW152" s="311" t="s">
        <v>874</v>
      </c>
      <c r="AX152" s="311">
        <v>9</v>
      </c>
      <c r="AY152" s="311" t="s">
        <v>874</v>
      </c>
      <c r="AZ152" s="329">
        <v>0.15</v>
      </c>
      <c r="BA152" s="329">
        <v>0.48</v>
      </c>
      <c r="BB152" s="329">
        <v>0.3</v>
      </c>
      <c r="BC152" s="329">
        <v>0.08</v>
      </c>
      <c r="BD152" s="329">
        <v>0</v>
      </c>
      <c r="BE152" s="426">
        <v>53</v>
      </c>
      <c r="BF152" s="426" t="s">
        <v>874</v>
      </c>
      <c r="BG152" s="426">
        <v>10</v>
      </c>
      <c r="BH152" s="426" t="s">
        <v>874</v>
      </c>
      <c r="BI152" s="430">
        <v>0.27</v>
      </c>
      <c r="BJ152" s="430">
        <v>0.44</v>
      </c>
      <c r="BK152" s="430">
        <v>0.22</v>
      </c>
      <c r="BL152" s="430">
        <v>7.0000000000000007E-2</v>
      </c>
      <c r="BM152" s="430">
        <v>0</v>
      </c>
      <c r="BN152" s="466">
        <v>51</v>
      </c>
      <c r="BO152" s="466" t="s">
        <v>874</v>
      </c>
      <c r="BP152" s="466">
        <v>12</v>
      </c>
      <c r="BQ152" s="466" t="s">
        <v>874</v>
      </c>
      <c r="BR152" s="480">
        <v>0.42</v>
      </c>
      <c r="BS152" s="480">
        <v>0.34</v>
      </c>
      <c r="BT152" s="480">
        <v>0.16</v>
      </c>
      <c r="BU152" s="480">
        <v>0.05</v>
      </c>
      <c r="BV152" s="480">
        <v>0.03</v>
      </c>
    </row>
    <row r="153" spans="1:74" ht="24.95" customHeight="1" x14ac:dyDescent="0.2">
      <c r="A153" s="126" t="s">
        <v>122</v>
      </c>
      <c r="B153" s="1" t="s">
        <v>221</v>
      </c>
      <c r="C153" s="2">
        <v>6</v>
      </c>
      <c r="D153" s="12">
        <v>57</v>
      </c>
      <c r="E153" s="12">
        <v>8</v>
      </c>
      <c r="F153" s="66">
        <v>0.16</v>
      </c>
      <c r="G153" s="66">
        <v>0.39</v>
      </c>
      <c r="H153" s="66">
        <v>0.36</v>
      </c>
      <c r="I153" s="66">
        <v>0.08</v>
      </c>
      <c r="J153" s="66">
        <v>0</v>
      </c>
      <c r="K153" s="12">
        <v>53</v>
      </c>
      <c r="L153" s="12">
        <v>8</v>
      </c>
      <c r="M153" s="61">
        <v>0.27</v>
      </c>
      <c r="N153" s="61">
        <v>0.48</v>
      </c>
      <c r="O153" s="61">
        <v>0.2</v>
      </c>
      <c r="P153" s="61">
        <v>0.02</v>
      </c>
      <c r="Q153" s="61">
        <v>0.02</v>
      </c>
      <c r="R153" s="12">
        <v>56</v>
      </c>
      <c r="S153" s="12">
        <v>9</v>
      </c>
      <c r="T153" s="63">
        <v>0.16</v>
      </c>
      <c r="U153" s="63">
        <v>0.43</v>
      </c>
      <c r="V153" s="63">
        <v>0.28999999999999998</v>
      </c>
      <c r="W153" s="63">
        <v>0.1</v>
      </c>
      <c r="X153" s="63">
        <v>0.02</v>
      </c>
      <c r="Y153" s="12">
        <v>56</v>
      </c>
      <c r="Z153" s="12">
        <v>11</v>
      </c>
      <c r="AA153" s="63">
        <v>0.25</v>
      </c>
      <c r="AB153" s="63">
        <v>0.31</v>
      </c>
      <c r="AC153" s="63">
        <v>0.32</v>
      </c>
      <c r="AD153" s="63">
        <v>0.1</v>
      </c>
      <c r="AE153" s="63">
        <v>0.03</v>
      </c>
      <c r="AF153" s="25">
        <v>49</v>
      </c>
      <c r="AG153" s="25">
        <v>10</v>
      </c>
      <c r="AH153" s="61">
        <v>0.5</v>
      </c>
      <c r="AI153" s="61">
        <v>0.31</v>
      </c>
      <c r="AJ153" s="61">
        <v>0.13</v>
      </c>
      <c r="AK153" s="61">
        <v>0.06</v>
      </c>
      <c r="AL153" s="61">
        <v>0</v>
      </c>
      <c r="AM153" s="247">
        <v>53</v>
      </c>
      <c r="AN153" s="247" t="s">
        <v>874</v>
      </c>
      <c r="AO153" s="247">
        <v>11</v>
      </c>
      <c r="AP153" s="247" t="s">
        <v>874</v>
      </c>
      <c r="AQ153" s="264">
        <v>0.28999999999999998</v>
      </c>
      <c r="AR153" s="264">
        <v>0.36</v>
      </c>
      <c r="AS153" s="264">
        <v>0.25</v>
      </c>
      <c r="AT153" s="264">
        <v>0.1</v>
      </c>
      <c r="AU153" s="264">
        <v>0.01</v>
      </c>
      <c r="AV153" s="311">
        <v>56</v>
      </c>
      <c r="AW153" s="311" t="s">
        <v>874</v>
      </c>
      <c r="AX153" s="311">
        <v>12</v>
      </c>
      <c r="AY153" s="311" t="s">
        <v>874</v>
      </c>
      <c r="AZ153" s="329">
        <v>0.23</v>
      </c>
      <c r="BA153" s="329">
        <v>0.36</v>
      </c>
      <c r="BB153" s="329">
        <v>0.24</v>
      </c>
      <c r="BC153" s="329">
        <v>0.15</v>
      </c>
      <c r="BD153" s="329">
        <v>0.02</v>
      </c>
      <c r="BE153" s="426">
        <v>56</v>
      </c>
      <c r="BF153" s="426" t="s">
        <v>874</v>
      </c>
      <c r="BG153" s="426">
        <v>12</v>
      </c>
      <c r="BH153" s="426" t="s">
        <v>874</v>
      </c>
      <c r="BI153" s="430">
        <v>0.23</v>
      </c>
      <c r="BJ153" s="430">
        <v>0.35</v>
      </c>
      <c r="BK153" s="430">
        <v>0.23</v>
      </c>
      <c r="BL153" s="430">
        <v>0.16</v>
      </c>
      <c r="BM153" s="430">
        <v>0.03</v>
      </c>
      <c r="BN153" s="466">
        <v>55</v>
      </c>
      <c r="BO153" s="466" t="s">
        <v>874</v>
      </c>
      <c r="BP153" s="466">
        <v>10</v>
      </c>
      <c r="BQ153" s="466" t="s">
        <v>874</v>
      </c>
      <c r="BR153" s="480">
        <v>0.27</v>
      </c>
      <c r="BS153" s="480">
        <v>0.33</v>
      </c>
      <c r="BT153" s="480">
        <v>0.28999999999999998</v>
      </c>
      <c r="BU153" s="480">
        <v>0.11</v>
      </c>
      <c r="BV153" s="480">
        <v>0.01</v>
      </c>
    </row>
    <row r="154" spans="1:74" ht="24.95" customHeight="1" x14ac:dyDescent="0.2">
      <c r="A154" s="126" t="s">
        <v>197</v>
      </c>
      <c r="B154" s="1" t="s">
        <v>221</v>
      </c>
      <c r="C154" s="2">
        <v>5</v>
      </c>
      <c r="D154" s="12">
        <v>63</v>
      </c>
      <c r="E154" s="12">
        <v>9</v>
      </c>
      <c r="F154" s="66">
        <v>7.0000000000000007E-2</v>
      </c>
      <c r="G154" s="66">
        <v>0.23</v>
      </c>
      <c r="H154" s="66">
        <v>0.4</v>
      </c>
      <c r="I154" s="66">
        <v>0.27</v>
      </c>
      <c r="J154" s="66">
        <v>0.03</v>
      </c>
      <c r="K154" s="12">
        <v>60</v>
      </c>
      <c r="L154" s="12">
        <v>9</v>
      </c>
      <c r="M154" s="61">
        <v>0.04</v>
      </c>
      <c r="N154" s="61">
        <v>0.35</v>
      </c>
      <c r="O154" s="61">
        <v>0.48</v>
      </c>
      <c r="P154" s="61">
        <v>0.09</v>
      </c>
      <c r="Q154" s="61">
        <v>0.04</v>
      </c>
      <c r="R154" s="12">
        <v>63</v>
      </c>
      <c r="S154" s="12">
        <v>9</v>
      </c>
      <c r="T154" s="63">
        <v>0</v>
      </c>
      <c r="U154" s="63">
        <v>0.33</v>
      </c>
      <c r="V154" s="63">
        <v>0.35</v>
      </c>
      <c r="W154" s="63">
        <v>0.28000000000000003</v>
      </c>
      <c r="X154" s="63">
        <v>0.04</v>
      </c>
      <c r="Y154" s="12">
        <v>58</v>
      </c>
      <c r="Z154" s="12">
        <v>11</v>
      </c>
      <c r="AA154" s="63">
        <v>0.17</v>
      </c>
      <c r="AB154" s="63">
        <v>0.3</v>
      </c>
      <c r="AC154" s="63">
        <v>0.3</v>
      </c>
      <c r="AD154" s="63">
        <v>0.22</v>
      </c>
      <c r="AE154" s="63">
        <v>0</v>
      </c>
      <c r="AF154" s="25">
        <v>51</v>
      </c>
      <c r="AG154" s="25">
        <v>9</v>
      </c>
      <c r="AH154" s="61">
        <v>0.38</v>
      </c>
      <c r="AI154" s="61">
        <v>0.31</v>
      </c>
      <c r="AJ154" s="61">
        <v>0.28999999999999998</v>
      </c>
      <c r="AK154" s="61">
        <v>0.02</v>
      </c>
      <c r="AL154" s="61">
        <v>0</v>
      </c>
      <c r="AM154" s="247">
        <v>59</v>
      </c>
      <c r="AN154" s="247" t="s">
        <v>874</v>
      </c>
      <c r="AO154" s="247">
        <v>10</v>
      </c>
      <c r="AP154" s="247" t="s">
        <v>874</v>
      </c>
      <c r="AQ154" s="264">
        <v>0.15</v>
      </c>
      <c r="AR154" s="264">
        <v>0.33</v>
      </c>
      <c r="AS154" s="264">
        <v>0.27</v>
      </c>
      <c r="AT154" s="264">
        <v>0.25</v>
      </c>
      <c r="AU154" s="264">
        <v>0</v>
      </c>
      <c r="AV154" s="311">
        <v>63</v>
      </c>
      <c r="AW154" s="311" t="s">
        <v>875</v>
      </c>
      <c r="AX154" s="311">
        <v>8</v>
      </c>
      <c r="AY154" s="311" t="s">
        <v>874</v>
      </c>
      <c r="AZ154" s="329">
        <v>0.02</v>
      </c>
      <c r="BA154" s="329">
        <v>0.19</v>
      </c>
      <c r="BB154" s="329">
        <v>0.45</v>
      </c>
      <c r="BC154" s="329">
        <v>0.3</v>
      </c>
      <c r="BD154" s="329">
        <v>0.04</v>
      </c>
      <c r="BE154" s="426">
        <v>64</v>
      </c>
      <c r="BF154" s="426" t="s">
        <v>875</v>
      </c>
      <c r="BG154" s="426">
        <v>10</v>
      </c>
      <c r="BH154" s="426" t="s">
        <v>874</v>
      </c>
      <c r="BI154" s="430">
        <v>0.09</v>
      </c>
      <c r="BJ154" s="430">
        <v>0.13</v>
      </c>
      <c r="BK154" s="430">
        <v>0.38</v>
      </c>
      <c r="BL154" s="430">
        <v>0.38</v>
      </c>
      <c r="BM154" s="430">
        <v>0.03</v>
      </c>
      <c r="BN154" s="466">
        <v>63</v>
      </c>
      <c r="BO154" s="466" t="s">
        <v>875</v>
      </c>
      <c r="BP154" s="466">
        <v>10</v>
      </c>
      <c r="BQ154" s="466" t="s">
        <v>874</v>
      </c>
      <c r="BR154" s="480">
        <v>0.03</v>
      </c>
      <c r="BS154" s="480">
        <v>0.26</v>
      </c>
      <c r="BT154" s="480">
        <v>0.38</v>
      </c>
      <c r="BU154" s="480">
        <v>0.25</v>
      </c>
      <c r="BV154" s="480">
        <v>0.08</v>
      </c>
    </row>
    <row r="155" spans="1:74" ht="24.95" customHeight="1" x14ac:dyDescent="0.2">
      <c r="A155" s="126" t="s">
        <v>164</v>
      </c>
      <c r="B155" s="1" t="s">
        <v>221</v>
      </c>
      <c r="C155" s="2">
        <v>1</v>
      </c>
      <c r="D155" s="12">
        <v>52</v>
      </c>
      <c r="E155" s="12">
        <v>9</v>
      </c>
      <c r="F155" s="66">
        <v>0.39</v>
      </c>
      <c r="G155" s="66">
        <v>0.37</v>
      </c>
      <c r="H155" s="66">
        <v>0.16</v>
      </c>
      <c r="I155" s="66">
        <v>0.08</v>
      </c>
      <c r="J155" s="66">
        <v>0</v>
      </c>
      <c r="K155" s="12">
        <v>49</v>
      </c>
      <c r="L155" s="12">
        <v>10</v>
      </c>
      <c r="M155" s="61">
        <v>0.48</v>
      </c>
      <c r="N155" s="61">
        <v>0.35</v>
      </c>
      <c r="O155" s="61">
        <v>0.1</v>
      </c>
      <c r="P155" s="61">
        <v>0.06</v>
      </c>
      <c r="Q155" s="61">
        <v>0</v>
      </c>
      <c r="R155" s="12">
        <v>52</v>
      </c>
      <c r="S155" s="12">
        <v>5</v>
      </c>
      <c r="T155" s="63">
        <v>0.1</v>
      </c>
      <c r="U155" s="63">
        <v>0.7</v>
      </c>
      <c r="V155" s="63">
        <v>0.2</v>
      </c>
      <c r="W155" s="63">
        <v>0</v>
      </c>
      <c r="X155" s="63">
        <v>0</v>
      </c>
      <c r="Y155" s="12">
        <v>51</v>
      </c>
      <c r="Z155" s="12">
        <v>9</v>
      </c>
      <c r="AA155" s="63">
        <v>0.24</v>
      </c>
      <c r="AB155" s="63">
        <v>0.52</v>
      </c>
      <c r="AC155" s="63">
        <v>0.24</v>
      </c>
      <c r="AD155" s="63">
        <v>0</v>
      </c>
      <c r="AE155" s="63">
        <v>0</v>
      </c>
      <c r="AF155" s="25">
        <v>49</v>
      </c>
      <c r="AG155" s="25">
        <v>8</v>
      </c>
      <c r="AH155" s="61">
        <v>0.45</v>
      </c>
      <c r="AI155" s="61">
        <v>0.39</v>
      </c>
      <c r="AJ155" s="61">
        <v>0.16</v>
      </c>
      <c r="AK155" s="61">
        <v>0</v>
      </c>
      <c r="AL155" s="61">
        <v>0</v>
      </c>
      <c r="AM155" s="247">
        <v>49</v>
      </c>
      <c r="AN155" s="247" t="s">
        <v>874</v>
      </c>
      <c r="AO155" s="247">
        <v>10</v>
      </c>
      <c r="AP155" s="247" t="s">
        <v>874</v>
      </c>
      <c r="AQ155" s="264">
        <v>0.39</v>
      </c>
      <c r="AR155" s="264">
        <v>0.39</v>
      </c>
      <c r="AS155" s="264">
        <v>0.18</v>
      </c>
      <c r="AT155" s="264">
        <v>0.04</v>
      </c>
      <c r="AU155" s="264">
        <v>0</v>
      </c>
      <c r="AV155" s="311">
        <v>51</v>
      </c>
      <c r="AW155" s="311" t="s">
        <v>874</v>
      </c>
      <c r="AX155" s="311">
        <v>10</v>
      </c>
      <c r="AY155" s="311" t="s">
        <v>874</v>
      </c>
      <c r="AZ155" s="329">
        <v>0.33</v>
      </c>
      <c r="BA155" s="329">
        <v>0.38</v>
      </c>
      <c r="BB155" s="329">
        <v>0.25</v>
      </c>
      <c r="BC155" s="329">
        <v>0.04</v>
      </c>
      <c r="BD155" s="329">
        <v>0</v>
      </c>
      <c r="BE155" s="426">
        <v>51</v>
      </c>
      <c r="BF155" s="426" t="s">
        <v>874</v>
      </c>
      <c r="BG155" s="426">
        <v>10</v>
      </c>
      <c r="BH155" s="426" t="s">
        <v>874</v>
      </c>
      <c r="BI155" s="430">
        <v>0.35</v>
      </c>
      <c r="BJ155" s="430">
        <v>0.4</v>
      </c>
      <c r="BK155" s="430">
        <v>0.19</v>
      </c>
      <c r="BL155" s="430">
        <v>0.06</v>
      </c>
      <c r="BM155" s="430">
        <v>0</v>
      </c>
      <c r="BN155" s="466">
        <v>52</v>
      </c>
      <c r="BO155" s="466" t="s">
        <v>874</v>
      </c>
      <c r="BP155" s="466">
        <v>8</v>
      </c>
      <c r="BQ155" s="466" t="s">
        <v>874</v>
      </c>
      <c r="BR155" s="480">
        <v>0.33</v>
      </c>
      <c r="BS155" s="480">
        <v>0.41</v>
      </c>
      <c r="BT155" s="480">
        <v>0.25</v>
      </c>
      <c r="BU155" s="480">
        <v>0</v>
      </c>
      <c r="BV155" s="480">
        <v>0</v>
      </c>
    </row>
    <row r="156" spans="1:74" ht="24.95" customHeight="1" x14ac:dyDescent="0.2">
      <c r="A156" s="126" t="s">
        <v>228</v>
      </c>
      <c r="B156" s="1" t="s">
        <v>221</v>
      </c>
      <c r="C156" s="2">
        <v>6</v>
      </c>
      <c r="D156" s="12" t="s">
        <v>224</v>
      </c>
      <c r="E156" s="12" t="s">
        <v>224</v>
      </c>
      <c r="F156" s="12"/>
      <c r="G156" s="12"/>
      <c r="H156" s="12"/>
      <c r="I156" s="12"/>
      <c r="J156" s="12"/>
      <c r="K156" s="12">
        <v>49</v>
      </c>
      <c r="L156" s="12">
        <v>11</v>
      </c>
      <c r="M156" s="61">
        <v>0.67</v>
      </c>
      <c r="N156" s="61">
        <v>0.17</v>
      </c>
      <c r="O156" s="61">
        <v>0</v>
      </c>
      <c r="P156" s="61">
        <v>0.17</v>
      </c>
      <c r="Q156" s="61">
        <v>0</v>
      </c>
      <c r="R156" s="12">
        <v>50</v>
      </c>
      <c r="S156" s="12">
        <v>4</v>
      </c>
      <c r="T156" s="63">
        <v>0.25</v>
      </c>
      <c r="U156" s="63">
        <v>0.75</v>
      </c>
      <c r="V156" s="63">
        <v>0</v>
      </c>
      <c r="W156" s="63">
        <v>0</v>
      </c>
      <c r="X156" s="63">
        <v>0</v>
      </c>
      <c r="Y156" s="12">
        <v>47</v>
      </c>
      <c r="Z156" s="12">
        <v>2</v>
      </c>
      <c r="AA156" s="63">
        <v>0.5</v>
      </c>
      <c r="AB156" s="63">
        <v>0.5</v>
      </c>
      <c r="AC156" s="63">
        <v>0</v>
      </c>
      <c r="AD156" s="63">
        <v>0</v>
      </c>
      <c r="AE156" s="63">
        <v>0</v>
      </c>
      <c r="AF156" s="25">
        <v>38</v>
      </c>
      <c r="AG156" s="25">
        <v>1</v>
      </c>
      <c r="AH156" s="61">
        <v>1</v>
      </c>
      <c r="AI156" s="61">
        <v>0</v>
      </c>
      <c r="AJ156" s="61">
        <v>0</v>
      </c>
      <c r="AK156" s="61">
        <v>0</v>
      </c>
      <c r="AL156" s="61">
        <v>0</v>
      </c>
      <c r="AM156" s="652"/>
      <c r="AN156" s="652"/>
      <c r="AO156" s="652"/>
      <c r="AP156" s="652"/>
      <c r="AQ156" s="652"/>
      <c r="AR156" s="652"/>
      <c r="AS156" s="652"/>
      <c r="AT156" s="652"/>
      <c r="AU156" s="652"/>
      <c r="AV156" s="655"/>
      <c r="AW156" s="655"/>
      <c r="AX156" s="655"/>
      <c r="AY156" s="655"/>
      <c r="AZ156" s="655"/>
      <c r="BA156" s="655"/>
      <c r="BB156" s="655"/>
      <c r="BC156" s="655"/>
      <c r="BD156" s="655"/>
      <c r="BE156" s="657"/>
      <c r="BF156" s="657"/>
      <c r="BG156" s="657"/>
      <c r="BH156" s="657"/>
      <c r="BI156" s="657"/>
      <c r="BJ156" s="657"/>
      <c r="BK156" s="657"/>
      <c r="BL156" s="657"/>
      <c r="BM156" s="657"/>
      <c r="BN156" s="656"/>
      <c r="BO156" s="656"/>
      <c r="BP156" s="656"/>
      <c r="BQ156" s="656"/>
      <c r="BR156" s="656"/>
      <c r="BS156" s="656"/>
      <c r="BT156" s="656"/>
      <c r="BU156" s="656"/>
      <c r="BV156" s="656"/>
    </row>
    <row r="157" spans="1:74" ht="24.95" customHeight="1" x14ac:dyDescent="0.2">
      <c r="A157" s="126" t="s">
        <v>211</v>
      </c>
      <c r="B157" s="1" t="s">
        <v>221</v>
      </c>
      <c r="C157" s="2">
        <v>3</v>
      </c>
      <c r="D157" s="12">
        <v>56</v>
      </c>
      <c r="E157" s="12">
        <v>11</v>
      </c>
      <c r="F157" s="66">
        <v>0.25</v>
      </c>
      <c r="G157" s="66">
        <v>0.38</v>
      </c>
      <c r="H157" s="66">
        <v>0.19</v>
      </c>
      <c r="I157" s="66">
        <v>0.19</v>
      </c>
      <c r="J157" s="66">
        <v>0</v>
      </c>
      <c r="K157" s="12">
        <v>51</v>
      </c>
      <c r="L157" s="12">
        <v>6</v>
      </c>
      <c r="M157" s="61">
        <v>0.27</v>
      </c>
      <c r="N157" s="61">
        <v>0.6</v>
      </c>
      <c r="O157" s="61">
        <v>0.13</v>
      </c>
      <c r="P157" s="61">
        <v>0</v>
      </c>
      <c r="Q157" s="61">
        <v>0</v>
      </c>
      <c r="R157" s="12">
        <v>48</v>
      </c>
      <c r="S157" s="12">
        <v>8</v>
      </c>
      <c r="T157" s="63">
        <v>0.56000000000000005</v>
      </c>
      <c r="U157" s="63">
        <v>0.31</v>
      </c>
      <c r="V157" s="63">
        <v>0.13</v>
      </c>
      <c r="W157" s="63">
        <v>0</v>
      </c>
      <c r="X157" s="63">
        <v>0</v>
      </c>
      <c r="Y157" s="12">
        <v>51</v>
      </c>
      <c r="Z157" s="12">
        <v>9</v>
      </c>
      <c r="AA157" s="63">
        <v>0.35</v>
      </c>
      <c r="AB157" s="63">
        <v>0.45</v>
      </c>
      <c r="AC157" s="63">
        <v>0.2</v>
      </c>
      <c r="AD157" s="63">
        <v>0</v>
      </c>
      <c r="AE157" s="63">
        <v>0</v>
      </c>
      <c r="AF157" s="25">
        <v>47</v>
      </c>
      <c r="AG157" s="25">
        <v>7</v>
      </c>
      <c r="AH157" s="61">
        <v>0.5</v>
      </c>
      <c r="AI157" s="61">
        <v>0.42</v>
      </c>
      <c r="AJ157" s="61">
        <v>0.08</v>
      </c>
      <c r="AK157" s="61">
        <v>0</v>
      </c>
      <c r="AL157" s="61">
        <v>0</v>
      </c>
      <c r="AM157" s="653">
        <v>49</v>
      </c>
      <c r="AN157" s="653" t="s">
        <v>874</v>
      </c>
      <c r="AO157" s="653">
        <v>11</v>
      </c>
      <c r="AP157" s="653" t="s">
        <v>874</v>
      </c>
      <c r="AQ157" s="654">
        <v>0.52</v>
      </c>
      <c r="AR157" s="654">
        <v>0.28000000000000003</v>
      </c>
      <c r="AS157" s="654">
        <v>0.12</v>
      </c>
      <c r="AT157" s="654">
        <v>0.08</v>
      </c>
      <c r="AU157" s="654">
        <v>0</v>
      </c>
      <c r="AV157" s="74">
        <v>48</v>
      </c>
      <c r="AW157" s="74" t="s">
        <v>874</v>
      </c>
      <c r="AX157" s="74">
        <v>11</v>
      </c>
      <c r="AY157" s="74" t="s">
        <v>874</v>
      </c>
      <c r="AZ157" s="96">
        <v>0.54</v>
      </c>
      <c r="BA157" s="96">
        <v>0.25</v>
      </c>
      <c r="BB157" s="96">
        <v>0.14000000000000001</v>
      </c>
      <c r="BC157" s="96">
        <v>7.0000000000000007E-2</v>
      </c>
      <c r="BD157" s="96">
        <v>0</v>
      </c>
      <c r="BE157" s="658">
        <v>50</v>
      </c>
      <c r="BF157" s="658" t="s">
        <v>874</v>
      </c>
      <c r="BG157" s="658">
        <v>9</v>
      </c>
      <c r="BH157" s="658" t="s">
        <v>874</v>
      </c>
      <c r="BI157" s="659">
        <v>0.31</v>
      </c>
      <c r="BJ157" s="659">
        <v>0.42</v>
      </c>
      <c r="BK157" s="659">
        <v>0.27</v>
      </c>
      <c r="BL157" s="659">
        <v>0</v>
      </c>
      <c r="BM157" s="659">
        <v>0</v>
      </c>
      <c r="BN157" s="74">
        <v>53</v>
      </c>
      <c r="BO157" s="74" t="s">
        <v>874</v>
      </c>
      <c r="BP157" s="74">
        <v>9</v>
      </c>
      <c r="BQ157" s="74" t="s">
        <v>874</v>
      </c>
      <c r="BR157" s="96">
        <v>0.31</v>
      </c>
      <c r="BS157" s="96">
        <v>0.38</v>
      </c>
      <c r="BT157" s="96">
        <v>0.28000000000000003</v>
      </c>
      <c r="BU157" s="96">
        <v>0.03</v>
      </c>
      <c r="BV157" s="96">
        <v>0</v>
      </c>
    </row>
    <row r="158" spans="1:74" ht="24.95" customHeight="1" x14ac:dyDescent="0.2">
      <c r="A158" s="126" t="s">
        <v>57</v>
      </c>
      <c r="B158" s="1" t="s">
        <v>221</v>
      </c>
      <c r="C158" s="2">
        <v>3</v>
      </c>
      <c r="D158" s="12">
        <v>50</v>
      </c>
      <c r="E158" s="12">
        <v>9</v>
      </c>
      <c r="F158" s="66">
        <v>0.38</v>
      </c>
      <c r="G158" s="66">
        <v>0.43</v>
      </c>
      <c r="H158" s="66">
        <v>0.18</v>
      </c>
      <c r="I158" s="66">
        <v>0.02</v>
      </c>
      <c r="J158" s="66">
        <v>0</v>
      </c>
      <c r="K158" s="12">
        <v>48</v>
      </c>
      <c r="L158" s="12">
        <v>10</v>
      </c>
      <c r="M158" s="61">
        <v>0.5</v>
      </c>
      <c r="N158" s="61">
        <v>0.33</v>
      </c>
      <c r="O158" s="61">
        <v>0.13</v>
      </c>
      <c r="P158" s="61">
        <v>0.04</v>
      </c>
      <c r="Q158" s="61">
        <v>0</v>
      </c>
      <c r="R158" s="12">
        <v>48</v>
      </c>
      <c r="S158" s="12">
        <v>7</v>
      </c>
      <c r="T158" s="63">
        <v>0.5</v>
      </c>
      <c r="U158" s="63">
        <v>0.41</v>
      </c>
      <c r="V158" s="63">
        <v>0.09</v>
      </c>
      <c r="W158" s="63">
        <v>0</v>
      </c>
      <c r="X158" s="63">
        <v>0</v>
      </c>
      <c r="Y158" s="12">
        <v>50</v>
      </c>
      <c r="Z158" s="12">
        <v>9</v>
      </c>
      <c r="AA158" s="63">
        <v>0.44</v>
      </c>
      <c r="AB158" s="63">
        <v>0.33</v>
      </c>
      <c r="AC158" s="63">
        <v>0.19</v>
      </c>
      <c r="AD158" s="63">
        <v>0.03</v>
      </c>
      <c r="AE158" s="63">
        <v>0</v>
      </c>
      <c r="AF158" s="25">
        <v>44</v>
      </c>
      <c r="AG158" s="25">
        <v>7</v>
      </c>
      <c r="AH158" s="61">
        <v>0.75</v>
      </c>
      <c r="AI158" s="61">
        <v>0.25</v>
      </c>
      <c r="AJ158" s="61">
        <v>0</v>
      </c>
      <c r="AK158" s="61">
        <v>0</v>
      </c>
      <c r="AL158" s="61">
        <v>0</v>
      </c>
      <c r="AM158" s="247">
        <v>43</v>
      </c>
      <c r="AN158" s="247" t="s">
        <v>876</v>
      </c>
      <c r="AO158" s="247">
        <v>9</v>
      </c>
      <c r="AP158" s="247" t="s">
        <v>874</v>
      </c>
      <c r="AQ158" s="264">
        <v>0.71</v>
      </c>
      <c r="AR158" s="264">
        <v>0.25</v>
      </c>
      <c r="AS158" s="264">
        <v>0.04</v>
      </c>
      <c r="AT158" s="264">
        <v>0</v>
      </c>
      <c r="AU158" s="264">
        <v>0</v>
      </c>
      <c r="AV158" s="311">
        <v>52</v>
      </c>
      <c r="AW158" s="311" t="s">
        <v>874</v>
      </c>
      <c r="AX158" s="311">
        <v>9</v>
      </c>
      <c r="AY158" s="311" t="s">
        <v>874</v>
      </c>
      <c r="AZ158" s="329">
        <v>0.32</v>
      </c>
      <c r="BA158" s="329">
        <v>0.32</v>
      </c>
      <c r="BB158" s="329">
        <v>0.32</v>
      </c>
      <c r="BC158" s="329">
        <v>0.04</v>
      </c>
      <c r="BD158" s="329">
        <v>0</v>
      </c>
      <c r="BE158" s="426">
        <v>51</v>
      </c>
      <c r="BF158" s="426" t="s">
        <v>874</v>
      </c>
      <c r="BG158" s="426">
        <v>9</v>
      </c>
      <c r="BH158" s="426" t="s">
        <v>874</v>
      </c>
      <c r="BI158" s="430">
        <v>0.32</v>
      </c>
      <c r="BJ158" s="430">
        <v>0.41</v>
      </c>
      <c r="BK158" s="430">
        <v>0.24</v>
      </c>
      <c r="BL158" s="430">
        <v>0.03</v>
      </c>
      <c r="BM158" s="430">
        <v>0</v>
      </c>
      <c r="BN158" s="466">
        <v>53</v>
      </c>
      <c r="BO158" s="466" t="s">
        <v>874</v>
      </c>
      <c r="BP158" s="466">
        <v>7</v>
      </c>
      <c r="BQ158" s="466" t="s">
        <v>876</v>
      </c>
      <c r="BR158" s="480">
        <v>0.23</v>
      </c>
      <c r="BS158" s="480">
        <v>0.5</v>
      </c>
      <c r="BT158" s="480">
        <v>0.23</v>
      </c>
      <c r="BU158" s="480">
        <v>0.04</v>
      </c>
      <c r="BV158" s="480">
        <v>0</v>
      </c>
    </row>
    <row r="159" spans="1:74" ht="24.95" customHeight="1" x14ac:dyDescent="0.2">
      <c r="A159" s="126" t="s">
        <v>195</v>
      </c>
      <c r="B159" s="1" t="s">
        <v>221</v>
      </c>
      <c r="C159" s="2">
        <v>5</v>
      </c>
      <c r="D159" s="12">
        <v>62</v>
      </c>
      <c r="E159" s="12">
        <v>9</v>
      </c>
      <c r="F159" s="66">
        <v>7.0000000000000007E-2</v>
      </c>
      <c r="G159" s="66">
        <v>0.33</v>
      </c>
      <c r="H159" s="66">
        <v>0.33</v>
      </c>
      <c r="I159" s="66">
        <v>0.2</v>
      </c>
      <c r="J159" s="66">
        <v>7.0000000000000007E-2</v>
      </c>
      <c r="K159" s="12">
        <v>61</v>
      </c>
      <c r="L159" s="12">
        <v>8</v>
      </c>
      <c r="M159" s="61">
        <v>0.12</v>
      </c>
      <c r="N159" s="61">
        <v>0.18</v>
      </c>
      <c r="O159" s="61">
        <v>0.53</v>
      </c>
      <c r="P159" s="61">
        <v>0.18</v>
      </c>
      <c r="Q159" s="61">
        <v>0</v>
      </c>
      <c r="R159" s="12">
        <v>65</v>
      </c>
      <c r="S159" s="12">
        <v>8</v>
      </c>
      <c r="T159" s="63">
        <v>0</v>
      </c>
      <c r="U159" s="63">
        <v>0.21</v>
      </c>
      <c r="V159" s="63">
        <v>0.37</v>
      </c>
      <c r="W159" s="63">
        <v>0.37</v>
      </c>
      <c r="X159" s="63">
        <v>0.05</v>
      </c>
      <c r="Y159" s="12">
        <v>61</v>
      </c>
      <c r="Z159" s="12">
        <v>8</v>
      </c>
      <c r="AA159" s="63">
        <v>0.08</v>
      </c>
      <c r="AB159" s="63">
        <v>0.25</v>
      </c>
      <c r="AC159" s="63">
        <v>0.5</v>
      </c>
      <c r="AD159" s="63">
        <v>0.17</v>
      </c>
      <c r="AE159" s="63">
        <v>0</v>
      </c>
      <c r="AF159" s="25">
        <v>55</v>
      </c>
      <c r="AG159" s="25">
        <v>8</v>
      </c>
      <c r="AH159" s="61">
        <v>0.13</v>
      </c>
      <c r="AI159" s="61">
        <v>0.56000000000000005</v>
      </c>
      <c r="AJ159" s="61">
        <v>0.22</v>
      </c>
      <c r="AK159" s="61">
        <v>0.09</v>
      </c>
      <c r="AL159" s="61">
        <v>0</v>
      </c>
      <c r="AM159" s="247">
        <v>61</v>
      </c>
      <c r="AN159" s="247" t="s">
        <v>875</v>
      </c>
      <c r="AO159" s="247">
        <v>11</v>
      </c>
      <c r="AP159" s="247" t="s">
        <v>874</v>
      </c>
      <c r="AQ159" s="264">
        <v>0.03</v>
      </c>
      <c r="AR159" s="264">
        <v>0.38</v>
      </c>
      <c r="AS159" s="264">
        <v>0.35</v>
      </c>
      <c r="AT159" s="264">
        <v>0.22</v>
      </c>
      <c r="AU159" s="264">
        <v>0.03</v>
      </c>
      <c r="AV159" s="311">
        <v>57</v>
      </c>
      <c r="AW159" s="311" t="s">
        <v>874</v>
      </c>
      <c r="AX159" s="311">
        <v>11</v>
      </c>
      <c r="AY159" s="311" t="s">
        <v>874</v>
      </c>
      <c r="AZ159" s="329">
        <v>0.23</v>
      </c>
      <c r="BA159" s="329">
        <v>0.27</v>
      </c>
      <c r="BB159" s="329">
        <v>0.27</v>
      </c>
      <c r="BC159" s="329">
        <v>0.23</v>
      </c>
      <c r="BD159" s="329">
        <v>0</v>
      </c>
      <c r="BE159" s="426">
        <v>64</v>
      </c>
      <c r="BF159" s="426" t="s">
        <v>875</v>
      </c>
      <c r="BG159" s="426">
        <v>7</v>
      </c>
      <c r="BH159" s="426" t="s">
        <v>876</v>
      </c>
      <c r="BI159" s="430">
        <v>0</v>
      </c>
      <c r="BJ159" s="430">
        <v>0.18</v>
      </c>
      <c r="BK159" s="430">
        <v>0.47</v>
      </c>
      <c r="BL159" s="430">
        <v>0.28999999999999998</v>
      </c>
      <c r="BM159" s="430">
        <v>0.06</v>
      </c>
      <c r="BN159" s="466">
        <v>64</v>
      </c>
      <c r="BO159" s="466" t="s">
        <v>875</v>
      </c>
      <c r="BP159" s="466">
        <v>10</v>
      </c>
      <c r="BQ159" s="466" t="s">
        <v>874</v>
      </c>
      <c r="BR159" s="480">
        <v>0.09</v>
      </c>
      <c r="BS159" s="480">
        <v>0.15</v>
      </c>
      <c r="BT159" s="480">
        <v>0.39</v>
      </c>
      <c r="BU159" s="480">
        <v>0.33</v>
      </c>
      <c r="BV159" s="480">
        <v>0.03</v>
      </c>
    </row>
    <row r="160" spans="1:74" ht="24.95" customHeight="1" x14ac:dyDescent="0.2">
      <c r="A160" s="126" t="s">
        <v>19</v>
      </c>
      <c r="B160" s="1" t="s">
        <v>221</v>
      </c>
      <c r="C160" s="2">
        <v>5</v>
      </c>
      <c r="D160" s="12">
        <v>58</v>
      </c>
      <c r="E160" s="12">
        <v>8</v>
      </c>
      <c r="F160" s="66">
        <v>0.14000000000000001</v>
      </c>
      <c r="G160" s="66">
        <v>0.23</v>
      </c>
      <c r="H160" s="66">
        <v>0.56000000000000005</v>
      </c>
      <c r="I160" s="66">
        <v>0.08</v>
      </c>
      <c r="J160" s="66">
        <v>0</v>
      </c>
      <c r="K160" s="12">
        <v>59</v>
      </c>
      <c r="L160" s="12">
        <v>10</v>
      </c>
      <c r="M160" s="61">
        <v>0.14000000000000001</v>
      </c>
      <c r="N160" s="61">
        <v>0.32</v>
      </c>
      <c r="O160" s="61">
        <v>0.31</v>
      </c>
      <c r="P160" s="61">
        <v>0.22</v>
      </c>
      <c r="Q160" s="61">
        <v>0.02</v>
      </c>
      <c r="R160" s="12">
        <v>61</v>
      </c>
      <c r="S160" s="12">
        <v>9</v>
      </c>
      <c r="T160" s="63">
        <v>0.06</v>
      </c>
      <c r="U160" s="63">
        <v>0.33</v>
      </c>
      <c r="V160" s="63">
        <v>0.39</v>
      </c>
      <c r="W160" s="63">
        <v>0.18</v>
      </c>
      <c r="X160" s="63">
        <v>0.03</v>
      </c>
      <c r="Y160" s="12">
        <v>58</v>
      </c>
      <c r="Z160" s="12">
        <v>9</v>
      </c>
      <c r="AA160" s="63">
        <v>0.13</v>
      </c>
      <c r="AB160" s="63">
        <v>0.38</v>
      </c>
      <c r="AC160" s="63">
        <v>0.28999999999999998</v>
      </c>
      <c r="AD160" s="63">
        <v>0.21</v>
      </c>
      <c r="AE160" s="63">
        <v>0</v>
      </c>
      <c r="AF160" s="25">
        <v>52</v>
      </c>
      <c r="AG160" s="25">
        <v>8</v>
      </c>
      <c r="AH160" s="61">
        <v>0.28000000000000003</v>
      </c>
      <c r="AI160" s="61">
        <v>0.48</v>
      </c>
      <c r="AJ160" s="61">
        <v>0.2</v>
      </c>
      <c r="AK160" s="61">
        <v>0.03</v>
      </c>
      <c r="AL160" s="61">
        <v>0</v>
      </c>
      <c r="AM160" s="247">
        <v>59</v>
      </c>
      <c r="AN160" s="247" t="s">
        <v>874</v>
      </c>
      <c r="AO160" s="247">
        <v>10</v>
      </c>
      <c r="AP160" s="247" t="s">
        <v>874</v>
      </c>
      <c r="AQ160" s="264">
        <v>0.15</v>
      </c>
      <c r="AR160" s="264">
        <v>0.33</v>
      </c>
      <c r="AS160" s="264">
        <v>0.3</v>
      </c>
      <c r="AT160" s="264">
        <v>0.2</v>
      </c>
      <c r="AU160" s="264">
        <v>0.02</v>
      </c>
      <c r="AV160" s="311">
        <v>58</v>
      </c>
      <c r="AW160" s="311" t="s">
        <v>874</v>
      </c>
      <c r="AX160" s="311">
        <v>11</v>
      </c>
      <c r="AY160" s="311" t="s">
        <v>874</v>
      </c>
      <c r="AZ160" s="329">
        <v>0.15</v>
      </c>
      <c r="BA160" s="329">
        <v>0.32</v>
      </c>
      <c r="BB160" s="329">
        <v>0.32</v>
      </c>
      <c r="BC160" s="329">
        <v>0.21</v>
      </c>
      <c r="BD160" s="329">
        <v>0.01</v>
      </c>
      <c r="BE160" s="426">
        <v>59</v>
      </c>
      <c r="BF160" s="426" t="s">
        <v>874</v>
      </c>
      <c r="BG160" s="426">
        <v>11</v>
      </c>
      <c r="BH160" s="426" t="s">
        <v>874</v>
      </c>
      <c r="BI160" s="430">
        <v>0.1</v>
      </c>
      <c r="BJ160" s="430">
        <v>0.34</v>
      </c>
      <c r="BK160" s="430">
        <v>0.33</v>
      </c>
      <c r="BL160" s="430">
        <v>0.16</v>
      </c>
      <c r="BM160" s="430">
        <v>7.0000000000000007E-2</v>
      </c>
      <c r="BN160" s="466">
        <v>61</v>
      </c>
      <c r="BO160" s="466" t="s">
        <v>874</v>
      </c>
      <c r="BP160" s="466">
        <v>11</v>
      </c>
      <c r="BQ160" s="466" t="s">
        <v>874</v>
      </c>
      <c r="BR160" s="480">
        <v>0.15</v>
      </c>
      <c r="BS160" s="480">
        <v>0.19</v>
      </c>
      <c r="BT160" s="480">
        <v>0.32</v>
      </c>
      <c r="BU160" s="480">
        <v>0.28999999999999998</v>
      </c>
      <c r="BV160" s="480">
        <v>0.04</v>
      </c>
    </row>
    <row r="161" spans="1:74" ht="24.95" customHeight="1" x14ac:dyDescent="0.2">
      <c r="A161" s="126" t="s">
        <v>118</v>
      </c>
      <c r="B161" s="1" t="s">
        <v>221</v>
      </c>
      <c r="C161" s="2">
        <v>3</v>
      </c>
      <c r="D161" s="12">
        <v>57</v>
      </c>
      <c r="E161" s="12">
        <v>11</v>
      </c>
      <c r="F161" s="66">
        <v>0.23</v>
      </c>
      <c r="G161" s="66">
        <v>0.27</v>
      </c>
      <c r="H161" s="66">
        <v>0.37</v>
      </c>
      <c r="I161" s="66">
        <v>0.13</v>
      </c>
      <c r="J161" s="66">
        <v>0</v>
      </c>
      <c r="K161" s="12">
        <v>52</v>
      </c>
      <c r="L161" s="12">
        <v>9</v>
      </c>
      <c r="M161" s="61">
        <v>0.28999999999999998</v>
      </c>
      <c r="N161" s="61">
        <v>0.43</v>
      </c>
      <c r="O161" s="61">
        <v>0.25</v>
      </c>
      <c r="P161" s="61">
        <v>0.04</v>
      </c>
      <c r="Q161" s="61">
        <v>0</v>
      </c>
      <c r="R161" s="12">
        <v>52</v>
      </c>
      <c r="S161" s="12">
        <v>8</v>
      </c>
      <c r="T161" s="63">
        <v>0.28999999999999998</v>
      </c>
      <c r="U161" s="63">
        <v>0.46</v>
      </c>
      <c r="V161" s="63">
        <v>0.21</v>
      </c>
      <c r="W161" s="63">
        <v>0.04</v>
      </c>
      <c r="X161" s="63">
        <v>0</v>
      </c>
      <c r="Y161" s="12">
        <v>52</v>
      </c>
      <c r="Z161" s="12">
        <v>10</v>
      </c>
      <c r="AA161" s="63">
        <v>0.41</v>
      </c>
      <c r="AB161" s="63">
        <v>0.28000000000000003</v>
      </c>
      <c r="AC161" s="63">
        <v>0.24</v>
      </c>
      <c r="AD161" s="63">
        <v>7.0000000000000007E-2</v>
      </c>
      <c r="AE161" s="63">
        <v>0</v>
      </c>
      <c r="AF161" s="25">
        <v>45</v>
      </c>
      <c r="AG161" s="25">
        <v>7</v>
      </c>
      <c r="AH161" s="61">
        <v>0.76</v>
      </c>
      <c r="AI161" s="61">
        <v>0.17</v>
      </c>
      <c r="AJ161" s="61">
        <v>7.0000000000000007E-2</v>
      </c>
      <c r="AK161" s="61">
        <v>0</v>
      </c>
      <c r="AL161" s="61">
        <v>0</v>
      </c>
      <c r="AM161" s="247">
        <v>53</v>
      </c>
      <c r="AN161" s="247" t="s">
        <v>874</v>
      </c>
      <c r="AO161" s="247">
        <v>9</v>
      </c>
      <c r="AP161" s="247" t="s">
        <v>874</v>
      </c>
      <c r="AQ161" s="264">
        <v>0.3</v>
      </c>
      <c r="AR161" s="264">
        <v>0.49</v>
      </c>
      <c r="AS161" s="264">
        <v>0.14000000000000001</v>
      </c>
      <c r="AT161" s="264">
        <v>0.08</v>
      </c>
      <c r="AU161" s="264">
        <v>0</v>
      </c>
      <c r="AV161" s="311">
        <v>56</v>
      </c>
      <c r="AW161" s="311" t="s">
        <v>874</v>
      </c>
      <c r="AX161" s="311">
        <v>12</v>
      </c>
      <c r="AY161" s="311" t="s">
        <v>874</v>
      </c>
      <c r="AZ161" s="329">
        <v>0.28000000000000003</v>
      </c>
      <c r="BA161" s="329">
        <v>0.45</v>
      </c>
      <c r="BB161" s="329">
        <v>0.1</v>
      </c>
      <c r="BC161" s="329">
        <v>0.15</v>
      </c>
      <c r="BD161" s="329">
        <v>0.03</v>
      </c>
      <c r="BE161" s="426">
        <v>55</v>
      </c>
      <c r="BF161" s="426" t="s">
        <v>874</v>
      </c>
      <c r="BG161" s="426">
        <v>11</v>
      </c>
      <c r="BH161" s="426" t="s">
        <v>874</v>
      </c>
      <c r="BI161" s="430">
        <v>0.27</v>
      </c>
      <c r="BJ161" s="430">
        <v>0.37</v>
      </c>
      <c r="BK161" s="430">
        <v>0.2</v>
      </c>
      <c r="BL161" s="430">
        <v>0.13</v>
      </c>
      <c r="BM161" s="430">
        <v>0.03</v>
      </c>
      <c r="BN161" s="466">
        <v>51</v>
      </c>
      <c r="BO161" s="466" t="s">
        <v>874</v>
      </c>
      <c r="BP161" s="466">
        <v>6</v>
      </c>
      <c r="BQ161" s="466" t="s">
        <v>876</v>
      </c>
      <c r="BR161" s="480">
        <v>0.23</v>
      </c>
      <c r="BS161" s="480">
        <v>0.59</v>
      </c>
      <c r="BT161" s="480">
        <v>0.18</v>
      </c>
      <c r="BU161" s="480">
        <v>0</v>
      </c>
      <c r="BV161" s="480">
        <v>0</v>
      </c>
    </row>
    <row r="162" spans="1:74" ht="24.95" customHeight="1" x14ac:dyDescent="0.2">
      <c r="A162" s="126" t="s">
        <v>205</v>
      </c>
      <c r="B162" s="1" t="s">
        <v>221</v>
      </c>
      <c r="C162" s="2">
        <v>5</v>
      </c>
      <c r="D162" s="12">
        <v>55</v>
      </c>
      <c r="E162" s="12">
        <v>9</v>
      </c>
      <c r="F162" s="66">
        <v>0.19</v>
      </c>
      <c r="G162" s="66">
        <v>0.5</v>
      </c>
      <c r="H162" s="66">
        <v>0.19</v>
      </c>
      <c r="I162" s="66">
        <v>0.13</v>
      </c>
      <c r="J162" s="66">
        <v>0</v>
      </c>
      <c r="K162" s="12">
        <v>54</v>
      </c>
      <c r="L162" s="12">
        <v>10</v>
      </c>
      <c r="M162" s="61">
        <v>0.3</v>
      </c>
      <c r="N162" s="61">
        <v>0.38</v>
      </c>
      <c r="O162" s="61">
        <v>0.23</v>
      </c>
      <c r="P162" s="61">
        <v>0.1</v>
      </c>
      <c r="Q162" s="61">
        <v>0</v>
      </c>
      <c r="R162" s="12">
        <v>57</v>
      </c>
      <c r="S162" s="12">
        <v>8</v>
      </c>
      <c r="T162" s="63">
        <v>0.12</v>
      </c>
      <c r="U162" s="63">
        <v>0.41</v>
      </c>
      <c r="V162" s="63">
        <v>0.37</v>
      </c>
      <c r="W162" s="63">
        <v>0.1</v>
      </c>
      <c r="X162" s="63">
        <v>0</v>
      </c>
      <c r="Y162" s="12">
        <v>57</v>
      </c>
      <c r="Z162" s="12">
        <v>8</v>
      </c>
      <c r="AA162" s="63">
        <v>0.15</v>
      </c>
      <c r="AB162" s="63">
        <v>0.4</v>
      </c>
      <c r="AC162" s="63">
        <v>0.4</v>
      </c>
      <c r="AD162" s="63">
        <v>0.05</v>
      </c>
      <c r="AE162" s="63">
        <v>0</v>
      </c>
      <c r="AF162" s="25">
        <v>54</v>
      </c>
      <c r="AG162" s="25">
        <v>7</v>
      </c>
      <c r="AH162" s="61">
        <v>0.11</v>
      </c>
      <c r="AI162" s="61">
        <v>0.62</v>
      </c>
      <c r="AJ162" s="61">
        <v>0.24</v>
      </c>
      <c r="AK162" s="61">
        <v>0.03</v>
      </c>
      <c r="AL162" s="61">
        <v>0</v>
      </c>
      <c r="AM162" s="247">
        <v>55</v>
      </c>
      <c r="AN162" s="247" t="s">
        <v>874</v>
      </c>
      <c r="AO162" s="247">
        <v>9</v>
      </c>
      <c r="AP162" s="247" t="s">
        <v>874</v>
      </c>
      <c r="AQ162" s="264">
        <v>0.17</v>
      </c>
      <c r="AR162" s="264">
        <v>0.43</v>
      </c>
      <c r="AS162" s="264">
        <v>0.34</v>
      </c>
      <c r="AT162" s="264">
        <v>0.05</v>
      </c>
      <c r="AU162" s="264">
        <v>0</v>
      </c>
      <c r="AV162" s="311">
        <v>58</v>
      </c>
      <c r="AW162" s="311" t="s">
        <v>874</v>
      </c>
      <c r="AX162" s="311">
        <v>9</v>
      </c>
      <c r="AY162" s="311" t="s">
        <v>874</v>
      </c>
      <c r="AZ162" s="329">
        <v>0.09</v>
      </c>
      <c r="BA162" s="329">
        <v>0.4</v>
      </c>
      <c r="BB162" s="329">
        <v>0.4</v>
      </c>
      <c r="BC162" s="329">
        <v>0.06</v>
      </c>
      <c r="BD162" s="329">
        <v>0.04</v>
      </c>
      <c r="BE162" s="426">
        <v>57</v>
      </c>
      <c r="BF162" s="426" t="s">
        <v>874</v>
      </c>
      <c r="BG162" s="426">
        <v>9</v>
      </c>
      <c r="BH162" s="426" t="s">
        <v>874</v>
      </c>
      <c r="BI162" s="430">
        <v>0.16</v>
      </c>
      <c r="BJ162" s="430">
        <v>0.36</v>
      </c>
      <c r="BK162" s="430">
        <v>0.36</v>
      </c>
      <c r="BL162" s="430">
        <v>0.13</v>
      </c>
      <c r="BM162" s="430">
        <v>0</v>
      </c>
      <c r="BN162" s="466">
        <v>55</v>
      </c>
      <c r="BO162" s="466" t="s">
        <v>874</v>
      </c>
      <c r="BP162" s="466">
        <v>9</v>
      </c>
      <c r="BQ162" s="466" t="s">
        <v>874</v>
      </c>
      <c r="BR162" s="480">
        <v>0.19</v>
      </c>
      <c r="BS162" s="480">
        <v>0.38</v>
      </c>
      <c r="BT162" s="480">
        <v>0.31</v>
      </c>
      <c r="BU162" s="480">
        <v>0.12</v>
      </c>
      <c r="BV162" s="480">
        <v>0</v>
      </c>
    </row>
    <row r="163" spans="1:74" ht="24.95" customHeight="1" x14ac:dyDescent="0.2">
      <c r="A163" s="126" t="s">
        <v>201</v>
      </c>
      <c r="B163" s="1" t="s">
        <v>219</v>
      </c>
      <c r="C163" s="2">
        <v>5</v>
      </c>
      <c r="D163" s="12">
        <v>54</v>
      </c>
      <c r="E163" s="12">
        <v>9</v>
      </c>
      <c r="F163" s="66">
        <v>0.25</v>
      </c>
      <c r="G163" s="66">
        <v>0.43</v>
      </c>
      <c r="H163" s="66">
        <v>0.24</v>
      </c>
      <c r="I163" s="66">
        <v>0.08</v>
      </c>
      <c r="J163" s="66">
        <v>0</v>
      </c>
      <c r="K163" s="12">
        <v>54</v>
      </c>
      <c r="L163" s="12">
        <v>9</v>
      </c>
      <c r="M163" s="61">
        <v>0.24</v>
      </c>
      <c r="N163" s="61">
        <v>0.4</v>
      </c>
      <c r="O163" s="61">
        <v>0.28999999999999998</v>
      </c>
      <c r="P163" s="61">
        <v>0.06</v>
      </c>
      <c r="Q163" s="61">
        <v>0</v>
      </c>
      <c r="R163" s="12">
        <v>54</v>
      </c>
      <c r="S163" s="12">
        <v>9</v>
      </c>
      <c r="T163" s="63">
        <v>0.18</v>
      </c>
      <c r="U163" s="63">
        <v>0.47</v>
      </c>
      <c r="V163" s="63">
        <v>0.28999999999999998</v>
      </c>
      <c r="W163" s="63">
        <v>0.05</v>
      </c>
      <c r="X163" s="63">
        <v>0.01</v>
      </c>
      <c r="Y163" s="12">
        <v>56</v>
      </c>
      <c r="Z163" s="12">
        <v>8</v>
      </c>
      <c r="AA163" s="63">
        <v>0.14000000000000001</v>
      </c>
      <c r="AB163" s="63">
        <v>0.45</v>
      </c>
      <c r="AC163" s="63">
        <v>0.33</v>
      </c>
      <c r="AD163" s="63">
        <v>0.08</v>
      </c>
      <c r="AE163" s="63">
        <v>0</v>
      </c>
      <c r="AF163" s="25">
        <v>53</v>
      </c>
      <c r="AG163" s="25">
        <v>9</v>
      </c>
      <c r="AH163" s="61">
        <v>0.19</v>
      </c>
      <c r="AI163" s="61">
        <v>0.57999999999999996</v>
      </c>
      <c r="AJ163" s="61">
        <v>0.17</v>
      </c>
      <c r="AK163" s="61">
        <v>0.05</v>
      </c>
      <c r="AL163" s="61">
        <v>0.01</v>
      </c>
      <c r="AM163" s="247">
        <v>57</v>
      </c>
      <c r="AN163" s="247" t="s">
        <v>874</v>
      </c>
      <c r="AO163" s="247">
        <v>8</v>
      </c>
      <c r="AP163" s="247" t="s">
        <v>874</v>
      </c>
      <c r="AQ163" s="264">
        <v>0.11</v>
      </c>
      <c r="AR163" s="264">
        <v>0.41</v>
      </c>
      <c r="AS163" s="264">
        <v>0.35</v>
      </c>
      <c r="AT163" s="264">
        <v>0.12</v>
      </c>
      <c r="AU163" s="264">
        <v>0.01</v>
      </c>
      <c r="AV163" s="311">
        <v>59</v>
      </c>
      <c r="AW163" s="311" t="s">
        <v>874</v>
      </c>
      <c r="AX163" s="311">
        <v>9</v>
      </c>
      <c r="AY163" s="311" t="s">
        <v>874</v>
      </c>
      <c r="AZ163" s="329">
        <v>0.06</v>
      </c>
      <c r="BA163" s="329">
        <v>0.41</v>
      </c>
      <c r="BB163" s="329">
        <v>0.34</v>
      </c>
      <c r="BC163" s="329">
        <v>0.18</v>
      </c>
      <c r="BD163" s="329">
        <v>0.01</v>
      </c>
      <c r="BE163" s="426">
        <v>58</v>
      </c>
      <c r="BF163" s="426" t="s">
        <v>874</v>
      </c>
      <c r="BG163" s="426">
        <v>10</v>
      </c>
      <c r="BH163" s="426" t="s">
        <v>874</v>
      </c>
      <c r="BI163" s="430">
        <v>0.16</v>
      </c>
      <c r="BJ163" s="430">
        <v>0.36</v>
      </c>
      <c r="BK163" s="430">
        <v>0.28000000000000003</v>
      </c>
      <c r="BL163" s="430">
        <v>0.19</v>
      </c>
      <c r="BM163" s="430">
        <v>0.01</v>
      </c>
      <c r="BN163" s="466">
        <v>58</v>
      </c>
      <c r="BO163" s="466" t="s">
        <v>874</v>
      </c>
      <c r="BP163" s="466">
        <v>10</v>
      </c>
      <c r="BQ163" s="466" t="s">
        <v>874</v>
      </c>
      <c r="BR163" s="480">
        <v>0.15</v>
      </c>
      <c r="BS163" s="480">
        <v>0.36</v>
      </c>
      <c r="BT163" s="480">
        <v>0.33</v>
      </c>
      <c r="BU163" s="480">
        <v>0.14000000000000001</v>
      </c>
      <c r="BV163" s="480">
        <v>0.02</v>
      </c>
    </row>
    <row r="164" spans="1:74" ht="24.95" customHeight="1" x14ac:dyDescent="0.2">
      <c r="A164" s="126" t="s">
        <v>213</v>
      </c>
      <c r="B164" s="1" t="s">
        <v>221</v>
      </c>
      <c r="C164" s="2">
        <v>5</v>
      </c>
      <c r="D164" s="12">
        <v>67</v>
      </c>
      <c r="E164" s="12">
        <v>6</v>
      </c>
      <c r="F164" s="66">
        <v>0</v>
      </c>
      <c r="G164" s="66">
        <v>0.11</v>
      </c>
      <c r="H164" s="66">
        <v>0.42</v>
      </c>
      <c r="I164" s="66">
        <v>0.47</v>
      </c>
      <c r="J164" s="66">
        <v>0</v>
      </c>
      <c r="K164" s="12">
        <v>67</v>
      </c>
      <c r="L164" s="12">
        <v>7</v>
      </c>
      <c r="M164" s="61">
        <v>0</v>
      </c>
      <c r="N164" s="61">
        <v>7.0000000000000007E-2</v>
      </c>
      <c r="O164" s="61">
        <v>0.64</v>
      </c>
      <c r="P164" s="61">
        <v>0.14000000000000001</v>
      </c>
      <c r="Q164" s="61">
        <v>0.14000000000000001</v>
      </c>
      <c r="R164" s="12">
        <v>65</v>
      </c>
      <c r="S164" s="12">
        <v>8</v>
      </c>
      <c r="T164" s="63">
        <v>0.03</v>
      </c>
      <c r="U164" s="63">
        <v>0.17</v>
      </c>
      <c r="V164" s="63">
        <v>0.46</v>
      </c>
      <c r="W164" s="63">
        <v>0.28999999999999998</v>
      </c>
      <c r="X164" s="63">
        <v>0.06</v>
      </c>
      <c r="Y164" s="12">
        <v>62</v>
      </c>
      <c r="Z164" s="12">
        <v>7</v>
      </c>
      <c r="AA164" s="63">
        <v>0</v>
      </c>
      <c r="AB164" s="63">
        <v>0.35</v>
      </c>
      <c r="AC164" s="63">
        <v>0.5</v>
      </c>
      <c r="AD164" s="63">
        <v>0.15</v>
      </c>
      <c r="AE164" s="63">
        <v>0</v>
      </c>
      <c r="AF164" s="25">
        <v>54</v>
      </c>
      <c r="AG164" s="25">
        <v>9</v>
      </c>
      <c r="AH164" s="61">
        <v>0.26</v>
      </c>
      <c r="AI164" s="61">
        <v>0.44</v>
      </c>
      <c r="AJ164" s="61">
        <v>0.16</v>
      </c>
      <c r="AK164" s="61">
        <v>0.14000000000000001</v>
      </c>
      <c r="AL164" s="61">
        <v>0</v>
      </c>
      <c r="AM164" s="247">
        <v>64</v>
      </c>
      <c r="AN164" s="247" t="s">
        <v>875</v>
      </c>
      <c r="AO164" s="247">
        <v>9</v>
      </c>
      <c r="AP164" s="247" t="s">
        <v>874</v>
      </c>
      <c r="AQ164" s="264">
        <v>0.02</v>
      </c>
      <c r="AR164" s="264">
        <v>0.21</v>
      </c>
      <c r="AS164" s="264">
        <v>0.4</v>
      </c>
      <c r="AT164" s="264">
        <v>0.35</v>
      </c>
      <c r="AU164" s="264">
        <v>0.02</v>
      </c>
      <c r="AV164" s="311">
        <v>64</v>
      </c>
      <c r="AW164" s="311" t="s">
        <v>875</v>
      </c>
      <c r="AX164" s="311">
        <v>11</v>
      </c>
      <c r="AY164" s="311" t="s">
        <v>874</v>
      </c>
      <c r="AZ164" s="329">
        <v>0.05</v>
      </c>
      <c r="BA164" s="329">
        <v>0.16</v>
      </c>
      <c r="BB164" s="329">
        <v>0.47</v>
      </c>
      <c r="BC164" s="329">
        <v>0.21</v>
      </c>
      <c r="BD164" s="329">
        <v>0.11</v>
      </c>
      <c r="BE164" s="426">
        <v>64</v>
      </c>
      <c r="BF164" s="426" t="s">
        <v>875</v>
      </c>
      <c r="BG164" s="426">
        <v>11</v>
      </c>
      <c r="BH164" s="426" t="s">
        <v>874</v>
      </c>
      <c r="BI164" s="430">
        <v>0.04</v>
      </c>
      <c r="BJ164" s="430">
        <v>0.19</v>
      </c>
      <c r="BK164" s="430">
        <v>0.35</v>
      </c>
      <c r="BL164" s="430">
        <v>0.36</v>
      </c>
      <c r="BM164" s="430">
        <v>0.05</v>
      </c>
      <c r="BN164" s="466">
        <v>68</v>
      </c>
      <c r="BO164" s="466" t="s">
        <v>875</v>
      </c>
      <c r="BP164" s="466">
        <v>10</v>
      </c>
      <c r="BQ164" s="466" t="s">
        <v>874</v>
      </c>
      <c r="BR164" s="480">
        <v>0.01</v>
      </c>
      <c r="BS164" s="480">
        <v>0.13</v>
      </c>
      <c r="BT164" s="480">
        <v>0.33</v>
      </c>
      <c r="BU164" s="480">
        <v>0.4</v>
      </c>
      <c r="BV164" s="480">
        <v>0.14000000000000001</v>
      </c>
    </row>
    <row r="165" spans="1:74" ht="24.95" customHeight="1" x14ac:dyDescent="0.2">
      <c r="A165" s="126" t="s">
        <v>176</v>
      </c>
      <c r="B165" s="1" t="s">
        <v>221</v>
      </c>
      <c r="C165" s="2">
        <v>5</v>
      </c>
      <c r="D165" s="12">
        <v>59</v>
      </c>
      <c r="E165" s="12">
        <v>10</v>
      </c>
      <c r="F165" s="66">
        <v>0.1</v>
      </c>
      <c r="G165" s="66">
        <v>0.37</v>
      </c>
      <c r="H165" s="66">
        <v>0.33</v>
      </c>
      <c r="I165" s="66">
        <v>0.2</v>
      </c>
      <c r="J165" s="66">
        <v>0</v>
      </c>
      <c r="K165" s="12">
        <v>58</v>
      </c>
      <c r="L165" s="12">
        <v>8</v>
      </c>
      <c r="M165" s="61">
        <v>0.03</v>
      </c>
      <c r="N165" s="61">
        <v>0.48</v>
      </c>
      <c r="O165" s="61">
        <v>0.31</v>
      </c>
      <c r="P165" s="61">
        <v>0.17</v>
      </c>
      <c r="Q165" s="61">
        <v>0</v>
      </c>
      <c r="R165" s="12">
        <v>64</v>
      </c>
      <c r="S165" s="12">
        <v>8</v>
      </c>
      <c r="T165" s="63">
        <v>0</v>
      </c>
      <c r="U165" s="63">
        <v>0.28000000000000003</v>
      </c>
      <c r="V165" s="63">
        <v>0.28000000000000003</v>
      </c>
      <c r="W165" s="63">
        <v>0.39</v>
      </c>
      <c r="X165" s="63">
        <v>0.06</v>
      </c>
      <c r="Y165" s="12">
        <v>65</v>
      </c>
      <c r="Z165" s="12">
        <v>6</v>
      </c>
      <c r="AA165" s="63">
        <v>0</v>
      </c>
      <c r="AB165" s="63">
        <v>0.15</v>
      </c>
      <c r="AC165" s="63">
        <v>0.45</v>
      </c>
      <c r="AD165" s="63">
        <v>0.4</v>
      </c>
      <c r="AE165" s="63">
        <v>0</v>
      </c>
      <c r="AF165" s="25">
        <v>61</v>
      </c>
      <c r="AG165" s="25">
        <v>8</v>
      </c>
      <c r="AH165" s="61">
        <v>0.05</v>
      </c>
      <c r="AI165" s="61">
        <v>0.28999999999999998</v>
      </c>
      <c r="AJ165" s="61">
        <v>0.48</v>
      </c>
      <c r="AK165" s="61">
        <v>0.19</v>
      </c>
      <c r="AL165" s="61">
        <v>0</v>
      </c>
      <c r="AM165" s="247">
        <v>62</v>
      </c>
      <c r="AN165" s="247" t="s">
        <v>875</v>
      </c>
      <c r="AO165" s="247">
        <v>8</v>
      </c>
      <c r="AP165" s="247" t="s">
        <v>874</v>
      </c>
      <c r="AQ165" s="264">
        <v>0</v>
      </c>
      <c r="AR165" s="264">
        <v>0.36</v>
      </c>
      <c r="AS165" s="264">
        <v>0.43</v>
      </c>
      <c r="AT165" s="264">
        <v>0.21</v>
      </c>
      <c r="AU165" s="264">
        <v>0</v>
      </c>
      <c r="AV165" s="311">
        <v>63</v>
      </c>
      <c r="AW165" s="311" t="s">
        <v>875</v>
      </c>
      <c r="AX165" s="311">
        <v>7</v>
      </c>
      <c r="AY165" s="311" t="s">
        <v>876</v>
      </c>
      <c r="AZ165" s="329">
        <v>0.03</v>
      </c>
      <c r="BA165" s="329">
        <v>0.26</v>
      </c>
      <c r="BB165" s="329">
        <v>0.45</v>
      </c>
      <c r="BC165" s="329">
        <v>0.26</v>
      </c>
      <c r="BD165" s="329">
        <v>0</v>
      </c>
      <c r="BE165" s="426">
        <v>61</v>
      </c>
      <c r="BF165" s="426" t="s">
        <v>875</v>
      </c>
      <c r="BG165" s="426">
        <v>10</v>
      </c>
      <c r="BH165" s="426" t="s">
        <v>874</v>
      </c>
      <c r="BI165" s="430">
        <v>0.1</v>
      </c>
      <c r="BJ165" s="430">
        <v>0.21</v>
      </c>
      <c r="BK165" s="430">
        <v>0.45</v>
      </c>
      <c r="BL165" s="430">
        <v>0.21</v>
      </c>
      <c r="BM165" s="430">
        <v>0.02</v>
      </c>
      <c r="BN165" s="466">
        <v>62</v>
      </c>
      <c r="BO165" s="466" t="s">
        <v>875</v>
      </c>
      <c r="BP165" s="466">
        <v>11</v>
      </c>
      <c r="BQ165" s="466" t="s">
        <v>874</v>
      </c>
      <c r="BR165" s="480">
        <v>0.18</v>
      </c>
      <c r="BS165" s="480">
        <v>0.14000000000000001</v>
      </c>
      <c r="BT165" s="480">
        <v>0.36</v>
      </c>
      <c r="BU165" s="480">
        <v>0.27</v>
      </c>
      <c r="BV165" s="480">
        <v>0.05</v>
      </c>
    </row>
    <row r="166" spans="1:74" ht="24.95" customHeight="1" x14ac:dyDescent="0.2">
      <c r="A166" s="126" t="s">
        <v>285</v>
      </c>
      <c r="B166" s="1" t="s">
        <v>221</v>
      </c>
      <c r="C166" s="2">
        <v>4</v>
      </c>
      <c r="D166" s="12">
        <v>43</v>
      </c>
      <c r="E166" s="12">
        <v>2</v>
      </c>
      <c r="F166" s="66">
        <v>1</v>
      </c>
      <c r="G166" s="66">
        <v>0</v>
      </c>
      <c r="H166" s="66">
        <v>0</v>
      </c>
      <c r="I166" s="66">
        <v>0</v>
      </c>
      <c r="J166" s="66">
        <v>0</v>
      </c>
      <c r="K166" s="12">
        <v>41</v>
      </c>
      <c r="L166" s="12">
        <v>7</v>
      </c>
      <c r="M166" s="61">
        <v>0.7</v>
      </c>
      <c r="N166" s="61">
        <v>0.3</v>
      </c>
      <c r="O166" s="61">
        <v>0</v>
      </c>
      <c r="P166" s="61">
        <v>0</v>
      </c>
      <c r="Q166" s="61">
        <v>0</v>
      </c>
      <c r="R166" s="12">
        <v>45</v>
      </c>
      <c r="S166" s="12">
        <v>6</v>
      </c>
      <c r="T166" s="63">
        <v>0.63</v>
      </c>
      <c r="U166" s="63">
        <v>0.38</v>
      </c>
      <c r="V166" s="63">
        <v>0</v>
      </c>
      <c r="W166" s="63">
        <v>0</v>
      </c>
      <c r="X166" s="63">
        <v>0</v>
      </c>
      <c r="Y166" s="12">
        <v>46</v>
      </c>
      <c r="Z166" s="12">
        <v>9</v>
      </c>
      <c r="AA166" s="63">
        <v>0.5</v>
      </c>
      <c r="AB166" s="63">
        <v>0.5</v>
      </c>
      <c r="AC166" s="63">
        <v>0</v>
      </c>
      <c r="AD166" s="63">
        <v>0</v>
      </c>
      <c r="AE166" s="63">
        <v>0</v>
      </c>
      <c r="AF166" s="25">
        <v>43</v>
      </c>
      <c r="AG166" s="25">
        <v>10</v>
      </c>
      <c r="AH166" s="61">
        <v>0.33</v>
      </c>
      <c r="AI166" s="61">
        <v>0.67</v>
      </c>
      <c r="AJ166" s="61">
        <v>0</v>
      </c>
      <c r="AK166" s="61">
        <v>0</v>
      </c>
      <c r="AL166" s="61">
        <v>0</v>
      </c>
      <c r="AM166" s="247">
        <v>49</v>
      </c>
      <c r="AN166" s="247" t="s">
        <v>874</v>
      </c>
      <c r="AO166" s="247">
        <v>9</v>
      </c>
      <c r="AP166" s="247" t="s">
        <v>874</v>
      </c>
      <c r="AQ166" s="264">
        <v>0.55000000000000004</v>
      </c>
      <c r="AR166" s="264">
        <v>0.27</v>
      </c>
      <c r="AS166" s="264">
        <v>0.18</v>
      </c>
      <c r="AT166" s="264">
        <v>0</v>
      </c>
      <c r="AU166" s="264">
        <v>0</v>
      </c>
      <c r="AV166" s="311">
        <v>49</v>
      </c>
      <c r="AW166" s="311" t="s">
        <v>874</v>
      </c>
      <c r="AX166" s="311">
        <v>10</v>
      </c>
      <c r="AY166" s="311" t="s">
        <v>874</v>
      </c>
      <c r="AZ166" s="329">
        <v>0.36</v>
      </c>
      <c r="BA166" s="329">
        <v>0.55000000000000004</v>
      </c>
      <c r="BB166" s="329">
        <v>0.09</v>
      </c>
      <c r="BC166" s="329">
        <v>0</v>
      </c>
      <c r="BD166" s="329">
        <v>0</v>
      </c>
      <c r="BE166" s="426">
        <v>46</v>
      </c>
      <c r="BF166" s="426" t="s">
        <v>874</v>
      </c>
      <c r="BG166" s="426">
        <v>8</v>
      </c>
      <c r="BH166" s="426" t="s">
        <v>874</v>
      </c>
      <c r="BI166" s="430">
        <v>0.6</v>
      </c>
      <c r="BJ166" s="430">
        <v>0.3</v>
      </c>
      <c r="BK166" s="430">
        <v>0.1</v>
      </c>
      <c r="BL166" s="430">
        <v>0</v>
      </c>
      <c r="BM166" s="430">
        <v>0</v>
      </c>
      <c r="BN166" s="466">
        <v>52</v>
      </c>
      <c r="BO166" s="466" t="s">
        <v>874</v>
      </c>
      <c r="BP166" s="466">
        <v>8</v>
      </c>
      <c r="BQ166" s="466" t="s">
        <v>874</v>
      </c>
      <c r="BR166" s="480">
        <v>0.25</v>
      </c>
      <c r="BS166" s="480">
        <v>0.5</v>
      </c>
      <c r="BT166" s="480">
        <v>0.25</v>
      </c>
      <c r="BU166" s="480">
        <v>0</v>
      </c>
      <c r="BV166" s="480">
        <v>0</v>
      </c>
    </row>
    <row r="167" spans="1:74" ht="24.95" customHeight="1" x14ac:dyDescent="0.2">
      <c r="A167" s="126" t="s">
        <v>71</v>
      </c>
      <c r="B167" s="1" t="s">
        <v>221</v>
      </c>
      <c r="C167" s="2">
        <v>6</v>
      </c>
      <c r="D167" s="12">
        <v>56</v>
      </c>
      <c r="E167" s="12">
        <v>8</v>
      </c>
      <c r="F167" s="66">
        <v>0.14000000000000001</v>
      </c>
      <c r="G167" s="66">
        <v>0.47</v>
      </c>
      <c r="H167" s="66">
        <v>0.33</v>
      </c>
      <c r="I167" s="66">
        <v>0.06</v>
      </c>
      <c r="J167" s="66">
        <v>0</v>
      </c>
      <c r="K167" s="12">
        <v>54</v>
      </c>
      <c r="L167" s="12">
        <v>9</v>
      </c>
      <c r="M167" s="61">
        <v>0.26</v>
      </c>
      <c r="N167" s="61">
        <v>0.4</v>
      </c>
      <c r="O167" s="61">
        <v>0.22</v>
      </c>
      <c r="P167" s="61">
        <v>0.12</v>
      </c>
      <c r="Q167" s="61">
        <v>0</v>
      </c>
      <c r="R167" s="12">
        <v>56</v>
      </c>
      <c r="S167" s="12">
        <v>8</v>
      </c>
      <c r="T167" s="63">
        <v>0.13</v>
      </c>
      <c r="U167" s="63">
        <v>0.4</v>
      </c>
      <c r="V167" s="63">
        <v>0.39</v>
      </c>
      <c r="W167" s="63">
        <v>7.0000000000000007E-2</v>
      </c>
      <c r="X167" s="63">
        <v>0</v>
      </c>
      <c r="Y167" s="12">
        <v>56</v>
      </c>
      <c r="Z167" s="12">
        <v>7</v>
      </c>
      <c r="AA167" s="63">
        <v>0.11</v>
      </c>
      <c r="AB167" s="63">
        <v>0.53</v>
      </c>
      <c r="AC167" s="63">
        <v>0.27</v>
      </c>
      <c r="AD167" s="63">
        <v>0.08</v>
      </c>
      <c r="AE167" s="63">
        <v>0.01</v>
      </c>
      <c r="AF167" s="25">
        <v>53</v>
      </c>
      <c r="AG167" s="25">
        <v>9</v>
      </c>
      <c r="AH167" s="61">
        <v>0.28000000000000003</v>
      </c>
      <c r="AI167" s="61">
        <v>0.48</v>
      </c>
      <c r="AJ167" s="61">
        <v>0.15</v>
      </c>
      <c r="AK167" s="61">
        <v>0.09</v>
      </c>
      <c r="AL167" s="61">
        <v>0</v>
      </c>
      <c r="AM167" s="247">
        <v>55</v>
      </c>
      <c r="AN167" s="247" t="s">
        <v>874</v>
      </c>
      <c r="AO167" s="247">
        <v>9</v>
      </c>
      <c r="AP167" s="247" t="s">
        <v>874</v>
      </c>
      <c r="AQ167" s="264">
        <v>0.18</v>
      </c>
      <c r="AR167" s="264">
        <v>0.42</v>
      </c>
      <c r="AS167" s="264">
        <v>0.32</v>
      </c>
      <c r="AT167" s="264">
        <v>0.09</v>
      </c>
      <c r="AU167" s="264">
        <v>0</v>
      </c>
      <c r="AV167" s="311">
        <v>58</v>
      </c>
      <c r="AW167" s="311" t="s">
        <v>874</v>
      </c>
      <c r="AX167" s="311">
        <v>9</v>
      </c>
      <c r="AY167" s="311" t="s">
        <v>874</v>
      </c>
      <c r="AZ167" s="329">
        <v>0.12</v>
      </c>
      <c r="BA167" s="329">
        <v>0.35</v>
      </c>
      <c r="BB167" s="329">
        <v>0.39</v>
      </c>
      <c r="BC167" s="329">
        <v>0.14000000000000001</v>
      </c>
      <c r="BD167" s="329">
        <v>0</v>
      </c>
      <c r="BE167" s="426">
        <v>58</v>
      </c>
      <c r="BF167" s="426" t="s">
        <v>874</v>
      </c>
      <c r="BG167" s="426">
        <v>10</v>
      </c>
      <c r="BH167" s="426" t="s">
        <v>874</v>
      </c>
      <c r="BI167" s="430">
        <v>0.14000000000000001</v>
      </c>
      <c r="BJ167" s="430">
        <v>0.38</v>
      </c>
      <c r="BK167" s="430">
        <v>0.3</v>
      </c>
      <c r="BL167" s="430">
        <v>0.17</v>
      </c>
      <c r="BM167" s="430">
        <v>0.01</v>
      </c>
      <c r="BN167" s="466">
        <v>58</v>
      </c>
      <c r="BO167" s="466" t="s">
        <v>874</v>
      </c>
      <c r="BP167" s="466">
        <v>12</v>
      </c>
      <c r="BQ167" s="466" t="s">
        <v>874</v>
      </c>
      <c r="BR167" s="480">
        <v>0.17</v>
      </c>
      <c r="BS167" s="480">
        <v>0.33</v>
      </c>
      <c r="BT167" s="480">
        <v>0.26</v>
      </c>
      <c r="BU167" s="480">
        <v>0.21</v>
      </c>
      <c r="BV167" s="480">
        <v>0.04</v>
      </c>
    </row>
    <row r="168" spans="1:74" ht="24.95" customHeight="1" x14ac:dyDescent="0.2">
      <c r="A168" s="126" t="s">
        <v>207</v>
      </c>
      <c r="B168" s="1" t="s">
        <v>221</v>
      </c>
      <c r="C168" s="2">
        <v>4</v>
      </c>
      <c r="D168" s="12">
        <v>58</v>
      </c>
      <c r="E168" s="12">
        <v>11</v>
      </c>
      <c r="F168" s="66">
        <v>0.08</v>
      </c>
      <c r="G168" s="66">
        <v>0.5</v>
      </c>
      <c r="H168" s="66">
        <v>0.17</v>
      </c>
      <c r="I168" s="66">
        <v>0.25</v>
      </c>
      <c r="J168" s="66">
        <v>0</v>
      </c>
      <c r="K168" s="12">
        <v>58</v>
      </c>
      <c r="L168" s="12">
        <v>7</v>
      </c>
      <c r="M168" s="61">
        <v>0</v>
      </c>
      <c r="N168" s="61">
        <v>0.56000000000000005</v>
      </c>
      <c r="O168" s="61">
        <v>0.38</v>
      </c>
      <c r="P168" s="61">
        <v>0.06</v>
      </c>
      <c r="Q168" s="61">
        <v>0</v>
      </c>
      <c r="R168" s="12">
        <v>60</v>
      </c>
      <c r="S168" s="12">
        <v>8</v>
      </c>
      <c r="T168" s="63">
        <v>0</v>
      </c>
      <c r="U168" s="63">
        <v>0.33</v>
      </c>
      <c r="V168" s="63">
        <v>0.53</v>
      </c>
      <c r="W168" s="63">
        <v>7.0000000000000007E-2</v>
      </c>
      <c r="X168" s="63">
        <v>7.0000000000000007E-2</v>
      </c>
      <c r="Y168" s="12">
        <v>58</v>
      </c>
      <c r="Z168" s="12">
        <v>8</v>
      </c>
      <c r="AA168" s="63">
        <v>0.11</v>
      </c>
      <c r="AB168" s="63">
        <v>0.39</v>
      </c>
      <c r="AC168" s="63">
        <v>0.5</v>
      </c>
      <c r="AD168" s="63">
        <v>0</v>
      </c>
      <c r="AE168" s="63">
        <v>0</v>
      </c>
      <c r="AF168" s="25">
        <v>49</v>
      </c>
      <c r="AG168" s="25">
        <v>7</v>
      </c>
      <c r="AH168" s="61">
        <v>0.44</v>
      </c>
      <c r="AI168" s="61">
        <v>0.44</v>
      </c>
      <c r="AJ168" s="61">
        <v>0.13</v>
      </c>
      <c r="AK168" s="61">
        <v>0</v>
      </c>
      <c r="AL168" s="61">
        <v>0</v>
      </c>
      <c r="AM168" s="247">
        <v>59</v>
      </c>
      <c r="AN168" s="247" t="s">
        <v>874</v>
      </c>
      <c r="AO168" s="247">
        <v>11</v>
      </c>
      <c r="AP168" s="247" t="s">
        <v>874</v>
      </c>
      <c r="AQ168" s="264">
        <v>0.13</v>
      </c>
      <c r="AR168" s="264">
        <v>0.31</v>
      </c>
      <c r="AS168" s="264">
        <v>0.44</v>
      </c>
      <c r="AT168" s="264">
        <v>0.06</v>
      </c>
      <c r="AU168" s="264">
        <v>0.06</v>
      </c>
      <c r="AV168" s="311">
        <v>58</v>
      </c>
      <c r="AW168" s="311" t="s">
        <v>874</v>
      </c>
      <c r="AX168" s="311">
        <v>10</v>
      </c>
      <c r="AY168" s="311" t="s">
        <v>874</v>
      </c>
      <c r="AZ168" s="329">
        <v>0.16</v>
      </c>
      <c r="BA168" s="329">
        <v>0.26</v>
      </c>
      <c r="BB168" s="329">
        <v>0.42</v>
      </c>
      <c r="BC168" s="329">
        <v>0.16</v>
      </c>
      <c r="BD168" s="329">
        <v>0</v>
      </c>
      <c r="BE168" s="426">
        <v>57</v>
      </c>
      <c r="BF168" s="426" t="s">
        <v>874</v>
      </c>
      <c r="BG168" s="426">
        <v>11</v>
      </c>
      <c r="BH168" s="426" t="s">
        <v>874</v>
      </c>
      <c r="BI168" s="430">
        <v>0.17</v>
      </c>
      <c r="BJ168" s="430">
        <v>0.35</v>
      </c>
      <c r="BK168" s="430">
        <v>0.3</v>
      </c>
      <c r="BL168" s="430">
        <v>0.17</v>
      </c>
      <c r="BM168" s="430">
        <v>0</v>
      </c>
      <c r="BN168" s="466">
        <v>64</v>
      </c>
      <c r="BO168" s="466" t="s">
        <v>875</v>
      </c>
      <c r="BP168" s="466">
        <v>11</v>
      </c>
      <c r="BQ168" s="466" t="s">
        <v>874</v>
      </c>
      <c r="BR168" s="480">
        <v>0.04</v>
      </c>
      <c r="BS168" s="480">
        <v>0.25</v>
      </c>
      <c r="BT168" s="480">
        <v>0.28999999999999998</v>
      </c>
      <c r="BU168" s="480">
        <v>0.38</v>
      </c>
      <c r="BV168" s="480">
        <v>0.04</v>
      </c>
    </row>
    <row r="169" spans="1:74" ht="24.95" customHeight="1" x14ac:dyDescent="0.2">
      <c r="A169" s="126" t="s">
        <v>99</v>
      </c>
      <c r="B169" s="1" t="s">
        <v>221</v>
      </c>
      <c r="C169" s="2">
        <v>5</v>
      </c>
      <c r="D169" s="12">
        <v>60</v>
      </c>
      <c r="E169" s="12">
        <v>14</v>
      </c>
      <c r="F169" s="66">
        <v>0.16</v>
      </c>
      <c r="G169" s="66">
        <v>0.37</v>
      </c>
      <c r="H169" s="66">
        <v>0.16</v>
      </c>
      <c r="I169" s="66">
        <v>0.26</v>
      </c>
      <c r="J169" s="66">
        <v>0.05</v>
      </c>
      <c r="K169" s="12">
        <v>53</v>
      </c>
      <c r="L169" s="12">
        <v>8</v>
      </c>
      <c r="M169" s="61">
        <v>0.25</v>
      </c>
      <c r="N169" s="61">
        <v>0.46</v>
      </c>
      <c r="O169" s="61">
        <v>0.28999999999999998</v>
      </c>
      <c r="P169" s="61">
        <v>0</v>
      </c>
      <c r="Q169" s="61">
        <v>0</v>
      </c>
      <c r="R169" s="12">
        <v>54</v>
      </c>
      <c r="S169" s="12">
        <v>8</v>
      </c>
      <c r="T169" s="63">
        <v>0.28999999999999998</v>
      </c>
      <c r="U169" s="63">
        <v>0.35</v>
      </c>
      <c r="V169" s="63">
        <v>0.28999999999999998</v>
      </c>
      <c r="W169" s="63">
        <v>0.06</v>
      </c>
      <c r="X169" s="63">
        <v>0</v>
      </c>
      <c r="Y169" s="12">
        <v>55</v>
      </c>
      <c r="Z169" s="12">
        <v>11</v>
      </c>
      <c r="AA169" s="63">
        <v>0.24</v>
      </c>
      <c r="AB169" s="63">
        <v>0.33</v>
      </c>
      <c r="AC169" s="63">
        <v>0.33</v>
      </c>
      <c r="AD169" s="63">
        <v>0.1</v>
      </c>
      <c r="AE169" s="63">
        <v>0</v>
      </c>
      <c r="AF169" s="25">
        <v>52</v>
      </c>
      <c r="AG169" s="25">
        <v>10</v>
      </c>
      <c r="AH169" s="61">
        <v>0.26</v>
      </c>
      <c r="AI169" s="61">
        <v>0.53</v>
      </c>
      <c r="AJ169" s="61">
        <v>0.11</v>
      </c>
      <c r="AK169" s="61">
        <v>0.11</v>
      </c>
      <c r="AL169" s="61">
        <v>0</v>
      </c>
      <c r="AM169" s="247">
        <v>54</v>
      </c>
      <c r="AN169" s="247" t="s">
        <v>874</v>
      </c>
      <c r="AO169" s="247">
        <v>9</v>
      </c>
      <c r="AP169" s="247" t="s">
        <v>874</v>
      </c>
      <c r="AQ169" s="264">
        <v>0.27</v>
      </c>
      <c r="AR169" s="264">
        <v>0.38</v>
      </c>
      <c r="AS169" s="264">
        <v>0.27</v>
      </c>
      <c r="AT169" s="264">
        <v>0.08</v>
      </c>
      <c r="AU169" s="264">
        <v>0</v>
      </c>
      <c r="AV169" s="311">
        <v>61</v>
      </c>
      <c r="AW169" s="311" t="s">
        <v>875</v>
      </c>
      <c r="AX169" s="311">
        <v>8</v>
      </c>
      <c r="AY169" s="311" t="s">
        <v>874</v>
      </c>
      <c r="AZ169" s="329">
        <v>0</v>
      </c>
      <c r="BA169" s="329">
        <v>0.39</v>
      </c>
      <c r="BB169" s="329">
        <v>0.43</v>
      </c>
      <c r="BC169" s="329">
        <v>0.13</v>
      </c>
      <c r="BD169" s="329">
        <v>0.04</v>
      </c>
      <c r="BE169" s="426">
        <v>57</v>
      </c>
      <c r="BF169" s="426" t="s">
        <v>874</v>
      </c>
      <c r="BG169" s="426">
        <v>9</v>
      </c>
      <c r="BH169" s="426" t="s">
        <v>874</v>
      </c>
      <c r="BI169" s="430">
        <v>0.14000000000000001</v>
      </c>
      <c r="BJ169" s="430">
        <v>0.38</v>
      </c>
      <c r="BK169" s="430">
        <v>0.38</v>
      </c>
      <c r="BL169" s="430">
        <v>0.1</v>
      </c>
      <c r="BM169" s="430">
        <v>0</v>
      </c>
      <c r="BN169" s="466">
        <v>57</v>
      </c>
      <c r="BO169" s="466" t="s">
        <v>874</v>
      </c>
      <c r="BP169" s="466">
        <v>11</v>
      </c>
      <c r="BQ169" s="466" t="s">
        <v>874</v>
      </c>
      <c r="BR169" s="480">
        <v>0.21</v>
      </c>
      <c r="BS169" s="480">
        <v>0.28999999999999998</v>
      </c>
      <c r="BT169" s="480">
        <v>0.36</v>
      </c>
      <c r="BU169" s="480">
        <v>0.11</v>
      </c>
      <c r="BV169" s="480">
        <v>0.04</v>
      </c>
    </row>
    <row r="170" spans="1:74" ht="24.95" customHeight="1" x14ac:dyDescent="0.2">
      <c r="A170" s="126" t="s">
        <v>73</v>
      </c>
      <c r="B170" s="1" t="s">
        <v>221</v>
      </c>
      <c r="C170" s="2">
        <v>2</v>
      </c>
      <c r="D170" s="12">
        <v>53</v>
      </c>
      <c r="E170" s="12">
        <v>10</v>
      </c>
      <c r="F170" s="66">
        <v>0.36</v>
      </c>
      <c r="G170" s="66">
        <v>0.27</v>
      </c>
      <c r="H170" s="66">
        <v>0.27</v>
      </c>
      <c r="I170" s="66">
        <v>0.09</v>
      </c>
      <c r="J170" s="66">
        <v>0</v>
      </c>
      <c r="K170" s="12">
        <v>48</v>
      </c>
      <c r="L170" s="12">
        <v>9</v>
      </c>
      <c r="M170" s="61">
        <v>0.56000000000000005</v>
      </c>
      <c r="N170" s="61">
        <v>0.28000000000000003</v>
      </c>
      <c r="O170" s="61">
        <v>0.16</v>
      </c>
      <c r="P170" s="61">
        <v>0</v>
      </c>
      <c r="Q170" s="61">
        <v>0</v>
      </c>
      <c r="R170" s="12">
        <v>51</v>
      </c>
      <c r="S170" s="12">
        <v>10</v>
      </c>
      <c r="T170" s="63">
        <v>0.36</v>
      </c>
      <c r="U170" s="63">
        <v>0.39</v>
      </c>
      <c r="V170" s="63">
        <v>0.19</v>
      </c>
      <c r="W170" s="63">
        <v>0.06</v>
      </c>
      <c r="X170" s="63">
        <v>0</v>
      </c>
      <c r="Y170" s="12">
        <v>47</v>
      </c>
      <c r="Z170" s="12">
        <v>10</v>
      </c>
      <c r="AA170" s="63">
        <v>0.44</v>
      </c>
      <c r="AB170" s="63">
        <v>0.39</v>
      </c>
      <c r="AC170" s="63">
        <v>0.17</v>
      </c>
      <c r="AD170" s="63">
        <v>0</v>
      </c>
      <c r="AE170" s="63">
        <v>0</v>
      </c>
      <c r="AF170" s="25">
        <v>44</v>
      </c>
      <c r="AG170" s="25">
        <v>4</v>
      </c>
      <c r="AH170" s="61">
        <v>0.76</v>
      </c>
      <c r="AI170" s="61">
        <v>0.24</v>
      </c>
      <c r="AJ170" s="61">
        <v>0</v>
      </c>
      <c r="AK170" s="61">
        <v>0</v>
      </c>
      <c r="AL170" s="61">
        <v>0</v>
      </c>
      <c r="AM170" s="247">
        <v>49</v>
      </c>
      <c r="AN170" s="247" t="s">
        <v>874</v>
      </c>
      <c r="AO170" s="247">
        <v>10</v>
      </c>
      <c r="AP170" s="247" t="s">
        <v>874</v>
      </c>
      <c r="AQ170" s="264">
        <v>0.46</v>
      </c>
      <c r="AR170" s="264">
        <v>0.37</v>
      </c>
      <c r="AS170" s="264">
        <v>0.14000000000000001</v>
      </c>
      <c r="AT170" s="264">
        <v>0.03</v>
      </c>
      <c r="AU170" s="264">
        <v>0</v>
      </c>
      <c r="AV170" s="311">
        <v>52</v>
      </c>
      <c r="AW170" s="311" t="s">
        <v>874</v>
      </c>
      <c r="AX170" s="311">
        <v>10</v>
      </c>
      <c r="AY170" s="311" t="s">
        <v>874</v>
      </c>
      <c r="AZ170" s="329">
        <v>0.38</v>
      </c>
      <c r="BA170" s="329">
        <v>0.27</v>
      </c>
      <c r="BB170" s="329">
        <v>0.3</v>
      </c>
      <c r="BC170" s="329">
        <v>0.05</v>
      </c>
      <c r="BD170" s="329">
        <v>0</v>
      </c>
      <c r="BE170" s="426">
        <v>55</v>
      </c>
      <c r="BF170" s="426" t="s">
        <v>874</v>
      </c>
      <c r="BG170" s="426">
        <v>10</v>
      </c>
      <c r="BH170" s="426" t="s">
        <v>874</v>
      </c>
      <c r="BI170" s="430">
        <v>0.23</v>
      </c>
      <c r="BJ170" s="430">
        <v>0.41</v>
      </c>
      <c r="BK170" s="430">
        <v>0.27</v>
      </c>
      <c r="BL170" s="430">
        <v>7.0000000000000007E-2</v>
      </c>
      <c r="BM170" s="430">
        <v>0.02</v>
      </c>
      <c r="BN170" s="466">
        <v>53</v>
      </c>
      <c r="BO170" s="466" t="s">
        <v>874</v>
      </c>
      <c r="BP170" s="466">
        <v>11</v>
      </c>
      <c r="BQ170" s="466" t="s">
        <v>874</v>
      </c>
      <c r="BR170" s="480">
        <v>0.33</v>
      </c>
      <c r="BS170" s="480">
        <v>0.33</v>
      </c>
      <c r="BT170" s="480">
        <v>0.22</v>
      </c>
      <c r="BU170" s="480">
        <v>0.11</v>
      </c>
      <c r="BV170" s="480">
        <v>0</v>
      </c>
    </row>
    <row r="171" spans="1:74" ht="24.95" customHeight="1" x14ac:dyDescent="0.2">
      <c r="A171" s="126" t="s">
        <v>1082</v>
      </c>
      <c r="B171" s="665" t="s">
        <v>221</v>
      </c>
      <c r="C171" s="44">
        <v>1</v>
      </c>
      <c r="D171" s="12"/>
      <c r="E171" s="12"/>
      <c r="F171" s="12"/>
      <c r="G171" s="12"/>
      <c r="H171" s="12"/>
      <c r="I171" s="12"/>
      <c r="J171" s="12"/>
      <c r="K171" s="12"/>
      <c r="L171" s="12"/>
      <c r="M171" s="61"/>
      <c r="N171" s="61"/>
      <c r="O171" s="61"/>
      <c r="P171" s="61"/>
      <c r="Q171" s="61"/>
      <c r="R171" s="12"/>
      <c r="S171" s="12"/>
      <c r="T171" s="2"/>
      <c r="U171" s="2"/>
      <c r="V171" s="2"/>
      <c r="W171" s="2"/>
      <c r="X171" s="2"/>
      <c r="Y171" s="12"/>
      <c r="Z171" s="12"/>
      <c r="AA171" s="2"/>
      <c r="AB171" s="2"/>
      <c r="AC171" s="2"/>
      <c r="AD171" s="2"/>
      <c r="AE171" s="2"/>
      <c r="AF171" s="25"/>
      <c r="AG171" s="25"/>
      <c r="AH171" s="61"/>
      <c r="AI171" s="61"/>
      <c r="AJ171" s="61"/>
      <c r="AK171" s="61"/>
      <c r="AL171" s="61"/>
      <c r="AM171" s="247"/>
      <c r="AN171" s="247"/>
      <c r="AO171" s="247"/>
      <c r="AP171" s="247"/>
      <c r="AQ171" s="264"/>
      <c r="AR171" s="264"/>
      <c r="AS171" s="264"/>
      <c r="AT171" s="264"/>
      <c r="AU171" s="264"/>
      <c r="AV171" s="311"/>
      <c r="AW171" s="311"/>
      <c r="AX171" s="311"/>
      <c r="AY171" s="311"/>
      <c r="AZ171" s="329"/>
      <c r="BA171" s="329"/>
      <c r="BB171" s="329"/>
      <c r="BC171" s="329"/>
      <c r="BD171" s="329"/>
      <c r="BE171" s="426"/>
      <c r="BF171" s="426"/>
      <c r="BG171" s="426"/>
      <c r="BH171" s="426"/>
      <c r="BI171" s="430"/>
      <c r="BJ171" s="430"/>
      <c r="BK171" s="430"/>
      <c r="BL171" s="430"/>
      <c r="BM171" s="430"/>
      <c r="BN171" s="466">
        <v>56</v>
      </c>
      <c r="BO171" s="466" t="s">
        <v>874</v>
      </c>
      <c r="BP171" s="466">
        <v>10</v>
      </c>
      <c r="BQ171" s="466" t="s">
        <v>874</v>
      </c>
      <c r="BR171" s="480">
        <v>0.19</v>
      </c>
      <c r="BS171" s="480">
        <v>0.43</v>
      </c>
      <c r="BT171" s="480">
        <v>0.28999999999999998</v>
      </c>
      <c r="BU171" s="480">
        <v>0.05</v>
      </c>
      <c r="BV171" s="480">
        <v>0.05</v>
      </c>
    </row>
    <row r="175" spans="1:74" ht="12.75" customHeight="1" x14ac:dyDescent="0.2">
      <c r="E175" s="840" t="s">
        <v>258</v>
      </c>
      <c r="F175" s="849"/>
      <c r="G175" s="849"/>
      <c r="H175" s="849"/>
      <c r="I175" s="849"/>
      <c r="J175" s="849"/>
      <c r="K175" s="849"/>
      <c r="L175" s="849"/>
      <c r="M175" s="849"/>
      <c r="N175" s="849"/>
      <c r="O175" s="849"/>
      <c r="P175" s="849"/>
      <c r="Q175" s="849"/>
      <c r="R175" s="849"/>
      <c r="S175" s="849"/>
      <c r="T175" s="849"/>
      <c r="U175" s="849"/>
      <c r="V175" s="849"/>
      <c r="W175" s="849"/>
      <c r="X175" s="73"/>
      <c r="Y175" s="993" t="s">
        <v>258</v>
      </c>
      <c r="Z175" s="839"/>
      <c r="AA175" s="839"/>
      <c r="AB175" s="839"/>
      <c r="AC175" s="839"/>
      <c r="AD175" s="839"/>
      <c r="AE175" s="839"/>
      <c r="AF175" s="839"/>
      <c r="AG175" s="839"/>
      <c r="AH175" s="839"/>
    </row>
    <row r="176" spans="1:74" x14ac:dyDescent="0.2">
      <c r="E176" s="989"/>
      <c r="F176" s="838">
        <v>2016</v>
      </c>
      <c r="G176" s="839"/>
      <c r="H176" s="838">
        <v>2017</v>
      </c>
      <c r="I176" s="839"/>
      <c r="J176" s="838">
        <v>2018</v>
      </c>
      <c r="K176" s="839"/>
      <c r="L176" s="842">
        <v>2019</v>
      </c>
      <c r="M176" s="845"/>
      <c r="N176" s="838">
        <v>2020</v>
      </c>
      <c r="O176" s="839"/>
      <c r="P176" s="838">
        <v>2021</v>
      </c>
      <c r="Q176" s="839"/>
      <c r="R176" s="838">
        <v>2022</v>
      </c>
      <c r="S176" s="839"/>
      <c r="T176" s="838">
        <v>2023</v>
      </c>
      <c r="U176" s="839"/>
      <c r="V176" s="838">
        <v>2024</v>
      </c>
      <c r="W176" s="839"/>
      <c r="X176" s="73"/>
      <c r="Y176" s="28"/>
      <c r="Z176" s="28">
        <v>2016</v>
      </c>
      <c r="AA176" s="29">
        <v>2017</v>
      </c>
      <c r="AB176" s="28">
        <v>2018</v>
      </c>
      <c r="AC176" s="28">
        <v>2019</v>
      </c>
      <c r="AD176" s="28">
        <v>2020</v>
      </c>
      <c r="AE176" s="28">
        <v>2021</v>
      </c>
      <c r="AF176" s="28">
        <v>2022</v>
      </c>
      <c r="AG176" s="28">
        <v>2023</v>
      </c>
      <c r="AH176" s="28">
        <v>2024</v>
      </c>
    </row>
    <row r="177" spans="5:43" x14ac:dyDescent="0.2">
      <c r="E177" s="987"/>
      <c r="F177" s="7" t="s">
        <v>218</v>
      </c>
      <c r="G177" s="7" t="s">
        <v>251</v>
      </c>
      <c r="H177" s="7" t="s">
        <v>218</v>
      </c>
      <c r="I177" s="7" t="s">
        <v>251</v>
      </c>
      <c r="J177" s="7" t="s">
        <v>218</v>
      </c>
      <c r="K177" s="7" t="s">
        <v>251</v>
      </c>
      <c r="L177" s="7" t="s">
        <v>218</v>
      </c>
      <c r="M177" s="7" t="s">
        <v>251</v>
      </c>
      <c r="N177" s="7" t="s">
        <v>218</v>
      </c>
      <c r="O177" s="7" t="s">
        <v>251</v>
      </c>
      <c r="P177" s="7" t="s">
        <v>218</v>
      </c>
      <c r="Q177" s="7" t="s">
        <v>251</v>
      </c>
      <c r="R177" s="7" t="s">
        <v>218</v>
      </c>
      <c r="S177" s="7" t="s">
        <v>251</v>
      </c>
      <c r="T177" s="7" t="s">
        <v>218</v>
      </c>
      <c r="U177" s="7" t="s">
        <v>251</v>
      </c>
      <c r="V177" s="7" t="s">
        <v>218</v>
      </c>
      <c r="W177" s="7" t="s">
        <v>251</v>
      </c>
      <c r="X177" s="73"/>
      <c r="Y177" s="27" t="s">
        <v>244</v>
      </c>
      <c r="Z177" s="27">
        <v>52.647058823529413</v>
      </c>
      <c r="AA177" s="27">
        <v>50.4375</v>
      </c>
      <c r="AB177" s="27">
        <v>52.117647058823529</v>
      </c>
      <c r="AC177" s="27">
        <v>50.058823529411768</v>
      </c>
      <c r="AD177" s="27">
        <v>48.058823529411768</v>
      </c>
      <c r="AE177" s="27">
        <v>52</v>
      </c>
      <c r="AF177" s="27">
        <v>52</v>
      </c>
      <c r="AG177" s="27">
        <v>53.058823529411768</v>
      </c>
      <c r="AH177" s="27">
        <v>54</v>
      </c>
    </row>
    <row r="178" spans="5:43" x14ac:dyDescent="0.2">
      <c r="E178" s="5" t="s">
        <v>0</v>
      </c>
      <c r="F178" s="23">
        <v>54</v>
      </c>
      <c r="G178" s="23">
        <v>8</v>
      </c>
      <c r="H178" s="23">
        <v>53</v>
      </c>
      <c r="I178" s="23">
        <v>8</v>
      </c>
      <c r="J178" s="23">
        <v>51</v>
      </c>
      <c r="K178" s="23">
        <v>9</v>
      </c>
      <c r="L178" s="23">
        <v>50</v>
      </c>
      <c r="M178" s="23">
        <v>9</v>
      </c>
      <c r="N178" s="23">
        <v>48</v>
      </c>
      <c r="O178" s="70">
        <v>9</v>
      </c>
      <c r="P178" s="23">
        <v>52</v>
      </c>
      <c r="Q178" s="70">
        <v>9</v>
      </c>
      <c r="R178" s="23">
        <v>52</v>
      </c>
      <c r="S178" s="70">
        <v>9</v>
      </c>
      <c r="T178" s="23">
        <v>52</v>
      </c>
      <c r="U178" s="70">
        <v>9</v>
      </c>
      <c r="V178" s="23">
        <v>54</v>
      </c>
      <c r="W178" s="70">
        <v>11</v>
      </c>
      <c r="X178" s="73"/>
      <c r="Y178" s="27" t="s">
        <v>245</v>
      </c>
      <c r="Z178" s="27">
        <v>54.7</v>
      </c>
      <c r="AA178" s="27">
        <v>52.315789473684212</v>
      </c>
      <c r="AB178" s="27">
        <v>54</v>
      </c>
      <c r="AC178" s="27">
        <v>53.45</v>
      </c>
      <c r="AD178" s="27">
        <v>48.583333333333336</v>
      </c>
      <c r="AE178" s="27">
        <v>53.227272727272727</v>
      </c>
      <c r="AF178" s="27">
        <v>54.96</v>
      </c>
      <c r="AG178" s="27">
        <v>54.42307692307692</v>
      </c>
      <c r="AH178" s="27">
        <v>56.041666666666664</v>
      </c>
    </row>
    <row r="179" spans="5:43" x14ac:dyDescent="0.2">
      <c r="E179" s="27" t="s">
        <v>244</v>
      </c>
      <c r="F179" s="27">
        <f>AVERAGEIF($C$36:$C$171,"=1",D36:D171)</f>
        <v>52.647058823529413</v>
      </c>
      <c r="G179" s="27">
        <f>AVERAGEIF($C$36:$C$171,"=1",E36:E171)</f>
        <v>8.235294117647058</v>
      </c>
      <c r="H179" s="27">
        <f>AVERAGEIF($C$36:$C$171,"=1",K36:K171)</f>
        <v>50.4375</v>
      </c>
      <c r="I179" s="27">
        <f>AVERAGEIF($C$36:$C$171,"=1",L36:L171)</f>
        <v>8.6875</v>
      </c>
      <c r="J179" s="27">
        <f>AVERAGEIF($C$36:$C$171,"=1",R36:R171)</f>
        <v>52.117647058823529</v>
      </c>
      <c r="K179" s="27">
        <f>AVERAGEIF($C$36:$C$171,"=1",S36:S171)</f>
        <v>8.1764705882352935</v>
      </c>
      <c r="L179" s="27">
        <f>AVERAGEIF($C$36:$C$171,"=1",Y36:Y171)</f>
        <v>50.058823529411768</v>
      </c>
      <c r="M179" s="27">
        <f>AVERAGEIF($C$36:$C$171,"=1",Z36:Z171)</f>
        <v>8.9411764705882355</v>
      </c>
      <c r="N179" s="27">
        <f>AVERAGEIF($C$36:$C$171,"=1",$AF$36:$AF$171)</f>
        <v>48.058823529411768</v>
      </c>
      <c r="O179" s="27">
        <f>AVERAGEIF($C$36:$C$171,"=1",$AG$36:$AG$171)</f>
        <v>8.882352941176471</v>
      </c>
      <c r="P179" s="27">
        <f>AVERAGEIF($C$36:$C$171,"=1",$AM$36:$AM$171)</f>
        <v>52</v>
      </c>
      <c r="Q179" s="27">
        <f>AVERAGEIF($C$36:$C$171,"=1",$AO$36:$AO$171)</f>
        <v>9.4705882352941178</v>
      </c>
      <c r="R179" s="27">
        <f>AVERAGEIF($C$36:$C$171,"=1",$AV$36:$AV$171)</f>
        <v>52</v>
      </c>
      <c r="S179" s="27">
        <f>AVERAGEIF($C$36:$C$171,"=1",$AX$36:$AX$171)</f>
        <v>10.055555555555555</v>
      </c>
      <c r="T179" s="27">
        <f>AVERAGEIF($C$36:$C$171,"=1",$BE$36:$BE$171)</f>
        <v>53.058823529411768</v>
      </c>
      <c r="U179" s="27">
        <f>AVERAGEIF($C$36:$C$171,"=1",$BG$36:$BG$171)</f>
        <v>9.4705882352941178</v>
      </c>
      <c r="V179" s="27">
        <v>54</v>
      </c>
      <c r="W179" s="27">
        <v>9.2222222222222214</v>
      </c>
      <c r="X179" s="73"/>
      <c r="Y179" s="27" t="s">
        <v>246</v>
      </c>
      <c r="Z179" s="27">
        <v>54.5</v>
      </c>
      <c r="AA179" s="27">
        <v>51.117647058823529</v>
      </c>
      <c r="AB179" s="27">
        <v>52.882352941176471</v>
      </c>
      <c r="AC179" s="27">
        <v>51.764705882352942</v>
      </c>
      <c r="AD179" s="27">
        <v>49.10526315789474</v>
      </c>
      <c r="AE179" s="27">
        <v>52.25</v>
      </c>
      <c r="AF179" s="27">
        <v>54.363636363636367</v>
      </c>
      <c r="AG179" s="27">
        <v>54.409090909090907</v>
      </c>
      <c r="AH179" s="27">
        <v>55.227272727272727</v>
      </c>
    </row>
    <row r="180" spans="5:43" x14ac:dyDescent="0.2">
      <c r="E180" s="27" t="s">
        <v>245</v>
      </c>
      <c r="F180" s="27">
        <f>AVERAGEIF($C$36:$C$171,"=2",D36:D171)</f>
        <v>54.7</v>
      </c>
      <c r="G180" s="27">
        <f>AVERAGEIF($C$36:$C$171,"=2",E36:E171)</f>
        <v>9.25</v>
      </c>
      <c r="H180" s="27">
        <f>AVERAGEIF($C$36:$C$171,"=2",K36:K171)</f>
        <v>52.315789473684212</v>
      </c>
      <c r="I180" s="27">
        <f>AVERAGEIF($C$36:$C$171,"=2",L36:L171)</f>
        <v>8.6842105263157894</v>
      </c>
      <c r="J180" s="27">
        <f>AVERAGEIF($C$36:$C$171,"=2",R36:R171)</f>
        <v>54</v>
      </c>
      <c r="K180" s="27">
        <f>AVERAGEIF($C$36:$C$171,"=2",S36:S171)</f>
        <v>8.6315789473684212</v>
      </c>
      <c r="L180" s="27">
        <f>AVERAGEIF($C$36:$C$171,"=2",Y36:Y171)</f>
        <v>53.45</v>
      </c>
      <c r="M180" s="27">
        <f>AVERAGEIF($C$36:$C$171,"=2",Z36:Z171)</f>
        <v>9.6999999999999993</v>
      </c>
      <c r="N180" s="27">
        <f>AVERAGEIF($C$36:$C$171,"=2",$AF$36:$AF$171)</f>
        <v>48.583333333333336</v>
      </c>
      <c r="O180" s="27">
        <f>AVERAGEIF($C$36:$C$171,"=2",$AG$36:$AG$171)</f>
        <v>7.916666666666667</v>
      </c>
      <c r="P180" s="27">
        <f>AVERAGEIF($C$36:$C$171,"=2",$AM$36:$AM$171)</f>
        <v>53.227272727272727</v>
      </c>
      <c r="Q180" s="27">
        <f>AVERAGEIF($C$36:$C$171,"=2",$AO$36:$AO$171)</f>
        <v>9.0909090909090917</v>
      </c>
      <c r="R180" s="27">
        <f>AVERAGEIF($C$36:$C$171,"=2",$AV$36:$AV$171)</f>
        <v>54.96</v>
      </c>
      <c r="S180" s="27">
        <f>AVERAGEIF($C$36:$C$171,"=2",$AX$36:$AX$171)</f>
        <v>9.52</v>
      </c>
      <c r="T180" s="27">
        <f>AVERAGEIF($C$36:$C$171,"=2",$BE$36:$BE$171)</f>
        <v>54.42307692307692</v>
      </c>
      <c r="U180" s="27">
        <f>AVERAGEIF($C$36:$C$171,"=2",$BG$36:$BG$171)</f>
        <v>9.2692307692307701</v>
      </c>
      <c r="V180" s="27">
        <v>56.041666666666664</v>
      </c>
      <c r="W180" s="27">
        <v>9.875</v>
      </c>
      <c r="X180" s="73"/>
      <c r="Y180" s="27" t="s">
        <v>247</v>
      </c>
      <c r="Z180" s="27">
        <v>50.785714285714285</v>
      </c>
      <c r="AA180" s="27">
        <v>49.466666666666669</v>
      </c>
      <c r="AB180" s="27">
        <v>52.133333333333333</v>
      </c>
      <c r="AC180" s="27">
        <v>48.785714285714285</v>
      </c>
      <c r="AD180" s="27">
        <v>45.846153846153847</v>
      </c>
      <c r="AE180" s="27">
        <v>48.857142857142854</v>
      </c>
      <c r="AF180" s="27">
        <v>49.785714285714285</v>
      </c>
      <c r="AG180" s="27">
        <v>49.266666666666666</v>
      </c>
      <c r="AH180" s="27">
        <v>50.692307692307693</v>
      </c>
    </row>
    <row r="181" spans="5:43" x14ac:dyDescent="0.2">
      <c r="E181" s="27" t="s">
        <v>246</v>
      </c>
      <c r="F181" s="27">
        <f>AVERAGEIF($C$36:$C$171,"=3",D36:D171)</f>
        <v>54.222222222222221</v>
      </c>
      <c r="G181" s="27">
        <f>AVERAGEIF($C$36:$C$171,"=3",E36:E171)</f>
        <v>8.9444444444444446</v>
      </c>
      <c r="H181" s="27">
        <f>AVERAGEIF($C$36:$C$171,"=3",K36:K171)</f>
        <v>51.157894736842103</v>
      </c>
      <c r="I181" s="27">
        <f>AVERAGEIF($C$36:$C$171,"=3",L36:L171)</f>
        <v>9.0526315789473681</v>
      </c>
      <c r="J181" s="27">
        <f>AVERAGEIF($C$36:$C$171,"=3",R36:R171)</f>
        <v>52.842105263157897</v>
      </c>
      <c r="K181" s="27">
        <f>AVERAGEIF($C$36:$C$171,"=3",S36:S171)</f>
        <v>8.7368421052631575</v>
      </c>
      <c r="L181" s="27">
        <f>AVERAGEIF($C$36:$C$171,"=3",Y36:Y171)</f>
        <v>51.578947368421055</v>
      </c>
      <c r="M181" s="27">
        <f>AVERAGEIF($C$36:$C$171,"=3",Z36:Z171)</f>
        <v>9.473684210526315</v>
      </c>
      <c r="N181" s="27">
        <f>AVERAGEIF($C$36:$C$171,"=3",$AF$36:$AF$171)</f>
        <v>49.05</v>
      </c>
      <c r="O181" s="27">
        <f>AVERAGEIF($C$36:$C$171,"=3",$AG$36:$AG$171)</f>
        <v>8.5</v>
      </c>
      <c r="P181" s="27">
        <f>AVERAGEIF($C$36:$C$171,"=3",$AM$36:$AM$171)</f>
        <v>52.25</v>
      </c>
      <c r="Q181" s="27">
        <f>AVERAGEIF($C$36:$C$171,"=3",$AO$36:$AO$171)</f>
        <v>10.1</v>
      </c>
      <c r="R181" s="27">
        <f>AVERAGEIF($C$36:$C$171,"=3",$AV$36:$AV$171)</f>
        <v>54.363636363636367</v>
      </c>
      <c r="S181" s="27">
        <f>AVERAGEIF($C$36:$C$171,"=3",$AX$36:$AX$171)</f>
        <v>10.090909090909092</v>
      </c>
      <c r="T181" s="27">
        <f>AVERAGEIF($C$36:$C$171,"=3",$BE$36:$BE$171)</f>
        <v>54.409090909090907</v>
      </c>
      <c r="U181" s="27">
        <f>AVERAGEIF($C$36:$C$171,"=3",$BG$36:$BG$171)</f>
        <v>9.8636363636363633</v>
      </c>
      <c r="V181" s="27">
        <v>55.227272727272727</v>
      </c>
      <c r="W181" s="27">
        <v>10.045454545454545</v>
      </c>
      <c r="X181" s="73"/>
      <c r="Y181" s="27" t="s">
        <v>248</v>
      </c>
      <c r="Z181" s="27">
        <v>57</v>
      </c>
      <c r="AA181" s="27">
        <v>55.411764705882355</v>
      </c>
      <c r="AB181" s="27">
        <v>55.833333333333336</v>
      </c>
      <c r="AC181" s="27">
        <v>55.10526315789474</v>
      </c>
      <c r="AD181" s="27">
        <v>51.166666666666664</v>
      </c>
      <c r="AE181" s="27">
        <v>56.111111111111114</v>
      </c>
      <c r="AF181" s="27">
        <v>57.117647058823529</v>
      </c>
      <c r="AG181" s="27">
        <v>57.470588235294116</v>
      </c>
      <c r="AH181" s="27">
        <v>56.222222222222221</v>
      </c>
    </row>
    <row r="182" spans="5:43" x14ac:dyDescent="0.2">
      <c r="E182" s="27" t="s">
        <v>247</v>
      </c>
      <c r="F182" s="27">
        <f>AVERAGEIF($C$36:$C$171,"=4",D36:D171)</f>
        <v>50.785714285714285</v>
      </c>
      <c r="G182" s="27">
        <f>AVERAGEIF($C$36:$C$171,"=4",E36:E171)</f>
        <v>8.4285714285714288</v>
      </c>
      <c r="H182" s="27">
        <f>AVERAGEIF($C$36:$C$171,"=4",K36:K171)</f>
        <v>49.466666666666669</v>
      </c>
      <c r="I182" s="27">
        <f>AVERAGEIF($C$36:$C$171,"=4",L36:L171)</f>
        <v>7.4666666666666668</v>
      </c>
      <c r="J182" s="27">
        <f>AVERAGEIF($C$36:$C$171,"=4",R36:R171)</f>
        <v>52.133333333333333</v>
      </c>
      <c r="K182" s="27">
        <f>AVERAGEIF($C$36:$C$171,"=4",S36:S171)</f>
        <v>8.2666666666666675</v>
      </c>
      <c r="L182" s="27">
        <f>AVERAGEIF($C$36:$C$171,"=4",Y36:Y171)</f>
        <v>48.785714285714285</v>
      </c>
      <c r="M182" s="27">
        <f>AVERAGEIF($C$36:$C$171,"=4",Z36:Z171)</f>
        <v>8.7142857142857135</v>
      </c>
      <c r="N182" s="27">
        <f>AVERAGEIF($C$36:$C$171,"=4",$AF$36:$AF$171)</f>
        <v>45.846153846153847</v>
      </c>
      <c r="O182" s="27">
        <f>AVERAGEIF($C$36:$C$171,"=4",$AG$36:$AG$171)</f>
        <v>8.0769230769230766</v>
      </c>
      <c r="P182" s="27">
        <f>AVERAGEIF($C$36:$C$171,"=4",$AM$36:$AM$171)</f>
        <v>48.857142857142854</v>
      </c>
      <c r="Q182" s="27">
        <f>AVERAGEIF($C$36:$C$171,"=4",$AO$36:$AO$171)</f>
        <v>8.7142857142857135</v>
      </c>
      <c r="R182" s="27">
        <f>AVERAGEIF($C$36:$C$171,"=4",$AV$36:$AV$171)</f>
        <v>49.785714285714285</v>
      </c>
      <c r="S182" s="27">
        <f>AVERAGEIF($C$36:$C$171,"=4",$AX$36:$AX$171)</f>
        <v>9.3571428571428577</v>
      </c>
      <c r="T182" s="27">
        <f>AVERAGEIF($C$36:$C$171,"=4",$BE$36:$BE$171)</f>
        <v>49.266666666666666</v>
      </c>
      <c r="U182" s="27">
        <f>AVERAGEIF($C$36:$C$171,"=4",$BG$36:$BG$171)</f>
        <v>8.9333333333333336</v>
      </c>
      <c r="V182" s="27">
        <v>50.692307692307693</v>
      </c>
      <c r="W182" s="27">
        <v>9.3076923076923084</v>
      </c>
      <c r="X182" s="73"/>
      <c r="Y182" s="27" t="s">
        <v>249</v>
      </c>
      <c r="Z182" s="27">
        <v>54.2</v>
      </c>
      <c r="AA182" s="27">
        <v>50.93333333333333</v>
      </c>
      <c r="AB182" s="27">
        <v>52.357142857142854</v>
      </c>
      <c r="AC182" s="27">
        <v>51.733333333333334</v>
      </c>
      <c r="AD182" s="27">
        <v>47.588235294117645</v>
      </c>
      <c r="AE182" s="27">
        <v>53.117647058823529</v>
      </c>
      <c r="AF182" s="27">
        <v>53.842105263157897</v>
      </c>
      <c r="AG182" s="27">
        <v>53.8</v>
      </c>
      <c r="AH182" s="27">
        <v>54.833333333333336</v>
      </c>
    </row>
    <row r="183" spans="5:43" x14ac:dyDescent="0.2">
      <c r="E183" s="27" t="s">
        <v>248</v>
      </c>
      <c r="F183" s="27">
        <f>AVERAGEIF($C$36:$C$171,"=5",D36:D171)</f>
        <v>57</v>
      </c>
      <c r="G183" s="27">
        <f>AVERAGEIF($C$36:$C$171,"=5",E36:E171)</f>
        <v>9.1764705882352935</v>
      </c>
      <c r="H183" s="27">
        <f>AVERAGEIF($C$36:$C$171,"=5",K36:K171)</f>
        <v>55.411764705882355</v>
      </c>
      <c r="I183" s="27">
        <f>AVERAGEIF($C$36:$C$171,"=5",L36:L171)</f>
        <v>8.764705882352942</v>
      </c>
      <c r="J183" s="27">
        <f>AVERAGEIF($C$36:$C$171,"=5",R36:R171)</f>
        <v>55.833333333333336</v>
      </c>
      <c r="K183" s="27">
        <f>AVERAGEIF($C$36:$C$171,"=5",S36:S171)</f>
        <v>8.7222222222222214</v>
      </c>
      <c r="L183" s="27">
        <f>AVERAGEIF($C$36:$C$171,"=5",Y36:Y171)</f>
        <v>55.10526315789474</v>
      </c>
      <c r="M183" s="27">
        <f>AVERAGEIF($C$36:$C$171,"=5",Z36:Z171)</f>
        <v>9.1052631578947363</v>
      </c>
      <c r="N183" s="27">
        <f>AVERAGEIF($C$36:$C$171,"=5",$AF$36:$AF$171)</f>
        <v>51.166666666666664</v>
      </c>
      <c r="O183" s="27">
        <f>AVERAGEIF($C$36:$C$171,"=5",$AG$36:$AG$171)</f>
        <v>9.0555555555555554</v>
      </c>
      <c r="P183" s="27">
        <f>AVERAGEIF($C$36:$C$171,"=5",$AM$36:$AM$171)</f>
        <v>56.111111111111114</v>
      </c>
      <c r="Q183" s="27">
        <f>AVERAGEIF($C$36:$C$171,"=5",$AO$36:$AO$171)</f>
        <v>9.6111111111111107</v>
      </c>
      <c r="R183" s="27">
        <f>AVERAGEIF($C$36:$C$171,"=5",$AV$36:$AV$171)</f>
        <v>57.117647058823529</v>
      </c>
      <c r="S183" s="27">
        <f>AVERAGEIF($C$36:$C$171,"=5",$AX$36:$AX$171)</f>
        <v>9.4117647058823533</v>
      </c>
      <c r="T183" s="27">
        <f>AVERAGEIF($C$36:$C$171,"=5",$BE$36:$BE$171)</f>
        <v>57.470588235294116</v>
      </c>
      <c r="U183" s="27">
        <f>AVERAGEIF($C$36:$C$171,"=5",$BG$36:$BG$171)</f>
        <v>9.7058823529411757</v>
      </c>
      <c r="V183" s="27">
        <v>56.222222222222221</v>
      </c>
      <c r="W183" s="27">
        <v>9.7777777777777786</v>
      </c>
      <c r="X183" s="73"/>
      <c r="Y183" s="73"/>
      <c r="Z183" s="73"/>
      <c r="AA183" s="73"/>
      <c r="AB183" s="73"/>
      <c r="AC183" s="73"/>
      <c r="AD183" s="73"/>
      <c r="AE183" s="73"/>
      <c r="AF183" s="73"/>
      <c r="AG183" s="73"/>
    </row>
    <row r="184" spans="5:43" x14ac:dyDescent="0.2">
      <c r="E184" s="27" t="s">
        <v>249</v>
      </c>
      <c r="F184" s="27">
        <f>AVERAGEIF($C$36:$C$171,"=6",D36:D171)</f>
        <v>54.2</v>
      </c>
      <c r="G184" s="27">
        <f>AVERAGEIF($C$36:$C$171,"=6",E36:E171)</f>
        <v>8.3333333333333339</v>
      </c>
      <c r="H184" s="27">
        <f>AVERAGEIF($C$36:$C$171,"=6",K36:K171)</f>
        <v>50.93333333333333</v>
      </c>
      <c r="I184" s="27">
        <f>AVERAGEIF($C$36:$C$171,"=6",L36:L171)</f>
        <v>9.3333333333333339</v>
      </c>
      <c r="J184" s="27">
        <f>AVERAGEIF($C$36:$C$171,"=6",R36:R171)</f>
        <v>52.357142857142854</v>
      </c>
      <c r="K184" s="27">
        <f>AVERAGEIF($C$36:$C$171,"=6",S36:S171)</f>
        <v>8.5714285714285712</v>
      </c>
      <c r="L184" s="27">
        <f>AVERAGEIF($C$36:$C$171,"=6",Y36:Y171)</f>
        <v>51.733333333333334</v>
      </c>
      <c r="M184" s="27">
        <f>AVERAGEIF($C$36:$C$171,"=6",Z36:Z171)</f>
        <v>9.1999999999999993</v>
      </c>
      <c r="N184" s="27">
        <f>AVERAGEIF($C$36:$C$171,"=6",$AF$36:$AF$171)</f>
        <v>47.588235294117645</v>
      </c>
      <c r="O184" s="27">
        <f>AVERAGEIF($C$36:$C$171,"=6",$AG$36:$AG$171)</f>
        <v>9.0588235294117645</v>
      </c>
      <c r="P184" s="27">
        <f>AVERAGEIF($C$36:$C$171,"=6",$AM$36:$AM$171)</f>
        <v>53.117647058823529</v>
      </c>
      <c r="Q184" s="27">
        <f>AVERAGEIF($C$36:$C$171,"=6",$AO$36:$AO$171)</f>
        <v>9.4117647058823533</v>
      </c>
      <c r="R184" s="27">
        <f>AVERAGEIF($C$36:$C$171,"=6",$AV$36:$AV$171)</f>
        <v>53.842105263157897</v>
      </c>
      <c r="S184" s="27">
        <f>AVERAGEIF($C$36:$C$171,"=6",$AX$36:$AX$171)</f>
        <v>9.8947368421052637</v>
      </c>
      <c r="T184" s="27">
        <f>AVERAGEIF($C$36:$C$171,"=6",$BE$36:$BE$171)</f>
        <v>53.8</v>
      </c>
      <c r="U184" s="27">
        <f>AVERAGEIF($C$36:$C$171,"=6",$BG$36:$BG$171)</f>
        <v>9.25</v>
      </c>
      <c r="V184" s="27">
        <v>54.833333333333336</v>
      </c>
      <c r="W184" s="27">
        <v>10.166666666666666</v>
      </c>
      <c r="X184" s="73"/>
      <c r="Y184" s="73"/>
      <c r="Z184" s="73"/>
      <c r="AA184" s="73"/>
      <c r="AB184" s="73"/>
      <c r="AC184" s="73"/>
      <c r="AD184" s="73"/>
      <c r="AE184" s="73"/>
      <c r="AF184" s="73"/>
      <c r="AG184" s="73"/>
    </row>
    <row r="185" spans="5:43" x14ac:dyDescent="0.2">
      <c r="L185" t="s">
        <v>256</v>
      </c>
    </row>
    <row r="187" spans="5:43" x14ac:dyDescent="0.2">
      <c r="E187" s="28"/>
      <c r="F187" s="854">
        <v>2016</v>
      </c>
      <c r="G187" s="855"/>
      <c r="H187" s="855"/>
      <c r="I187" s="972"/>
      <c r="J187" s="854">
        <v>2017</v>
      </c>
      <c r="K187" s="855"/>
      <c r="L187" s="855"/>
      <c r="M187" s="855"/>
      <c r="N187" s="845">
        <v>2018</v>
      </c>
      <c r="O187" s="845"/>
      <c r="P187" s="845"/>
      <c r="Q187" s="845"/>
      <c r="R187" s="845">
        <v>2019</v>
      </c>
      <c r="S187" s="845"/>
      <c r="T187" s="845"/>
      <c r="U187" s="845"/>
      <c r="V187" s="845">
        <v>2020</v>
      </c>
      <c r="W187" s="845"/>
      <c r="X187" s="845"/>
      <c r="Y187" s="845"/>
      <c r="Z187" s="845">
        <v>2021</v>
      </c>
      <c r="AA187" s="845"/>
      <c r="AB187" s="845"/>
      <c r="AC187" s="845"/>
      <c r="AD187" s="845">
        <v>2022</v>
      </c>
      <c r="AE187" s="845"/>
      <c r="AF187" s="845"/>
      <c r="AG187" s="845"/>
      <c r="AH187" s="845">
        <v>2023</v>
      </c>
      <c r="AI187" s="845"/>
      <c r="AJ187" s="845"/>
      <c r="AK187" s="845"/>
      <c r="AL187" s="845">
        <v>2024</v>
      </c>
      <c r="AM187" s="845"/>
      <c r="AN187" s="845"/>
      <c r="AO187" s="845"/>
      <c r="AP187" s="73"/>
      <c r="AQ187" s="73"/>
    </row>
    <row r="188" spans="5:43" x14ac:dyDescent="0.2">
      <c r="E188" s="28"/>
      <c r="F188" s="842" t="s">
        <v>252</v>
      </c>
      <c r="G188" s="843"/>
      <c r="H188" s="842" t="s">
        <v>253</v>
      </c>
      <c r="I188" s="843"/>
      <c r="J188" s="842" t="s">
        <v>252</v>
      </c>
      <c r="K188" s="843"/>
      <c r="L188" s="842" t="s">
        <v>253</v>
      </c>
      <c r="M188" s="843"/>
      <c r="N188" s="842" t="s">
        <v>252</v>
      </c>
      <c r="O188" s="843"/>
      <c r="P188" s="842" t="s">
        <v>253</v>
      </c>
      <c r="Q188" s="843"/>
      <c r="R188" s="842" t="s">
        <v>252</v>
      </c>
      <c r="S188" s="843"/>
      <c r="T188" s="842" t="s">
        <v>253</v>
      </c>
      <c r="U188" s="843"/>
      <c r="V188" s="842" t="s">
        <v>252</v>
      </c>
      <c r="W188" s="843"/>
      <c r="X188" s="842" t="s">
        <v>253</v>
      </c>
      <c r="Y188" s="845"/>
      <c r="Z188" s="842" t="s">
        <v>252</v>
      </c>
      <c r="AA188" s="843"/>
      <c r="AB188" s="842" t="s">
        <v>253</v>
      </c>
      <c r="AC188" s="845"/>
      <c r="AD188" s="842" t="s">
        <v>252</v>
      </c>
      <c r="AE188" s="843"/>
      <c r="AF188" s="842" t="s">
        <v>253</v>
      </c>
      <c r="AG188" s="845"/>
      <c r="AH188" s="842" t="s">
        <v>252</v>
      </c>
      <c r="AI188" s="843"/>
      <c r="AJ188" s="842" t="s">
        <v>253</v>
      </c>
      <c r="AK188" s="845"/>
      <c r="AL188" s="842" t="s">
        <v>252</v>
      </c>
      <c r="AM188" s="843"/>
      <c r="AN188" s="842" t="s">
        <v>253</v>
      </c>
      <c r="AO188" s="845"/>
    </row>
    <row r="189" spans="5:43" x14ac:dyDescent="0.2">
      <c r="E189" s="28"/>
      <c r="F189" s="7" t="s">
        <v>218</v>
      </c>
      <c r="G189" s="7" t="s">
        <v>251</v>
      </c>
      <c r="H189" s="7" t="s">
        <v>218</v>
      </c>
      <c r="I189" s="7" t="s">
        <v>251</v>
      </c>
      <c r="J189" s="7" t="s">
        <v>218</v>
      </c>
      <c r="K189" s="7" t="s">
        <v>251</v>
      </c>
      <c r="L189" s="7" t="s">
        <v>218</v>
      </c>
      <c r="M189" s="7" t="s">
        <v>251</v>
      </c>
      <c r="N189" s="7" t="s">
        <v>218</v>
      </c>
      <c r="O189" s="7" t="s">
        <v>251</v>
      </c>
      <c r="P189" s="7" t="s">
        <v>218</v>
      </c>
      <c r="Q189" s="7" t="s">
        <v>251</v>
      </c>
      <c r="R189" s="7" t="s">
        <v>218</v>
      </c>
      <c r="S189" s="7" t="s">
        <v>251</v>
      </c>
      <c r="T189" s="7" t="s">
        <v>218</v>
      </c>
      <c r="U189" s="7" t="s">
        <v>251</v>
      </c>
      <c r="V189" s="7" t="s">
        <v>218</v>
      </c>
      <c r="W189" s="7" t="s">
        <v>251</v>
      </c>
      <c r="X189" s="7" t="s">
        <v>218</v>
      </c>
      <c r="Y189" s="34" t="s">
        <v>251</v>
      </c>
      <c r="Z189" s="7" t="s">
        <v>218</v>
      </c>
      <c r="AA189" s="7" t="s">
        <v>251</v>
      </c>
      <c r="AB189" s="7" t="s">
        <v>218</v>
      </c>
      <c r="AC189" s="34" t="s">
        <v>251</v>
      </c>
      <c r="AD189" s="7" t="s">
        <v>218</v>
      </c>
      <c r="AE189" s="7" t="s">
        <v>251</v>
      </c>
      <c r="AF189" s="7" t="s">
        <v>218</v>
      </c>
      <c r="AG189" s="34" t="s">
        <v>251</v>
      </c>
      <c r="AH189" s="7" t="s">
        <v>218</v>
      </c>
      <c r="AI189" s="7" t="s">
        <v>251</v>
      </c>
      <c r="AJ189" s="7" t="s">
        <v>218</v>
      </c>
      <c r="AK189" s="34" t="s">
        <v>251</v>
      </c>
      <c r="AL189" s="7" t="s">
        <v>218</v>
      </c>
      <c r="AM189" s="7" t="s">
        <v>251</v>
      </c>
      <c r="AN189" s="7" t="s">
        <v>218</v>
      </c>
      <c r="AO189" s="34" t="s">
        <v>251</v>
      </c>
    </row>
    <row r="190" spans="5:43" x14ac:dyDescent="0.2">
      <c r="E190" s="5" t="s">
        <v>0</v>
      </c>
      <c r="F190" s="10">
        <v>53</v>
      </c>
      <c r="G190" s="10">
        <v>7</v>
      </c>
      <c r="H190" s="10">
        <v>55</v>
      </c>
      <c r="I190" s="10">
        <v>8</v>
      </c>
      <c r="J190" s="10">
        <v>51</v>
      </c>
      <c r="K190" s="10">
        <v>7</v>
      </c>
      <c r="L190" s="10">
        <v>54</v>
      </c>
      <c r="M190" s="10">
        <v>8</v>
      </c>
      <c r="N190" s="30">
        <v>50</v>
      </c>
      <c r="O190" s="30">
        <v>8</v>
      </c>
      <c r="P190" s="30">
        <v>53</v>
      </c>
      <c r="Q190" s="30">
        <v>9</v>
      </c>
      <c r="R190" s="30">
        <v>49</v>
      </c>
      <c r="S190" s="30">
        <v>9</v>
      </c>
      <c r="T190" s="30">
        <v>52</v>
      </c>
      <c r="U190" s="30">
        <v>9</v>
      </c>
      <c r="V190" s="10">
        <v>46</v>
      </c>
      <c r="W190" s="10">
        <v>9</v>
      </c>
      <c r="X190" s="10">
        <v>50</v>
      </c>
      <c r="Y190" s="10">
        <v>10</v>
      </c>
      <c r="Z190" s="10">
        <v>49</v>
      </c>
      <c r="AA190" s="10">
        <v>10</v>
      </c>
      <c r="AB190" s="10">
        <v>55</v>
      </c>
      <c r="AC190" s="10">
        <v>11</v>
      </c>
      <c r="AD190" s="10">
        <v>49</v>
      </c>
      <c r="AE190" s="10">
        <v>10</v>
      </c>
      <c r="AF190" s="10">
        <v>55</v>
      </c>
      <c r="AG190" s="10">
        <v>11</v>
      </c>
      <c r="AH190" s="10">
        <v>51</v>
      </c>
      <c r="AI190" s="10">
        <v>10</v>
      </c>
      <c r="AJ190" s="10">
        <v>56</v>
      </c>
      <c r="AK190" s="10">
        <v>11</v>
      </c>
      <c r="AL190" s="10">
        <v>52</v>
      </c>
      <c r="AM190" s="10">
        <v>10</v>
      </c>
      <c r="AN190" s="10">
        <v>57</v>
      </c>
      <c r="AO190" s="10">
        <v>11</v>
      </c>
    </row>
    <row r="191" spans="5:43" x14ac:dyDescent="0.2">
      <c r="E191" s="27" t="s">
        <v>244</v>
      </c>
      <c r="F191" s="27">
        <f>AVERAGEIFS(D36:D171,$C$36:$C$171,"=1", $B$36:$B$171,"OFICIAL")</f>
        <v>52.25</v>
      </c>
      <c r="G191" s="27">
        <f>AVERAGEIFS(E36:E171,$C$36:$C$171,"=1", $B$36:$B$171,"OFICIAL")</f>
        <v>8.5</v>
      </c>
      <c r="H191" s="27">
        <f>AVERAGEIFS(D36:D171,$C$36:$C$171,"=1", $B$36:$B$171,"NO OFICIAL")</f>
        <v>52.769230769230766</v>
      </c>
      <c r="I191" s="27">
        <f>AVERAGEIFS(E36:E171,$C$36:$C$171,"=1", $B$36:$B$171,"NO OFICIAL")</f>
        <v>8.1538461538461533</v>
      </c>
      <c r="J191" s="27">
        <f>AVERAGEIFS($K$36:$K$171,$C$36:$C$171,"=1", $B$36:$B$171,"OFICIAL")</f>
        <v>49.5</v>
      </c>
      <c r="K191" s="27">
        <f>AVERAGEIFS($L$36:$L$171,$C$36:$C$171,"=1", $B$36:$B$171,"OFICIAL")</f>
        <v>8.25</v>
      </c>
      <c r="L191" s="27">
        <f>AVERAGEIFS($K$36:$K$171,$C$36:$C$171,"=1", $B$36:$B$171,"NO OFICIAL")</f>
        <v>50.75</v>
      </c>
      <c r="M191" s="27">
        <f>AVERAGEIFS($L$36:$L$171,$C$36:$C$171,"=1", $B$36:$B$171,"NO OFICIAL")</f>
        <v>8.8333333333333339</v>
      </c>
      <c r="N191" s="27">
        <f>AVERAGEIFS($R$36:$R$171,$C$36:$C$171,"=1", $B$36:$B$171,"OFICIAL")</f>
        <v>51.5</v>
      </c>
      <c r="O191" s="27">
        <f>AVERAGEIFS($S$36:$S$171,$C$36:$C$171,"=1", $B$36:$B$171,"OFICIAL")</f>
        <v>9</v>
      </c>
      <c r="P191" s="27">
        <f>AVERAGEIFS($R$36:$R$171,$C$36:$C$171,"=1", $B$36:$B$171,"NO OFICIAL")</f>
        <v>52.307692307692307</v>
      </c>
      <c r="Q191" s="27">
        <f>AVERAGEIFS($S$36:$S$171,$C$36:$C$171,"=1", $B$36:$B$171,"NO OFICIAL")</f>
        <v>7.9230769230769234</v>
      </c>
      <c r="R191" s="27">
        <f>AVERAGEIFS($Y$36:$Y$171,$C$36:$C$171,"=1", $B$36:$B$171,"OFICIAL")</f>
        <v>50.25</v>
      </c>
      <c r="S191" s="27">
        <f>AVERAGEIFS($Z$36:$Z$171,$C$36:$C$171,"=1", $B$36:$B$171,"OFICIAL")</f>
        <v>9.75</v>
      </c>
      <c r="T191" s="27">
        <f>AVERAGEIFS($Y$36:$Y$171,$C$36:$C$171,"=1", $B$36:$B$171,"NO OFICIAL")</f>
        <v>50</v>
      </c>
      <c r="U191" s="27">
        <f>AVERAGEIFS($Z$36:$Z$171,$C$36:$C$171,"=1", $B$36:$B$171,"NO OFICIAL")</f>
        <v>8.6923076923076916</v>
      </c>
      <c r="V191" s="27">
        <f>AVERAGEIFS($AF$36:$AF$171,$C$36:$C$171,"=1", $B$36:$B$171,"OFICIAL")</f>
        <v>46.5</v>
      </c>
      <c r="W191" s="27">
        <f>AVERAGEIFS($AG$36:$AG$171,$C$36:$C$171,"=1", $B$36:$B$171,"OFICIAL")</f>
        <v>8.75</v>
      </c>
      <c r="X191" s="27">
        <f>AVERAGEIFS($AF$36:$AF$171,$C$36:$C$171,"=1", $B$36:$B$171,"NO OFICIAL")</f>
        <v>48.53846153846154</v>
      </c>
      <c r="Y191" s="27">
        <f>AVERAGEIFS($AG$36:$AG$171,$C$36:$C$171,"=1", $B$36:$B$171,"NO OFICIAL")</f>
        <v>8.9230769230769234</v>
      </c>
      <c r="Z191" s="27">
        <f>AVERAGEIFS($AM$36:$AM$171,$C$36:$C$171,"=1", $B$36:$B$171,"OFICIAL")</f>
        <v>49.5</v>
      </c>
      <c r="AA191" s="27">
        <f>AVERAGEIFS($AO$36:$AO$171,$C$36:$C$171,"=1", $B$36:$B$171,"OFICIAL")</f>
        <v>9.75</v>
      </c>
      <c r="AB191" s="27">
        <f>AVERAGEIFS($AM$36:$AM$171,$C$36:$C$171,"=1", $B$36:$B$171,"NO OFICIAL")</f>
        <v>52.769230769230766</v>
      </c>
      <c r="AC191" s="27">
        <f>AVERAGEIFS($AO$36:$AO$171,$C$36:$C$171,"=1", $B$36:$B$171,"NO OFICIAL")</f>
        <v>9.384615384615385</v>
      </c>
      <c r="AD191" s="27">
        <f>AVERAGEIFS($AV$36:$AV$171,$C$36:$C$171,"=1", $B$36:$B$171,"OFICIAL")</f>
        <v>49.6</v>
      </c>
      <c r="AE191" s="27">
        <f>AVERAGEIFS($AX$36:$AX$171,$C$36:$C$171,"=1", $B$36:$B$171,"OFICIAL")</f>
        <v>9.6</v>
      </c>
      <c r="AF191" s="27">
        <f>AVERAGEIFS($AV$36:$AV$171,$C$36:$C$171,"=1", $B$36:$B$171,"NO OFICIAL")</f>
        <v>52.92307692307692</v>
      </c>
      <c r="AG191" s="27">
        <f>AVERAGEIFS($AX$36:$AX$171,$C$36:$C$171,"=1", $B$36:$B$171,"NO OFICIAL")</f>
        <v>10.23076923076923</v>
      </c>
      <c r="AH191" s="27">
        <f>AVERAGEIFS($BE$36:$BE$171,$C$36:$C$171,"=1", $B$36:$B$171,"OFICIAL")</f>
        <v>49.8</v>
      </c>
      <c r="AI191" s="27">
        <f>AVERAGEIFS($BG$36:$BG$171,$C$36:$C$171,"=1", $B$36:$B$171,"OFICIAL")</f>
        <v>9.4</v>
      </c>
      <c r="AJ191" s="27">
        <f>AVERAGEIFS($BE$36:$BE$171,$C$36:$C$171,"=1", $B$36:$B$171,"NO OFICIAL")</f>
        <v>54.416666666666664</v>
      </c>
      <c r="AK191" s="27">
        <f>AVERAGEIFS($BG$36:$BG$171,$C$36:$C$171,"=1", $B$36:$B$171,"NO OFICIAL")</f>
        <v>9.5</v>
      </c>
      <c r="AL191" s="27">
        <v>50.6</v>
      </c>
      <c r="AM191" s="27">
        <v>9.4</v>
      </c>
      <c r="AN191" s="27">
        <v>55.307692307692307</v>
      </c>
      <c r="AO191" s="27">
        <v>9.1538461538461533</v>
      </c>
    </row>
    <row r="192" spans="5:43" x14ac:dyDescent="0.2">
      <c r="E192" s="27" t="s">
        <v>245</v>
      </c>
      <c r="F192" s="27">
        <f>AVERAGEIFS(D36:D171,$C$36:$C$171,"=2", $B$36:$B$171,"OFICIAL")</f>
        <v>52</v>
      </c>
      <c r="G192" s="27">
        <f>AVERAGEIFS(E36:E171,$C$36:$C$171,"=2", $B$36:$B$171,"OFICIAL")</f>
        <v>8.5</v>
      </c>
      <c r="H192" s="27">
        <f>AVERAGEIFS(D36:D171,$C$36:$C$171,"=2", $B$36:$B$171,"NO OFICIAL")</f>
        <v>55</v>
      </c>
      <c r="I192" s="27">
        <f>AVERAGEIFS(E36:E171,$C$36:$C$171,"=2", $B$36:$B$171,"NO OFICIAL")</f>
        <v>9.3333333333333339</v>
      </c>
      <c r="J192" s="27">
        <f>AVERAGEIFS($K$36:$K$171,$C$36:$C$171,"=2", $B$36:$B$171,"OFICIAL")</f>
        <v>50.5</v>
      </c>
      <c r="K192" s="27">
        <f>AVERAGEIFS($L$36:$L$171,$C$36:$C$171,"=2", $B$36:$B$171,"OFICIAL")</f>
        <v>9</v>
      </c>
      <c r="L192" s="27">
        <f>AVERAGEIFS($K$36:$K$171,$C$36:$C$171,"=2", $B$36:$B$171,"NO OFICIAL")</f>
        <v>52.529411764705884</v>
      </c>
      <c r="M192" s="27">
        <f>AVERAGEIFS($L$36:$L$171,$C$36:$C$171,"=2", $B$36:$B$171,"NO OFICIAL")</f>
        <v>8.6470588235294112</v>
      </c>
      <c r="N192" s="27">
        <f>AVERAGEIFS($R$36:$R$171,$C$36:$C$171,"=2", $B$36:$B$171,"OFICIAL")</f>
        <v>51.5</v>
      </c>
      <c r="O192" s="27">
        <f>AVERAGEIFS($S$36:$S$171,$C$36:$C$171,"=2", $B$36:$B$171,"OFICIAL")</f>
        <v>9</v>
      </c>
      <c r="P192" s="27">
        <f>AVERAGEIFS($R$36:$R$171,$C$36:$C$171,"=2", $B$36:$B$171,"NO OFICIAL")</f>
        <v>54.294117647058826</v>
      </c>
      <c r="Q192" s="27">
        <f>AVERAGEIFS($S$36:$S$171,$C$36:$C$171,"=2", $B$36:$B$171,"NO OFICIAL")</f>
        <v>8.5882352941176467</v>
      </c>
      <c r="R192" s="27">
        <f>AVERAGEIFS($Y$36:$Y$171,$C$36:$C$171,"=2", $B$36:$B$171,"OFICIAL")</f>
        <v>51</v>
      </c>
      <c r="S192" s="27">
        <f>AVERAGEIFS($Z$36:$Z$171,$C$36:$C$171,"=2", $B$36:$B$171,"OFICIAL")</f>
        <v>9.5</v>
      </c>
      <c r="T192" s="27">
        <f>AVERAGEIFS($Y$36:$Y$171,$C$36:$C$171,"=2", $B$36:$B$171,"NO OFICIAL")</f>
        <v>53.722222222222221</v>
      </c>
      <c r="U192" s="27">
        <f>AVERAGEIFS($Z$36:$Z$171,$C$36:$C$171,"=2", $B$36:$B$171,"NO OFICIAL")</f>
        <v>9.7222222222222214</v>
      </c>
      <c r="V192" s="27">
        <f>AVERAGEIFS($AF$36:$AF$171,$C$36:$C$171,"=2", $B$36:$B$171,"OFICIAL")</f>
        <v>47</v>
      </c>
      <c r="W192" s="27">
        <f>AVERAGEIFS($AG$36:$AG$171,$C$36:$C$171,"=2", $B$36:$B$171,"OFICIAL")</f>
        <v>8.5</v>
      </c>
      <c r="X192" s="27">
        <f>AVERAGEIFS($AF$36:$AF$171,$C$36:$C$171,"=2", $B$36:$B$171,"NO OFICIAL")</f>
        <v>48.727272727272727</v>
      </c>
      <c r="Y192" s="27">
        <f>AVERAGEIFS($AG$36:$AG$171,$C$36:$C$171,"=2", $B$36:$B$171,"NO OFICIAL")</f>
        <v>7.8636363636363633</v>
      </c>
      <c r="Z192" s="27">
        <f>AVERAGEIFS($AM$36:$AM$171,$C$36:$C$171,"=2", $B$36:$B$171,"OFICIAL")</f>
        <v>50</v>
      </c>
      <c r="AA192" s="27">
        <f>AVERAGEIFS($AO$36:$AO$171,$C$36:$C$171,"=2", $B$36:$B$171,"OFICIAL")</f>
        <v>10</v>
      </c>
      <c r="AB192" s="27">
        <f>AVERAGEIFS($AM$36:$AM$171,$C$36:$C$171,"=2", $B$36:$B$171,"NO OFICIAL")</f>
        <v>53.55</v>
      </c>
      <c r="AC192" s="27">
        <f>AVERAGEIFS($AO$36:$AO$171,$C$36:$C$171,"=2", $B$36:$B$171,"NO OFICIAL")</f>
        <v>9</v>
      </c>
      <c r="AD192" s="27">
        <f>AVERAGEIFS($AV$36:$AV$171,$C$36:$C$171,"=2", $B$36:$B$171,"OFICIAL")</f>
        <v>50.5</v>
      </c>
      <c r="AE192" s="27">
        <f>AVERAGEIFS($AX$36:$AX$171,$C$36:$C$171,"=2", $B$36:$B$171,"OFICIAL")</f>
        <v>9.5</v>
      </c>
      <c r="AF192" s="27">
        <f>AVERAGEIFS($AV$36:$AV$171,$C$36:$C$171,"=2", $B$36:$B$171,"NO OFICIAL")</f>
        <v>55.80952380952381</v>
      </c>
      <c r="AG192" s="27">
        <f>AVERAGEIFS($AX$36:$AX$171,$C$36:$C$171,"=2", $B$36:$B$171,"NO OFICIAL")</f>
        <v>9.5238095238095237</v>
      </c>
      <c r="AH192" s="27">
        <f>AVERAGEIFS($BE$36:$BE$171,$C$36:$C$171,"=2", $B$36:$B$171,"OFICIAL")</f>
        <v>51</v>
      </c>
      <c r="AI192" s="27">
        <f>AVERAGEIFS($BG$36:$BG$171,$C$36:$C$171,"=2", $B$36:$B$171,"OFICIAL")</f>
        <v>9.5</v>
      </c>
      <c r="AJ192" s="27">
        <f>AVERAGEIFS($BE$36:$BE$171,$C$36:$C$171,"=2", $B$36:$B$171,"NO OFICIAL")</f>
        <v>55.045454545454547</v>
      </c>
      <c r="AK192" s="27">
        <f>AVERAGEIFS($BG$36:$BG$171,$C$36:$C$171,"=2", $B$36:$B$171,"NO OFICIAL")</f>
        <v>9.2272727272727266</v>
      </c>
      <c r="AL192" s="27">
        <v>53</v>
      </c>
      <c r="AM192" s="27">
        <v>9.75</v>
      </c>
      <c r="AN192" s="27">
        <v>56.65</v>
      </c>
      <c r="AO192" s="27">
        <v>9.9</v>
      </c>
    </row>
    <row r="193" spans="5:43" x14ac:dyDescent="0.2">
      <c r="E193" s="27" t="s">
        <v>246</v>
      </c>
      <c r="F193" s="27">
        <f>AVERAGEIFS(D36:D171,$C$36:$C$171,"=3", $B$36:$B$171,"OFICIAL")</f>
        <v>51.8</v>
      </c>
      <c r="G193" s="27">
        <f>AVERAGEIFS(E36:E171,$C$36:$C$171,"=3", $B$36:$B$171,"OFICIAL")</f>
        <v>9</v>
      </c>
      <c r="H193" s="27">
        <f>AVERAGEIFS(D36:D171,$C$36:$C$171,"=3", $B$36:$B$171,"NO OFICIAL")</f>
        <v>55.153846153846153</v>
      </c>
      <c r="I193" s="27">
        <f>AVERAGEIFS(E36:E171,$C$36:$C$171,"=3", $B$36:$B$171,"NO OFICIAL")</f>
        <v>8.9230769230769234</v>
      </c>
      <c r="J193" s="27">
        <f>AVERAGEIFS($K$36:$K$171,$C$36:$C$171,"=3", $B$36:$B$171,"OFICIAL")</f>
        <v>50.4</v>
      </c>
      <c r="K193" s="27">
        <f>AVERAGEIFS($L$36:$L$171,$C$36:$C$171,"=3", $B$36:$B$171,"OFICIAL")</f>
        <v>9.4</v>
      </c>
      <c r="L193" s="27">
        <f>AVERAGEIFS($K$36:$K$171,$C$36:$C$171,"=3", $B$36:$B$171,"NO OFICIAL")</f>
        <v>51.428571428571431</v>
      </c>
      <c r="M193" s="27">
        <f>AVERAGEIFS($L$36:$L$171,$C$36:$C$171,"=3", $B$36:$B$171,"NO OFICIAL")</f>
        <v>8.9285714285714288</v>
      </c>
      <c r="N193" s="27">
        <f>AVERAGEIFS($R$36:$R$171,$C$36:$C$171,"=3", $B$36:$B$171,"OFICIAL")</f>
        <v>51.6</v>
      </c>
      <c r="O193" s="27">
        <f>AVERAGEIFS($S$36:$S$171,$C$36:$C$171,"=3", $B$36:$B$171,"OFICIAL")</f>
        <v>9.1999999999999993</v>
      </c>
      <c r="P193" s="27">
        <f>AVERAGEIFS($R$36:$R$171,$C$36:$C$171,"=3", $B$36:$B$171,"NO OFICIAL")</f>
        <v>53.285714285714285</v>
      </c>
      <c r="Q193" s="27">
        <f>AVERAGEIFS($S$36:$S$171,$C$36:$C$171,"=3", $B$36:$B$171,"NO OFICIAL")</f>
        <v>8.5714285714285712</v>
      </c>
      <c r="R193" s="27">
        <f>AVERAGEIFS($Y$36:$Y$171,$C$36:$C$171,"=3", $B$36:$B$171,"OFICIAL")</f>
        <v>49.4</v>
      </c>
      <c r="S193" s="27">
        <f>AVERAGEIFS($Z$36:$Z$171,$C$36:$C$171,"=3", $B$36:$B$171,"OFICIAL")</f>
        <v>9.6</v>
      </c>
      <c r="T193" s="27">
        <f>AVERAGEIFS($Y$36:$Y$171,$C$36:$C$171,"=3", $B$36:$B$171,"NO OFICIAL")</f>
        <v>52.357142857142854</v>
      </c>
      <c r="U193" s="27">
        <f>AVERAGEIFS($Z$36:$Z$171,$C$36:$C$171,"=3", $B$36:$B$171,"NO OFICIAL")</f>
        <v>9.4285714285714288</v>
      </c>
      <c r="V193" s="27">
        <f>AVERAGEIFS($AF$36:$AF$171,$C$36:$C$171,"=3", $B$36:$B$171,"OFICIAL")</f>
        <v>47</v>
      </c>
      <c r="W193" s="27">
        <f>AVERAGEIFS($AG$36:$AG$171,$C$36:$C$171,"=3", $B$36:$B$171,"OFICIAL")</f>
        <v>8.8000000000000007</v>
      </c>
      <c r="X193" s="27">
        <f>AVERAGEIFS($AF$36:$AF$171,$C$36:$C$171,"=3", $B$36:$B$171,"NO OFICIAL")</f>
        <v>49.733333333333334</v>
      </c>
      <c r="Y193" s="27">
        <f>AVERAGEIFS($AG$36:$AG$171,$C$36:$C$171,"=3", $B$36:$B$171,"NO OFICIAL")</f>
        <v>8.4</v>
      </c>
      <c r="Z193" s="27">
        <f>AVERAGEIFS($AM$36:$AM$171,$C$36:$C$171,"=3", $B$36:$B$171,"OFICIAL")</f>
        <v>49</v>
      </c>
      <c r="AA193" s="27">
        <f>AVERAGEIFS($AO$36:$AO$171,$C$36:$C$171,"=3", $B$36:$B$171,"OFICIAL")</f>
        <v>10</v>
      </c>
      <c r="AB193" s="27">
        <f>AVERAGEIFS($AM$36:$AM$171,$C$36:$C$171,"=3", $B$36:$B$171,"NO OFICIAL")</f>
        <v>53.333333333333336</v>
      </c>
      <c r="AC193" s="27">
        <f>AVERAGEIFS($AO$36:$AO$171,$C$36:$C$171,"=3", $B$36:$B$171,"NO OFICIAL")</f>
        <v>10.133333333333333</v>
      </c>
      <c r="AD193" s="27">
        <f>AVERAGEIFS($AV$36:$AV$171,$C$36:$C$171,"=3", $B$36:$B$171,"OFICIAL")</f>
        <v>51.666666666666664</v>
      </c>
      <c r="AE193" s="27">
        <f>AVERAGEIFS($AX$36:$AX$171,$C$36:$C$171,"=3", $B$36:$B$171,"OFICIAL")</f>
        <v>10.833333333333334</v>
      </c>
      <c r="AF193" s="27">
        <f>AVERAGEIFS($AV$36:$AV$171,$C$36:$C$171,"=3", $B$36:$B$171,"NO OFICIAL")</f>
        <v>55.375</v>
      </c>
      <c r="AG193" s="27">
        <f>AVERAGEIFS($AX$36:$AX$171,$C$36:$C$171,"=3", $B$36:$B$171,"NO OFICIAL")</f>
        <v>9.8125</v>
      </c>
      <c r="AH193" s="27">
        <f>AVERAGEIFS($BE$36:$BE$171,$C$36:$C$171,"=3", $B$36:$B$171,"OFICIAL")</f>
        <v>51.333333333333336</v>
      </c>
      <c r="AI193" s="27">
        <f>AVERAGEIFS($BG$36:$BG$171,$C$36:$C$171,"=3", $B$36:$B$171,"OFICIAL")</f>
        <v>9.6666666666666661</v>
      </c>
      <c r="AJ193" s="27">
        <f>AVERAGEIFS($BE$36:$BE$171,$C$36:$C$171,"=3", $B$36:$B$171,"NO OFICIAL")</f>
        <v>55.5625</v>
      </c>
      <c r="AK193" s="27">
        <f>AVERAGEIFS($BG$36:$BG$171,$C$36:$C$171,"=3", $B$36:$B$171,"NO OFICIAL")</f>
        <v>9.9375</v>
      </c>
      <c r="AL193" s="27">
        <v>52.333333333333336</v>
      </c>
      <c r="AM193" s="27">
        <v>10.833333333333334</v>
      </c>
      <c r="AN193" s="27">
        <v>56.3125</v>
      </c>
      <c r="AO193" s="27">
        <v>9.75</v>
      </c>
    </row>
    <row r="194" spans="5:43" x14ac:dyDescent="0.2">
      <c r="E194" s="27" t="s">
        <v>247</v>
      </c>
      <c r="F194" s="27">
        <f>AVERAGEIFS(D36:D171,$C$36:$C$171,"=4", $B$36:$B$171,"OFICIAL")</f>
        <v>49.333333333333336</v>
      </c>
      <c r="G194" s="27">
        <f>AVERAGEIFS(E36:E171,$C$36:$C$171,"=4", $B$36:$B$171,"OFICIAL")</f>
        <v>8.5</v>
      </c>
      <c r="H194" s="27">
        <f>AVERAGEIFS(D36:D171,$C$36:$C$171,"=4", $B$36:$B$171,"NO OFICIAL")</f>
        <v>51.875</v>
      </c>
      <c r="I194" s="27">
        <f>AVERAGEIFS(E36:E171,$C$36:$C$171,"=4", $B$36:$B$171,"NO OFICIAL")</f>
        <v>8.375</v>
      </c>
      <c r="J194" s="27">
        <f>AVERAGEIFS($K$36:$K$171,$C$36:$C$171,"=4", $B$36:$B$171,"OFICIAL")</f>
        <v>47.333333333333336</v>
      </c>
      <c r="K194" s="27">
        <f>AVERAGEIFS($L$36:$L$171,$C$36:$C$171,"=4", $B$36:$B$171,"OFICIAL")</f>
        <v>8.8333333333333339</v>
      </c>
      <c r="L194" s="27">
        <f>AVERAGEIFS($K$36:$K$171,$C$36:$C$171,"=4", $B$36:$B$171,"NO OFICIAL")</f>
        <v>50.888888888888886</v>
      </c>
      <c r="M194" s="27">
        <f>AVERAGEIFS($L$36:$L$171,$C$36:$C$171,"=4", $B$36:$B$171,"NO OFICIAL")</f>
        <v>6.5555555555555554</v>
      </c>
      <c r="N194" s="27">
        <f>AVERAGEIFS($R$36:$R$171,$C$36:$C$171,"=4", $B$36:$B$171,"OFICIAL")</f>
        <v>48.5</v>
      </c>
      <c r="O194" s="27">
        <f>AVERAGEIFS($S$36:$S$171,$C$36:$C$171,"=4", $B$36:$B$171,"OFICIAL")</f>
        <v>8.3333333333333339</v>
      </c>
      <c r="P194" s="27">
        <f>AVERAGEIFS($R$36:$R$171,$C$36:$C$171,"=4", $B$36:$B$171,"NO OFICIAL")</f>
        <v>54.555555555555557</v>
      </c>
      <c r="Q194" s="27">
        <f>AVERAGEIFS($S$36:$S$171,$C$36:$C$171,"=4", $B$36:$B$171,"NO OFICIAL")</f>
        <v>8.2222222222222214</v>
      </c>
      <c r="R194" s="27">
        <f>AVERAGEIFS($Y$36:$Y$171,$C$36:$C$171,"=4", $B$36:$B$171,"OFICIAL")</f>
        <v>46.833333333333336</v>
      </c>
      <c r="S194" s="27">
        <f>AVERAGEIFS($Z$36:$Z$171,$C$36:$C$171,"=4", $B$36:$B$171,"OFICIAL")</f>
        <v>9.1666666666666661</v>
      </c>
      <c r="T194" s="27">
        <f>AVERAGEIFS($Y$36:$Y$171,$C$36:$C$171,"=4", $B$36:$B$171,"NO OFICIAL")</f>
        <v>50.25</v>
      </c>
      <c r="U194" s="27">
        <f>AVERAGEIFS($Z$36:$Z$171,$C$36:$C$171,"=4", $B$36:$B$171,"NO OFICIAL")</f>
        <v>8.375</v>
      </c>
      <c r="V194" s="27">
        <f>AVERAGEIFS($AF$36:$AF$171,$C$36:$C$171,"=4", $B$36:$B$171,"OFICIAL")</f>
        <v>44</v>
      </c>
      <c r="W194" s="27">
        <f>AVERAGEIFS($AG$36:$AG$171,$C$36:$C$171,"=4", $B$36:$B$171,"OFICIAL")</f>
        <v>7.5</v>
      </c>
      <c r="X194" s="27">
        <f>AVERAGEIFS($AF$36:$AF$171,$C$36:$C$171,"=4", $B$36:$B$171,"NO OFICIAL")</f>
        <v>47.428571428571431</v>
      </c>
      <c r="Y194" s="27">
        <f>AVERAGEIFS($AG$36:$AG$171,$C$36:$C$171,"=4", $B$36:$B$171,"NO OFICIAL")</f>
        <v>8.5714285714285712</v>
      </c>
      <c r="Z194" s="27">
        <f>AVERAGEIFS($AM$36:$AM$171,$C$36:$C$171,"=4", $B$36:$B$171,"OFICIAL")</f>
        <v>46</v>
      </c>
      <c r="AA194" s="27">
        <f>AVERAGEIFS($AO$36:$AO$171,$C$36:$C$171,"=4", $B$36:$B$171,"OFICIAL")</f>
        <v>8.8333333333333339</v>
      </c>
      <c r="AB194" s="27">
        <f>AVERAGEIFS($AM$36:$AM$171,$C$36:$C$171,"=4", $B$36:$B$171,"NO OFICIAL")</f>
        <v>51</v>
      </c>
      <c r="AC194" s="27">
        <f>AVERAGEIFS($AO$36:$AO$171,$C$36:$C$171,"=4", $B$36:$B$171,"NO OFICIAL")</f>
        <v>8.625</v>
      </c>
      <c r="AD194" s="27">
        <f>AVERAGEIFS($AV$36:$AV$171,$C$36:$C$171,"=4", $B$36:$B$171,"OFICIAL")</f>
        <v>48.333333333333336</v>
      </c>
      <c r="AE194" s="27">
        <f>AVERAGEIFS($AX$36:$AX$171,$C$36:$C$171,"=4", $B$36:$B$171,"OFICIAL")</f>
        <v>9.3333333333333339</v>
      </c>
      <c r="AF194" s="27">
        <f>AVERAGEIFS($AV$36:$AV$171,$C$36:$C$171,"=4", $B$36:$B$171,"NO OFICIAL")</f>
        <v>50.875</v>
      </c>
      <c r="AG194" s="27">
        <f>AVERAGEIFS($AX$36:$AX$171,$C$36:$C$171,"=4", $B$36:$B$171,"NO OFICIAL")</f>
        <v>9.375</v>
      </c>
      <c r="AH194" s="27">
        <f>AVERAGEIFS($BE$36:$BE$171,$C$36:$C$171,"=4", $B$36:$B$171,"OFICIAL")</f>
        <v>47.666666666666664</v>
      </c>
      <c r="AI194" s="27">
        <f>AVERAGEIFS($BG$36:$BG$171,$C$36:$C$171,"=4", $B$36:$B$171,"OFICIAL")</f>
        <v>8.8333333333333339</v>
      </c>
      <c r="AJ194" s="27">
        <f>AVERAGEIFS($BE$36:$BE$171,$C$36:$C$171,"=4", $B$36:$B$171,"NO OFICIAL")</f>
        <v>50.333333333333336</v>
      </c>
      <c r="AK194" s="27">
        <f>AVERAGEIFS($BG$36:$BG$171,$C$36:$C$171,"=4", $B$36:$B$171,"NO OFICIAL")</f>
        <v>9</v>
      </c>
      <c r="AL194" s="27">
        <v>47.833333333333336</v>
      </c>
      <c r="AM194" s="27">
        <v>8.8333333333333339</v>
      </c>
      <c r="AN194" s="27">
        <v>53.142857142857146</v>
      </c>
      <c r="AO194" s="27">
        <v>9.7142857142857135</v>
      </c>
    </row>
    <row r="195" spans="5:43" x14ac:dyDescent="0.2">
      <c r="E195" s="27" t="s">
        <v>248</v>
      </c>
      <c r="F195" s="27">
        <f>AVERAGEIFS(D36:D171,$C$36:$C$171,"=5", $B$36:$B$171,"OFICIAL")</f>
        <v>53.333333333333336</v>
      </c>
      <c r="G195" s="27">
        <f>AVERAGEIFS(E36:E171,$C$36:$C$171,"=5", $B$36:$B$171,"OFICIAL")</f>
        <v>9</v>
      </c>
      <c r="H195" s="27">
        <f>AVERAGEIFS(D36:D171,$C$36:$C$171,"=5", $B$36:$B$171,"NO OFICIAL")</f>
        <v>57.785714285714285</v>
      </c>
      <c r="I195" s="27">
        <f>AVERAGEIFS(E36:E171,$C$36:$C$171,"=5", $B$36:$B$171,"NO OFICIAL")</f>
        <v>9.2142857142857135</v>
      </c>
      <c r="J195" s="27">
        <f>AVERAGEIFS($K$36:$K$171,$C$36:$C$171,"=5", $B$36:$B$171,"OFICIAL")</f>
        <v>51.333333333333336</v>
      </c>
      <c r="K195" s="27">
        <f>AVERAGEIFS($L$36:$L$171,$C$36:$C$171,"=5", $B$36:$B$171,"OFICIAL")</f>
        <v>9</v>
      </c>
      <c r="L195" s="27">
        <f>AVERAGEIFS($K$36:$K$171,$C$36:$C$171,"=5", $B$36:$B$171,"NO OFICIAL")</f>
        <v>56.285714285714285</v>
      </c>
      <c r="M195" s="27">
        <f>AVERAGEIFS($L$36:$L$171,$C$36:$C$171,"=5", $B$36:$B$171,"NO OFICIAL")</f>
        <v>8.7142857142857135</v>
      </c>
      <c r="N195" s="27">
        <f>AVERAGEIFS($R$36:$R$171,$C$36:$C$171,"=5", $B$36:$B$171,"OFICIAL")</f>
        <v>51.333333333333336</v>
      </c>
      <c r="O195" s="27">
        <f>AVERAGEIFS($S$36:$S$171,$C$36:$C$171,"=5", $B$36:$B$171,"OFICIAL")</f>
        <v>9</v>
      </c>
      <c r="P195" s="27">
        <f>AVERAGEIFS($R$36:$R$171,$C$36:$C$171,"=5", $B$36:$B$171,"NO OFICIAL")</f>
        <v>56.733333333333334</v>
      </c>
      <c r="Q195" s="27">
        <f>AVERAGEIFS($S$36:$S$171,$C$36:$C$171,"=5", $B$36:$B$171,"NO OFICIAL")</f>
        <v>8.6666666666666661</v>
      </c>
      <c r="R195" s="27">
        <f>AVERAGEIFS($Y$36:$Y$171,$C$36:$C$171,"=5", $B$36:$B$171,"OFICIAL")</f>
        <v>52</v>
      </c>
      <c r="S195" s="27">
        <f>AVERAGEIFS($Z$36:$Z$171,$C$36:$C$171,"=5", $B$36:$B$171,"OFICIAL")</f>
        <v>9.3333333333333339</v>
      </c>
      <c r="T195" s="27">
        <f>AVERAGEIFS($Y$36:$Y$171,$C$36:$C$171,"=5", $B$36:$B$171,"NO OFICIAL")</f>
        <v>55.6875</v>
      </c>
      <c r="U195" s="27">
        <f>AVERAGEIFS($Z$36:$Z$171,$C$36:$C$171,"=5", $B$36:$B$171,"NO OFICIAL")</f>
        <v>9.0625</v>
      </c>
      <c r="V195" s="27">
        <f>AVERAGEIFS($AF$36:$AF$171,$C$36:$C$171,"=5", $B$36:$B$171,"OFICIAL")</f>
        <v>48.666666666666664</v>
      </c>
      <c r="W195" s="27">
        <f>AVERAGEIFS($AG$36:$AG$171,$C$36:$C$171,"=5", $B$36:$B$171,"OFICIAL")</f>
        <v>8.3333333333333339</v>
      </c>
      <c r="X195" s="27">
        <f>AVERAGEIFS($AF$36:$AF$171,$C$36:$C$171,"=5", $B$36:$B$171,"NO OFICIAL")</f>
        <v>51.666666666666664</v>
      </c>
      <c r="Y195" s="27">
        <f>AVERAGEIFS($AG$36:$AG$171,$C$36:$C$171,"=5", $B$36:$B$171,"NO OFICIAL")</f>
        <v>9.1999999999999993</v>
      </c>
      <c r="Z195" s="27">
        <f>AVERAGEIFS($AM$36:$AM$171,$C$36:$C$171,"=5", $B$36:$B$171,"OFICIAL")</f>
        <v>52</v>
      </c>
      <c r="AA195" s="27">
        <f>AVERAGEIFS($AO$36:$AO$171,$C$36:$C$171,"=5", $B$36:$B$171,"OFICIAL")</f>
        <v>9.3333333333333339</v>
      </c>
      <c r="AB195" s="27">
        <f>AVERAGEIFS($AM$36:$AM$171,$C$36:$C$171,"=5", $B$36:$B$171,"NO OFICIAL")</f>
        <v>56.93333333333333</v>
      </c>
      <c r="AC195" s="27">
        <f>AVERAGEIFS($AO$36:$AO$171,$C$36:$C$171,"=5", $B$36:$B$171,"NO OFICIAL")</f>
        <v>9.6666666666666661</v>
      </c>
      <c r="AD195" s="27">
        <f>AVERAGEIFS($AV$36:$AV$171,$C$36:$C$171,"=5", $B$36:$B$171,"OFICIAL")</f>
        <v>54.333333333333336</v>
      </c>
      <c r="AE195" s="27">
        <f>AVERAGEIFS($AX$36:$AX$171,$C$36:$C$171,"=5", $B$36:$B$171,"OFICIAL")</f>
        <v>10.333333333333334</v>
      </c>
      <c r="AF195" s="27">
        <f>AVERAGEIFS($AV$36:$AV$171,$C$36:$C$171,"=5", $B$36:$B$171,"NO OFICIAL")</f>
        <v>57.714285714285715</v>
      </c>
      <c r="AG195" s="27">
        <f>AVERAGEIFS($AX$36:$AX$171,$C$36:$C$171,"=5", $B$36:$B$171,"NO OFICIAL")</f>
        <v>9.2142857142857135</v>
      </c>
      <c r="AH195" s="27">
        <f>AVERAGEIFS($BE$36:$BE$171,$C$36:$C$171,"=5", $B$36:$B$171,"OFICIAL")</f>
        <v>54</v>
      </c>
      <c r="AI195" s="27">
        <f>AVERAGEIFS($BG$36:$BG$171,$C$36:$C$171,"=5", $B$36:$B$171,"OFICIAL")</f>
        <v>10</v>
      </c>
      <c r="AJ195" s="27">
        <f>AVERAGEIFS($BE$36:$BE$171,$C$36:$C$171,"=5", $B$36:$B$171,"NO OFICIAL")</f>
        <v>58.214285714285715</v>
      </c>
      <c r="AK195" s="27">
        <f>AVERAGEIFS($BG$36:$BG$171,$C$36:$C$171,"=5", $B$36:$B$171,"NO OFICIAL")</f>
        <v>9.6428571428571423</v>
      </c>
      <c r="AL195" s="27">
        <v>54.666666666666664</v>
      </c>
      <c r="AM195" s="27">
        <v>10.333333333333334</v>
      </c>
      <c r="AN195" s="27">
        <v>56.533333333333331</v>
      </c>
      <c r="AO195" s="27">
        <v>9.6666666666666661</v>
      </c>
    </row>
    <row r="196" spans="5:43" x14ac:dyDescent="0.2">
      <c r="E196" s="27" t="s">
        <v>249</v>
      </c>
      <c r="F196" s="27">
        <f>AVERAGEIFS(D36:D171,$C$36:$C$171,"=6", $B$36:$B$171,"OFICIAL")</f>
        <v>52.5</v>
      </c>
      <c r="G196" s="27">
        <f>AVERAGEIFS(E36:E171,$C$36:$C$171,"=6", $B$36:$B$171,"OFICIAL")</f>
        <v>8.75</v>
      </c>
      <c r="H196" s="27">
        <f>AVERAGEIFS(D36:D171,$C$36:$C$171,"=6", $B$36:$B$171,"NO OFICIAL")</f>
        <v>54.81818181818182</v>
      </c>
      <c r="I196" s="27">
        <f>AVERAGEIFS(E36:E171,$C$36:$C$171,"=6", $B$36:$B$171,"NO OFICIAL")</f>
        <v>8.1818181818181817</v>
      </c>
      <c r="J196" s="27">
        <f>AVERAGEIFS($K$36:$K$171,$C$36:$C$171,"=6", $B$36:$B$171,"OFICIAL")</f>
        <v>50</v>
      </c>
      <c r="K196" s="27">
        <f>AVERAGEIFS($L$36:$L$171,$C$36:$C$171,"=6", $B$36:$B$171,"OFICIAL")</f>
        <v>9.5</v>
      </c>
      <c r="L196" s="27">
        <f>AVERAGEIFS($K$36:$K$171,$C$36:$C$171,"=6", $B$36:$B$171,"NO OFICIAL")</f>
        <v>51.272727272727273</v>
      </c>
      <c r="M196" s="27">
        <f>AVERAGEIFS($L$36:$L$171,$C$36:$C$171,"=6", $B$36:$B$171,"NO OFICIAL")</f>
        <v>9.2727272727272734</v>
      </c>
      <c r="N196" s="27">
        <f>AVERAGEIFS($R$36:$R$171,$C$36:$C$171,"=6", $B$36:$B$171,"OFICIAL")</f>
        <v>51</v>
      </c>
      <c r="O196" s="27">
        <f>AVERAGEIFS($S$36:$S$171,$C$36:$C$171,"=6", $B$36:$B$171,"OFICIAL")</f>
        <v>8.25</v>
      </c>
      <c r="P196" s="27">
        <f>AVERAGEIFS($R$36:$R$171,$C$36:$C$171,"=6", $B$36:$B$171,"NO OFICIAL")</f>
        <v>52.9</v>
      </c>
      <c r="Q196" s="27">
        <f>AVERAGEIFS($S$36:$S$171,$C$36:$C$171,"=6", $B$36:$B$171,"NO OFICIAL")</f>
        <v>8.6999999999999993</v>
      </c>
      <c r="R196" s="27">
        <f>AVERAGEIFS($Y$36:$Y$171,$C$36:$C$171,"=6", $B$36:$B$171,"OFICIAL")</f>
        <v>49.75</v>
      </c>
      <c r="S196" s="27">
        <f>AVERAGEIFS($Z$36:$Z$171,$C$36:$C$171,"=6", $B$36:$B$171,"OFICIAL")</f>
        <v>9.75</v>
      </c>
      <c r="T196" s="27">
        <f>AVERAGEIFS($Y$36:$Y$171,$C$36:$C$171,"=6", $B$36:$B$171,"NO OFICIAL")</f>
        <v>52.454545454545453</v>
      </c>
      <c r="U196" s="27">
        <f>AVERAGEIFS($Z$36:$Z$171,$C$36:$C$171,"=6", $B$36:$B$171,"NO OFICIAL")</f>
        <v>9</v>
      </c>
      <c r="V196" s="27">
        <f>AVERAGEIFS($AF$36:$AF$171,$C$36:$C$171,"=6", $B$36:$B$171,"OFICIAL")</f>
        <v>47.25</v>
      </c>
      <c r="W196" s="27">
        <f>AVERAGEIFS($AG$36:$AG$171,$C$36:$C$171,"=6", $B$36:$B$171,"OFICIAL")</f>
        <v>8.5</v>
      </c>
      <c r="X196" s="27">
        <f>AVERAGEIFS($AF$36:$AF$171,$C$36:$C$171,"=6", $B$36:$B$171,"NO OFICIAL")</f>
        <v>47.692307692307693</v>
      </c>
      <c r="Y196" s="27">
        <f>AVERAGEIFS($AG$36:$AG$171,$C$36:$C$171,"=6", $B$36:$B$171,"NO OFICIAL")</f>
        <v>9.2307692307692299</v>
      </c>
      <c r="Z196" s="27">
        <f>AVERAGEIFS($AM$36:$AM$171,$C$36:$C$171,"=6", $B$36:$B$171,"OFICIAL")</f>
        <v>50.25</v>
      </c>
      <c r="AA196" s="27">
        <f>AVERAGEIFS($AO$36:$AO$171,$C$36:$C$171,"=6", $B$36:$B$171,"OFICIAL")</f>
        <v>10.5</v>
      </c>
      <c r="AB196" s="27">
        <f>AVERAGEIFS($AM$36:$AM$171,$C$36:$C$171,"=6", $B$36:$B$171,"NO OFICIAL")</f>
        <v>54</v>
      </c>
      <c r="AC196" s="27">
        <f>AVERAGEIFS($AO$36:$AO$171,$C$36:$C$171,"=6", $B$36:$B$171,"NO OFICIAL")</f>
        <v>9.0769230769230766</v>
      </c>
      <c r="AD196" s="27">
        <f>AVERAGEIFS($AV$36:$AV$171,$C$36:$C$171,"=6", $B$36:$B$171,"OFICIAL")</f>
        <v>51.5</v>
      </c>
      <c r="AE196" s="27">
        <f>AVERAGEIFS($AX$36:$AX$171,$C$36:$C$171,"=6", $B$36:$B$171,"OFICIAL")</f>
        <v>10</v>
      </c>
      <c r="AF196" s="27">
        <f>AVERAGEIFS($AV$36:$AV$171,$C$36:$C$171,"=6", $B$36:$B$171,"NO OFICIAL")</f>
        <v>54.466666666666669</v>
      </c>
      <c r="AG196" s="27">
        <f>AVERAGEIFS($AX$36:$AX$171,$C$36:$C$171,"=6", $B$36:$B$171,"NO OFICIAL")</f>
        <v>9.8666666666666671</v>
      </c>
      <c r="AH196" s="27">
        <f>AVERAGEIFS($BE$36:$BE$171,$C$36:$C$171,"=6", $B$36:$B$171,"OFICIAL")</f>
        <v>50.75</v>
      </c>
      <c r="AI196" s="27">
        <f>AVERAGEIFS($BG$36:$BG$171,$C$36:$C$171,"=6", $B$36:$B$171,"OFICIAL")</f>
        <v>9.25</v>
      </c>
      <c r="AJ196" s="27">
        <f>AVERAGEIFS($BE$36:$BE$171,$C$36:$C$171,"=6", $B$36:$B$171,"NO OFICIAL")</f>
        <v>54.5625</v>
      </c>
      <c r="AK196" s="27">
        <f>AVERAGEIFS($BG$36:$BG$171,$C$36:$C$171,"=6", $B$36:$B$171,"NO OFICIAL")</f>
        <v>9.25</v>
      </c>
      <c r="AL196" s="27">
        <v>51.75</v>
      </c>
      <c r="AM196" s="27">
        <v>10.25</v>
      </c>
      <c r="AN196" s="27">
        <v>55.714285714285715</v>
      </c>
      <c r="AO196" s="27">
        <v>10.142857142857142</v>
      </c>
    </row>
    <row r="197" spans="5:43" x14ac:dyDescent="0.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row>
    <row r="198" spans="5:43" ht="12.75" customHeight="1" x14ac:dyDescent="0.2">
      <c r="K198" s="839" t="s">
        <v>252</v>
      </c>
      <c r="L198" s="839"/>
      <c r="M198" s="839"/>
      <c r="N198" s="839"/>
      <c r="O198" s="839"/>
      <c r="P198" s="839"/>
      <c r="Q198" s="839"/>
      <c r="R198" s="839"/>
      <c r="S198" s="839"/>
      <c r="T198" s="839"/>
      <c r="X198" s="839" t="s">
        <v>253</v>
      </c>
      <c r="Y198" s="839"/>
      <c r="Z198" s="839"/>
      <c r="AA198" s="839"/>
      <c r="AB198" s="839"/>
      <c r="AC198" s="839"/>
      <c r="AD198" s="839"/>
      <c r="AE198" s="839"/>
      <c r="AF198" s="839"/>
      <c r="AG198" s="839"/>
    </row>
    <row r="199" spans="5:43" x14ac:dyDescent="0.2">
      <c r="K199" s="28"/>
      <c r="L199" s="28">
        <v>2016</v>
      </c>
      <c r="M199" s="29">
        <v>2017</v>
      </c>
      <c r="N199" s="28">
        <v>2018</v>
      </c>
      <c r="O199" s="28">
        <v>2019</v>
      </c>
      <c r="P199" s="29">
        <v>2020</v>
      </c>
      <c r="Q199" s="29">
        <v>2021</v>
      </c>
      <c r="R199" s="29">
        <v>2022</v>
      </c>
      <c r="S199" s="29">
        <v>2023</v>
      </c>
      <c r="T199" s="29">
        <v>2024</v>
      </c>
      <c r="X199" s="28"/>
      <c r="Y199" s="28">
        <v>2016</v>
      </c>
      <c r="Z199" s="29">
        <v>2017</v>
      </c>
      <c r="AA199" s="28">
        <v>2018</v>
      </c>
      <c r="AB199" s="28">
        <v>2019</v>
      </c>
      <c r="AC199" s="29">
        <v>2020</v>
      </c>
      <c r="AD199" s="29">
        <v>2021</v>
      </c>
      <c r="AE199" s="29">
        <v>2022</v>
      </c>
      <c r="AF199" s="29">
        <v>2023</v>
      </c>
      <c r="AG199" s="29">
        <v>2024</v>
      </c>
    </row>
    <row r="200" spans="5:43" x14ac:dyDescent="0.2">
      <c r="K200" s="27" t="s">
        <v>244</v>
      </c>
      <c r="L200" s="27">
        <v>52.25</v>
      </c>
      <c r="M200" s="27">
        <v>49.5</v>
      </c>
      <c r="N200" s="27">
        <v>51.5</v>
      </c>
      <c r="O200" s="27">
        <v>50.25</v>
      </c>
      <c r="P200" s="27">
        <v>46.5</v>
      </c>
      <c r="Q200" s="27">
        <v>49.5</v>
      </c>
      <c r="R200" s="27">
        <v>49.6</v>
      </c>
      <c r="S200" s="27">
        <v>49.8</v>
      </c>
      <c r="T200" s="27">
        <v>50.6</v>
      </c>
      <c r="X200" s="27" t="s">
        <v>244</v>
      </c>
      <c r="Y200" s="27">
        <v>52.769230769230766</v>
      </c>
      <c r="Z200" s="27">
        <v>50.75</v>
      </c>
      <c r="AA200" s="27">
        <v>52.307692307692307</v>
      </c>
      <c r="AB200" s="27">
        <v>50</v>
      </c>
      <c r="AC200" s="27">
        <f>AVERAGEIFS($AF$36:$AF$171,$C$36:$C$171,"=1", $B$36:$B$171,"NO OFICIAL")</f>
        <v>48.53846153846154</v>
      </c>
      <c r="AD200" s="27">
        <v>52.769230769230766</v>
      </c>
      <c r="AE200" s="27">
        <v>52.92307692307692</v>
      </c>
      <c r="AF200" s="27">
        <v>54.416666666666664</v>
      </c>
      <c r="AG200" s="27">
        <v>55.307692307692307</v>
      </c>
    </row>
    <row r="201" spans="5:43" x14ac:dyDescent="0.2">
      <c r="K201" s="27" t="s">
        <v>245</v>
      </c>
      <c r="L201" s="27">
        <v>52</v>
      </c>
      <c r="M201" s="27">
        <v>50.5</v>
      </c>
      <c r="N201" s="27">
        <v>51.5</v>
      </c>
      <c r="O201" s="27">
        <v>51</v>
      </c>
      <c r="P201" s="27">
        <v>47</v>
      </c>
      <c r="Q201" s="27">
        <v>50</v>
      </c>
      <c r="R201" s="27">
        <v>50.5</v>
      </c>
      <c r="S201" s="27">
        <v>51</v>
      </c>
      <c r="T201" s="27">
        <v>53</v>
      </c>
      <c r="X201" s="27" t="s">
        <v>245</v>
      </c>
      <c r="Y201" s="27">
        <v>55</v>
      </c>
      <c r="Z201" s="27">
        <v>52.529411764705884</v>
      </c>
      <c r="AA201" s="27">
        <v>54.294117647058826</v>
      </c>
      <c r="AB201" s="27">
        <v>53.722222222222221</v>
      </c>
      <c r="AC201" s="27">
        <f>AVERAGEIFS($AF$36:$AF$171,$C$36:$C$171,"=2", $B$36:$B$171,"NO OFICIAL")</f>
        <v>48.727272727272727</v>
      </c>
      <c r="AD201" s="27">
        <v>53.55</v>
      </c>
      <c r="AE201" s="27">
        <v>55.80952380952381</v>
      </c>
      <c r="AF201" s="27">
        <v>55.045454545454547</v>
      </c>
      <c r="AG201" s="27">
        <v>56.65</v>
      </c>
      <c r="AL201" s="26"/>
      <c r="AM201" s="26"/>
    </row>
    <row r="202" spans="5:43" x14ac:dyDescent="0.2">
      <c r="K202" s="27" t="s">
        <v>246</v>
      </c>
      <c r="L202" s="27">
        <v>51.666666666666664</v>
      </c>
      <c r="M202" s="27">
        <v>49.666666666666664</v>
      </c>
      <c r="N202" s="27">
        <v>51</v>
      </c>
      <c r="O202" s="27">
        <v>49</v>
      </c>
      <c r="P202" s="27">
        <v>46.75</v>
      </c>
      <c r="Q202" s="27">
        <v>49</v>
      </c>
      <c r="R202" s="27">
        <v>51.666666666666664</v>
      </c>
      <c r="S202" s="27">
        <v>51.333333333333336</v>
      </c>
      <c r="T202" s="27">
        <v>52.333333333333336</v>
      </c>
      <c r="X202" s="27" t="s">
        <v>246</v>
      </c>
      <c r="Y202" s="27">
        <v>55.153846153846153</v>
      </c>
      <c r="Z202" s="27">
        <v>51.428571428571431</v>
      </c>
      <c r="AA202" s="27">
        <v>53.285714285714285</v>
      </c>
      <c r="AB202" s="27">
        <v>52.357142857142854</v>
      </c>
      <c r="AC202" s="27">
        <f>AVERAGEIFS($AF$36:$AF$171,$C$36:$C$171,"=3", $B$36:$B$171,"NO OFICIAL")</f>
        <v>49.733333333333334</v>
      </c>
      <c r="AD202" s="27">
        <v>53.333333333333336</v>
      </c>
      <c r="AE202" s="27">
        <v>55.375</v>
      </c>
      <c r="AF202" s="27">
        <v>55.5625</v>
      </c>
      <c r="AG202" s="27">
        <v>56.3125</v>
      </c>
      <c r="AL202" s="26"/>
      <c r="AM202" s="26"/>
    </row>
    <row r="203" spans="5:43" x14ac:dyDescent="0.2">
      <c r="K203" s="27" t="s">
        <v>247</v>
      </c>
      <c r="L203" s="27">
        <v>49.333333333333336</v>
      </c>
      <c r="M203" s="27">
        <v>47.333333333333336</v>
      </c>
      <c r="N203" s="27">
        <v>48.5</v>
      </c>
      <c r="O203" s="27">
        <v>46.833333333333336</v>
      </c>
      <c r="P203" s="27">
        <v>44</v>
      </c>
      <c r="Q203" s="27">
        <v>46</v>
      </c>
      <c r="R203" s="27">
        <v>48.333333333333336</v>
      </c>
      <c r="S203" s="27">
        <v>47.666666666666664</v>
      </c>
      <c r="T203" s="27">
        <v>47.833333333333336</v>
      </c>
      <c r="X203" s="27" t="s">
        <v>247</v>
      </c>
      <c r="Y203" s="27">
        <v>51.875</v>
      </c>
      <c r="Z203" s="27">
        <v>50.888888888888886</v>
      </c>
      <c r="AA203" s="27">
        <v>54.555555555555557</v>
      </c>
      <c r="AB203" s="27">
        <v>50.25</v>
      </c>
      <c r="AC203" s="27">
        <f>AVERAGEIFS($AF$36:$AF$171,$C$36:$C$171,"=4", $B$36:$B$171,"NO OFICIAL")</f>
        <v>47.428571428571431</v>
      </c>
      <c r="AD203" s="27">
        <v>51</v>
      </c>
      <c r="AE203" s="27">
        <v>50.875</v>
      </c>
      <c r="AF203" s="27">
        <v>50.333333333333336</v>
      </c>
      <c r="AG203" s="27">
        <v>53.142857142857146</v>
      </c>
      <c r="AL203" s="26"/>
      <c r="AM203" s="26"/>
    </row>
    <row r="204" spans="5:43" x14ac:dyDescent="0.2">
      <c r="K204" s="27" t="s">
        <v>248</v>
      </c>
      <c r="L204" s="27">
        <v>53</v>
      </c>
      <c r="M204" s="27">
        <v>50</v>
      </c>
      <c r="N204" s="27">
        <v>50</v>
      </c>
      <c r="O204" s="27">
        <v>50</v>
      </c>
      <c r="P204" s="27">
        <v>46.5</v>
      </c>
      <c r="Q204" s="27">
        <v>49.5</v>
      </c>
      <c r="R204" s="27">
        <v>52</v>
      </c>
      <c r="S204" s="27">
        <v>52</v>
      </c>
      <c r="T204" s="27">
        <v>54.666666666666664</v>
      </c>
      <c r="X204" s="27" t="s">
        <v>248</v>
      </c>
      <c r="Y204" s="27">
        <v>57.533333333333331</v>
      </c>
      <c r="Z204" s="27">
        <v>56.133333333333333</v>
      </c>
      <c r="AA204" s="27">
        <v>56.5625</v>
      </c>
      <c r="AB204" s="27">
        <v>55.705882352941174</v>
      </c>
      <c r="AC204" s="27">
        <f>AVERAGEIFS($AF$36:$AF$171,$C$36:$C$171,"=5", $B$36:$B$171,"NO OFICIAL")</f>
        <v>51.666666666666664</v>
      </c>
      <c r="AD204" s="27">
        <v>56.9375</v>
      </c>
      <c r="AE204" s="27">
        <v>57.8</v>
      </c>
      <c r="AF204" s="27">
        <v>58.2</v>
      </c>
      <c r="AG204" s="27">
        <v>56.533333333333331</v>
      </c>
      <c r="AL204" s="26"/>
      <c r="AM204" s="26"/>
    </row>
    <row r="205" spans="5:43" x14ac:dyDescent="0.2">
      <c r="K205" s="27" t="s">
        <v>249</v>
      </c>
      <c r="L205" s="27">
        <v>52.333333333333336</v>
      </c>
      <c r="M205" s="27">
        <v>49.333333333333336</v>
      </c>
      <c r="N205" s="27">
        <v>50.666666666666664</v>
      </c>
      <c r="O205" s="27">
        <v>50</v>
      </c>
      <c r="P205" s="27">
        <v>47</v>
      </c>
      <c r="Q205" s="27">
        <v>50.333333333333336</v>
      </c>
      <c r="R205" s="27">
        <v>52</v>
      </c>
      <c r="S205" s="27">
        <v>50.666666666666664</v>
      </c>
      <c r="T205" s="27">
        <v>51.75</v>
      </c>
      <c r="X205" s="27" t="s">
        <v>249</v>
      </c>
      <c r="Y205" s="27">
        <v>54.666666666666664</v>
      </c>
      <c r="Z205" s="27">
        <v>51.333333333333336</v>
      </c>
      <c r="AA205" s="27">
        <v>52.81818181818182</v>
      </c>
      <c r="AB205" s="27">
        <v>52.166666666666664</v>
      </c>
      <c r="AC205" s="27">
        <f>AVERAGEIFS($AF$36:$AF$171,$C$36:$C$171,"=6", $B$36:$B$171,"NO OFICIAL")</f>
        <v>47.692307692307693</v>
      </c>
      <c r="AD205" s="27">
        <v>53.714285714285715</v>
      </c>
      <c r="AE205" s="27">
        <v>54.1875</v>
      </c>
      <c r="AF205" s="27">
        <v>54.352941176470587</v>
      </c>
      <c r="AG205" s="27">
        <v>55.714285714285715</v>
      </c>
    </row>
    <row r="246" spans="6:42" x14ac:dyDescent="0.2">
      <c r="F246" s="838" t="s">
        <v>1079</v>
      </c>
      <c r="G246" s="839"/>
      <c r="H246" s="839"/>
      <c r="I246" s="839"/>
      <c r="J246" s="839"/>
      <c r="K246" s="839"/>
      <c r="L246" s="839"/>
      <c r="M246" s="839"/>
      <c r="N246" s="839"/>
      <c r="O246" s="839"/>
      <c r="P246" s="839"/>
      <c r="Q246" s="839"/>
      <c r="R246" s="839"/>
      <c r="S246" s="839"/>
      <c r="T246" s="839"/>
      <c r="U246" s="839"/>
      <c r="V246" s="839"/>
      <c r="W246" s="839"/>
      <c r="X246" s="839"/>
      <c r="Y246" s="839"/>
      <c r="Z246" s="839"/>
    </row>
    <row r="247" spans="6:42" x14ac:dyDescent="0.2">
      <c r="F247" s="28"/>
      <c r="G247" s="838">
        <v>2016</v>
      </c>
      <c r="H247" s="839"/>
      <c r="I247" s="839"/>
      <c r="J247" s="969"/>
      <c r="K247" s="838">
        <v>2017</v>
      </c>
      <c r="L247" s="839"/>
      <c r="M247" s="839"/>
      <c r="N247" s="969"/>
      <c r="O247" s="838">
        <v>2018</v>
      </c>
      <c r="P247" s="839"/>
      <c r="Q247" s="839"/>
      <c r="R247" s="969"/>
      <c r="S247" s="838">
        <v>2019</v>
      </c>
      <c r="T247" s="839"/>
      <c r="U247" s="839"/>
      <c r="V247" s="969"/>
      <c r="W247" s="838">
        <v>2020</v>
      </c>
      <c r="X247" s="839"/>
      <c r="Y247" s="839"/>
      <c r="Z247" s="839"/>
      <c r="AA247" s="838">
        <v>2021</v>
      </c>
      <c r="AB247" s="839"/>
      <c r="AC247" s="839"/>
      <c r="AD247" s="839"/>
      <c r="AE247" s="838">
        <v>2022</v>
      </c>
      <c r="AF247" s="839"/>
      <c r="AG247" s="839"/>
      <c r="AH247" s="839"/>
      <c r="AI247" s="838">
        <v>2023</v>
      </c>
      <c r="AJ247" s="839"/>
      <c r="AK247" s="839"/>
      <c r="AL247" s="839"/>
      <c r="AM247" s="838">
        <v>2024</v>
      </c>
      <c r="AN247" s="839"/>
      <c r="AO247" s="839"/>
      <c r="AP247" s="839"/>
    </row>
    <row r="248" spans="6:42" x14ac:dyDescent="0.2">
      <c r="G248" s="67" t="s">
        <v>10</v>
      </c>
      <c r="H248" t="s">
        <v>0</v>
      </c>
      <c r="I248" t="s">
        <v>318</v>
      </c>
      <c r="J248" t="s">
        <v>319</v>
      </c>
      <c r="K248" s="67" t="s">
        <v>10</v>
      </c>
      <c r="L248" s="67" t="s">
        <v>0</v>
      </c>
      <c r="M248" t="s">
        <v>318</v>
      </c>
      <c r="N248" t="s">
        <v>319</v>
      </c>
      <c r="O248" s="67" t="s">
        <v>10</v>
      </c>
      <c r="P248" s="67" t="s">
        <v>0</v>
      </c>
      <c r="Q248" t="s">
        <v>318</v>
      </c>
      <c r="R248" t="s">
        <v>319</v>
      </c>
      <c r="S248" s="67" t="s">
        <v>10</v>
      </c>
      <c r="T248" s="67" t="s">
        <v>0</v>
      </c>
      <c r="U248" t="s">
        <v>318</v>
      </c>
      <c r="V248" t="s">
        <v>319</v>
      </c>
      <c r="W248" s="67" t="s">
        <v>10</v>
      </c>
      <c r="X248" s="67" t="s">
        <v>0</v>
      </c>
      <c r="Y248" t="s">
        <v>318</v>
      </c>
      <c r="Z248" t="s">
        <v>319</v>
      </c>
      <c r="AA248" s="67" t="s">
        <v>10</v>
      </c>
      <c r="AB248" s="67" t="s">
        <v>0</v>
      </c>
      <c r="AC248" t="s">
        <v>318</v>
      </c>
      <c r="AD248" t="s">
        <v>319</v>
      </c>
      <c r="AE248" s="67" t="s">
        <v>10</v>
      </c>
      <c r="AF248" s="67" t="s">
        <v>0</v>
      </c>
      <c r="AG248" t="s">
        <v>318</v>
      </c>
      <c r="AH248" t="s">
        <v>319</v>
      </c>
      <c r="AI248" s="67" t="s">
        <v>10</v>
      </c>
      <c r="AJ248" s="67" t="s">
        <v>0</v>
      </c>
      <c r="AK248" t="s">
        <v>318</v>
      </c>
      <c r="AL248" t="s">
        <v>319</v>
      </c>
      <c r="AM248" s="67" t="s">
        <v>10</v>
      </c>
      <c r="AN248" s="67" t="s">
        <v>0</v>
      </c>
      <c r="AO248" t="s">
        <v>318</v>
      </c>
      <c r="AP248" t="s">
        <v>319</v>
      </c>
    </row>
    <row r="249" spans="6:42" x14ac:dyDescent="0.2">
      <c r="F249" s="26" t="s">
        <v>310</v>
      </c>
      <c r="G249" s="64">
        <f>$F10</f>
        <v>0.36</v>
      </c>
      <c r="H249" s="64">
        <f>$F11</f>
        <v>0.28999999999999998</v>
      </c>
      <c r="I249" s="64">
        <f>$F12</f>
        <v>0.35</v>
      </c>
      <c r="J249" s="64">
        <f>$F14</f>
        <v>0.22</v>
      </c>
      <c r="K249" s="55">
        <f>$M10</f>
        <v>0.44</v>
      </c>
      <c r="L249" s="55">
        <f>$M11</f>
        <v>0.38</v>
      </c>
      <c r="M249" s="55">
        <f>$M12</f>
        <v>0.45</v>
      </c>
      <c r="N249" s="55">
        <f>$M14</f>
        <v>0.3</v>
      </c>
      <c r="O249" s="64">
        <f>$T10</f>
        <v>0.37</v>
      </c>
      <c r="P249" s="64">
        <f>$T11</f>
        <v>0.31</v>
      </c>
      <c r="Q249" s="64">
        <f>$T12</f>
        <v>0.37</v>
      </c>
      <c r="R249" s="64">
        <f>$T14</f>
        <v>0.23</v>
      </c>
      <c r="S249" s="64">
        <f>$AA10</f>
        <v>0.44</v>
      </c>
      <c r="T249" s="64">
        <f>$AA11</f>
        <v>0.35</v>
      </c>
      <c r="U249" s="64">
        <f>$AA12</f>
        <v>0.43</v>
      </c>
      <c r="V249" s="64">
        <f>$AA14</f>
        <v>0.26</v>
      </c>
      <c r="W249" s="58">
        <f>$AH10</f>
        <v>0.56999999999999995</v>
      </c>
      <c r="X249" s="58">
        <f>$AH11</f>
        <v>0.51</v>
      </c>
      <c r="Y249" s="58">
        <f>$AH12</f>
        <v>0.59</v>
      </c>
      <c r="Z249" s="58">
        <f>$AH14</f>
        <v>0.43</v>
      </c>
      <c r="AA249" s="58">
        <f>$AQ10</f>
        <v>0.47</v>
      </c>
      <c r="AB249" s="58">
        <f>$AQ11</f>
        <v>0.35</v>
      </c>
      <c r="AC249" s="58">
        <f>$AQ12</f>
        <v>0.44</v>
      </c>
      <c r="AD249" s="58">
        <f>$AQ14</f>
        <v>0.24</v>
      </c>
      <c r="AE249" s="289">
        <v>0.44</v>
      </c>
      <c r="AF249" s="290">
        <v>0.3</v>
      </c>
      <c r="AG249" s="293">
        <v>0.39</v>
      </c>
      <c r="AH249" s="293">
        <v>0.21</v>
      </c>
      <c r="AI249" s="427">
        <v>0.42</v>
      </c>
      <c r="AJ249" s="428">
        <v>0.31</v>
      </c>
      <c r="AK249" s="429">
        <v>0.39</v>
      </c>
      <c r="AL249" s="429">
        <v>0.22</v>
      </c>
      <c r="AM249" s="427">
        <v>0.39</v>
      </c>
      <c r="AN249" s="428">
        <v>0.28999999999999998</v>
      </c>
      <c r="AO249" s="429">
        <v>0.36</v>
      </c>
      <c r="AP249" s="429">
        <v>0.2</v>
      </c>
    </row>
    <row r="250" spans="6:42" x14ac:dyDescent="0.2">
      <c r="F250" s="26" t="s">
        <v>311</v>
      </c>
      <c r="G250" s="64">
        <f>$G10</f>
        <v>0.33</v>
      </c>
      <c r="H250" s="64">
        <f>$G11</f>
        <v>0.4</v>
      </c>
      <c r="I250" s="64">
        <f>$G12</f>
        <v>0.41</v>
      </c>
      <c r="J250" s="64">
        <f>$G14</f>
        <v>0.38</v>
      </c>
      <c r="K250" s="55">
        <f>$N10</f>
        <v>0.3</v>
      </c>
      <c r="L250" s="55">
        <f>$N11</f>
        <v>0.36</v>
      </c>
      <c r="M250" s="55">
        <f>$N12</f>
        <v>0.36</v>
      </c>
      <c r="N250" s="55">
        <f>$N14</f>
        <v>0.36</v>
      </c>
      <c r="O250" s="64">
        <f>$U10</f>
        <v>0.34</v>
      </c>
      <c r="P250" s="64">
        <f>$U11</f>
        <v>0.42</v>
      </c>
      <c r="Q250" s="64">
        <f>$U12</f>
        <v>0.43</v>
      </c>
      <c r="R250" s="64">
        <f>$U14</f>
        <v>0.4</v>
      </c>
      <c r="S250" s="64">
        <f>$AB10</f>
        <v>0.3</v>
      </c>
      <c r="T250" s="64">
        <f>$AB11</f>
        <v>0.39</v>
      </c>
      <c r="U250" s="64">
        <f>$AB12</f>
        <v>0.38</v>
      </c>
      <c r="V250" s="64">
        <f>$AB14</f>
        <v>0.4</v>
      </c>
      <c r="W250" s="58">
        <f>$AI10</f>
        <v>0.27</v>
      </c>
      <c r="X250" s="58">
        <f>$AI11</f>
        <v>0.34</v>
      </c>
      <c r="Y250" s="58">
        <f>$AI12</f>
        <v>0.32</v>
      </c>
      <c r="Z250" s="58">
        <f>$AI14</f>
        <v>0.37</v>
      </c>
      <c r="AA250" s="58">
        <f>$AR10</f>
        <v>0.28000000000000003</v>
      </c>
      <c r="AB250" s="58">
        <f>$AR11</f>
        <v>0.37</v>
      </c>
      <c r="AC250" s="58">
        <f>$AR12</f>
        <v>0.37</v>
      </c>
      <c r="AD250" s="58">
        <f>$AR14</f>
        <v>0.37</v>
      </c>
      <c r="AE250" s="289">
        <v>0.28000000000000003</v>
      </c>
      <c r="AF250" s="290">
        <v>0.36</v>
      </c>
      <c r="AG250" s="293">
        <v>0.36</v>
      </c>
      <c r="AH250" s="293">
        <v>0.35</v>
      </c>
      <c r="AI250" s="427">
        <v>0.31</v>
      </c>
      <c r="AJ250" s="428">
        <v>0.37</v>
      </c>
      <c r="AK250" s="429">
        <v>0.39</v>
      </c>
      <c r="AL250" s="429">
        <v>0.35</v>
      </c>
      <c r="AM250" s="427">
        <v>0.3</v>
      </c>
      <c r="AN250" s="428">
        <v>0.36</v>
      </c>
      <c r="AO250" s="429">
        <v>0.38</v>
      </c>
      <c r="AP250" s="429">
        <v>0.34</v>
      </c>
    </row>
    <row r="251" spans="6:42" x14ac:dyDescent="0.2">
      <c r="F251" s="26" t="s">
        <v>312</v>
      </c>
      <c r="G251" s="64">
        <f>$H10</f>
        <v>0.19</v>
      </c>
      <c r="H251" s="64">
        <f>$H11</f>
        <v>0.24</v>
      </c>
      <c r="I251" s="64">
        <f>$H12</f>
        <v>0.2</v>
      </c>
      <c r="J251" s="64">
        <f>$H14</f>
        <v>0.28000000000000003</v>
      </c>
      <c r="K251" s="55">
        <f>$O10</f>
        <v>0.16</v>
      </c>
      <c r="L251" s="55">
        <f>$O11</f>
        <v>0.2</v>
      </c>
      <c r="M251" s="55">
        <f>$O12</f>
        <v>0.16</v>
      </c>
      <c r="N251" s="55">
        <f>$O14</f>
        <v>0.25</v>
      </c>
      <c r="O251" s="64">
        <f>$V10</f>
        <v>0.19</v>
      </c>
      <c r="P251" s="64">
        <f>$V11</f>
        <v>0.21</v>
      </c>
      <c r="Q251" s="64">
        <f>$V12</f>
        <v>0.16</v>
      </c>
      <c r="R251" s="64">
        <f>$V14</f>
        <v>0.28000000000000003</v>
      </c>
      <c r="S251" s="64">
        <f>$AC10</f>
        <v>0.17</v>
      </c>
      <c r="T251" s="64">
        <f>$AC11</f>
        <v>0.2</v>
      </c>
      <c r="U251" s="64">
        <f>$AC12</f>
        <v>0.15</v>
      </c>
      <c r="V251" s="64">
        <f>$AC14</f>
        <v>0.25</v>
      </c>
      <c r="W251" s="58">
        <f>$AJ10</f>
        <v>0.09</v>
      </c>
      <c r="X251" s="58">
        <f>$AJ11</f>
        <v>0.1</v>
      </c>
      <c r="Y251" s="58">
        <f>$AJ12</f>
        <v>7.0000000000000007E-2</v>
      </c>
      <c r="Z251" s="58">
        <f>$AJ14</f>
        <v>0.14000000000000001</v>
      </c>
      <c r="AA251" s="58">
        <f>$AS10</f>
        <v>0.15</v>
      </c>
      <c r="AB251" s="58">
        <f>$AS11</f>
        <v>0.2</v>
      </c>
      <c r="AC251" s="58">
        <f>$AS12</f>
        <v>0.15</v>
      </c>
      <c r="AD251" s="58">
        <f>$AS14</f>
        <v>0.27</v>
      </c>
      <c r="AE251" s="289">
        <v>0.17</v>
      </c>
      <c r="AF251" s="290">
        <v>0.24</v>
      </c>
      <c r="AG251" s="293">
        <v>0.19</v>
      </c>
      <c r="AH251" s="293">
        <v>0.28999999999999998</v>
      </c>
      <c r="AI251" s="427">
        <v>0.16</v>
      </c>
      <c r="AJ251" s="428">
        <v>0.22</v>
      </c>
      <c r="AK251" s="429">
        <v>0.17</v>
      </c>
      <c r="AL251" s="429">
        <v>0.27</v>
      </c>
      <c r="AM251" s="427">
        <v>0.17</v>
      </c>
      <c r="AN251" s="428">
        <v>0.23</v>
      </c>
      <c r="AO251" s="429">
        <v>0.18</v>
      </c>
      <c r="AP251" s="429">
        <v>0.28000000000000003</v>
      </c>
    </row>
    <row r="252" spans="6:42" x14ac:dyDescent="0.2">
      <c r="F252" s="26" t="s">
        <v>313</v>
      </c>
      <c r="G252" s="64">
        <f>$I10</f>
        <v>0.1</v>
      </c>
      <c r="H252" s="64">
        <f>$I11</f>
        <v>0.08</v>
      </c>
      <c r="I252" s="64">
        <f>$I12</f>
        <v>0.04</v>
      </c>
      <c r="J252" s="64">
        <f>$I14</f>
        <v>0.11</v>
      </c>
      <c r="K252" s="55">
        <f>$P10</f>
        <v>0.08</v>
      </c>
      <c r="L252" s="55">
        <f>$P11</f>
        <v>0.05</v>
      </c>
      <c r="M252" s="55">
        <f>$P12</f>
        <v>0.03</v>
      </c>
      <c r="N252" s="55">
        <f>$P14</f>
        <v>7.0000000000000007E-2</v>
      </c>
      <c r="O252" s="64">
        <f>$W10</f>
        <v>0.08</v>
      </c>
      <c r="P252" s="64">
        <f>$W11</f>
        <v>0.06</v>
      </c>
      <c r="Q252" s="64">
        <f>$W12</f>
        <v>0.03</v>
      </c>
      <c r="R252" s="64">
        <f>$W14</f>
        <v>0.08</v>
      </c>
      <c r="S252" s="64">
        <f>$AD10</f>
        <v>7.0000000000000007E-2</v>
      </c>
      <c r="T252" s="64">
        <f>$AD11</f>
        <v>0.06</v>
      </c>
      <c r="U252" s="64">
        <f>$AD12</f>
        <v>0.03</v>
      </c>
      <c r="V252" s="64">
        <f>$AD14</f>
        <v>0.08</v>
      </c>
      <c r="W252" s="58">
        <f>$AK10</f>
        <v>0.06</v>
      </c>
      <c r="X252" s="58">
        <f>$AK11</f>
        <v>0.04</v>
      </c>
      <c r="Y252" s="58">
        <f>$AK12</f>
        <v>0.02</v>
      </c>
      <c r="Z252" s="58">
        <f>$AK14</f>
        <v>0.06</v>
      </c>
      <c r="AA252" s="58">
        <f>$AT10</f>
        <v>0.08</v>
      </c>
      <c r="AB252" s="58">
        <f>$AT11</f>
        <v>7.0000000000000007E-2</v>
      </c>
      <c r="AC252" s="58">
        <f>$AT12</f>
        <v>0.04</v>
      </c>
      <c r="AD252" s="58">
        <f>$AT14</f>
        <v>0.11</v>
      </c>
      <c r="AE252" s="289">
        <v>0.09</v>
      </c>
      <c r="AF252" s="290">
        <v>0.09</v>
      </c>
      <c r="AG252" s="293">
        <v>0.05</v>
      </c>
      <c r="AH252" s="293">
        <v>0.13</v>
      </c>
      <c r="AI252" s="427">
        <v>0.09</v>
      </c>
      <c r="AJ252" s="428">
        <v>0.09</v>
      </c>
      <c r="AK252" s="429">
        <v>0.05</v>
      </c>
      <c r="AL252" s="429">
        <v>0.15</v>
      </c>
      <c r="AM252" s="427">
        <v>0.1</v>
      </c>
      <c r="AN252" s="428">
        <v>0.1</v>
      </c>
      <c r="AO252" s="429">
        <v>7.0000000000000007E-2</v>
      </c>
      <c r="AP252" s="429">
        <v>0.15</v>
      </c>
    </row>
    <row r="253" spans="6:42" x14ac:dyDescent="0.2">
      <c r="F253" s="26" t="s">
        <v>314</v>
      </c>
      <c r="G253" s="64">
        <f>$J10</f>
        <v>0.02</v>
      </c>
      <c r="H253" s="64">
        <f>$J11</f>
        <v>0</v>
      </c>
      <c r="I253" s="64">
        <f>$J12</f>
        <v>0</v>
      </c>
      <c r="J253" s="64">
        <f>$J14</f>
        <v>0</v>
      </c>
      <c r="K253" s="64">
        <f>$Q10</f>
        <v>0.02</v>
      </c>
      <c r="L253" s="55">
        <f>$Q11</f>
        <v>0</v>
      </c>
      <c r="M253" s="64">
        <f>$Q12</f>
        <v>0</v>
      </c>
      <c r="N253" s="64">
        <f>$Q14</f>
        <v>0.01</v>
      </c>
      <c r="O253" s="64">
        <f>$X10</f>
        <v>0.02</v>
      </c>
      <c r="P253" s="64">
        <f>$X11</f>
        <v>0.01</v>
      </c>
      <c r="Q253" s="64">
        <f>$X12</f>
        <v>0</v>
      </c>
      <c r="R253" s="64">
        <f>$X14</f>
        <v>0.01</v>
      </c>
      <c r="S253" s="64">
        <f>$AE10</f>
        <v>0.02</v>
      </c>
      <c r="T253" s="64">
        <f>$AE11</f>
        <v>0</v>
      </c>
      <c r="U253" s="64">
        <f>$AE12</f>
        <v>0</v>
      </c>
      <c r="V253" s="64">
        <f>$AE14</f>
        <v>0.01</v>
      </c>
      <c r="W253" s="64">
        <f>$AL10</f>
        <v>0.01</v>
      </c>
      <c r="X253" s="64">
        <f>$AL11</f>
        <v>0</v>
      </c>
      <c r="Y253" s="64">
        <f>$AL12</f>
        <v>0</v>
      </c>
      <c r="Z253" s="64">
        <f>$AL14</f>
        <v>0</v>
      </c>
      <c r="AA253" s="64">
        <f>$AU10</f>
        <v>0.02</v>
      </c>
      <c r="AB253" s="64">
        <f>$AU11</f>
        <v>0.01</v>
      </c>
      <c r="AC253" s="64">
        <f>$AU12</f>
        <v>0</v>
      </c>
      <c r="AD253" s="64">
        <f>$AU14</f>
        <v>0.01</v>
      </c>
      <c r="AE253" s="289">
        <v>0.02</v>
      </c>
      <c r="AF253" s="290">
        <v>0.01</v>
      </c>
      <c r="AG253" s="293">
        <v>0</v>
      </c>
      <c r="AH253" s="293">
        <v>0.01</v>
      </c>
      <c r="AI253" s="427">
        <v>0.03</v>
      </c>
      <c r="AJ253" s="428">
        <v>0.01</v>
      </c>
      <c r="AK253" s="429">
        <v>0</v>
      </c>
      <c r="AL253" s="429">
        <v>0.02</v>
      </c>
      <c r="AM253" s="427">
        <v>0.03</v>
      </c>
      <c r="AN253" s="428">
        <v>0.02</v>
      </c>
      <c r="AO253" s="429">
        <v>0.01</v>
      </c>
      <c r="AP253" s="429">
        <v>0.03</v>
      </c>
    </row>
    <row r="290" spans="4:49" x14ac:dyDescent="0.2">
      <c r="E290" s="1001">
        <v>2016</v>
      </c>
      <c r="F290" s="1028"/>
      <c r="G290" s="1028"/>
      <c r="H290" s="1028"/>
      <c r="I290" s="1029"/>
      <c r="J290" s="1001">
        <v>2017</v>
      </c>
      <c r="K290" s="1028"/>
      <c r="L290" s="1028"/>
      <c r="M290" s="1028"/>
      <c r="N290" s="1029"/>
      <c r="O290" s="1001">
        <v>2018</v>
      </c>
      <c r="P290" s="1028"/>
      <c r="Q290" s="1028"/>
      <c r="R290" s="1028"/>
      <c r="S290" s="1029"/>
      <c r="T290" s="1001">
        <v>2019</v>
      </c>
      <c r="U290" s="1028"/>
      <c r="V290" s="1028"/>
      <c r="W290" s="1028"/>
      <c r="X290" s="1029"/>
      <c r="Y290" s="1001">
        <v>2020</v>
      </c>
      <c r="Z290" s="1028"/>
      <c r="AA290" s="1028"/>
      <c r="AB290" s="1028"/>
      <c r="AC290" s="1029"/>
      <c r="AD290" s="1001">
        <v>2021</v>
      </c>
      <c r="AE290" s="1028"/>
      <c r="AF290" s="1028"/>
      <c r="AG290" s="1028"/>
      <c r="AH290" s="1029"/>
      <c r="AI290" s="1001">
        <v>2022</v>
      </c>
      <c r="AJ290" s="1028"/>
      <c r="AK290" s="1028"/>
      <c r="AL290" s="1028"/>
      <c r="AM290" s="1029"/>
      <c r="AN290" s="1001">
        <v>2023</v>
      </c>
      <c r="AO290" s="1028"/>
      <c r="AP290" s="1028"/>
      <c r="AQ290" s="1028"/>
      <c r="AR290" s="1029"/>
      <c r="AS290" s="1001">
        <v>2024</v>
      </c>
      <c r="AT290" s="1028"/>
      <c r="AU290" s="1028"/>
      <c r="AV290" s="1028"/>
      <c r="AW290" s="1029"/>
    </row>
    <row r="291" spans="4:49" x14ac:dyDescent="0.2">
      <c r="E291" s="564" t="s">
        <v>310</v>
      </c>
      <c r="F291" s="564" t="s">
        <v>311</v>
      </c>
      <c r="G291" s="564" t="s">
        <v>312</v>
      </c>
      <c r="H291" s="564" t="s">
        <v>313</v>
      </c>
      <c r="I291" s="564" t="s">
        <v>314</v>
      </c>
      <c r="J291" s="564" t="s">
        <v>310</v>
      </c>
      <c r="K291" s="564" t="s">
        <v>311</v>
      </c>
      <c r="L291" s="564" t="s">
        <v>312</v>
      </c>
      <c r="M291" s="564" t="s">
        <v>313</v>
      </c>
      <c r="N291" s="564" t="s">
        <v>314</v>
      </c>
      <c r="O291" s="564" t="s">
        <v>310</v>
      </c>
      <c r="P291" s="564" t="s">
        <v>311</v>
      </c>
      <c r="Q291" s="564" t="s">
        <v>312</v>
      </c>
      <c r="R291" s="564" t="s">
        <v>313</v>
      </c>
      <c r="S291" s="564" t="s">
        <v>314</v>
      </c>
      <c r="T291" s="564" t="s">
        <v>310</v>
      </c>
      <c r="U291" s="564" t="s">
        <v>311</v>
      </c>
      <c r="V291" s="564" t="s">
        <v>312</v>
      </c>
      <c r="W291" s="564" t="s">
        <v>313</v>
      </c>
      <c r="X291" s="564" t="s">
        <v>314</v>
      </c>
      <c r="Y291" s="564" t="s">
        <v>310</v>
      </c>
      <c r="Z291" s="564" t="s">
        <v>311</v>
      </c>
      <c r="AA291" s="564" t="s">
        <v>312</v>
      </c>
      <c r="AB291" s="564" t="s">
        <v>313</v>
      </c>
      <c r="AC291" s="564" t="s">
        <v>314</v>
      </c>
      <c r="AD291" s="564" t="s">
        <v>310</v>
      </c>
      <c r="AE291" s="564" t="s">
        <v>311</v>
      </c>
      <c r="AF291" s="564" t="s">
        <v>312</v>
      </c>
      <c r="AG291" s="564" t="s">
        <v>313</v>
      </c>
      <c r="AH291" s="564" t="s">
        <v>314</v>
      </c>
      <c r="AI291" s="564" t="s">
        <v>310</v>
      </c>
      <c r="AJ291" s="564" t="s">
        <v>311</v>
      </c>
      <c r="AK291" s="564" t="s">
        <v>312</v>
      </c>
      <c r="AL291" s="564" t="s">
        <v>313</v>
      </c>
      <c r="AM291" s="564" t="s">
        <v>314</v>
      </c>
      <c r="AN291" s="564" t="s">
        <v>310</v>
      </c>
      <c r="AO291" s="564" t="s">
        <v>311</v>
      </c>
      <c r="AP291" s="564" t="s">
        <v>312</v>
      </c>
      <c r="AQ291" s="564" t="s">
        <v>313</v>
      </c>
      <c r="AR291" s="564" t="s">
        <v>314</v>
      </c>
      <c r="AS291" s="564" t="s">
        <v>310</v>
      </c>
      <c r="AT291" s="564" t="s">
        <v>311</v>
      </c>
      <c r="AU291" s="564" t="s">
        <v>312</v>
      </c>
      <c r="AV291" s="564" t="s">
        <v>313</v>
      </c>
      <c r="AW291" s="564" t="s">
        <v>314</v>
      </c>
    </row>
    <row r="292" spans="4:49" x14ac:dyDescent="0.2">
      <c r="D292" s="27" t="s">
        <v>244</v>
      </c>
      <c r="E292" s="563">
        <f>AVERAGEIF($C$36:$C$171,"=1",$F$36:$F$171)</f>
        <v>0.29882352941176465</v>
      </c>
      <c r="F292" s="563">
        <f>AVERAGEIF($C$36:$C$171,"=1",$G$36:$G$171)</f>
        <v>0.4611764705882353</v>
      </c>
      <c r="G292" s="563">
        <f>AVERAGEIF($C$36:$C$171,"=1",$H$36:$H$171)</f>
        <v>0.18470588235294122</v>
      </c>
      <c r="H292" s="563">
        <f>AVERAGEIF($C$36:$C$171,"=1",$I$36:$I$171)</f>
        <v>5.4705882352941181E-2</v>
      </c>
      <c r="I292" s="563">
        <f>AVERAGEIF($C$36:$C$171,"=1",$J$36:$J$171)</f>
        <v>0</v>
      </c>
      <c r="J292" s="563">
        <f>AVERAGEIF($C$36:$C$171,"=1",$M$36:$M$171)</f>
        <v>0.41125</v>
      </c>
      <c r="K292" s="563">
        <f>AVERAGEIF($C$36:$C$171,"=1",$N$36:$N$171)</f>
        <v>0.38874999999999998</v>
      </c>
      <c r="L292" s="563">
        <f>AVERAGEIF($C$36:$C$171,"=1",$O$36:$O$171)</f>
        <v>0.15812500000000004</v>
      </c>
      <c r="M292" s="563">
        <f>AVERAGEIF($C$36:$C$171,"=1",$P$36:$P$171)</f>
        <v>4.2499999999999996E-2</v>
      </c>
      <c r="N292" s="563">
        <f>AVERAGEIF($C$36:$C$171,"=1",$Q$36:$Q$171)</f>
        <v>6.2500000000000001E-4</v>
      </c>
      <c r="O292" s="563">
        <f>AVERAGEIF($C$36:$C$171,"=1",$T$36:$T$171)</f>
        <v>0.30294117647058827</v>
      </c>
      <c r="P292" s="563">
        <f>AVERAGEIF($C$36:$C$171,"=1",$U$36:$U$171)</f>
        <v>0.42352941176470588</v>
      </c>
      <c r="Q292" s="563">
        <f>AVERAGEIF($C$36:$C$171,"=1",$V$36:$V$171)</f>
        <v>0.24117647058823521</v>
      </c>
      <c r="R292" s="563">
        <f>AVERAGEIF($C$36:$C$171,"=1",$W$36:$W$171)</f>
        <v>3.2352941176470591E-2</v>
      </c>
      <c r="S292" s="563">
        <f>AVERAGEIF($C$36:$C$171,"=1",$X$36:$X$171)</f>
        <v>1.1764705882352942E-3</v>
      </c>
      <c r="T292" s="563">
        <f>AVERAGEIF($C$36:$C$171,"=1",$AA$36:$AA$171)</f>
        <v>0.37470588235294122</v>
      </c>
      <c r="U292" s="563">
        <f>AVERAGEIF($C$36:$C$171,"=1",$AB$36:$AB$171)</f>
        <v>0.42352941176470582</v>
      </c>
      <c r="V292" s="563">
        <f>AVERAGEIF($C$36:$C$171,"=1",$AC$36:$AC$171)</f>
        <v>0.16705882352941182</v>
      </c>
      <c r="W292" s="563">
        <f>AVERAGEIF($C$36:$C$171,"=1",$AD$36:$AD$171)</f>
        <v>3.529411764705883E-2</v>
      </c>
      <c r="X292" s="567">
        <f>AVERAGEIF($C$36:$C$171,"=1",$AE$36:$AE$171)</f>
        <v>1.764705882352941E-3</v>
      </c>
      <c r="Y292" s="565">
        <f>AVERAGEIF($C$36:$C$171,"=1",$AH$36:$AH$171)</f>
        <v>0.52176470588235302</v>
      </c>
      <c r="Z292" s="563">
        <f>AVERAGEIF($C$36:$C$171,"=1",$AI$36:$AI$171)</f>
        <v>0.33882352941176475</v>
      </c>
      <c r="AA292" s="563">
        <f>AVERAGEIF($C$36:$C$171,"=1",$AJ$36:$AJ$171)</f>
        <v>0.10764705882352942</v>
      </c>
      <c r="AB292" s="563">
        <f>AVERAGEIF($C$36:$C$171,"=1",$AK$36:$AK$171)</f>
        <v>2.9411764705882349E-2</v>
      </c>
      <c r="AC292" s="566">
        <f>AVERAGEIF($C$36:$C$171,"=1",$AL$36:$AL$171)</f>
        <v>2.9411764705882353E-3</v>
      </c>
      <c r="AD292" s="565">
        <f>AVERAGEIF($C$36:$C$171,"=1",$AQ$36:$AQ$171)</f>
        <v>0.30294117647058816</v>
      </c>
      <c r="AE292" s="563">
        <f>AVERAGEIF($C$36:$C$171,"=1",$AR$36:$AR$171)</f>
        <v>0.40941176470588231</v>
      </c>
      <c r="AF292" s="563">
        <f>AVERAGEIF($C$36:$C$171,"=1",$AS$36:$AS$171)</f>
        <v>0.23176470588235296</v>
      </c>
      <c r="AG292" s="563">
        <f>AVERAGEIF($C$36:$C$171,"=1",$AT$36:$AT$171)</f>
        <v>5.2352941176470595E-2</v>
      </c>
      <c r="AH292" s="566">
        <f>AVERAGEIF($C$36:$C$171,"=1",$AU$36:$AU$171)</f>
        <v>4.7058823529411769E-3</v>
      </c>
      <c r="AI292" s="565">
        <v>0.3288888888888889</v>
      </c>
      <c r="AJ292" s="563">
        <v>0.37388888888888883</v>
      </c>
      <c r="AK292" s="563">
        <v>0.21944444444444444</v>
      </c>
      <c r="AL292" s="563">
        <v>7.0555555555555552E-2</v>
      </c>
      <c r="AM292" s="566">
        <v>8.333333333333335E-3</v>
      </c>
      <c r="AN292" s="565">
        <v>0.29529411764705887</v>
      </c>
      <c r="AO292" s="563">
        <v>0.40352941176470591</v>
      </c>
      <c r="AP292" s="563">
        <v>0.21647058823529414</v>
      </c>
      <c r="AQ292" s="563">
        <v>7.7058823529411763E-2</v>
      </c>
      <c r="AR292" s="566">
        <v>7.6470588235294122E-3</v>
      </c>
      <c r="AS292" s="344">
        <v>0.25722222222222224</v>
      </c>
      <c r="AT292" s="563">
        <v>0.41166666666666663</v>
      </c>
      <c r="AU292" s="563">
        <v>0.23777777777777775</v>
      </c>
      <c r="AV292" s="563">
        <v>8.4444444444444461E-2</v>
      </c>
      <c r="AW292" s="566">
        <v>8.8888888888888889E-3</v>
      </c>
    </row>
    <row r="293" spans="4:49" x14ac:dyDescent="0.2">
      <c r="D293" s="27" t="s">
        <v>245</v>
      </c>
      <c r="E293" s="39">
        <f>AVERAGEIF($C$36:$C$171,"=2",$F$36:$F$171)</f>
        <v>0.26199999999999996</v>
      </c>
      <c r="F293" s="39">
        <f>AVERAGEIF($C$36:$C$171,"=2",$G$36:$G$171)</f>
        <v>0.36</v>
      </c>
      <c r="G293" s="39">
        <f>AVERAGEIF($C$36:$C$171,"=2",$H$36:$H$171)</f>
        <v>0.27350000000000002</v>
      </c>
      <c r="H293" s="39">
        <f>AVERAGEIF($C$36:$C$171,"=2",$I$36:$I$171)</f>
        <v>9.8000000000000004E-2</v>
      </c>
      <c r="I293" s="39">
        <f>AVERAGEIF($C$36:$C$171,"=2",$J$36:$J$171)</f>
        <v>6.5000000000000006E-3</v>
      </c>
      <c r="J293" s="39">
        <f>AVERAGEIF($C$36:$C$171,"=2",$M$36:$M$171)</f>
        <v>0.35105263157894734</v>
      </c>
      <c r="K293" s="39">
        <f>AVERAGEIF($C$36:$C$171,"=2",$N$36:$N$171)</f>
        <v>0.31894736842105259</v>
      </c>
      <c r="L293" s="39">
        <f>AVERAGEIF($C$36:$C$171,"=2",$O$36:$O$171)</f>
        <v>0.2636842105263158</v>
      </c>
      <c r="M293" s="39">
        <f>AVERAGEIF($C$36:$C$171,"=2",$P$36:$P$171)</f>
        <v>6.0000000000000005E-2</v>
      </c>
      <c r="N293" s="39">
        <f>AVERAGEIF($C$36:$C$171,"=2",$Q$36:$Q$171)</f>
        <v>5.7894736842105266E-3</v>
      </c>
      <c r="O293" s="39">
        <f>AVERAGEIF($C$36:$C$171,"=2",$T$36:$T$171)</f>
        <v>0.24578947368421053</v>
      </c>
      <c r="P293" s="39">
        <f>AVERAGEIF($C$36:$C$171,"=2",$U$36:$U$171)</f>
        <v>0.41736842105263161</v>
      </c>
      <c r="Q293" s="39">
        <f>AVERAGEIF($C$36:$C$171,"=2",$V$36:$V$171)</f>
        <v>0.25105263157894742</v>
      </c>
      <c r="R293" s="39">
        <f>AVERAGEIF($C$36:$C$171,"=2",$W$36:$W$171)</f>
        <v>7.4736842105263171E-2</v>
      </c>
      <c r="S293" s="39">
        <f>AVERAGEIF($C$36:$C$171,"=2",$X$36:$X$171)</f>
        <v>8.9473684210526309E-3</v>
      </c>
      <c r="T293" s="39">
        <f>AVERAGEIF($C$36:$C$171,"=2",$AA$36:$AA$171)</f>
        <v>0.27450000000000008</v>
      </c>
      <c r="U293" s="39">
        <f>AVERAGEIF($C$36:$C$171,"=2",$AB$36:$AB$171)</f>
        <v>0.38849999999999996</v>
      </c>
      <c r="V293" s="39">
        <f>AVERAGEIF($C$36:$C$171,"=2",$AC$36:$AC$171)</f>
        <v>0.24100000000000002</v>
      </c>
      <c r="W293" s="39">
        <f>AVERAGEIF($C$36:$C$171,"=2",$AD$36:$AD$171)</f>
        <v>8.5000000000000006E-2</v>
      </c>
      <c r="X293" s="555">
        <f>AVERAGEIF($C$36:$C$171,"=2",$AE$36:$AE$171)</f>
        <v>1.0999999999999999E-2</v>
      </c>
      <c r="Y293" s="551">
        <f>AVERAGEIF($C$36:$C$171,"=2",$AH$36:$AH$171)</f>
        <v>0.50583333333333336</v>
      </c>
      <c r="Z293" s="479">
        <f>AVERAGEIF($C$36:$C$171,"=2",$AI$36:$AI$171)</f>
        <v>0.31958333333333339</v>
      </c>
      <c r="AA293" s="479">
        <f>AVERAGEIF($C$36:$C$171,"=2",$AJ$36:$AJ$171)</f>
        <v>0.10124999999999999</v>
      </c>
      <c r="AB293" s="479">
        <f>AVERAGEIF($C$36:$C$171,"=2",$AK$36:$AK$171)</f>
        <v>6.458333333333334E-2</v>
      </c>
      <c r="AC293" s="514">
        <f>AVERAGEIF($C$36:$C$171,"=2",$AL$36:$AL$171)</f>
        <v>9.166666666666665E-3</v>
      </c>
      <c r="AD293" s="551">
        <f>AVERAGEIF($C$36:$C$171,"=2",$AQ$36:$AQ$171)</f>
        <v>0.28499999999999998</v>
      </c>
      <c r="AE293" s="479">
        <f>AVERAGEIF($C$36:$C$171,"=2",$AR$36:$AR$171)</f>
        <v>0.3736363636363636</v>
      </c>
      <c r="AF293" s="479">
        <f>AVERAGEIF($C$36:$C$171,"=2",$AS$36:$AS$171)</f>
        <v>0.23727272727272722</v>
      </c>
      <c r="AG293" s="479">
        <f>AVERAGEIF($C$36:$C$171,"=2",$AT$36:$AT$171)</f>
        <v>8.9090909090909096E-2</v>
      </c>
      <c r="AH293" s="514">
        <f>AVERAGEIF($C$36:$C$171,"=2",$AU$36:$AU$171)</f>
        <v>1.3636363636363636E-2</v>
      </c>
      <c r="AI293" s="551">
        <v>0.25840000000000002</v>
      </c>
      <c r="AJ293" s="479">
        <v>0.28999999999999992</v>
      </c>
      <c r="AK293" s="479">
        <v>0.3044</v>
      </c>
      <c r="AL293" s="479">
        <v>0.13639999999999997</v>
      </c>
      <c r="AM293" s="514">
        <v>1.2800000000000002E-2</v>
      </c>
      <c r="AN293" s="551">
        <v>0.30499999999999994</v>
      </c>
      <c r="AO293" s="479">
        <v>0.32384615384615384</v>
      </c>
      <c r="AP293" s="479">
        <v>0.21269230769230768</v>
      </c>
      <c r="AQ293" s="479">
        <v>0.14615384615384611</v>
      </c>
      <c r="AR293" s="514">
        <v>1.1538461538461537E-2</v>
      </c>
      <c r="AS293" s="344">
        <v>0.25083333333333335</v>
      </c>
      <c r="AT293" s="479">
        <v>0.32083333333333336</v>
      </c>
      <c r="AU293" s="479">
        <v>0.25583333333333336</v>
      </c>
      <c r="AV293" s="479">
        <v>0.14499999999999999</v>
      </c>
      <c r="AW293" s="514">
        <v>2.7083333333333334E-2</v>
      </c>
    </row>
    <row r="294" spans="4:49" x14ac:dyDescent="0.2">
      <c r="D294" s="27" t="s">
        <v>246</v>
      </c>
      <c r="E294" s="39">
        <f>AVERAGEIF($C$36:$C$171,"=3",$F$36:$F$171)</f>
        <v>0.25222222222222229</v>
      </c>
      <c r="F294" s="39">
        <f>AVERAGEIF($C$36:$C$171,"=3",$G$36:$G$171)</f>
        <v>0.4005555555555555</v>
      </c>
      <c r="G294" s="39">
        <f>AVERAGEIF($C$36:$C$171,"=3",$H$36:$H$171)</f>
        <v>0.27055555555555555</v>
      </c>
      <c r="H294" s="39">
        <f>AVERAGEIF($C$36:$C$171,"=3",$I$36:$I$171)</f>
        <v>7.6666666666666661E-2</v>
      </c>
      <c r="I294" s="39">
        <f>AVERAGEIF($C$36:$C$171,"=3",$J$36:$J$171)</f>
        <v>2.7777777777777779E-3</v>
      </c>
      <c r="J294" s="39">
        <f>AVERAGEIF($C$36:$C$171,"=3",$M$36:$M$171)</f>
        <v>0.3568421052631579</v>
      </c>
      <c r="K294" s="39">
        <f>AVERAGEIF($C$36:$C$171,"=3",$N$36:$N$171)</f>
        <v>0.3936842105263158</v>
      </c>
      <c r="L294" s="39">
        <f>AVERAGEIF($C$36:$C$171,"=3",$O$36:$O$171)</f>
        <v>0.19789473684210526</v>
      </c>
      <c r="M294" s="39">
        <f>AVERAGEIF($C$36:$C$171,"=3",$P$36:$P$171)</f>
        <v>4.9473684210526329E-2</v>
      </c>
      <c r="N294" s="39">
        <f>AVERAGEIF($C$36:$C$171,"=3",$Q$36:$Q$171)</f>
        <v>3.6842105263157898E-3</v>
      </c>
      <c r="O294" s="39">
        <f>AVERAGEIF($C$36:$C$171,"=3",$T$36:$T$171)</f>
        <v>0.28526315789473689</v>
      </c>
      <c r="P294" s="39">
        <f>AVERAGEIF($C$36:$C$171,"=3",$U$36:$U$171)</f>
        <v>0.41421052631578942</v>
      </c>
      <c r="Q294" s="39">
        <f>AVERAGEIF($C$36:$C$171,"=3",$V$36:$V$171)</f>
        <v>0.24684210526315792</v>
      </c>
      <c r="R294" s="39">
        <f>AVERAGEIF($C$36:$C$171,"=3",$W$36:$W$171)</f>
        <v>4.7894736842105282E-2</v>
      </c>
      <c r="S294" s="39">
        <f>AVERAGEIF($C$36:$C$171,"=3",$X$36:$X$171)</f>
        <v>4.7368421052631574E-3</v>
      </c>
      <c r="T294" s="39">
        <f>AVERAGEIF($C$36:$C$171,"=3",$AA$36:$AA$171)</f>
        <v>0.33473684210526317</v>
      </c>
      <c r="U294" s="39">
        <f>AVERAGEIF($C$36:$C$171,"=3",$AB$36:$AB$171)</f>
        <v>0.3978947368421053</v>
      </c>
      <c r="V294" s="39">
        <f>AVERAGEIF($C$36:$C$171,"=3",$AC$36:$AC$171)</f>
        <v>0.21000000000000002</v>
      </c>
      <c r="W294" s="39">
        <f>AVERAGEIF($C$36:$C$171,"=3",$AD$36:$AD$171)</f>
        <v>5.6842105263157895E-2</v>
      </c>
      <c r="X294" s="555">
        <f>AVERAGEIF($C$36:$C$171,"=3",$AE$36:$AE$171)</f>
        <v>1.5789473684210526E-3</v>
      </c>
      <c r="Y294" s="551">
        <f>AVERAGEIF($C$36:$C$171,"=3",$AH$36:$AH$171)</f>
        <v>0.48</v>
      </c>
      <c r="Z294" s="479">
        <f>AVERAGEIF($C$36:$C$171,"=3",$AI$36:$AI$171)</f>
        <v>0.35749999999999998</v>
      </c>
      <c r="AA294" s="479">
        <f>AVERAGEIF($C$36:$C$171,"=3",$AJ$36:$AJ$171)</f>
        <v>0.11499999999999999</v>
      </c>
      <c r="AB294" s="479">
        <f>AVERAGEIF($C$36:$C$171,"=3",$AK$36:$AK$171)</f>
        <v>4.5999999999999999E-2</v>
      </c>
      <c r="AC294" s="514">
        <f>AVERAGEIF($C$36:$C$171,"=3",$AL$36:$AL$171)</f>
        <v>1.5E-3</v>
      </c>
      <c r="AD294" s="551">
        <f>AVERAGEIF($C$36:$C$171,"=3",$AQ$36:$AQ$171)</f>
        <v>0.34799999999999998</v>
      </c>
      <c r="AE294" s="479">
        <f>AVERAGEIF($C$36:$C$171,"=3",$AR$36:$AR$171)</f>
        <v>0.34050000000000002</v>
      </c>
      <c r="AF294" s="479">
        <f>AVERAGEIF($C$36:$C$171,"=3",$AS$36:$AS$171)</f>
        <v>0.21599999999999997</v>
      </c>
      <c r="AG294" s="479">
        <f>AVERAGEIF($C$36:$C$171,"=3",$AT$36:$AT$171)</f>
        <v>8.7000000000000008E-2</v>
      </c>
      <c r="AH294" s="514">
        <f>AVERAGEIF($C$36:$C$171,"=3",$AU$36:$AU$171)</f>
        <v>9.0000000000000011E-3</v>
      </c>
      <c r="AI294" s="551">
        <v>0.27590909090909094</v>
      </c>
      <c r="AJ294" s="479">
        <v>0.33909090909090911</v>
      </c>
      <c r="AK294" s="479">
        <v>0.25090909090909091</v>
      </c>
      <c r="AL294" s="479">
        <v>0.12590909090909086</v>
      </c>
      <c r="AM294" s="514">
        <v>1.0454545454545456E-2</v>
      </c>
      <c r="AN294" s="551">
        <v>0.26500000000000001</v>
      </c>
      <c r="AO294" s="479">
        <v>0.36409090909090908</v>
      </c>
      <c r="AP294" s="479">
        <v>0.25727272727272732</v>
      </c>
      <c r="AQ294" s="479">
        <v>9.6818181818181831E-2</v>
      </c>
      <c r="AR294" s="514">
        <v>1.6818181818181822E-2</v>
      </c>
      <c r="AS294" s="344">
        <v>0.2372727272727273</v>
      </c>
      <c r="AT294" s="479">
        <v>0.36227272727272725</v>
      </c>
      <c r="AU294" s="479">
        <v>0.26090909090909098</v>
      </c>
      <c r="AV294" s="479">
        <v>0.11909090909090909</v>
      </c>
      <c r="AW294" s="514">
        <v>2.0000000000000004E-2</v>
      </c>
    </row>
    <row r="295" spans="4:49" x14ac:dyDescent="0.2">
      <c r="D295" s="27" t="s">
        <v>247</v>
      </c>
      <c r="E295" s="39">
        <f>AVERAGEIF($C$36:$C$171,"=4",$F$36:$F$171)</f>
        <v>0.41285714285714292</v>
      </c>
      <c r="F295" s="39">
        <f>AVERAGEIF($C$36:$C$171,"=1",$G$36:$G$171)</f>
        <v>0.4611764705882353</v>
      </c>
      <c r="G295" s="39">
        <f>AVERAGEIF($C$36:$C$171,"=4",$H$36:$H$171)</f>
        <v>0.15928571428571428</v>
      </c>
      <c r="H295" s="39">
        <f>AVERAGEIF($C$36:$C$171,"=4",$I$36:$I$171)</f>
        <v>5.8571428571428573E-2</v>
      </c>
      <c r="I295" s="39">
        <f>AVERAGEIF($C$36:$C$171,"=4",$J$36:$J$171)</f>
        <v>7.1428571428571429E-4</v>
      </c>
      <c r="J295" s="39">
        <f>AVERAGEIF($C$36:$C$171,"=4",$M$36:$M$171)</f>
        <v>0.46666666666666667</v>
      </c>
      <c r="K295" s="39">
        <f>AVERAGEIF($C$36:$C$171,"=4",$N$36:$N$171)</f>
        <v>0.32333333333333331</v>
      </c>
      <c r="L295" s="39">
        <f>AVERAGEIF($C$36:$C$171,"=4",$O$36:$O$171)</f>
        <v>0.19533333333333333</v>
      </c>
      <c r="M295" s="39">
        <f>AVERAGEIF($C$36:$C$171,"=4",$P$36:$P$171)</f>
        <v>1.6E-2</v>
      </c>
      <c r="N295" s="39">
        <f>AVERAGEIF($C$36:$C$171,"=4",$Q$36:$Q$171)</f>
        <v>6.6666666666666664E-4</v>
      </c>
      <c r="O295" s="39">
        <f>AVERAGEIF($C$36:$C$171,"=4",$T$36:$T$171)</f>
        <v>0.35133333333333339</v>
      </c>
      <c r="P295" s="39">
        <f>AVERAGEIF($C$36:$C$171,"=4",$U$36:$U$171)</f>
        <v>0.37066666666666664</v>
      </c>
      <c r="Q295" s="39">
        <f>AVERAGEIF($C$36:$C$171,"=4",$V$36:$V$171)</f>
        <v>0.19400000000000001</v>
      </c>
      <c r="R295" s="39">
        <f>AVERAGEIF($C$36:$C$171,"=4",$W$36:$W$171)</f>
        <v>7.8666666666666676E-2</v>
      </c>
      <c r="S295" s="39">
        <f>AVERAGEIF($C$36:$C$171,"=4",$X$36:$X$171)</f>
        <v>4.6666666666666671E-3</v>
      </c>
      <c r="T295" s="39">
        <f>AVERAGEIF($C$36:$C$171,"=4",$AA$36:$AA$171)</f>
        <v>0.45857142857142863</v>
      </c>
      <c r="U295" s="39">
        <f>AVERAGEIF($C$36:$C$171,"=4",$AB$36:$AB$171)</f>
        <v>0.36857142857142861</v>
      </c>
      <c r="V295" s="39">
        <f>AVERAGEIF($C$36:$C$171,"=4",$AC$36:$AC$171)</f>
        <v>0.15071428571428572</v>
      </c>
      <c r="W295" s="39">
        <f>AVERAGEIF($C$36:$C$171,"=4",$AD$36:$AD$171)</f>
        <v>2.2142857142857141E-2</v>
      </c>
      <c r="X295" s="555">
        <f>AVERAGEIF($C$36:$C$171,"=4",$AE$36:$AE$171)</f>
        <v>1.4285714285714286E-3</v>
      </c>
      <c r="Y295" s="551">
        <f>AVERAGEIF($C$36:$C$171,"=4",$AH$36:$AH$171)</f>
        <v>0.57923076923076922</v>
      </c>
      <c r="Z295" s="479">
        <f>AVERAGEIF($C$36:$C$171,"=4",$AI$36:$AI$171)</f>
        <v>0.32692307692307693</v>
      </c>
      <c r="AA295" s="479">
        <f>AVERAGEIF($C$36:$C$171,"=4",$AJ$36:$AJ$171)</f>
        <v>8.3846153846153848E-2</v>
      </c>
      <c r="AB295" s="479">
        <f>AVERAGEIF($C$36:$C$171,"=4",$AK$36:$AK$171)</f>
        <v>1.0769230769230771E-2</v>
      </c>
      <c r="AC295" s="514">
        <f>AVERAGEIF($C$36:$C$171,"=4",$AL$36:$AL$171)</f>
        <v>0</v>
      </c>
      <c r="AD295" s="551">
        <f>AVERAGEIF($C$36:$C$171,"=4",$AQ$36:$AQ$171)</f>
        <v>0.42928571428571433</v>
      </c>
      <c r="AE295" s="479">
        <f>AVERAGEIF($C$36:$C$171,"=4",$AR$36:$AR$171)</f>
        <v>0.3978571428571428</v>
      </c>
      <c r="AF295" s="479">
        <f>AVERAGEIF($C$36:$C$171,"=4",$AS$36:$AS$171)</f>
        <v>0.1357142857142857</v>
      </c>
      <c r="AG295" s="479">
        <f>AVERAGEIF($C$36:$C$171,"=4",$AT$36:$AT$171)</f>
        <v>3.2857142857142856E-2</v>
      </c>
      <c r="AH295" s="514">
        <f>AVERAGEIF($C$36:$C$171,"=4",$AU$36:$AU$171)</f>
        <v>4.2857142857142859E-3</v>
      </c>
      <c r="AI295" s="551">
        <v>0.40571428571428575</v>
      </c>
      <c r="AJ295" s="479">
        <v>0.37499999999999994</v>
      </c>
      <c r="AK295" s="479">
        <v>0.17</v>
      </c>
      <c r="AL295" s="479">
        <v>4.9285714285714287E-2</v>
      </c>
      <c r="AM295" s="514">
        <v>0</v>
      </c>
      <c r="AN295" s="551">
        <v>0.4433333333333333</v>
      </c>
      <c r="AO295" s="479">
        <v>0.34933333333333327</v>
      </c>
      <c r="AP295" s="479">
        <v>0.16466666666666666</v>
      </c>
      <c r="AQ295" s="479">
        <v>3.8666666666666669E-2</v>
      </c>
      <c r="AR295" s="514">
        <v>2E-3</v>
      </c>
      <c r="AS295" s="344">
        <v>0.40538461538461534</v>
      </c>
      <c r="AT295" s="479">
        <v>0.34230769230769226</v>
      </c>
      <c r="AU295" s="479">
        <v>0.17076923076923078</v>
      </c>
      <c r="AV295" s="479">
        <v>7.3846153846153839E-2</v>
      </c>
      <c r="AW295" s="514">
        <v>5.3846153846153853E-3</v>
      </c>
    </row>
    <row r="296" spans="4:49" x14ac:dyDescent="0.2">
      <c r="D296" s="27" t="s">
        <v>248</v>
      </c>
      <c r="E296" s="39">
        <f>AVERAGEIF($C$36:$C$171,"=5",$F$36:$F$171)</f>
        <v>0.19411764705882351</v>
      </c>
      <c r="F296" s="39">
        <f>AVERAGEIF($C$36:$C$171,"=1",$G$36:$G$171)</f>
        <v>0.4611764705882353</v>
      </c>
      <c r="G296" s="39">
        <f>AVERAGEIF($C$36:$C$171,"=5",$H$36:$H$171)</f>
        <v>0.27352941176470591</v>
      </c>
      <c r="H296" s="39">
        <f>AVERAGEIF($C$36:$C$171,"=5",$I$36:$I$171)</f>
        <v>0.15882352941176472</v>
      </c>
      <c r="I296" s="39">
        <f>AVERAGEIF($C$36:$C$171,"=5",$J$36:$J$171)</f>
        <v>1.0588235294117647E-2</v>
      </c>
      <c r="J296" s="39">
        <f>AVERAGEIF($C$36:$C$171,"=5",$M$36:$M$171)</f>
        <v>0.22352941176470589</v>
      </c>
      <c r="K296" s="39">
        <f>AVERAGEIF($C$36:$C$171,"=5",$N$36:$N$171)</f>
        <v>0.34411764705882358</v>
      </c>
      <c r="L296" s="39">
        <f>AVERAGEIF($C$36:$C$171,"=5",$O$36:$O$171)</f>
        <v>0.33235294117647057</v>
      </c>
      <c r="M296" s="39">
        <f>AVERAGEIF($C$36:$C$171,"=5",$P$36:$P$171)</f>
        <v>8.529411764705884E-2</v>
      </c>
      <c r="N296" s="39">
        <f>AVERAGEIF($C$36:$C$171,"=5",$Q$36:$Q$171)</f>
        <v>1.5882352941176472E-2</v>
      </c>
      <c r="O296" s="39">
        <f>AVERAGEIF($C$36:$C$171,"=5",$T$36:$T$171)</f>
        <v>0.19166666666666665</v>
      </c>
      <c r="P296" s="39">
        <f>AVERAGEIF($C$36:$C$171,"=5",$U$36:$U$171)</f>
        <v>0.38500000000000001</v>
      </c>
      <c r="Q296" s="39">
        <f>AVERAGEIF($C$36:$C$171,"=5",$V$36:$V$171)</f>
        <v>0.27500000000000008</v>
      </c>
      <c r="R296" s="39">
        <f>AVERAGEIF($C$36:$C$171,"=5",$W$36:$W$171)</f>
        <v>0.13</v>
      </c>
      <c r="S296" s="39">
        <f>AVERAGEIF($C$36:$C$171,"=5",$X$36:$X$171)</f>
        <v>1.666666666666667E-2</v>
      </c>
      <c r="T296" s="39">
        <f>AVERAGEIF($C$36:$C$171,"=5",$AA$36:$AA$171)</f>
        <v>0.24526315789473685</v>
      </c>
      <c r="U296" s="39">
        <f>AVERAGEIF($C$36:$C$171,"=5",$AB$36:$AB$171)</f>
        <v>0.34789473684210526</v>
      </c>
      <c r="V296" s="39">
        <f>AVERAGEIF($C$36:$C$171,"=5",$AC$36:$AC$171)</f>
        <v>0.29842105263157898</v>
      </c>
      <c r="W296" s="39">
        <f>AVERAGEIF($C$36:$C$171,"=5",$AD$36:$AD$171)</f>
        <v>0.10894736842105264</v>
      </c>
      <c r="X296" s="555">
        <f>AVERAGEIF($C$36:$C$171,"=5",$AE$36:$AE$171)</f>
        <v>1.0526315789473684E-3</v>
      </c>
      <c r="Y296" s="551">
        <f>AVERAGEIF($C$36:$C$171,"=5",$AH$36:$AH$171)</f>
        <v>0.34555555555555556</v>
      </c>
      <c r="Z296" s="479">
        <f>AVERAGEIF($C$36:$C$171,"=5",$AI$36:$AI$171)</f>
        <v>0.41000000000000003</v>
      </c>
      <c r="AA296" s="479">
        <f>AVERAGEIF($C$36:$C$171,"=5",$AJ$36:$AJ$171)</f>
        <v>0.18277777777777779</v>
      </c>
      <c r="AB296" s="479">
        <f>AVERAGEIF($C$36:$C$171,"=5",$AK$36:$AK$171)</f>
        <v>6.2222222222222227E-2</v>
      </c>
      <c r="AC296" s="514">
        <f>AVERAGEIF($C$36:$C$171,"=5",$AL$36:$AL$171)</f>
        <v>5.5555555555555556E-4</v>
      </c>
      <c r="AD296" s="551">
        <f>AVERAGEIF($C$36:$C$171,"=5",$AQ$36:$AQ$171)</f>
        <v>0.20277777777777775</v>
      </c>
      <c r="AE296" s="479">
        <f>AVERAGEIF($C$36:$C$171,"=5",$AR$36:$AR$171)</f>
        <v>0.37888888888888883</v>
      </c>
      <c r="AF296" s="479">
        <f>AVERAGEIF($C$36:$C$171,"=5",$AS$36:$AS$171)</f>
        <v>0.27277777777777779</v>
      </c>
      <c r="AG296" s="479">
        <f>AVERAGEIF($C$36:$C$171,"=5",$AT$36:$AT$171)</f>
        <v>0.14000000000000001</v>
      </c>
      <c r="AH296" s="514">
        <f>AVERAGEIF($C$36:$C$171,"=5",$AU$36:$AU$171)</f>
        <v>5.5555555555555558E-3</v>
      </c>
      <c r="AI296" s="551">
        <v>0.15235294117647055</v>
      </c>
      <c r="AJ296" s="479">
        <v>0.36176470588235299</v>
      </c>
      <c r="AK296" s="479">
        <v>0.32470588235294118</v>
      </c>
      <c r="AL296" s="479">
        <v>0.14235294117647057</v>
      </c>
      <c r="AM296" s="514">
        <v>1.7058823529411765E-2</v>
      </c>
      <c r="AN296" s="551">
        <v>0.19000000000000006</v>
      </c>
      <c r="AO296" s="479">
        <v>0.30176470588235293</v>
      </c>
      <c r="AP296" s="479">
        <v>0.3294117647058824</v>
      </c>
      <c r="AQ296" s="479">
        <v>0.15647058823529411</v>
      </c>
      <c r="AR296" s="514">
        <v>2.2941176470588236E-2</v>
      </c>
      <c r="AS296" s="344">
        <v>0.21166666666666661</v>
      </c>
      <c r="AT296" s="479">
        <v>0.34277777777777785</v>
      </c>
      <c r="AU296" s="479">
        <v>0.28444444444444444</v>
      </c>
      <c r="AV296" s="479">
        <v>0.13666666666666666</v>
      </c>
      <c r="AW296" s="514">
        <v>2.6666666666666665E-2</v>
      </c>
    </row>
    <row r="297" spans="4:49" x14ac:dyDescent="0.2">
      <c r="D297" s="27" t="s">
        <v>249</v>
      </c>
      <c r="E297" s="39">
        <f>AVERAGEIF($C$36:$C$171,"=6",$F$36:$F$171)</f>
        <v>0.30066666666666664</v>
      </c>
      <c r="F297" s="39">
        <f>AVERAGEIF($C$36:$C$171,"=1",$G$36:$G$171)</f>
        <v>0.4611764705882353</v>
      </c>
      <c r="G297" s="39">
        <f>AVERAGEIF($C$36:$C$171,"=6",$H$36:$H$171)</f>
        <v>0.28066666666666668</v>
      </c>
      <c r="H297" s="39">
        <f>AVERAGEIF($C$36:$C$171,"=6",$I$36:$I$171)</f>
        <v>6.6666666666666666E-2</v>
      </c>
      <c r="I297" s="39">
        <f>AVERAGEIF($C$36:$C$171,"=6",$J$36:$J$171)</f>
        <v>4.0000000000000001E-3</v>
      </c>
      <c r="J297" s="39">
        <f>AVERAGEIF($C$36:$C$171,"=6",$M$36:$M$171)</f>
        <v>0.43199999999999988</v>
      </c>
      <c r="K297" s="39">
        <f>AVERAGEIF($C$36:$C$171,"=6",$N$36:$N$171)</f>
        <v>0.34466666666666668</v>
      </c>
      <c r="L297" s="39">
        <f>AVERAGEIF($C$36:$C$171,"=6",$O$36:$O$171)</f>
        <v>0.1566666666666667</v>
      </c>
      <c r="M297" s="39">
        <f>AVERAGEIF($C$36:$C$171,"=6",$P$36:$P$171)</f>
        <v>6.0666666666666674E-2</v>
      </c>
      <c r="N297" s="39">
        <f>AVERAGEIF($C$36:$C$171,"=6",$Q$36:$Q$171)</f>
        <v>7.3333333333333332E-3</v>
      </c>
      <c r="O297" s="39">
        <f>AVERAGEIF($C$36:$C$171,"=6",$T$36:$T$171)</f>
        <v>0.29928571428571432</v>
      </c>
      <c r="P297" s="39">
        <f>AVERAGEIF($C$36:$C$171,"=6",$U$36:$U$171)</f>
        <v>0.45714285714285713</v>
      </c>
      <c r="Q297" s="39">
        <f>AVERAGEIF($C$36:$C$171,"=6",$V$36:$V$171)</f>
        <v>0.17571428571428571</v>
      </c>
      <c r="R297" s="39">
        <f>AVERAGEIF($C$36:$C$171,"=6",$W$36:$W$171)</f>
        <v>6.2857142857142848E-2</v>
      </c>
      <c r="S297" s="39">
        <f>AVERAGEIF($C$36:$C$171,"=6",$X$36:$X$171)</f>
        <v>5.0000000000000001E-3</v>
      </c>
      <c r="T297" s="39">
        <f>AVERAGEIF($C$36:$C$171,"=6",$AA$36:$AA$171)</f>
        <v>0.35933333333333334</v>
      </c>
      <c r="U297" s="39">
        <f>AVERAGEIF($C$36:$C$171,"=6",$AB$36:$AB$171)</f>
        <v>0.36866666666666664</v>
      </c>
      <c r="V297" s="39">
        <f>AVERAGEIF($C$36:$C$171,"=6",$AC$36:$AC$171)</f>
        <v>0.19466666666666665</v>
      </c>
      <c r="W297" s="39">
        <f>AVERAGEIF($C$36:$C$171,"=6",$AD$36:$AD$171)</f>
        <v>7.2000000000000022E-2</v>
      </c>
      <c r="X297" s="555">
        <f>AVERAGEIF($C$36:$C$171,"=6",$AE$36:$AE$171)</f>
        <v>8.0000000000000002E-3</v>
      </c>
      <c r="Y297" s="552">
        <f>AVERAGEIF($C$36:$C$171,"=6",$AH$36:$AH$171)</f>
        <v>0.53941176470588237</v>
      </c>
      <c r="Z297" s="553">
        <f>AVERAGEIF($C$36:$C$171,"=6",$AI$36:$AI$171)</f>
        <v>0.30705882352941172</v>
      </c>
      <c r="AA297" s="553">
        <f>AVERAGEIF($C$36:$C$171,"=6",$AJ$36:$AJ$171)</f>
        <v>0.1123529411764706</v>
      </c>
      <c r="AB297" s="553">
        <f>AVERAGEIF($C$36:$C$171,"=6",$AK$36:$AK$171)</f>
        <v>3.9411764705882354E-2</v>
      </c>
      <c r="AC297" s="554">
        <f>AVERAGEIF($C$36:$C$171,"=6",$AL$36:$AL$171)</f>
        <v>2.9411764705882353E-3</v>
      </c>
      <c r="AD297" s="552">
        <f>AVERAGEIF($C$36:$C$171,"=6",$AQ$36:$AQ$171)</f>
        <v>0.25588235294117645</v>
      </c>
      <c r="AE297" s="553">
        <f>AVERAGEIF($C$36:$C$171,"=6",$AR$36:$AR$171)</f>
        <v>0.40705882352941175</v>
      </c>
      <c r="AF297" s="553">
        <f>AVERAGEIF($C$36:$C$171,"=6",$AS$36:$AS$171)</f>
        <v>0.24529411764705883</v>
      </c>
      <c r="AG297" s="553">
        <f>AVERAGEIF($C$36:$C$171,"=6",$AT$36:$AT$171)</f>
        <v>7.823529411764707E-2</v>
      </c>
      <c r="AH297" s="554">
        <f>AVERAGEIF($C$36:$C$171,"=6",$AU$36:$AU$171)</f>
        <v>1.5294117647058824E-2</v>
      </c>
      <c r="AI297" s="552">
        <v>0.28526315789473689</v>
      </c>
      <c r="AJ297" s="553">
        <v>0.37210526315789477</v>
      </c>
      <c r="AK297" s="553">
        <v>0.23684210526315788</v>
      </c>
      <c r="AL297" s="553">
        <v>9.736842105263159E-2</v>
      </c>
      <c r="AM297" s="554">
        <v>8.4210526315789454E-3</v>
      </c>
      <c r="AN297" s="552">
        <v>0.27999999999999997</v>
      </c>
      <c r="AO297" s="553">
        <v>0.38849999999999996</v>
      </c>
      <c r="AP297" s="553">
        <v>0.21300000000000002</v>
      </c>
      <c r="AQ297" s="553">
        <v>0.11150000000000002</v>
      </c>
      <c r="AR297" s="554">
        <v>6.5000000000000006E-3</v>
      </c>
      <c r="AS297" s="552">
        <v>0.27333333333333321</v>
      </c>
      <c r="AT297" s="553">
        <v>0.33722222222222226</v>
      </c>
      <c r="AU297" s="553">
        <v>0.26222222222222219</v>
      </c>
      <c r="AV297" s="553">
        <v>0.10944444444444448</v>
      </c>
      <c r="AW297" s="554">
        <v>2.2222222222222223E-2</v>
      </c>
    </row>
  </sheetData>
  <sheetProtection algorithmName="SHA-512" hashValue="Px2WdcJrWdyjOlCn+BGe/4qw5A18dnyruj/GancYfJJVdlJfVTPbH4maNCsCHHk29gezcLS93SV4yDStnEbQSA==" saltValue="20uBOTtyHnZ3A3vMQIrZrw==" spinCount="100000" sheet="1" objects="1" scenarios="1"/>
  <sortState ref="A38:Z171">
    <sortCondition ref="A38:A171"/>
  </sortState>
  <mergeCells count="100">
    <mergeCell ref="AD290:AH290"/>
    <mergeCell ref="Y290:AC290"/>
    <mergeCell ref="AI290:AM290"/>
    <mergeCell ref="AN290:AR290"/>
    <mergeCell ref="AS290:AW290"/>
    <mergeCell ref="Y7:AE7"/>
    <mergeCell ref="AV7:BD7"/>
    <mergeCell ref="AV8:AV9"/>
    <mergeCell ref="AX8:AX9"/>
    <mergeCell ref="AA247:AD247"/>
    <mergeCell ref="AM7:AU7"/>
    <mergeCell ref="AM8:AM9"/>
    <mergeCell ref="AO8:AO9"/>
    <mergeCell ref="AF7:AL7"/>
    <mergeCell ref="AF8:AF9"/>
    <mergeCell ref="AG8:AG9"/>
    <mergeCell ref="Y175:AH175"/>
    <mergeCell ref="AM247:AP247"/>
    <mergeCell ref="AL187:AO187"/>
    <mergeCell ref="AL188:AM188"/>
    <mergeCell ref="AN188:AO188"/>
    <mergeCell ref="R8:R9"/>
    <mergeCell ref="AH188:AI188"/>
    <mergeCell ref="AJ188:AK188"/>
    <mergeCell ref="AI247:AL247"/>
    <mergeCell ref="AE247:AH247"/>
    <mergeCell ref="R188:S188"/>
    <mergeCell ref="T188:U188"/>
    <mergeCell ref="K198:T198"/>
    <mergeCell ref="P176:Q176"/>
    <mergeCell ref="AH187:AK187"/>
    <mergeCell ref="N176:O176"/>
    <mergeCell ref="Z187:AC187"/>
    <mergeCell ref="Z188:AA188"/>
    <mergeCell ref="AB188:AC188"/>
    <mergeCell ref="V176:W176"/>
    <mergeCell ref="X198:AG198"/>
    <mergeCell ref="E176:E177"/>
    <mergeCell ref="F176:G176"/>
    <mergeCell ref="H176:I176"/>
    <mergeCell ref="J176:K176"/>
    <mergeCell ref="L176:M176"/>
    <mergeCell ref="E290:I290"/>
    <mergeCell ref="J290:N290"/>
    <mergeCell ref="O290:S290"/>
    <mergeCell ref="T290:X290"/>
    <mergeCell ref="F246:Z246"/>
    <mergeCell ref="G247:J247"/>
    <mergeCell ref="K247:N247"/>
    <mergeCell ref="O247:R247"/>
    <mergeCell ref="S247:V247"/>
    <mergeCell ref="W247:Z247"/>
    <mergeCell ref="A1:L1"/>
    <mergeCell ref="A3:L3"/>
    <mergeCell ref="A4:L4"/>
    <mergeCell ref="F8:J8"/>
    <mergeCell ref="D7:J7"/>
    <mergeCell ref="D8:D9"/>
    <mergeCell ref="E8:E9"/>
    <mergeCell ref="K7:Q7"/>
    <mergeCell ref="K8:K9"/>
    <mergeCell ref="L8:L9"/>
    <mergeCell ref="M8:Q8"/>
    <mergeCell ref="A7:A9"/>
    <mergeCell ref="B7:B9"/>
    <mergeCell ref="C7:C9"/>
    <mergeCell ref="F187:I187"/>
    <mergeCell ref="J187:M187"/>
    <mergeCell ref="N187:Q187"/>
    <mergeCell ref="R187:U187"/>
    <mergeCell ref="V188:W188"/>
    <mergeCell ref="V187:Y187"/>
    <mergeCell ref="P188:Q188"/>
    <mergeCell ref="F188:G188"/>
    <mergeCell ref="H188:I188"/>
    <mergeCell ref="J188:K188"/>
    <mergeCell ref="L188:M188"/>
    <mergeCell ref="N188:O188"/>
    <mergeCell ref="X188:Y188"/>
    <mergeCell ref="R176:S176"/>
    <mergeCell ref="T176:U176"/>
    <mergeCell ref="AD187:AG187"/>
    <mergeCell ref="AD188:AE188"/>
    <mergeCell ref="AF188:AG188"/>
    <mergeCell ref="E175:W175"/>
    <mergeCell ref="BN7:BV7"/>
    <mergeCell ref="BN8:BN9"/>
    <mergeCell ref="BP8:BP9"/>
    <mergeCell ref="BE7:BM7"/>
    <mergeCell ref="BE8:BE9"/>
    <mergeCell ref="BG8:BG9"/>
    <mergeCell ref="BQ8:BQ9"/>
    <mergeCell ref="BO8:BO9"/>
    <mergeCell ref="BR8:BV8"/>
    <mergeCell ref="Y8:Y9"/>
    <mergeCell ref="Z8:Z9"/>
    <mergeCell ref="AA8:AE8"/>
    <mergeCell ref="T8:X8"/>
    <mergeCell ref="S8:S9"/>
    <mergeCell ref="R7:X7"/>
  </mergeCells>
  <pageMargins left="0.75" right="0.75" top="1" bottom="1" header="0.5" footer="0.5"/>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F7EE-09D3-465B-A518-281BF771CBEF}">
  <sheetPr codeName="Hoja11">
    <tabColor theme="4"/>
  </sheetPr>
  <dimension ref="A1:Q30"/>
  <sheetViews>
    <sheetView zoomScale="70" zoomScaleNormal="70" workbookViewId="0">
      <selection activeCell="E9" sqref="E9:K9"/>
    </sheetView>
  </sheetViews>
  <sheetFormatPr baseColWidth="10" defaultColWidth="12.5703125" defaultRowHeight="15.75" x14ac:dyDescent="0.25"/>
  <cols>
    <col min="1" max="1" width="5.28515625" style="99" customWidth="1"/>
    <col min="2" max="2" width="12.5703125" style="99"/>
    <col min="3" max="3" width="13.7109375" style="99" customWidth="1"/>
    <col min="4" max="6" width="12.5703125" style="99"/>
    <col min="7" max="7" width="23.42578125" style="99" customWidth="1"/>
    <col min="8" max="8" width="18.5703125" style="99" customWidth="1"/>
    <col min="9" max="9" width="38.85546875" style="99" customWidth="1"/>
    <col min="10" max="10" width="53.7109375" style="99" customWidth="1"/>
    <col min="11" max="11" width="47.7109375" style="99" customWidth="1"/>
    <col min="12" max="16384" width="12.5703125" style="99"/>
  </cols>
  <sheetData>
    <row r="1" spans="1:12" x14ac:dyDescent="0.25">
      <c r="A1" s="98"/>
      <c r="B1" s="98"/>
      <c r="C1" s="98"/>
      <c r="D1" s="98"/>
      <c r="E1" s="98"/>
      <c r="F1" s="98"/>
      <c r="G1" s="98"/>
      <c r="H1" s="98"/>
      <c r="I1" s="98"/>
      <c r="J1" s="98"/>
      <c r="K1" s="98"/>
      <c r="L1" s="98"/>
    </row>
    <row r="2" spans="1:12" x14ac:dyDescent="0.25">
      <c r="A2" s="98"/>
      <c r="B2" s="98"/>
      <c r="C2" s="98"/>
      <c r="D2" s="98"/>
      <c r="E2" s="98"/>
      <c r="F2" s="98"/>
      <c r="G2" s="98"/>
      <c r="H2" s="98"/>
      <c r="I2" s="98"/>
      <c r="J2" s="98"/>
      <c r="K2" s="98"/>
      <c r="L2" s="98"/>
    </row>
    <row r="3" spans="1:12" x14ac:dyDescent="0.25">
      <c r="A3" s="98"/>
      <c r="B3" s="98"/>
      <c r="C3" s="98"/>
      <c r="D3" s="98"/>
      <c r="E3" s="98"/>
      <c r="F3" s="98"/>
      <c r="G3" s="98"/>
      <c r="H3" s="98"/>
      <c r="I3" s="98"/>
      <c r="J3" s="98"/>
      <c r="K3" s="98"/>
      <c r="L3" s="98"/>
    </row>
    <row r="4" spans="1:12" x14ac:dyDescent="0.25">
      <c r="A4" s="98"/>
      <c r="B4" s="98"/>
      <c r="C4" s="98"/>
      <c r="D4" s="98"/>
      <c r="E4" s="98"/>
      <c r="F4" s="98"/>
      <c r="G4" s="98"/>
      <c r="H4" s="98"/>
      <c r="I4" s="98"/>
      <c r="J4" s="98"/>
      <c r="K4" s="98"/>
      <c r="L4" s="98"/>
    </row>
    <row r="5" spans="1:12" ht="65.45" customHeight="1" x14ac:dyDescent="0.25">
      <c r="A5" s="98"/>
      <c r="B5" s="98"/>
      <c r="C5" s="98"/>
      <c r="D5" s="98"/>
      <c r="E5" s="98"/>
      <c r="F5" s="98"/>
      <c r="G5" s="98"/>
      <c r="H5" s="98"/>
      <c r="I5" s="98"/>
      <c r="J5" s="98"/>
      <c r="K5" s="98"/>
      <c r="L5" s="98"/>
    </row>
    <row r="6" spans="1:12" ht="44.25" customHeight="1" x14ac:dyDescent="0.25">
      <c r="A6" s="98"/>
      <c r="B6" s="869" t="s">
        <v>860</v>
      </c>
      <c r="C6" s="869"/>
      <c r="D6" s="869"/>
      <c r="E6" s="869"/>
      <c r="F6" s="869"/>
      <c r="G6" s="869"/>
      <c r="H6" s="869"/>
      <c r="I6" s="869"/>
      <c r="J6" s="869"/>
      <c r="K6" s="869"/>
      <c r="L6" s="98"/>
    </row>
    <row r="7" spans="1:12" x14ac:dyDescent="0.25">
      <c r="A7" s="98"/>
      <c r="B7" s="98"/>
      <c r="C7" s="98"/>
      <c r="D7" s="98"/>
      <c r="E7" s="98"/>
      <c r="F7" s="98"/>
      <c r="G7" s="98"/>
      <c r="H7" s="98"/>
      <c r="I7" s="98"/>
      <c r="J7" s="98"/>
      <c r="K7" s="98"/>
      <c r="L7" s="98"/>
    </row>
    <row r="8" spans="1:12" x14ac:dyDescent="0.25">
      <c r="A8" s="98"/>
      <c r="B8" s="98"/>
      <c r="C8" s="98"/>
      <c r="D8" s="98"/>
      <c r="E8" s="98"/>
      <c r="F8" s="98"/>
      <c r="G8" s="98"/>
      <c r="H8" s="98"/>
      <c r="I8" s="98"/>
      <c r="J8" s="98"/>
      <c r="K8" s="98"/>
      <c r="L8" s="98"/>
    </row>
    <row r="9" spans="1:12" ht="30.75" customHeight="1" x14ac:dyDescent="0.35">
      <c r="A9" s="98"/>
      <c r="B9" s="448" t="s">
        <v>859</v>
      </c>
      <c r="C9" s="448"/>
      <c r="D9" s="448"/>
      <c r="E9" s="872" t="s">
        <v>14</v>
      </c>
      <c r="F9" s="873"/>
      <c r="G9" s="873"/>
      <c r="H9" s="873"/>
      <c r="I9" s="873"/>
      <c r="J9" s="873"/>
      <c r="K9" s="874"/>
      <c r="L9" s="98"/>
    </row>
    <row r="10" spans="1:12" ht="29.25" customHeight="1" x14ac:dyDescent="0.35">
      <c r="A10" s="98"/>
      <c r="B10" s="449"/>
      <c r="C10" s="449"/>
      <c r="D10" s="449"/>
      <c r="E10" s="449"/>
      <c r="F10" s="449"/>
      <c r="G10" s="449"/>
      <c r="H10" s="449"/>
      <c r="I10" s="449"/>
      <c r="J10" s="449"/>
      <c r="K10" s="449"/>
      <c r="L10" s="98"/>
    </row>
    <row r="11" spans="1:12" ht="18.75" x14ac:dyDescent="0.3">
      <c r="A11" s="98"/>
      <c r="B11" s="101"/>
      <c r="C11" s="101"/>
      <c r="D11" s="101"/>
      <c r="E11" s="101"/>
      <c r="F11" s="102"/>
      <c r="G11" s="102"/>
      <c r="H11" s="102"/>
      <c r="I11" s="102"/>
      <c r="J11" s="98"/>
      <c r="K11" s="98"/>
      <c r="L11" s="98"/>
    </row>
    <row r="12" spans="1:12" ht="38.25" customHeight="1" x14ac:dyDescent="0.3">
      <c r="A12" s="98"/>
      <c r="B12" s="98"/>
      <c r="C12" s="98"/>
      <c r="D12" s="101"/>
      <c r="E12" s="101"/>
      <c r="F12" s="102"/>
      <c r="G12" s="102"/>
      <c r="H12" s="1031" t="s">
        <v>854</v>
      </c>
      <c r="I12" s="1031"/>
      <c r="J12" s="1031"/>
      <c r="K12" s="1031"/>
      <c r="L12" s="98"/>
    </row>
    <row r="13" spans="1:12" ht="57" customHeight="1" x14ac:dyDescent="0.25">
      <c r="A13" s="98"/>
      <c r="B13" s="98"/>
      <c r="C13" s="98"/>
      <c r="D13" s="98"/>
      <c r="E13" s="98"/>
      <c r="F13" s="98"/>
      <c r="G13" s="98"/>
      <c r="H13" s="442" t="s">
        <v>855</v>
      </c>
      <c r="I13" s="442" t="s">
        <v>987</v>
      </c>
      <c r="J13" s="442" t="s">
        <v>988</v>
      </c>
      <c r="K13" s="442" t="s">
        <v>989</v>
      </c>
      <c r="L13" s="98"/>
    </row>
    <row r="14" spans="1:12" ht="121.9" customHeight="1" x14ac:dyDescent="0.25">
      <c r="A14" s="98"/>
      <c r="B14" s="98"/>
      <c r="C14" s="98"/>
      <c r="D14" s="98"/>
      <c r="E14" s="98"/>
      <c r="F14" s="98"/>
      <c r="G14" s="98"/>
      <c r="H14" s="443" t="s">
        <v>982</v>
      </c>
      <c r="I14" s="444" t="s">
        <v>985</v>
      </c>
      <c r="J14" s="445" t="s">
        <v>983</v>
      </c>
      <c r="K14" s="444" t="s">
        <v>984</v>
      </c>
      <c r="L14" s="98"/>
    </row>
    <row r="15" spans="1:12" ht="20.25" x14ac:dyDescent="0.25">
      <c r="A15" s="98"/>
      <c r="B15" s="98"/>
      <c r="C15" s="98"/>
      <c r="D15" s="98"/>
      <c r="E15" s="98"/>
      <c r="F15" s="98"/>
      <c r="G15" s="98"/>
      <c r="H15" s="104">
        <v>2016</v>
      </c>
      <c r="I15" s="105">
        <f>VLOOKUP($E$9,LC!$A$10:$AV$171,10,0)</f>
        <v>0.41532467532467543</v>
      </c>
      <c r="J15" s="105">
        <f>VLOOKUP($E$9,LC!$A$10:$AV$171,11,0)</f>
        <v>0.46571428571428564</v>
      </c>
      <c r="K15" s="105">
        <f>VLOOKUP($E$9,LC!$A$10:$AV$171,12,0)</f>
        <v>0.53220779220779235</v>
      </c>
      <c r="L15" s="98"/>
    </row>
    <row r="16" spans="1:12" ht="20.25" x14ac:dyDescent="0.25">
      <c r="A16" s="98"/>
      <c r="B16" s="98"/>
      <c r="C16" s="98"/>
      <c r="D16" s="98"/>
      <c r="E16" s="98"/>
      <c r="F16" s="98"/>
      <c r="G16" s="98"/>
      <c r="H16" s="104">
        <v>2017</v>
      </c>
      <c r="I16" s="105">
        <f>VLOOKUP($E$9,LC!$A$10:$AV$171,19,0)</f>
        <v>0.41298701298701301</v>
      </c>
      <c r="J16" s="105">
        <f>VLOOKUP($E$9,LC!$A$10:$AV$171,20,0)</f>
        <v>0.45337662337662327</v>
      </c>
      <c r="K16" s="105">
        <f>VLOOKUP($E$9,LC!$A$10:$AV$171,21,0)</f>
        <v>0.44974025974025966</v>
      </c>
      <c r="L16" s="98"/>
    </row>
    <row r="17" spans="1:17" ht="20.25" x14ac:dyDescent="0.25">
      <c r="A17" s="98"/>
      <c r="B17" s="98"/>
      <c r="C17" s="98"/>
      <c r="D17" s="98"/>
      <c r="E17" s="98"/>
      <c r="F17" s="98"/>
      <c r="G17" s="98"/>
      <c r="H17" s="104">
        <v>2018</v>
      </c>
      <c r="I17" s="105">
        <f>VLOOKUP($E$9,LC!$A$10:$AV$171,29,0)</f>
        <v>0.45858974358974364</v>
      </c>
      <c r="J17" s="105">
        <f>VLOOKUP($E$9,LC!$A$10:$AV$171,28,0)</f>
        <v>0.40987179487179493</v>
      </c>
      <c r="K17" s="105">
        <f>VLOOKUP($E$9,LC!$A$10:$AV$171,30,0)</f>
        <v>0.48025641025641008</v>
      </c>
      <c r="L17" s="98"/>
    </row>
    <row r="18" spans="1:17" ht="20.25" x14ac:dyDescent="0.25">
      <c r="A18" s="98"/>
      <c r="B18" s="98"/>
      <c r="C18" s="98"/>
      <c r="D18" s="98"/>
      <c r="E18" s="98"/>
      <c r="F18" s="98"/>
      <c r="G18" s="98"/>
      <c r="H18" s="104">
        <v>2019</v>
      </c>
      <c r="I18" s="105">
        <f>VLOOKUP($E$9,LC!$A$10:$AV$171,38,0)</f>
        <v>0.34524999999999995</v>
      </c>
      <c r="J18" s="105">
        <f>VLOOKUP($E$9,LC!$A$10:$AV$171,37,0)</f>
        <v>0.39425000000000016</v>
      </c>
      <c r="K18" s="105">
        <f>VLOOKUP($E$9,LC!$A$10:$AV$171,39,0)</f>
        <v>0.39174999999999993</v>
      </c>
      <c r="L18" s="98"/>
    </row>
    <row r="19" spans="1:17" ht="20.25" x14ac:dyDescent="0.25">
      <c r="A19" s="98"/>
      <c r="B19" s="98"/>
      <c r="C19" s="98"/>
      <c r="D19" s="98"/>
      <c r="E19" s="98"/>
      <c r="F19" s="98"/>
      <c r="G19" s="98"/>
      <c r="H19" s="104">
        <v>2020</v>
      </c>
      <c r="I19" s="105">
        <f>VLOOKUP($E$9,LC!$A$10:$AV$171,48,0)</f>
        <v>0.41882352941176465</v>
      </c>
      <c r="J19" s="105">
        <f>VLOOKUP($E$9,LC!$A$10:$AV$171,46,0)</f>
        <v>0.45058823529411768</v>
      </c>
      <c r="K19" s="105">
        <f>VLOOKUP($E$9,LC!$A$10:$AV$171,47,0)</f>
        <v>0.35247058823529415</v>
      </c>
      <c r="L19" s="98"/>
    </row>
    <row r="20" spans="1:17" ht="20.25" x14ac:dyDescent="0.25">
      <c r="A20" s="98"/>
      <c r="B20" s="98"/>
      <c r="C20" s="98"/>
      <c r="D20" s="98"/>
      <c r="E20" s="98"/>
      <c r="F20" s="98"/>
      <c r="G20" s="98"/>
      <c r="H20" s="104">
        <v>2021</v>
      </c>
      <c r="I20" s="105">
        <f>VLOOKUP($E$9,LC!$A$10:$BG$171,58,0)</f>
        <v>0.32095238095238093</v>
      </c>
      <c r="J20" s="105">
        <f>VLOOKUP($E$9,LC!$A$10:$BG$171,57,0)</f>
        <v>0.4204761904761905</v>
      </c>
      <c r="K20" s="105">
        <f>VLOOKUP($E$9,LC!$A$10:$BG$171,59,0)</f>
        <v>0.51488095238095211</v>
      </c>
      <c r="L20" s="98"/>
    </row>
    <row r="21" spans="1:17" ht="20.25" x14ac:dyDescent="0.3">
      <c r="A21" s="98"/>
      <c r="B21" s="98"/>
      <c r="C21" s="98"/>
      <c r="D21" s="101"/>
      <c r="E21" s="101"/>
      <c r="F21" s="102"/>
      <c r="G21" s="102"/>
      <c r="H21" s="104">
        <v>2022</v>
      </c>
      <c r="I21" s="105">
        <f>VLOOKUP($E$9,LC!$A$10:$BR$171,69,0)</f>
        <v>0.31080459770114938</v>
      </c>
      <c r="J21" s="105">
        <f>VLOOKUP($E$9,LC!$A$10:$BR$171,68,0)</f>
        <v>0.43459770114942542</v>
      </c>
      <c r="K21" s="105">
        <f>VLOOKUP($E$9,LC!$A$10:$BR$171,70,0)</f>
        <v>0.4056321839080459</v>
      </c>
      <c r="L21" s="98"/>
    </row>
    <row r="22" spans="1:17" ht="20.25" x14ac:dyDescent="0.25">
      <c r="A22" s="98"/>
      <c r="B22" s="98"/>
      <c r="C22" s="98"/>
      <c r="D22" s="98"/>
      <c r="E22" s="98"/>
      <c r="F22" s="98"/>
      <c r="G22" s="98"/>
      <c r="H22" s="104">
        <v>2023</v>
      </c>
      <c r="I22" s="105" t="str">
        <f>VLOOKUP($E$9,LC!$A$10:$CC$171,79,0)</f>
        <v>N.D.</v>
      </c>
      <c r="J22" s="105" t="str">
        <f>VLOOKUP($E$9,LC!$A$10:$CC$171,80,0)</f>
        <v>N.D.</v>
      </c>
      <c r="K22" s="105" t="str">
        <f>VLOOKUP($E$9,LC!$A$10:$CC$171,81,0)</f>
        <v>N.D.</v>
      </c>
      <c r="L22" s="98"/>
    </row>
    <row r="23" spans="1:17" ht="15.75" customHeight="1" x14ac:dyDescent="0.25">
      <c r="A23" s="98"/>
      <c r="B23" s="98"/>
      <c r="C23" s="98"/>
      <c r="D23" s="98"/>
      <c r="E23" s="98"/>
      <c r="F23" s="98"/>
      <c r="G23" s="98"/>
      <c r="H23" s="104">
        <v>2024</v>
      </c>
      <c r="I23" s="105" t="str">
        <f>VLOOKUP($E$9,LC!$A$10:$CN$171,91,0)</f>
        <v>N.D.</v>
      </c>
      <c r="J23" s="105" t="str">
        <f>VLOOKUP($E$9,LC!$A$10:$CN$171,90,0)</f>
        <v>N.D.</v>
      </c>
      <c r="K23" s="105" t="str">
        <f>VLOOKUP($E$9,LC!$A$10:$CN$171,92,0)</f>
        <v>N.D.</v>
      </c>
      <c r="L23" s="98"/>
    </row>
    <row r="24" spans="1:17" ht="26.25" customHeight="1" x14ac:dyDescent="0.25">
      <c r="A24" s="98"/>
      <c r="B24" s="98"/>
      <c r="C24" s="98"/>
      <c r="D24" s="98"/>
      <c r="E24" s="98"/>
      <c r="F24" s="98"/>
      <c r="G24" s="98"/>
      <c r="H24" s="98"/>
      <c r="I24" s="98"/>
      <c r="J24" s="98"/>
      <c r="K24" s="98"/>
      <c r="L24" s="446"/>
    </row>
    <row r="25" spans="1:17" ht="26.45" customHeight="1" x14ac:dyDescent="0.25">
      <c r="A25" s="98"/>
      <c r="B25" s="398" t="s">
        <v>986</v>
      </c>
      <c r="C25" s="396"/>
      <c r="D25" s="396"/>
      <c r="E25" s="396"/>
      <c r="F25" s="396"/>
      <c r="G25" s="396"/>
      <c r="H25" s="396"/>
      <c r="I25" s="396"/>
      <c r="J25" s="396"/>
      <c r="K25" s="396"/>
      <c r="L25" s="446"/>
    </row>
    <row r="26" spans="1:17" ht="186" customHeight="1" x14ac:dyDescent="0.25">
      <c r="A26" s="98"/>
      <c r="B26" s="1030" t="s">
        <v>996</v>
      </c>
      <c r="C26" s="1030"/>
      <c r="D26" s="1030"/>
      <c r="E26" s="1030"/>
      <c r="F26" s="1030"/>
      <c r="G26" s="1030"/>
      <c r="H26" s="1030"/>
      <c r="I26" s="1030"/>
      <c r="J26" s="1030"/>
      <c r="K26" s="1030"/>
      <c r="L26" s="446"/>
    </row>
    <row r="27" spans="1:17" ht="234.6" customHeight="1" x14ac:dyDescent="0.25">
      <c r="A27" s="98"/>
      <c r="B27" s="1030"/>
      <c r="C27" s="1030"/>
      <c r="D27" s="1030"/>
      <c r="E27" s="1030"/>
      <c r="F27" s="1030"/>
      <c r="G27" s="1030"/>
      <c r="H27" s="1030"/>
      <c r="I27" s="1030"/>
      <c r="J27" s="1030"/>
      <c r="K27" s="1030"/>
      <c r="L27" s="98"/>
    </row>
    <row r="28" spans="1:17" ht="46.9" customHeight="1" x14ac:dyDescent="0.25">
      <c r="A28" s="98"/>
      <c r="B28" s="447"/>
      <c r="C28" s="447"/>
      <c r="D28" s="447"/>
      <c r="E28" s="447"/>
      <c r="F28" s="447"/>
      <c r="G28" s="447"/>
      <c r="H28" s="447"/>
      <c r="I28" s="447"/>
      <c r="J28" s="447"/>
      <c r="K28" s="447"/>
      <c r="L28" s="98"/>
    </row>
    <row r="29" spans="1:17" x14ac:dyDescent="0.25">
      <c r="A29" s="98"/>
      <c r="B29" s="98"/>
      <c r="C29" s="98"/>
      <c r="D29" s="98"/>
      <c r="E29" s="98"/>
      <c r="F29" s="98"/>
      <c r="G29" s="98"/>
      <c r="H29" s="98"/>
      <c r="I29" s="98"/>
      <c r="J29" s="98"/>
      <c r="K29" s="98"/>
      <c r="L29" s="98"/>
    </row>
    <row r="30" spans="1:17" ht="15.75" customHeight="1" x14ac:dyDescent="0.25">
      <c r="A30" s="98"/>
      <c r="B30" s="834" t="s">
        <v>939</v>
      </c>
      <c r="C30" s="834"/>
      <c r="D30" s="834"/>
      <c r="E30" s="834"/>
      <c r="F30" s="834"/>
      <c r="G30" s="834"/>
      <c r="H30" s="834"/>
      <c r="I30" s="834"/>
      <c r="J30" s="834"/>
      <c r="K30" s="834"/>
      <c r="L30" s="834"/>
      <c r="M30" s="450"/>
      <c r="N30" s="450"/>
      <c r="O30" s="450"/>
      <c r="P30" s="450"/>
      <c r="Q30" s="450"/>
    </row>
  </sheetData>
  <sheetProtection sheet="1" selectLockedCells="1" selectUnlockedCells="1"/>
  <mergeCells count="5">
    <mergeCell ref="B26:K27"/>
    <mergeCell ref="B6:K6"/>
    <mergeCell ref="H12:K12"/>
    <mergeCell ref="B30:L30"/>
    <mergeCell ref="E9:K9"/>
  </mergeCells>
  <conditionalFormatting sqref="I15:K23">
    <cfRule type="cellIs" dxfId="34" priority="1" operator="equal">
      <formula>0</formula>
    </cfRule>
    <cfRule type="cellIs" dxfId="33" priority="2" operator="between">
      <formula>0.7</formula>
      <formula>1</formula>
    </cfRule>
    <cfRule type="cellIs" dxfId="32" priority="3" operator="between">
      <formula>0.4</formula>
      <formula>0.69</formula>
    </cfRule>
    <cfRule type="cellIs" dxfId="31" priority="4" operator="between">
      <formula>0.2</formula>
      <formula>0.39</formula>
    </cfRule>
    <cfRule type="cellIs" dxfId="30" priority="5" operator="between">
      <formula>0.01</formula>
      <formula>0.19</formula>
    </cfRule>
  </conditionalFormatting>
  <pageMargins left="0.39370078740157483" right="0.39370078740157483" top="0.39370078740157483" bottom="0.39370078740157483" header="0.31496062992125984" footer="0.31496062992125984"/>
  <pageSetup paperSize="14"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DF8F2D-C345-4E86-B018-D7423C554689}">
          <x14:formula1>
            <xm:f>PGLOBAL!$A$10:$A$171</xm:f>
          </x14:formula1>
          <xm:sqref>E9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CB73-D5ED-4A39-8A96-F4627B2839AB}">
  <sheetPr codeName="Hoja12">
    <tabColor rgb="FF7030A0"/>
  </sheetPr>
  <dimension ref="A1:M30"/>
  <sheetViews>
    <sheetView topLeftCell="A5" zoomScale="80" zoomScaleNormal="80" workbookViewId="0">
      <selection activeCell="E9" sqref="E9:L9"/>
    </sheetView>
  </sheetViews>
  <sheetFormatPr baseColWidth="10" defaultColWidth="12.5703125" defaultRowHeight="15.75" x14ac:dyDescent="0.25"/>
  <cols>
    <col min="1" max="1" width="5.28515625" style="99" customWidth="1"/>
    <col min="2" max="2" width="12.5703125" style="99"/>
    <col min="3" max="3" width="13.7109375" style="99" customWidth="1"/>
    <col min="4" max="4" width="15.28515625" style="99" customWidth="1"/>
    <col min="5" max="7" width="12.5703125" style="99"/>
    <col min="8" max="8" width="20.28515625" style="99" customWidth="1"/>
    <col min="9" max="9" width="17.42578125" style="99" customWidth="1"/>
    <col min="10" max="12" width="40.7109375" style="99" customWidth="1"/>
    <col min="13" max="13" width="6.28515625" style="99" customWidth="1"/>
    <col min="14" max="16384" width="12.5703125" style="99"/>
  </cols>
  <sheetData>
    <row r="1" spans="1:13" x14ac:dyDescent="0.25">
      <c r="A1" s="98"/>
      <c r="B1" s="98"/>
      <c r="C1" s="98"/>
      <c r="D1" s="98"/>
      <c r="E1" s="98"/>
      <c r="F1" s="98"/>
      <c r="G1" s="98"/>
      <c r="H1" s="98"/>
      <c r="I1" s="98"/>
      <c r="J1" s="98"/>
      <c r="K1" s="98"/>
      <c r="L1" s="98"/>
      <c r="M1" s="98"/>
    </row>
    <row r="2" spans="1:13" x14ac:dyDescent="0.25">
      <c r="A2" s="98"/>
      <c r="B2" s="98"/>
      <c r="C2" s="98"/>
      <c r="D2" s="98"/>
      <c r="E2" s="98"/>
      <c r="F2" s="98"/>
      <c r="G2" s="98"/>
      <c r="H2" s="98"/>
      <c r="I2" s="98"/>
      <c r="J2" s="98"/>
      <c r="K2" s="98"/>
      <c r="L2" s="98"/>
      <c r="M2" s="98"/>
    </row>
    <row r="3" spans="1:13" x14ac:dyDescent="0.25">
      <c r="A3" s="98"/>
      <c r="B3" s="98"/>
      <c r="C3" s="98"/>
      <c r="D3" s="98"/>
      <c r="E3" s="98"/>
      <c r="F3" s="98"/>
      <c r="G3" s="98"/>
      <c r="H3" s="98"/>
      <c r="I3" s="98"/>
      <c r="J3" s="98"/>
      <c r="K3" s="98"/>
      <c r="L3" s="98"/>
      <c r="M3" s="98"/>
    </row>
    <row r="4" spans="1:13" x14ac:dyDescent="0.25">
      <c r="A4" s="98"/>
      <c r="B4" s="98"/>
      <c r="C4" s="98"/>
      <c r="D4" s="98"/>
      <c r="E4" s="98"/>
      <c r="F4" s="98"/>
      <c r="G4" s="98"/>
      <c r="H4" s="98"/>
      <c r="I4" s="98"/>
      <c r="J4" s="98"/>
      <c r="K4" s="98"/>
      <c r="L4" s="98"/>
      <c r="M4" s="98"/>
    </row>
    <row r="5" spans="1:13" ht="74.45" customHeight="1" x14ac:dyDescent="0.25">
      <c r="A5" s="98"/>
      <c r="B5" s="98"/>
      <c r="C5" s="98"/>
      <c r="D5" s="98"/>
      <c r="E5" s="98"/>
      <c r="F5" s="98"/>
      <c r="G5" s="98"/>
      <c r="H5" s="98"/>
      <c r="I5" s="98"/>
      <c r="J5" s="98"/>
      <c r="K5" s="98"/>
      <c r="L5" s="98"/>
      <c r="M5" s="98"/>
    </row>
    <row r="6" spans="1:13" ht="38.25" customHeight="1" x14ac:dyDescent="0.25">
      <c r="A6" s="98"/>
      <c r="B6" s="869" t="s">
        <v>861</v>
      </c>
      <c r="C6" s="869"/>
      <c r="D6" s="869"/>
      <c r="E6" s="869"/>
      <c r="F6" s="869"/>
      <c r="G6" s="869"/>
      <c r="H6" s="869"/>
      <c r="I6" s="869"/>
      <c r="J6" s="869"/>
      <c r="K6" s="869"/>
      <c r="L6" s="869"/>
      <c r="M6" s="98"/>
    </row>
    <row r="7" spans="1:13" x14ac:dyDescent="0.25">
      <c r="A7" s="98"/>
      <c r="B7" s="98"/>
      <c r="C7" s="98"/>
      <c r="D7" s="98"/>
      <c r="E7" s="98"/>
      <c r="F7" s="98"/>
      <c r="G7" s="98"/>
      <c r="H7" s="98"/>
      <c r="I7" s="98"/>
      <c r="J7" s="98"/>
      <c r="K7" s="98"/>
      <c r="L7" s="98"/>
      <c r="M7" s="98"/>
    </row>
    <row r="8" spans="1:13" x14ac:dyDescent="0.25">
      <c r="A8" s="98"/>
      <c r="B8" s="98"/>
      <c r="C8" s="98"/>
      <c r="D8" s="98"/>
      <c r="E8" s="98"/>
      <c r="F8" s="98"/>
      <c r="G8" s="98"/>
      <c r="H8" s="98"/>
      <c r="I8" s="98"/>
      <c r="J8" s="98"/>
      <c r="K8" s="98"/>
      <c r="L8" s="98"/>
      <c r="M8" s="98"/>
    </row>
    <row r="9" spans="1:13" ht="36.75" customHeight="1" x14ac:dyDescent="0.3">
      <c r="A9" s="98"/>
      <c r="B9" s="236" t="s">
        <v>859</v>
      </c>
      <c r="C9" s="236"/>
      <c r="D9" s="236"/>
      <c r="E9" s="959" t="s">
        <v>59</v>
      </c>
      <c r="F9" s="959"/>
      <c r="G9" s="959"/>
      <c r="H9" s="959"/>
      <c r="I9" s="959"/>
      <c r="J9" s="959"/>
      <c r="K9" s="959"/>
      <c r="L9" s="959"/>
      <c r="M9" s="98"/>
    </row>
    <row r="10" spans="1:13" ht="18.75" x14ac:dyDescent="0.3">
      <c r="A10" s="98"/>
      <c r="B10" s="101"/>
      <c r="C10" s="101"/>
      <c r="D10" s="101"/>
      <c r="E10" s="101"/>
      <c r="F10" s="101"/>
      <c r="G10" s="102"/>
      <c r="H10" s="102"/>
      <c r="I10" s="102"/>
      <c r="J10" s="102"/>
      <c r="K10" s="98"/>
      <c r="L10" s="98"/>
      <c r="M10" s="98"/>
    </row>
    <row r="11" spans="1:13" ht="33.75" customHeight="1" x14ac:dyDescent="0.3">
      <c r="A11" s="98"/>
      <c r="B11" s="98"/>
      <c r="C11" s="98"/>
      <c r="D11" s="101"/>
      <c r="E11" s="101"/>
      <c r="F11" s="101"/>
      <c r="G11" s="102"/>
      <c r="H11" s="102"/>
      <c r="I11" s="1033" t="s">
        <v>856</v>
      </c>
      <c r="J11" s="1033"/>
      <c r="K11" s="1033"/>
      <c r="L11" s="1033"/>
      <c r="M11" s="98"/>
    </row>
    <row r="12" spans="1:13" ht="25.5" x14ac:dyDescent="0.3">
      <c r="A12" s="98"/>
      <c r="B12" s="98"/>
      <c r="C12" s="98"/>
      <c r="D12" s="101"/>
      <c r="E12" s="101"/>
      <c r="F12" s="101"/>
      <c r="G12" s="102"/>
      <c r="H12" s="102"/>
      <c r="I12" s="106" t="s">
        <v>361</v>
      </c>
      <c r="J12" s="106" t="s">
        <v>990</v>
      </c>
      <c r="K12" s="106" t="s">
        <v>991</v>
      </c>
      <c r="L12" s="106" t="s">
        <v>992</v>
      </c>
      <c r="M12" s="98"/>
    </row>
    <row r="13" spans="1:13" ht="51" x14ac:dyDescent="0.25">
      <c r="A13" s="98"/>
      <c r="B13" s="98"/>
      <c r="C13" s="98"/>
      <c r="D13" s="98"/>
      <c r="E13" s="98"/>
      <c r="F13" s="98"/>
      <c r="G13" s="98"/>
      <c r="H13" s="98"/>
      <c r="I13" s="299" t="s">
        <v>362</v>
      </c>
      <c r="J13" s="403" t="s">
        <v>363</v>
      </c>
      <c r="K13" s="403" t="s">
        <v>364</v>
      </c>
      <c r="L13" s="403" t="s">
        <v>365</v>
      </c>
      <c r="M13" s="98"/>
    </row>
    <row r="14" spans="1:13" ht="96" customHeight="1" x14ac:dyDescent="0.25">
      <c r="A14" s="98"/>
      <c r="B14" s="98"/>
      <c r="C14" s="98"/>
      <c r="D14" s="98"/>
      <c r="E14" s="98"/>
      <c r="F14" s="98"/>
      <c r="G14" s="98"/>
      <c r="H14" s="98"/>
      <c r="I14" s="379" t="s">
        <v>997</v>
      </c>
      <c r="J14" s="404" t="s">
        <v>993</v>
      </c>
      <c r="K14" s="404" t="s">
        <v>994</v>
      </c>
      <c r="L14" s="404" t="s">
        <v>995</v>
      </c>
      <c r="M14" s="98"/>
    </row>
    <row r="15" spans="1:13" ht="20.25" x14ac:dyDescent="0.25">
      <c r="A15" s="98"/>
      <c r="B15" s="98"/>
      <c r="C15" s="98"/>
      <c r="D15" s="98"/>
      <c r="E15" s="98"/>
      <c r="F15" s="98"/>
      <c r="G15" s="98"/>
      <c r="H15" s="98"/>
      <c r="I15" s="104">
        <v>2016</v>
      </c>
      <c r="J15" s="105">
        <f>VLOOKUP($E$9,MATE!$A$10:$AV$171,10,0)</f>
        <v>0.53</v>
      </c>
      <c r="K15" s="105">
        <f>VLOOKUP($E$9,MATE!$A$10:$AV$171,12,0)</f>
        <v>0.52</v>
      </c>
      <c r="L15" s="105">
        <f>VLOOKUP($E$9,MATE!$A$10:$AV$171,11,0)</f>
        <v>0.43</v>
      </c>
      <c r="M15" s="98"/>
    </row>
    <row r="16" spans="1:13" ht="20.25" x14ac:dyDescent="0.25">
      <c r="A16" s="98"/>
      <c r="B16" s="98"/>
      <c r="C16" s="98"/>
      <c r="D16" s="98"/>
      <c r="E16" s="98"/>
      <c r="F16" s="98"/>
      <c r="G16" s="98"/>
      <c r="H16" s="98"/>
      <c r="I16" s="104">
        <v>2017</v>
      </c>
      <c r="J16" s="105">
        <f>VLOOKUP($E$9,MATE!$A$10:$AV$171,21,0)</f>
        <v>0.36</v>
      </c>
      <c r="K16" s="105">
        <f>VLOOKUP($E$9,MATE!$A$10:$AV$171,20,0)</f>
        <v>0.61</v>
      </c>
      <c r="L16" s="105">
        <f>VLOOKUP($E$9,MATE!$A$10:$AV$171,19,0)</f>
        <v>0.52</v>
      </c>
      <c r="M16" s="98"/>
    </row>
    <row r="17" spans="1:13" ht="20.25" x14ac:dyDescent="0.25">
      <c r="A17" s="98"/>
      <c r="B17" s="98"/>
      <c r="C17" s="98"/>
      <c r="D17" s="98"/>
      <c r="E17" s="98"/>
      <c r="F17" s="98"/>
      <c r="G17" s="98"/>
      <c r="H17" s="98"/>
      <c r="I17" s="104">
        <v>2018</v>
      </c>
      <c r="J17" s="105">
        <f>VLOOKUP($E$9,MATE!$A$10:$AV$171,29,0)</f>
        <v>0.42</v>
      </c>
      <c r="K17" s="105">
        <f>VLOOKUP($E$9,MATE!$A$10:$AV$171,28,0)</f>
        <v>0.52</v>
      </c>
      <c r="L17" s="105">
        <f>VLOOKUP($E$9,MATE!$A$10:$AV$171,30,0)</f>
        <v>0.61</v>
      </c>
      <c r="M17" s="98"/>
    </row>
    <row r="18" spans="1:13" ht="20.25" x14ac:dyDescent="0.25">
      <c r="A18" s="98"/>
      <c r="B18" s="98"/>
      <c r="C18" s="98"/>
      <c r="D18" s="98"/>
      <c r="E18" s="98"/>
      <c r="F18" s="98"/>
      <c r="G18" s="98"/>
      <c r="H18" s="98"/>
      <c r="I18" s="104">
        <v>2019</v>
      </c>
      <c r="J18" s="105">
        <f>VLOOKUP($E$9,MATE!$A$10:$AV$171,39,0)</f>
        <v>0.28999999999999998</v>
      </c>
      <c r="K18" s="105">
        <f>VLOOKUP($E$9,MATE!$A$10:$AV$171,37,0)</f>
        <v>0.52</v>
      </c>
      <c r="L18" s="105">
        <f>VLOOKUP($E$9,MATE!$A$10:$AV$171,38,0)</f>
        <v>0.5</v>
      </c>
      <c r="M18" s="98"/>
    </row>
    <row r="19" spans="1:13" ht="20.25" x14ac:dyDescent="0.25">
      <c r="A19" s="98"/>
      <c r="B19" s="98"/>
      <c r="C19" s="98"/>
      <c r="D19" s="98"/>
      <c r="E19" s="98"/>
      <c r="F19" s="98"/>
      <c r="G19" s="98"/>
      <c r="H19" s="98"/>
      <c r="I19" s="104">
        <v>2020</v>
      </c>
      <c r="J19" s="105">
        <f>VLOOKUP($E$9,MATE!$A$10:$AV$171,46,0)</f>
        <v>0.34</v>
      </c>
      <c r="K19" s="105">
        <f>VLOOKUP($E$9,MATE!$A$10:$AV$171,47,0)</f>
        <v>0.61</v>
      </c>
      <c r="L19" s="105">
        <f>VLOOKUP($E$9,MATE!$A$10:$AV$171,48,0)</f>
        <v>0.65</v>
      </c>
      <c r="M19" s="98"/>
    </row>
    <row r="20" spans="1:13" ht="20.25" x14ac:dyDescent="0.25">
      <c r="A20" s="98"/>
      <c r="B20" s="98"/>
      <c r="C20" s="98"/>
      <c r="D20" s="98"/>
      <c r="E20" s="98"/>
      <c r="F20" s="98"/>
      <c r="G20" s="98"/>
      <c r="H20" s="98"/>
      <c r="I20" s="104">
        <v>2021</v>
      </c>
      <c r="J20" s="105">
        <f>VLOOKUP($E$9,MATE!$A$10:$BG$171,57,0)</f>
        <v>0.32</v>
      </c>
      <c r="K20" s="105">
        <f>VLOOKUP($E$9,MATE!$A$10:$BG$171,58,0)</f>
        <v>0.56000000000000005</v>
      </c>
      <c r="L20" s="105">
        <f>VLOOKUP($E$9,MATE!$A$10:$BG$171,59,0)</f>
        <v>0.52</v>
      </c>
      <c r="M20" s="98"/>
    </row>
    <row r="21" spans="1:13" ht="20.25" x14ac:dyDescent="0.25">
      <c r="A21" s="98"/>
      <c r="B21" s="98"/>
      <c r="C21" s="98"/>
      <c r="D21" s="98"/>
      <c r="E21" s="98"/>
      <c r="F21" s="98"/>
      <c r="G21" s="98"/>
      <c r="H21" s="98"/>
      <c r="I21" s="104">
        <v>2022</v>
      </c>
      <c r="J21" s="105">
        <f>VLOOKUP($E$9,MATE!$A$10:$BX$171,76,0)</f>
        <v>0.37</v>
      </c>
      <c r="K21" s="105">
        <f>VLOOKUP($E$9,MATE!$A$10:$BX$171,71,0)</f>
        <v>0.61</v>
      </c>
      <c r="L21" s="105">
        <f>VLOOKUP($E$9,MATE!$A$10:$BX$171,72,0)</f>
        <v>0.63</v>
      </c>
      <c r="M21" s="98"/>
    </row>
    <row r="22" spans="1:13" ht="20.25" x14ac:dyDescent="0.3">
      <c r="A22" s="98"/>
      <c r="B22" s="98"/>
      <c r="C22" s="98"/>
      <c r="D22" s="101"/>
      <c r="E22" s="101"/>
      <c r="F22" s="101"/>
      <c r="G22" s="102"/>
      <c r="H22" s="102"/>
      <c r="I22" s="104">
        <v>2023</v>
      </c>
      <c r="J22" s="105">
        <f>VLOOKUP($E$9,MATE!$A$10:$CI$171,86,0)</f>
        <v>0.45</v>
      </c>
      <c r="K22" s="105">
        <f>VLOOKUP($E$9,MATE!$A$10:$CI$171,87,0)</f>
        <v>0.63</v>
      </c>
      <c r="L22" s="105">
        <f>VLOOKUP($E$9,MATE!$A$10:$CI$171,85,0)</f>
        <v>0.6</v>
      </c>
      <c r="M22" s="98"/>
    </row>
    <row r="23" spans="1:13" ht="20.25" x14ac:dyDescent="0.25">
      <c r="A23" s="98"/>
      <c r="B23" s="98"/>
      <c r="C23" s="98"/>
      <c r="D23" s="98"/>
      <c r="E23" s="98"/>
      <c r="F23" s="98"/>
      <c r="G23" s="98"/>
      <c r="H23" s="98"/>
      <c r="I23" s="104">
        <v>2024</v>
      </c>
      <c r="J23" s="105">
        <f>VLOOKUP($E$9,MATE!$A$10:$CT$171,98,0)</f>
        <v>0.41</v>
      </c>
      <c r="K23" s="105">
        <f>VLOOKUP($E$9,MATE!$A$10:$CT$171,97,0)</f>
        <v>0.6</v>
      </c>
      <c r="L23" s="105">
        <f>VLOOKUP($E$9,MATE!$A$10:$CT$171,96,0)</f>
        <v>0.66</v>
      </c>
      <c r="M23" s="98"/>
    </row>
    <row r="24" spans="1:13" x14ac:dyDescent="0.25">
      <c r="A24" s="98"/>
      <c r="B24" s="98"/>
      <c r="C24" s="98"/>
      <c r="D24" s="98"/>
      <c r="E24" s="98"/>
      <c r="F24" s="98"/>
      <c r="G24" s="98"/>
      <c r="H24" s="98"/>
      <c r="I24" s="98"/>
      <c r="J24" s="98"/>
      <c r="K24" s="98"/>
      <c r="L24" s="98"/>
      <c r="M24" s="98"/>
    </row>
    <row r="25" spans="1:13" ht="28.9" customHeight="1" x14ac:dyDescent="0.25">
      <c r="A25" s="98"/>
      <c r="B25" s="398" t="s">
        <v>986</v>
      </c>
      <c r="C25" s="396"/>
      <c r="D25" s="396"/>
      <c r="E25" s="396"/>
      <c r="F25" s="396"/>
      <c r="G25" s="396"/>
      <c r="H25" s="396"/>
      <c r="I25" s="396"/>
      <c r="J25" s="396"/>
      <c r="K25" s="396"/>
      <c r="L25" s="396"/>
      <c r="M25" s="98"/>
    </row>
    <row r="26" spans="1:13" ht="174.6" customHeight="1" x14ac:dyDescent="0.25">
      <c r="A26" s="98"/>
      <c r="B26" s="1030" t="s">
        <v>996</v>
      </c>
      <c r="C26" s="1030"/>
      <c r="D26" s="1030"/>
      <c r="E26" s="1030"/>
      <c r="F26" s="1030"/>
      <c r="G26" s="1030"/>
      <c r="H26" s="1030"/>
      <c r="I26" s="1030"/>
      <c r="J26" s="1030"/>
      <c r="K26" s="1030"/>
      <c r="L26" s="1030"/>
      <c r="M26" s="98"/>
    </row>
    <row r="27" spans="1:13" ht="238.9" customHeight="1" x14ac:dyDescent="0.25">
      <c r="A27" s="98"/>
      <c r="B27" s="1030"/>
      <c r="C27" s="1030"/>
      <c r="D27" s="1030"/>
      <c r="E27" s="1030"/>
      <c r="F27" s="1030"/>
      <c r="G27" s="1030"/>
      <c r="H27" s="1030"/>
      <c r="I27" s="1030"/>
      <c r="J27" s="1030"/>
      <c r="K27" s="1030"/>
      <c r="L27" s="1030"/>
      <c r="M27" s="98"/>
    </row>
    <row r="28" spans="1:13" ht="26.25" customHeight="1" x14ac:dyDescent="0.25">
      <c r="A28" s="98"/>
      <c r="B28" s="98"/>
      <c r="C28" s="98"/>
      <c r="D28" s="98"/>
      <c r="E28" s="98"/>
      <c r="F28" s="98"/>
      <c r="G28" s="98"/>
      <c r="H28" s="98"/>
      <c r="I28" s="98"/>
      <c r="J28" s="98"/>
      <c r="K28" s="98"/>
      <c r="L28" s="98"/>
      <c r="M28" s="98"/>
    </row>
    <row r="29" spans="1:13" x14ac:dyDescent="0.25">
      <c r="A29" s="98"/>
      <c r="B29" s="98"/>
      <c r="C29" s="98"/>
      <c r="D29" s="98"/>
      <c r="E29" s="98"/>
      <c r="F29" s="98"/>
      <c r="G29" s="98"/>
      <c r="H29" s="98"/>
      <c r="I29" s="98"/>
      <c r="J29" s="98"/>
      <c r="K29" s="98"/>
      <c r="L29" s="98"/>
      <c r="M29" s="98"/>
    </row>
    <row r="30" spans="1:13" ht="15.75" customHeight="1" x14ac:dyDescent="0.25">
      <c r="A30" s="98"/>
      <c r="B30" s="1032" t="s">
        <v>939</v>
      </c>
      <c r="C30" s="1032"/>
      <c r="D30" s="1032"/>
      <c r="E30" s="1032"/>
      <c r="F30" s="1032"/>
      <c r="G30" s="1032"/>
      <c r="H30" s="1032"/>
      <c r="I30" s="1032"/>
      <c r="J30" s="1032"/>
      <c r="K30" s="1032"/>
      <c r="L30" s="1032"/>
      <c r="M30" s="98"/>
    </row>
  </sheetData>
  <sheetProtection sheet="1" selectLockedCells="1" selectUnlockedCells="1"/>
  <mergeCells count="5">
    <mergeCell ref="B30:L30"/>
    <mergeCell ref="I11:L11"/>
    <mergeCell ref="B6:L6"/>
    <mergeCell ref="E9:L9"/>
    <mergeCell ref="B26:L27"/>
  </mergeCells>
  <conditionalFormatting sqref="J15:L23">
    <cfRule type="cellIs" dxfId="29" priority="1" operator="equal">
      <formula>0</formula>
    </cfRule>
    <cfRule type="cellIs" dxfId="28" priority="2" operator="between">
      <formula>0.7</formula>
      <formula>1</formula>
    </cfRule>
    <cfRule type="cellIs" dxfId="27" priority="3" operator="between">
      <formula>0.4</formula>
      <formula>0.69</formula>
    </cfRule>
    <cfRule type="cellIs" dxfId="26" priority="4" operator="between">
      <formula>0.2</formula>
      <formula>0.39</formula>
    </cfRule>
    <cfRule type="cellIs" dxfId="25" priority="5" operator="between">
      <formula>0.01</formula>
      <formula>0.19</formula>
    </cfRule>
  </conditionalFormatting>
  <pageMargins left="0.39370078740157483" right="0.39370078740157483" top="0.39370078740157483" bottom="0.39370078740157483" header="0.31496062992125984" footer="0.31496062992125984"/>
  <pageSetup paperSize="14"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AD3115-D377-4F2D-9ABA-20909430440B}">
          <x14:formula1>
            <xm:f>PGLOBAL!$A$10:$A$171</xm:f>
          </x14:formula1>
          <xm:sqref>E9:L9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EF9C-4F94-4882-9CC7-6AC0262098CB}">
  <sheetPr codeName="Hoja13">
    <tabColor rgb="FFF16B2F"/>
    <pageSetUpPr fitToPage="1"/>
  </sheetPr>
  <dimension ref="A1:M111"/>
  <sheetViews>
    <sheetView zoomScale="90" zoomScaleNormal="90" workbookViewId="0">
      <selection activeCell="G14" sqref="G14"/>
    </sheetView>
  </sheetViews>
  <sheetFormatPr baseColWidth="10" defaultColWidth="12.5703125" defaultRowHeight="15.75" x14ac:dyDescent="0.25"/>
  <cols>
    <col min="1" max="1" width="5.28515625" style="99" customWidth="1"/>
    <col min="2" max="2" width="12.5703125" style="99"/>
    <col min="3" max="3" width="15.42578125" style="99" customWidth="1"/>
    <col min="4" max="9" width="36.7109375" style="99" customWidth="1"/>
    <col min="10" max="10" width="5.85546875" style="99" customWidth="1"/>
    <col min="11" max="11" width="3.140625" style="99" customWidth="1"/>
    <col min="12" max="16384" width="12.5703125" style="99"/>
  </cols>
  <sheetData>
    <row r="1" spans="1:13" x14ac:dyDescent="0.25">
      <c r="A1" s="98"/>
      <c r="B1" s="98"/>
      <c r="C1" s="98"/>
      <c r="D1" s="98"/>
      <c r="E1" s="98"/>
      <c r="F1" s="98"/>
      <c r="G1" s="98"/>
      <c r="H1" s="98"/>
      <c r="I1" s="98"/>
      <c r="J1" s="98"/>
      <c r="K1" s="98"/>
      <c r="L1" s="98"/>
    </row>
    <row r="2" spans="1:13" x14ac:dyDescent="0.25">
      <c r="A2" s="98"/>
      <c r="B2" s="98"/>
      <c r="C2" s="98"/>
      <c r="D2" s="98"/>
      <c r="E2" s="98"/>
      <c r="F2" s="98"/>
      <c r="G2" s="98"/>
      <c r="H2" s="98"/>
      <c r="I2" s="98"/>
      <c r="J2" s="98"/>
      <c r="K2" s="98"/>
      <c r="L2" s="98"/>
    </row>
    <row r="3" spans="1:13" x14ac:dyDescent="0.25">
      <c r="A3" s="98"/>
      <c r="B3" s="98"/>
      <c r="C3" s="98"/>
      <c r="D3" s="98"/>
      <c r="E3" s="98"/>
      <c r="F3" s="98"/>
      <c r="G3" s="98"/>
      <c r="H3" s="98"/>
      <c r="I3" s="98"/>
      <c r="J3" s="98"/>
      <c r="K3" s="98"/>
      <c r="L3" s="98"/>
    </row>
    <row r="4" spans="1:13" x14ac:dyDescent="0.25">
      <c r="A4" s="98"/>
      <c r="B4" s="98"/>
      <c r="C4" s="98"/>
      <c r="D4" s="98"/>
      <c r="E4" s="98"/>
      <c r="F4" s="98"/>
      <c r="G4" s="98"/>
      <c r="H4" s="98"/>
      <c r="I4" s="98"/>
      <c r="J4" s="98"/>
      <c r="K4" s="98"/>
      <c r="L4" s="98"/>
    </row>
    <row r="5" spans="1:13" ht="58.15" customHeight="1" x14ac:dyDescent="0.25">
      <c r="A5" s="98"/>
      <c r="B5" s="98"/>
      <c r="C5" s="98"/>
      <c r="D5" s="98"/>
      <c r="E5" s="98"/>
      <c r="F5" s="98"/>
      <c r="G5" s="98"/>
      <c r="H5" s="98"/>
      <c r="I5" s="98"/>
      <c r="J5" s="98"/>
      <c r="K5" s="98"/>
      <c r="L5" s="98"/>
    </row>
    <row r="6" spans="1:13" ht="41.25" customHeight="1" x14ac:dyDescent="0.25">
      <c r="A6" s="98"/>
      <c r="B6" s="869" t="s">
        <v>862</v>
      </c>
      <c r="C6" s="869"/>
      <c r="D6" s="869"/>
      <c r="E6" s="869"/>
      <c r="F6" s="869"/>
      <c r="G6" s="869"/>
      <c r="H6" s="869"/>
      <c r="I6" s="869"/>
      <c r="J6" s="237"/>
      <c r="K6" s="237"/>
      <c r="L6" s="98"/>
    </row>
    <row r="7" spans="1:13" x14ac:dyDescent="0.25">
      <c r="A7" s="98"/>
      <c r="B7" s="98"/>
      <c r="C7" s="98"/>
      <c r="D7" s="98"/>
      <c r="E7" s="98"/>
      <c r="F7" s="98"/>
      <c r="G7" s="98"/>
      <c r="H7" s="98"/>
      <c r="I7" s="98"/>
      <c r="J7" s="98"/>
      <c r="K7" s="98"/>
      <c r="L7" s="98"/>
    </row>
    <row r="8" spans="1:13" ht="19.5" customHeight="1" x14ac:dyDescent="0.25">
      <c r="A8" s="98"/>
      <c r="B8" s="98"/>
      <c r="C8" s="98"/>
      <c r="D8" s="98"/>
      <c r="E8" s="98"/>
      <c r="F8" s="98"/>
      <c r="G8" s="98"/>
      <c r="H8" s="98"/>
      <c r="I8" s="98"/>
      <c r="J8" s="98"/>
      <c r="K8" s="98"/>
      <c r="L8" s="98"/>
    </row>
    <row r="9" spans="1:13" ht="40.5" customHeight="1" x14ac:dyDescent="0.25">
      <c r="A9" s="98"/>
      <c r="B9" s="234" t="s">
        <v>859</v>
      </c>
      <c r="C9" s="234"/>
      <c r="D9" s="234"/>
      <c r="E9" s="959" t="s">
        <v>287</v>
      </c>
      <c r="F9" s="959"/>
      <c r="G9" s="959"/>
      <c r="H9" s="959"/>
      <c r="I9" s="959"/>
      <c r="J9" s="98"/>
      <c r="K9" s="98"/>
      <c r="L9" s="98"/>
    </row>
    <row r="10" spans="1:13" ht="18.75" x14ac:dyDescent="0.3">
      <c r="A10" s="98"/>
      <c r="B10" s="102"/>
      <c r="C10" s="102"/>
      <c r="D10" s="102"/>
      <c r="E10" s="102"/>
      <c r="F10" s="102"/>
      <c r="G10" s="98"/>
      <c r="H10" s="98"/>
      <c r="I10" s="98"/>
      <c r="J10" s="117"/>
      <c r="K10" s="117"/>
      <c r="L10" s="117"/>
      <c r="M10" s="233"/>
    </row>
    <row r="11" spans="1:13" ht="33" customHeight="1" x14ac:dyDescent="0.3">
      <c r="A11" s="98"/>
      <c r="B11" s="102"/>
      <c r="C11" s="1034" t="s">
        <v>863</v>
      </c>
      <c r="D11" s="1035"/>
      <c r="E11" s="1035"/>
      <c r="F11" s="1035"/>
      <c r="G11" s="1035"/>
      <c r="H11" s="1035"/>
      <c r="I11" s="1036"/>
      <c r="J11" s="117"/>
      <c r="K11" s="117"/>
      <c r="L11" s="117"/>
      <c r="M11" s="233"/>
    </row>
    <row r="12" spans="1:13" ht="27.95" customHeight="1" x14ac:dyDescent="0.3">
      <c r="A12" s="98"/>
      <c r="B12" s="102"/>
      <c r="C12" s="106" t="s">
        <v>857</v>
      </c>
      <c r="D12" s="1037" t="s">
        <v>1056</v>
      </c>
      <c r="E12" s="1038"/>
      <c r="F12" s="1037" t="s">
        <v>1057</v>
      </c>
      <c r="G12" s="1038"/>
      <c r="H12" s="1037" t="s">
        <v>1058</v>
      </c>
      <c r="I12" s="1038"/>
      <c r="J12" s="117"/>
      <c r="K12" s="117"/>
      <c r="L12" s="117"/>
      <c r="M12" s="233"/>
    </row>
    <row r="13" spans="1:13" ht="51" x14ac:dyDescent="0.25">
      <c r="A13" s="98"/>
      <c r="B13" s="98"/>
      <c r="C13" s="103" t="s">
        <v>858</v>
      </c>
      <c r="D13" s="405" t="s">
        <v>366</v>
      </c>
      <c r="E13" s="405" t="s">
        <v>367</v>
      </c>
      <c r="F13" s="405" t="s">
        <v>368</v>
      </c>
      <c r="G13" s="405" t="s">
        <v>369</v>
      </c>
      <c r="H13" s="405" t="s">
        <v>370</v>
      </c>
      <c r="I13" s="405" t="s">
        <v>371</v>
      </c>
      <c r="J13" s="117"/>
      <c r="K13" s="117"/>
      <c r="L13" s="117"/>
      <c r="M13" s="233"/>
    </row>
    <row r="14" spans="1:13" ht="141" customHeight="1" x14ac:dyDescent="0.25">
      <c r="A14" s="98"/>
      <c r="B14" s="98"/>
      <c r="C14" s="385"/>
      <c r="D14" s="406" t="s">
        <v>998</v>
      </c>
      <c r="E14" s="406" t="s">
        <v>999</v>
      </c>
      <c r="F14" s="406" t="s">
        <v>1000</v>
      </c>
      <c r="G14" s="406" t="s">
        <v>1001</v>
      </c>
      <c r="H14" s="406" t="s">
        <v>1002</v>
      </c>
      <c r="I14" s="406" t="s">
        <v>1003</v>
      </c>
      <c r="J14" s="117"/>
      <c r="K14" s="117"/>
      <c r="L14" s="117"/>
      <c r="M14" s="233"/>
    </row>
    <row r="15" spans="1:13" ht="20.25" x14ac:dyDescent="0.25">
      <c r="A15" s="98"/>
      <c r="B15" s="98"/>
      <c r="C15" s="104">
        <v>2016</v>
      </c>
      <c r="D15" s="105">
        <f>VLOOKUP($E$9,SyC!$A$10:$BK$171,14,0)</f>
        <v>0.45</v>
      </c>
      <c r="E15" s="105">
        <f>VLOOKUP($E$9,SyC!$A$10:$BK$171,15,0)</f>
        <v>0.54</v>
      </c>
      <c r="F15" s="105">
        <f>VLOOKUP($E$9,SyC!$A$10:$BK$171,10,0)</f>
        <v>0.56000000000000005</v>
      </c>
      <c r="G15" s="105">
        <f>VLOOKUP($E$9,SyC!$A$10:$BK$171,11,0)</f>
        <v>0.51</v>
      </c>
      <c r="H15" s="105">
        <f>VLOOKUP($E$9,SyC!$A$10:$BK$171,12,0)</f>
        <v>0.65</v>
      </c>
      <c r="I15" s="105">
        <f>VLOOKUP($E$9,SyC!$A$10:$BK$171,13,0)</f>
        <v>0.47</v>
      </c>
      <c r="J15" s="117"/>
      <c r="K15" s="117"/>
      <c r="L15" s="117"/>
      <c r="M15" s="233"/>
    </row>
    <row r="16" spans="1:13" ht="20.25" x14ac:dyDescent="0.3">
      <c r="A16" s="98"/>
      <c r="B16" s="102"/>
      <c r="C16" s="104">
        <v>2017</v>
      </c>
      <c r="D16" s="105">
        <f>VLOOKUP($E$9,SyC!$A$10:$BK$171,26,0)</f>
        <v>0.45</v>
      </c>
      <c r="E16" s="105">
        <f>VLOOKUP($E$9,SyC!$A$10:$BK$171,27,0)</f>
        <v>0.52</v>
      </c>
      <c r="F16" s="105">
        <f>VLOOKUP($E$9,SyC!$A$10:$BK$171,22,0)</f>
        <v>0.46</v>
      </c>
      <c r="G16" s="105">
        <f>VLOOKUP($E$9,SyC!$A$10:$BK$171,23,0)</f>
        <v>0.5</v>
      </c>
      <c r="H16" s="105">
        <f>VLOOKUP($E$9,SyC!$A$10:$BK$171,24,0)</f>
        <v>0.59</v>
      </c>
      <c r="I16" s="105">
        <f>VLOOKUP($E$9,SyC!$A$10:$BK$171,25,0)</f>
        <v>0.48</v>
      </c>
      <c r="J16" s="117"/>
      <c r="K16" s="117"/>
      <c r="L16" s="117"/>
      <c r="M16" s="233"/>
    </row>
    <row r="17" spans="1:12" ht="20.25" x14ac:dyDescent="0.25">
      <c r="A17" s="98"/>
      <c r="B17" s="98"/>
      <c r="C17" s="104">
        <v>2018</v>
      </c>
      <c r="D17" s="107">
        <f>VLOOKUP($E$9,SyC!$A$10:$BK$171,34,0)</f>
        <v>0.44</v>
      </c>
      <c r="E17" s="107">
        <f>VLOOKUP($E$9,SyC!$A$10:$BK$171,38,0)</f>
        <v>0.55000000000000004</v>
      </c>
      <c r="F17" s="107">
        <f>VLOOKUP($E$9,SyC!$A$10:$BK$171,37,0)</f>
        <v>0.51</v>
      </c>
      <c r="G17" s="107">
        <f>VLOOKUP($E$9,SyC!$A$10:$BK$171,35,0)</f>
        <v>0.42</v>
      </c>
      <c r="H17" s="107">
        <f>VLOOKUP($E$9,SyC!$A$10:$BK$171,39,0)</f>
        <v>0.52</v>
      </c>
      <c r="I17" s="107">
        <f>VLOOKUP($E$9,SyC!$A$10:$BK$171,36,0)</f>
        <v>0.42</v>
      </c>
      <c r="J17" s="98"/>
      <c r="K17" s="98"/>
      <c r="L17" s="98"/>
    </row>
    <row r="18" spans="1:12" ht="20.25" x14ac:dyDescent="0.25">
      <c r="A18" s="98"/>
      <c r="B18" s="98"/>
      <c r="C18" s="104">
        <v>2019</v>
      </c>
      <c r="D18" s="107">
        <f>VLOOKUP($E$9,SyC!$A$10:$BK$171,48,0)</f>
        <v>0.48</v>
      </c>
      <c r="E18" s="107">
        <f>VLOOKUP($E$9,SyC!$A$10:$BK$171,47,0)</f>
        <v>0.51</v>
      </c>
      <c r="F18" s="107">
        <f>VLOOKUP($E$9,SyC!$A$10:$BK$171,50,0)</f>
        <v>0.51</v>
      </c>
      <c r="G18" s="107">
        <f>VLOOKUP($E$9,SyC!$A$10:$BK$171,51,0)</f>
        <v>0.5</v>
      </c>
      <c r="H18" s="107">
        <f>VLOOKUP($E$9,SyC!$A$10:$BK$171,46,0)</f>
        <v>0.56000000000000005</v>
      </c>
      <c r="I18" s="107">
        <f>VLOOKUP($E$9,SyC!$A$10:$BK$171,49,0)</f>
        <v>0.49</v>
      </c>
      <c r="J18" s="98"/>
      <c r="K18" s="98"/>
      <c r="L18" s="98"/>
    </row>
    <row r="19" spans="1:12" ht="20.25" x14ac:dyDescent="0.25">
      <c r="A19" s="98"/>
      <c r="B19" s="98"/>
      <c r="C19" s="104">
        <v>2020</v>
      </c>
      <c r="D19" s="107">
        <f>VLOOKUP($E$9,SyC!$A$10:$BK$171,62,0)</f>
        <v>0.42</v>
      </c>
      <c r="E19" s="107">
        <f>VLOOKUP($E$9,SyC!$A$10:$BK$171,58,0)</f>
        <v>0.47</v>
      </c>
      <c r="F19" s="107">
        <f>VLOOKUP($E$9,SyC!$A$10:$BK$171,60,0)</f>
        <v>0.44</v>
      </c>
      <c r="G19" s="107">
        <f>VLOOKUP($E$9,SyC!$A$10:$BK$171,63,0)</f>
        <v>0.39</v>
      </c>
      <c r="H19" s="107">
        <f>VLOOKUP($E$9,SyC!$A$10:$BK$171,61,0)</f>
        <v>0.51</v>
      </c>
      <c r="I19" s="107">
        <f>VLOOKUP($E$9,SyC!$A$10:$BK$171,59,0)</f>
        <v>0.46</v>
      </c>
      <c r="J19" s="98"/>
      <c r="K19" s="98"/>
      <c r="L19" s="98"/>
    </row>
    <row r="20" spans="1:12" ht="20.25" x14ac:dyDescent="0.25">
      <c r="A20" s="98"/>
      <c r="B20" s="98"/>
      <c r="C20" s="104">
        <v>2021</v>
      </c>
      <c r="D20" s="107">
        <f>VLOOKUP($E$9,SyC!$A$10:$BY$171,75,0)</f>
        <v>0.43</v>
      </c>
      <c r="E20" s="107">
        <f>VLOOKUP($E$9,SyC!$A$10:$BY$171,74,0)</f>
        <v>0.54</v>
      </c>
      <c r="F20" s="107">
        <f>VLOOKUP($E$9,SyC!$A$10:$BY$171,73,0)</f>
        <v>0.49</v>
      </c>
      <c r="G20" s="107">
        <f>VLOOKUP($E$9,SyC!$A$10:$BY$171,77,0)</f>
        <v>0.54</v>
      </c>
      <c r="H20" s="107">
        <f>VLOOKUP($E$9,SyC!$A$10:$BY$171,72,0)</f>
        <v>0.47</v>
      </c>
      <c r="I20" s="107">
        <f>VLOOKUP($E$9,SyC!$A$10:$BY$171,76,0)</f>
        <v>0.46</v>
      </c>
      <c r="J20" s="98"/>
      <c r="K20" s="98"/>
      <c r="L20" s="98"/>
    </row>
    <row r="21" spans="1:12" ht="20.25" x14ac:dyDescent="0.25">
      <c r="A21" s="98"/>
      <c r="B21" s="98"/>
      <c r="C21" s="104">
        <v>2022</v>
      </c>
      <c r="D21" s="107">
        <f>VLOOKUP($E$9,SyC!$A$10:$CM$171,90,0)</f>
        <v>0.43</v>
      </c>
      <c r="E21" s="107">
        <f>VLOOKUP($E$9,SyC!$A$10:$CM$171,89,0)</f>
        <v>0.52</v>
      </c>
      <c r="F21" s="107">
        <f>VLOOKUP($E$9,SyC!$A$10:$CM$171,88,0)</f>
        <v>0.56999999999999995</v>
      </c>
      <c r="G21" s="107">
        <f>VLOOKUP($E$9,SyC!$A$10:$CM$171,87,0)</f>
        <v>0.39</v>
      </c>
      <c r="H21" s="107">
        <f>VLOOKUP($E$9,SyC!$A$10:$CM$171,91,0)</f>
        <v>0.55000000000000004</v>
      </c>
      <c r="I21" s="107">
        <f>VLOOKUP($E$9,SyC!$A$10:$CM$171,86,0)</f>
        <v>0.52</v>
      </c>
      <c r="J21" s="98"/>
      <c r="K21" s="98"/>
      <c r="L21" s="98"/>
    </row>
    <row r="22" spans="1:12" ht="20.25" x14ac:dyDescent="0.25">
      <c r="A22" s="98"/>
      <c r="B22" s="98"/>
      <c r="C22" s="104">
        <v>2023</v>
      </c>
      <c r="D22" s="107">
        <f>VLOOKUP($E$9,SyC!$A$10:$DA$171,100,0)</f>
        <v>0.33</v>
      </c>
      <c r="E22" s="107">
        <f>VLOOKUP($E$9,SyC!$A$10:$DA$171,104,0)</f>
        <v>0.57999999999999996</v>
      </c>
      <c r="F22" s="107">
        <f>VLOOKUP($E$9,SyC!$A$10:$DA$171,102,0)</f>
        <v>0.59</v>
      </c>
      <c r="G22" s="107">
        <f>VLOOKUP($E$9,SyC!$A$10:$DA$171,105,0)</f>
        <v>0.51</v>
      </c>
      <c r="H22" s="107">
        <f>VLOOKUP($E$9,SyC!$A$10:$DA$171,101,0)</f>
        <v>0.53</v>
      </c>
      <c r="I22" s="107">
        <f>VLOOKUP($E$9,SyC!$A$10:$DA$171,103,0)</f>
        <v>0.65</v>
      </c>
      <c r="J22" s="98"/>
      <c r="K22" s="98"/>
      <c r="L22" s="98"/>
    </row>
    <row r="23" spans="1:12" ht="20.25" x14ac:dyDescent="0.25">
      <c r="A23" s="98"/>
      <c r="B23" s="98"/>
      <c r="C23" s="104">
        <v>2024</v>
      </c>
      <c r="D23" s="107">
        <f>VLOOKUP($E$9,SyC!$A$10:$DN$171,114,0)</f>
        <v>0.52</v>
      </c>
      <c r="E23" s="107">
        <f>VLOOKUP($E$9,SyC!$A$10:$DO$171,115,0)</f>
        <v>0.5</v>
      </c>
      <c r="F23" s="107">
        <f>VLOOKUP($E$9,SyC!$A$10:$DO$171,116,0)</f>
        <v>0.48</v>
      </c>
      <c r="G23" s="107">
        <f>VLOOKUP($E$9,SyC!$A$10:$DO$171,117,0)</f>
        <v>0.61</v>
      </c>
      <c r="H23" s="107">
        <f>VLOOKUP($E$9,SyC!$A$10:$DO$171,118,0)</f>
        <v>0.53</v>
      </c>
      <c r="I23" s="107">
        <f>VLOOKUP($E$9,SyC!$A$10:$DO$171,119,0)</f>
        <v>0.38</v>
      </c>
      <c r="J23" s="98"/>
      <c r="K23" s="98"/>
      <c r="L23" s="98"/>
    </row>
    <row r="24" spans="1:12" x14ac:dyDescent="0.25">
      <c r="A24" s="98"/>
      <c r="B24" s="98"/>
      <c r="C24" s="98"/>
      <c r="D24" s="98"/>
      <c r="E24" s="98"/>
      <c r="F24" s="98"/>
      <c r="G24" s="98"/>
      <c r="H24" s="98"/>
      <c r="I24" s="98"/>
      <c r="J24" s="98"/>
      <c r="K24" s="98"/>
      <c r="L24" s="98"/>
    </row>
    <row r="25" spans="1:12" x14ac:dyDescent="0.25">
      <c r="A25" s="98"/>
      <c r="B25" s="98"/>
      <c r="C25" s="98"/>
      <c r="D25" s="98"/>
      <c r="E25" s="98"/>
      <c r="F25" s="98"/>
      <c r="G25" s="98"/>
      <c r="H25" s="98"/>
      <c r="I25" s="98"/>
      <c r="J25" s="98"/>
      <c r="K25" s="98"/>
      <c r="L25" s="98"/>
    </row>
    <row r="26" spans="1:12" ht="23.25" x14ac:dyDescent="0.35">
      <c r="A26" s="98"/>
      <c r="B26" s="1039" t="str">
        <f>D12</f>
        <v>1. PENSAMIENTO SOCIAL 
(30% de las preguntas)</v>
      </c>
      <c r="C26" s="1039"/>
      <c r="D26" s="1039"/>
      <c r="E26" s="1039"/>
      <c r="F26" s="98"/>
      <c r="G26" s="397" t="s">
        <v>986</v>
      </c>
      <c r="H26" s="399"/>
      <c r="I26" s="399"/>
      <c r="J26" s="98"/>
      <c r="K26" s="98"/>
      <c r="L26" s="98"/>
    </row>
    <row r="27" spans="1:12" ht="18" customHeight="1" x14ac:dyDescent="0.3">
      <c r="A27" s="98"/>
      <c r="B27" s="102"/>
      <c r="C27" s="102"/>
      <c r="D27" s="102"/>
      <c r="E27" s="108"/>
      <c r="F27" s="108"/>
      <c r="G27" s="1040" t="s">
        <v>996</v>
      </c>
      <c r="H27" s="1040"/>
      <c r="I27" s="1040"/>
      <c r="J27" s="386"/>
      <c r="K27" s="386"/>
      <c r="L27" s="386"/>
    </row>
    <row r="28" spans="1:12" ht="15.6" customHeight="1" x14ac:dyDescent="0.25">
      <c r="A28" s="98"/>
      <c r="B28" s="98"/>
      <c r="C28" s="98"/>
      <c r="D28" s="98"/>
      <c r="E28" s="98"/>
      <c r="F28" s="98"/>
      <c r="G28" s="1040"/>
      <c r="H28" s="1040"/>
      <c r="I28" s="1040"/>
      <c r="J28" s="386"/>
      <c r="K28" s="386"/>
      <c r="L28" s="386"/>
    </row>
    <row r="29" spans="1:12" ht="15.6" customHeight="1" x14ac:dyDescent="0.25">
      <c r="A29" s="98"/>
      <c r="B29" s="98"/>
      <c r="C29" s="98"/>
      <c r="D29" s="98"/>
      <c r="E29" s="98"/>
      <c r="F29" s="98"/>
      <c r="G29" s="1040"/>
      <c r="H29" s="1040"/>
      <c r="I29" s="1040"/>
      <c r="J29" s="98"/>
      <c r="K29" s="98"/>
      <c r="L29" s="98"/>
    </row>
    <row r="30" spans="1:12" ht="15.6" customHeight="1" x14ac:dyDescent="0.25">
      <c r="A30" s="98"/>
      <c r="B30" s="98"/>
      <c r="C30" s="98"/>
      <c r="D30" s="98"/>
      <c r="E30" s="98"/>
      <c r="F30" s="98"/>
      <c r="G30" s="1040"/>
      <c r="H30" s="1040"/>
      <c r="I30" s="1040"/>
      <c r="J30" s="98"/>
      <c r="K30" s="98"/>
      <c r="L30" s="98"/>
    </row>
    <row r="31" spans="1:12" ht="15.6" customHeight="1" x14ac:dyDescent="0.25">
      <c r="A31" s="98"/>
      <c r="B31" s="98"/>
      <c r="C31" s="98"/>
      <c r="D31" s="98"/>
      <c r="E31" s="98"/>
      <c r="F31" s="98"/>
      <c r="G31" s="1040"/>
      <c r="H31" s="1040"/>
      <c r="I31" s="1040"/>
      <c r="J31" s="98"/>
      <c r="K31" s="98"/>
      <c r="L31" s="98"/>
    </row>
    <row r="32" spans="1:12" ht="15.6" customHeight="1" x14ac:dyDescent="0.25">
      <c r="A32" s="98"/>
      <c r="B32" s="98"/>
      <c r="C32" s="98"/>
      <c r="D32" s="98"/>
      <c r="E32" s="98"/>
      <c r="F32" s="98"/>
      <c r="G32" s="1040"/>
      <c r="H32" s="1040"/>
      <c r="I32" s="1040"/>
      <c r="J32" s="98"/>
      <c r="K32" s="98"/>
      <c r="L32" s="98"/>
    </row>
    <row r="33" spans="1:12" ht="15.6" customHeight="1" x14ac:dyDescent="0.25">
      <c r="A33" s="98"/>
      <c r="B33" s="98"/>
      <c r="C33" s="98"/>
      <c r="D33" s="98"/>
      <c r="E33" s="98"/>
      <c r="F33" s="98"/>
      <c r="G33" s="1040"/>
      <c r="H33" s="1040"/>
      <c r="I33" s="1040"/>
      <c r="J33" s="98"/>
      <c r="K33" s="98"/>
      <c r="L33" s="98"/>
    </row>
    <row r="34" spans="1:12" ht="15.6" customHeight="1" x14ac:dyDescent="0.25">
      <c r="A34" s="98"/>
      <c r="B34" s="98"/>
      <c r="C34" s="98"/>
      <c r="D34" s="98"/>
      <c r="E34" s="98"/>
      <c r="F34" s="98"/>
      <c r="G34" s="1040"/>
      <c r="H34" s="1040"/>
      <c r="I34" s="1040"/>
      <c r="J34" s="98"/>
      <c r="K34" s="98"/>
      <c r="L34" s="98"/>
    </row>
    <row r="35" spans="1:12" ht="15.6" customHeight="1" x14ac:dyDescent="0.25">
      <c r="A35" s="98"/>
      <c r="B35" s="98"/>
      <c r="C35" s="98"/>
      <c r="D35" s="98"/>
      <c r="E35" s="98"/>
      <c r="F35" s="98"/>
      <c r="G35" s="1040"/>
      <c r="H35" s="1040"/>
      <c r="I35" s="1040"/>
      <c r="J35" s="98"/>
      <c r="K35" s="98"/>
      <c r="L35" s="98"/>
    </row>
    <row r="36" spans="1:12" ht="15.6" customHeight="1" x14ac:dyDescent="0.25">
      <c r="A36" s="98"/>
      <c r="B36" s="98"/>
      <c r="C36" s="98"/>
      <c r="D36" s="98"/>
      <c r="E36" s="98"/>
      <c r="F36" s="98"/>
      <c r="G36" s="1040"/>
      <c r="H36" s="1040"/>
      <c r="I36" s="1040"/>
      <c r="J36" s="98"/>
      <c r="K36" s="98"/>
      <c r="L36" s="98"/>
    </row>
    <row r="37" spans="1:12" ht="15.6" customHeight="1" x14ac:dyDescent="0.25">
      <c r="A37" s="98"/>
      <c r="B37" s="98"/>
      <c r="C37" s="98"/>
      <c r="D37" s="98"/>
      <c r="E37" s="98"/>
      <c r="F37" s="98"/>
      <c r="G37" s="1040"/>
      <c r="H37" s="1040"/>
      <c r="I37" s="1040"/>
      <c r="J37" s="98"/>
      <c r="K37" s="98"/>
      <c r="L37" s="98"/>
    </row>
    <row r="38" spans="1:12" ht="15.6" customHeight="1" x14ac:dyDescent="0.25">
      <c r="A38" s="98"/>
      <c r="B38" s="98"/>
      <c r="C38" s="98"/>
      <c r="D38" s="98"/>
      <c r="E38" s="98"/>
      <c r="F38" s="98"/>
      <c r="G38" s="1040"/>
      <c r="H38" s="1040"/>
      <c r="I38" s="1040"/>
      <c r="J38" s="98"/>
      <c r="K38" s="98"/>
      <c r="L38" s="98"/>
    </row>
    <row r="39" spans="1:12" ht="15.6" customHeight="1" x14ac:dyDescent="0.25">
      <c r="A39" s="98"/>
      <c r="B39" s="98"/>
      <c r="C39" s="98"/>
      <c r="D39" s="98"/>
      <c r="E39" s="98"/>
      <c r="F39" s="98"/>
      <c r="G39" s="1040"/>
      <c r="H39" s="1040"/>
      <c r="I39" s="1040"/>
      <c r="J39" s="98"/>
      <c r="K39" s="98"/>
      <c r="L39" s="98"/>
    </row>
    <row r="40" spans="1:12" ht="15.6" customHeight="1" x14ac:dyDescent="0.25">
      <c r="A40" s="98"/>
      <c r="B40" s="98"/>
      <c r="C40" s="98"/>
      <c r="D40" s="98"/>
      <c r="E40" s="98"/>
      <c r="F40" s="98"/>
      <c r="G40" s="1040"/>
      <c r="H40" s="1040"/>
      <c r="I40" s="1040"/>
      <c r="J40" s="98"/>
      <c r="K40" s="98"/>
      <c r="L40" s="98"/>
    </row>
    <row r="41" spans="1:12" ht="15.6" customHeight="1" x14ac:dyDescent="0.25">
      <c r="A41" s="98"/>
      <c r="B41" s="98"/>
      <c r="C41" s="98"/>
      <c r="D41" s="98"/>
      <c r="E41" s="98"/>
      <c r="F41" s="98"/>
      <c r="G41" s="1040"/>
      <c r="H41" s="1040"/>
      <c r="I41" s="1040"/>
      <c r="J41" s="98"/>
      <c r="K41" s="98"/>
      <c r="L41" s="98"/>
    </row>
    <row r="42" spans="1:12" ht="15.6" customHeight="1" x14ac:dyDescent="0.25">
      <c r="A42" s="98"/>
      <c r="B42" s="98"/>
      <c r="C42" s="98"/>
      <c r="D42" s="98"/>
      <c r="E42" s="98"/>
      <c r="F42" s="98"/>
      <c r="G42" s="1040"/>
      <c r="H42" s="1040"/>
      <c r="I42" s="1040"/>
      <c r="J42" s="98"/>
      <c r="K42" s="98"/>
      <c r="L42" s="98"/>
    </row>
    <row r="43" spans="1:12" ht="15.6" customHeight="1" x14ac:dyDescent="0.25">
      <c r="A43" s="98"/>
      <c r="B43" s="98"/>
      <c r="C43" s="98"/>
      <c r="D43" s="98"/>
      <c r="E43" s="98"/>
      <c r="F43" s="98"/>
      <c r="G43" s="1040"/>
      <c r="H43" s="1040"/>
      <c r="I43" s="1040"/>
      <c r="J43" s="98"/>
      <c r="K43" s="98"/>
      <c r="L43" s="98"/>
    </row>
    <row r="44" spans="1:12" ht="15.6" customHeight="1" x14ac:dyDescent="0.25">
      <c r="A44" s="98"/>
      <c r="B44" s="98"/>
      <c r="C44" s="98"/>
      <c r="D44" s="98"/>
      <c r="E44" s="98"/>
      <c r="F44" s="98"/>
      <c r="G44" s="1040"/>
      <c r="H44" s="1040"/>
      <c r="I44" s="1040"/>
      <c r="J44" s="98"/>
      <c r="K44" s="98"/>
      <c r="L44" s="98"/>
    </row>
    <row r="45" spans="1:12" ht="15.6" customHeight="1" x14ac:dyDescent="0.25">
      <c r="A45" s="98"/>
      <c r="B45" s="98"/>
      <c r="C45" s="98"/>
      <c r="D45" s="98"/>
      <c r="E45" s="98"/>
      <c r="F45" s="98"/>
      <c r="G45" s="1040"/>
      <c r="H45" s="1040"/>
      <c r="I45" s="1040"/>
      <c r="J45" s="98"/>
      <c r="K45" s="98"/>
      <c r="L45" s="98"/>
    </row>
    <row r="46" spans="1:12" ht="15.6" customHeight="1" x14ac:dyDescent="0.25">
      <c r="A46" s="98"/>
      <c r="B46" s="98"/>
      <c r="C46" s="98"/>
      <c r="D46" s="98"/>
      <c r="E46" s="98"/>
      <c r="F46" s="98"/>
      <c r="G46" s="1040"/>
      <c r="H46" s="1040"/>
      <c r="I46" s="1040"/>
      <c r="J46" s="98"/>
      <c r="K46" s="98"/>
      <c r="L46" s="98"/>
    </row>
    <row r="47" spans="1:12" ht="15.6" customHeight="1" x14ac:dyDescent="0.25">
      <c r="A47" s="98"/>
      <c r="B47" s="98"/>
      <c r="C47" s="98"/>
      <c r="D47" s="98"/>
      <c r="E47" s="98"/>
      <c r="F47" s="98"/>
      <c r="G47" s="1040"/>
      <c r="H47" s="1040"/>
      <c r="I47" s="1040"/>
      <c r="J47" s="98"/>
      <c r="K47" s="98"/>
      <c r="L47" s="98"/>
    </row>
    <row r="48" spans="1:12" ht="15.6" customHeight="1" x14ac:dyDescent="0.25">
      <c r="A48" s="98"/>
      <c r="B48" s="98"/>
      <c r="C48" s="98"/>
      <c r="D48" s="98"/>
      <c r="E48" s="98"/>
      <c r="F48" s="98"/>
      <c r="G48" s="1040"/>
      <c r="H48" s="1040"/>
      <c r="I48" s="1040"/>
      <c r="J48" s="98"/>
      <c r="K48" s="98"/>
      <c r="L48" s="98"/>
    </row>
    <row r="49" spans="1:12" ht="15.6" customHeight="1" x14ac:dyDescent="0.25">
      <c r="A49" s="98"/>
      <c r="B49" s="98"/>
      <c r="C49" s="98"/>
      <c r="D49" s="98"/>
      <c r="E49" s="98"/>
      <c r="F49" s="98"/>
      <c r="G49" s="1040"/>
      <c r="H49" s="1040"/>
      <c r="I49" s="1040"/>
      <c r="J49" s="98"/>
      <c r="K49" s="98"/>
      <c r="L49" s="98"/>
    </row>
    <row r="50" spans="1:12" ht="15.6" customHeight="1" x14ac:dyDescent="0.25">
      <c r="A50" s="98"/>
      <c r="B50" s="98"/>
      <c r="C50" s="98"/>
      <c r="D50" s="98"/>
      <c r="E50" s="98"/>
      <c r="F50" s="98"/>
      <c r="G50" s="1040"/>
      <c r="H50" s="1040"/>
      <c r="I50" s="1040"/>
      <c r="J50" s="98"/>
      <c r="K50" s="98"/>
      <c r="L50" s="98"/>
    </row>
    <row r="51" spans="1:12" ht="15.6" customHeight="1" x14ac:dyDescent="0.25">
      <c r="A51" s="98"/>
      <c r="B51" s="98"/>
      <c r="C51" s="98"/>
      <c r="D51" s="98"/>
      <c r="E51" s="98"/>
      <c r="F51" s="98"/>
      <c r="G51" s="1040"/>
      <c r="H51" s="1040"/>
      <c r="I51" s="1040"/>
      <c r="J51" s="98"/>
      <c r="K51" s="98"/>
      <c r="L51" s="98"/>
    </row>
    <row r="52" spans="1:12" ht="15.6" customHeight="1" x14ac:dyDescent="0.25">
      <c r="A52" s="98"/>
      <c r="B52" s="98"/>
      <c r="C52" s="98"/>
      <c r="D52" s="98"/>
      <c r="E52" s="98"/>
      <c r="F52" s="98"/>
      <c r="G52" s="1040"/>
      <c r="H52" s="1040"/>
      <c r="I52" s="1040"/>
      <c r="J52" s="98"/>
      <c r="K52" s="98"/>
      <c r="L52" s="98"/>
    </row>
    <row r="53" spans="1:12" ht="15.6" customHeight="1" x14ac:dyDescent="0.25">
      <c r="A53" s="98"/>
      <c r="B53" s="98"/>
      <c r="C53" s="98"/>
      <c r="D53" s="98"/>
      <c r="E53" s="98"/>
      <c r="F53" s="98"/>
      <c r="G53" s="1040"/>
      <c r="H53" s="1040"/>
      <c r="I53" s="1040"/>
      <c r="J53" s="98"/>
      <c r="K53" s="98"/>
      <c r="L53" s="98"/>
    </row>
    <row r="54" spans="1:12" ht="23.25" x14ac:dyDescent="0.35">
      <c r="A54" s="98"/>
      <c r="B54" s="1039" t="str">
        <f>F12</f>
        <v>2. INTERPRETACIÓN Y ANÁLISIS DE PERSPECTIVAS 
(40% de las preguntas)</v>
      </c>
      <c r="C54" s="1039"/>
      <c r="D54" s="1039"/>
      <c r="E54" s="1039"/>
      <c r="F54" s="98"/>
      <c r="G54" s="1040"/>
      <c r="H54" s="1040"/>
      <c r="I54" s="1040"/>
      <c r="J54" s="98"/>
      <c r="K54" s="98"/>
      <c r="L54" s="98"/>
    </row>
    <row r="55" spans="1:12" ht="15.6" customHeight="1" x14ac:dyDescent="0.25">
      <c r="A55" s="98"/>
      <c r="B55" s="98"/>
      <c r="C55" s="98"/>
      <c r="D55" s="98"/>
      <c r="E55" s="98"/>
      <c r="F55" s="98"/>
      <c r="G55" s="1040"/>
      <c r="H55" s="1040"/>
      <c r="I55" s="1040"/>
      <c r="J55" s="98"/>
      <c r="K55" s="98"/>
      <c r="L55" s="98"/>
    </row>
    <row r="56" spans="1:12" ht="15.6" customHeight="1" x14ac:dyDescent="0.25">
      <c r="A56" s="98"/>
      <c r="B56" s="98"/>
      <c r="C56" s="98"/>
      <c r="D56" s="98"/>
      <c r="E56" s="98"/>
      <c r="F56" s="98"/>
      <c r="G56" s="1040"/>
      <c r="H56" s="1040"/>
      <c r="I56" s="1040"/>
      <c r="J56" s="98"/>
      <c r="K56" s="98"/>
      <c r="L56" s="98"/>
    </row>
    <row r="57" spans="1:12" ht="15.6" customHeight="1" x14ac:dyDescent="0.25">
      <c r="A57" s="98"/>
      <c r="B57" s="98"/>
      <c r="C57" s="98"/>
      <c r="D57" s="98"/>
      <c r="E57" s="98"/>
      <c r="F57" s="98"/>
      <c r="G57" s="1040"/>
      <c r="H57" s="1040"/>
      <c r="I57" s="1040"/>
      <c r="J57" s="98"/>
      <c r="K57" s="98"/>
      <c r="L57" s="98"/>
    </row>
    <row r="58" spans="1:12" ht="15.6" customHeight="1" x14ac:dyDescent="0.25">
      <c r="A58" s="98"/>
      <c r="B58" s="98"/>
      <c r="C58" s="98"/>
      <c r="D58" s="98"/>
      <c r="E58" s="98"/>
      <c r="F58" s="98"/>
      <c r="G58" s="1040"/>
      <c r="H58" s="1040"/>
      <c r="I58" s="1040"/>
      <c r="J58" s="98"/>
      <c r="K58" s="98"/>
      <c r="L58" s="98"/>
    </row>
    <row r="59" spans="1:12" ht="15.6" customHeight="1" x14ac:dyDescent="0.25">
      <c r="A59" s="98"/>
      <c r="B59" s="98"/>
      <c r="C59" s="98"/>
      <c r="D59" s="98"/>
      <c r="E59" s="98"/>
      <c r="F59" s="98"/>
      <c r="G59" s="1040"/>
      <c r="H59" s="1040"/>
      <c r="I59" s="1040"/>
      <c r="J59" s="98"/>
      <c r="K59" s="98"/>
      <c r="L59" s="98"/>
    </row>
    <row r="60" spans="1:12" ht="15.6" customHeight="1" x14ac:dyDescent="0.25">
      <c r="A60" s="98"/>
      <c r="B60" s="98"/>
      <c r="C60" s="98"/>
      <c r="D60" s="98"/>
      <c r="E60" s="98"/>
      <c r="F60" s="98"/>
      <c r="G60" s="1040"/>
      <c r="H60" s="1040"/>
      <c r="I60" s="1040"/>
      <c r="J60" s="98"/>
      <c r="K60" s="98"/>
      <c r="L60" s="98"/>
    </row>
    <row r="61" spans="1:12" ht="15.6" customHeight="1" x14ac:dyDescent="0.25">
      <c r="A61" s="98"/>
      <c r="B61" s="98"/>
      <c r="C61" s="98"/>
      <c r="D61" s="98"/>
      <c r="E61" s="98"/>
      <c r="F61" s="98"/>
      <c r="G61" s="1040"/>
      <c r="H61" s="1040"/>
      <c r="I61" s="1040"/>
      <c r="J61" s="98"/>
      <c r="K61" s="98"/>
      <c r="L61" s="98"/>
    </row>
    <row r="62" spans="1:12" ht="15.6" customHeight="1" x14ac:dyDescent="0.25">
      <c r="A62" s="98"/>
      <c r="B62" s="98"/>
      <c r="C62" s="98"/>
      <c r="D62" s="98"/>
      <c r="E62" s="98"/>
      <c r="F62" s="98"/>
      <c r="G62" s="1040"/>
      <c r="H62" s="1040"/>
      <c r="I62" s="1040"/>
      <c r="J62" s="98"/>
      <c r="K62" s="98"/>
      <c r="L62" s="98"/>
    </row>
    <row r="63" spans="1:12" ht="15.6" customHeight="1" x14ac:dyDescent="0.25">
      <c r="A63" s="98"/>
      <c r="B63" s="98"/>
      <c r="C63" s="98"/>
      <c r="D63" s="98"/>
      <c r="E63" s="98"/>
      <c r="F63" s="98"/>
      <c r="G63" s="1040"/>
      <c r="H63" s="1040"/>
      <c r="I63" s="1040"/>
      <c r="J63" s="98"/>
      <c r="K63" s="98"/>
      <c r="L63" s="98"/>
    </row>
    <row r="64" spans="1:12" ht="15.6" customHeight="1" x14ac:dyDescent="0.25">
      <c r="A64" s="98"/>
      <c r="B64" s="98"/>
      <c r="C64" s="98"/>
      <c r="D64" s="98"/>
      <c r="E64" s="98"/>
      <c r="F64" s="98"/>
      <c r="G64" s="400"/>
      <c r="H64" s="400"/>
      <c r="I64" s="400"/>
      <c r="J64" s="98"/>
      <c r="K64" s="98"/>
      <c r="L64" s="98"/>
    </row>
    <row r="65" spans="1:12" ht="15.6" customHeight="1" x14ac:dyDescent="0.25">
      <c r="A65" s="98"/>
      <c r="B65" s="98"/>
      <c r="C65" s="98"/>
      <c r="D65" s="98"/>
      <c r="E65" s="98"/>
      <c r="F65" s="98"/>
      <c r="G65" s="400"/>
      <c r="H65" s="400"/>
      <c r="I65" s="400"/>
      <c r="J65" s="98"/>
      <c r="K65" s="98"/>
      <c r="L65" s="98"/>
    </row>
    <row r="66" spans="1:12" ht="15.6" customHeight="1" x14ac:dyDescent="0.25">
      <c r="A66" s="98"/>
      <c r="B66" s="98"/>
      <c r="C66" s="98"/>
      <c r="D66" s="98"/>
      <c r="E66" s="98"/>
      <c r="F66" s="98"/>
      <c r="G66" s="400"/>
      <c r="H66" s="400"/>
      <c r="I66" s="400"/>
      <c r="J66" s="98"/>
      <c r="K66" s="98"/>
      <c r="L66" s="98"/>
    </row>
    <row r="67" spans="1:12" ht="15.6" customHeight="1" x14ac:dyDescent="0.25">
      <c r="A67" s="98"/>
      <c r="B67" s="98"/>
      <c r="C67" s="98"/>
      <c r="D67" s="98"/>
      <c r="E67" s="98"/>
      <c r="F67" s="98"/>
      <c r="G67" s="400"/>
      <c r="H67" s="400"/>
      <c r="I67" s="400"/>
      <c r="J67" s="98"/>
      <c r="K67" s="98"/>
      <c r="L67" s="98"/>
    </row>
    <row r="68" spans="1:12" ht="15.6" customHeight="1" x14ac:dyDescent="0.25">
      <c r="A68" s="98"/>
      <c r="B68" s="98"/>
      <c r="C68" s="98"/>
      <c r="D68" s="98"/>
      <c r="E68" s="98"/>
      <c r="F68" s="98"/>
      <c r="G68" s="400"/>
      <c r="H68" s="400"/>
      <c r="I68" s="400"/>
      <c r="J68" s="98"/>
      <c r="K68" s="98"/>
      <c r="L68" s="98"/>
    </row>
    <row r="69" spans="1:12" ht="15.6" customHeight="1" x14ac:dyDescent="0.25">
      <c r="A69" s="98"/>
      <c r="B69" s="98"/>
      <c r="C69" s="98"/>
      <c r="D69" s="98"/>
      <c r="E69" s="98"/>
      <c r="F69" s="98"/>
      <c r="G69" s="400"/>
      <c r="H69" s="400"/>
      <c r="I69" s="400"/>
      <c r="J69" s="98"/>
      <c r="K69" s="98"/>
      <c r="L69" s="98"/>
    </row>
    <row r="70" spans="1:12" ht="15.6" customHeight="1" x14ac:dyDescent="0.25">
      <c r="A70" s="98"/>
      <c r="B70" s="98"/>
      <c r="C70" s="98"/>
      <c r="D70" s="98"/>
      <c r="E70" s="98"/>
      <c r="F70" s="98"/>
      <c r="G70" s="400"/>
      <c r="H70" s="400"/>
      <c r="I70" s="400"/>
      <c r="J70" s="98"/>
      <c r="K70" s="98"/>
      <c r="L70" s="98"/>
    </row>
    <row r="71" spans="1:12" ht="15.6" customHeight="1" x14ac:dyDescent="0.25">
      <c r="A71" s="98"/>
      <c r="B71" s="98"/>
      <c r="C71" s="98"/>
      <c r="D71" s="98"/>
      <c r="E71" s="98"/>
      <c r="F71" s="98"/>
      <c r="G71" s="400"/>
      <c r="H71" s="400"/>
      <c r="I71" s="400"/>
      <c r="J71" s="98"/>
      <c r="K71" s="98"/>
      <c r="L71" s="98"/>
    </row>
    <row r="72" spans="1:12" ht="15.6" customHeight="1" x14ac:dyDescent="0.25">
      <c r="A72" s="98"/>
      <c r="B72" s="98"/>
      <c r="C72" s="98"/>
      <c r="D72" s="98"/>
      <c r="E72" s="98"/>
      <c r="F72" s="98"/>
      <c r="G72" s="400"/>
      <c r="H72" s="400"/>
      <c r="I72" s="400"/>
      <c r="J72" s="98"/>
      <c r="K72" s="98"/>
      <c r="L72" s="98"/>
    </row>
    <row r="73" spans="1:12" ht="15.6" customHeight="1" x14ac:dyDescent="0.25">
      <c r="A73" s="98"/>
      <c r="B73" s="98"/>
      <c r="C73" s="98"/>
      <c r="D73" s="98"/>
      <c r="E73" s="98"/>
      <c r="F73" s="98"/>
      <c r="G73" s="400"/>
      <c r="H73" s="400"/>
      <c r="I73" s="400"/>
      <c r="J73" s="98"/>
      <c r="K73" s="98"/>
      <c r="L73" s="98"/>
    </row>
    <row r="74" spans="1:12" ht="15.6" customHeight="1" x14ac:dyDescent="0.25">
      <c r="A74" s="98"/>
      <c r="B74" s="98"/>
      <c r="C74" s="98"/>
      <c r="D74" s="98"/>
      <c r="E74" s="98"/>
      <c r="F74" s="98"/>
      <c r="G74" s="400"/>
      <c r="H74" s="400"/>
      <c r="I74" s="400"/>
      <c r="J74" s="98"/>
      <c r="K74" s="98"/>
      <c r="L74" s="98"/>
    </row>
    <row r="75" spans="1:12" ht="15.6" customHeight="1" x14ac:dyDescent="0.25">
      <c r="A75" s="98"/>
      <c r="B75" s="98"/>
      <c r="C75" s="98"/>
      <c r="D75" s="98"/>
      <c r="E75" s="98"/>
      <c r="F75" s="98"/>
      <c r="G75" s="400"/>
      <c r="H75" s="400"/>
      <c r="I75" s="400"/>
      <c r="J75" s="98"/>
      <c r="K75" s="98"/>
      <c r="L75" s="98"/>
    </row>
    <row r="76" spans="1:12" ht="15.6" customHeight="1" x14ac:dyDescent="0.25">
      <c r="A76" s="98"/>
      <c r="B76" s="98"/>
      <c r="C76" s="98"/>
      <c r="D76" s="98"/>
      <c r="E76" s="98"/>
      <c r="F76" s="98"/>
      <c r="G76" s="400"/>
      <c r="H76" s="400"/>
      <c r="I76" s="400"/>
      <c r="J76" s="98"/>
      <c r="K76" s="98"/>
      <c r="L76" s="98"/>
    </row>
    <row r="77" spans="1:12" ht="15.6" customHeight="1" x14ac:dyDescent="0.25">
      <c r="A77" s="98"/>
      <c r="B77" s="98"/>
      <c r="C77" s="98"/>
      <c r="D77" s="98"/>
      <c r="E77" s="98"/>
      <c r="F77" s="98"/>
      <c r="G77" s="400"/>
      <c r="H77" s="400"/>
      <c r="I77" s="400"/>
      <c r="J77" s="98"/>
      <c r="K77" s="98"/>
      <c r="L77" s="98"/>
    </row>
    <row r="78" spans="1:12" ht="15.6" customHeight="1" x14ac:dyDescent="0.25">
      <c r="A78" s="98"/>
      <c r="B78" s="98"/>
      <c r="C78" s="98"/>
      <c r="D78" s="98"/>
      <c r="E78" s="98"/>
      <c r="F78" s="98"/>
      <c r="G78" s="400"/>
      <c r="H78" s="400"/>
      <c r="I78" s="400"/>
      <c r="J78" s="98"/>
      <c r="K78" s="98"/>
      <c r="L78" s="98"/>
    </row>
    <row r="79" spans="1:12" ht="15.6" customHeight="1" x14ac:dyDescent="0.25">
      <c r="A79" s="98"/>
      <c r="B79" s="98"/>
      <c r="C79" s="98"/>
      <c r="D79" s="98"/>
      <c r="E79" s="98"/>
      <c r="F79" s="98"/>
      <c r="G79" s="400"/>
      <c r="H79" s="400"/>
      <c r="I79" s="400"/>
      <c r="J79" s="98"/>
      <c r="K79" s="98"/>
      <c r="L79" s="98"/>
    </row>
    <row r="80" spans="1:12" ht="15.6" customHeight="1" x14ac:dyDescent="0.25">
      <c r="A80" s="98"/>
      <c r="B80" s="98"/>
      <c r="C80" s="98"/>
      <c r="D80" s="98"/>
      <c r="E80" s="98"/>
      <c r="F80" s="98"/>
      <c r="G80" s="400"/>
      <c r="H80" s="400"/>
      <c r="I80" s="400"/>
      <c r="J80" s="98"/>
      <c r="K80" s="98"/>
      <c r="L80" s="98"/>
    </row>
    <row r="81" spans="1:12" ht="15.6" customHeight="1" x14ac:dyDescent="0.25">
      <c r="A81" s="98"/>
      <c r="B81" s="98"/>
      <c r="C81" s="98"/>
      <c r="D81" s="98"/>
      <c r="E81" s="98"/>
      <c r="F81" s="98"/>
      <c r="G81" s="400"/>
      <c r="H81" s="400"/>
      <c r="I81" s="400"/>
      <c r="J81" s="98"/>
      <c r="K81" s="98"/>
      <c r="L81" s="98"/>
    </row>
    <row r="82" spans="1:12" ht="23.25" x14ac:dyDescent="0.35">
      <c r="A82" s="98"/>
      <c r="B82" s="1039" t="str">
        <f>H12</f>
        <v>3. PENSAMIENTO REFLEXIVO Y SISTEMÁTICO 
(30% de las preguntas)</v>
      </c>
      <c r="C82" s="1039"/>
      <c r="D82" s="1039"/>
      <c r="E82" s="1039"/>
      <c r="F82" s="98"/>
      <c r="G82" s="400"/>
      <c r="H82" s="400"/>
      <c r="I82" s="400"/>
      <c r="J82" s="98"/>
      <c r="K82" s="98"/>
      <c r="L82" s="98"/>
    </row>
    <row r="83" spans="1:12" ht="15.6" customHeight="1" x14ac:dyDescent="0.25">
      <c r="A83" s="98"/>
      <c r="B83" s="98"/>
      <c r="C83" s="98"/>
      <c r="D83" s="98"/>
      <c r="E83" s="98"/>
      <c r="F83" s="98"/>
      <c r="G83" s="400"/>
      <c r="H83" s="400"/>
      <c r="I83" s="400"/>
      <c r="J83" s="98"/>
      <c r="K83" s="98"/>
      <c r="L83" s="98"/>
    </row>
    <row r="84" spans="1:12" ht="15.6" customHeight="1" x14ac:dyDescent="0.25">
      <c r="A84" s="98"/>
      <c r="B84" s="98"/>
      <c r="C84" s="98"/>
      <c r="D84" s="98"/>
      <c r="E84" s="98"/>
      <c r="F84" s="98"/>
      <c r="G84" s="400"/>
      <c r="H84" s="400"/>
      <c r="I84" s="400"/>
      <c r="J84" s="98"/>
      <c r="K84" s="98"/>
      <c r="L84" s="98"/>
    </row>
    <row r="85" spans="1:12" ht="15.6" customHeight="1" x14ac:dyDescent="0.25">
      <c r="A85" s="98"/>
      <c r="B85" s="98"/>
      <c r="C85" s="98"/>
      <c r="D85" s="98"/>
      <c r="E85" s="98"/>
      <c r="F85" s="98"/>
      <c r="G85" s="400"/>
      <c r="H85" s="400"/>
      <c r="I85" s="400"/>
      <c r="J85" s="98"/>
      <c r="K85" s="98"/>
      <c r="L85" s="98"/>
    </row>
    <row r="86" spans="1:12" ht="15.6" customHeight="1" x14ac:dyDescent="0.25">
      <c r="A86" s="98"/>
      <c r="B86" s="98"/>
      <c r="C86" s="98"/>
      <c r="D86" s="98"/>
      <c r="E86" s="98"/>
      <c r="F86" s="98"/>
      <c r="G86" s="400"/>
      <c r="H86" s="400"/>
      <c r="I86" s="400"/>
      <c r="J86" s="98"/>
      <c r="K86" s="98"/>
      <c r="L86" s="98"/>
    </row>
    <row r="87" spans="1:12" ht="15.6" customHeight="1" x14ac:dyDescent="0.25">
      <c r="A87" s="98"/>
      <c r="B87" s="98"/>
      <c r="C87" s="98"/>
      <c r="D87" s="98"/>
      <c r="E87" s="98"/>
      <c r="F87" s="98"/>
      <c r="G87" s="400"/>
      <c r="H87" s="400"/>
      <c r="I87" s="400"/>
      <c r="J87" s="98"/>
      <c r="K87" s="98"/>
      <c r="L87" s="98"/>
    </row>
    <row r="88" spans="1:12" ht="15.6" customHeight="1" x14ac:dyDescent="0.25">
      <c r="A88" s="98"/>
      <c r="B88" s="98"/>
      <c r="C88" s="98"/>
      <c r="D88" s="98"/>
      <c r="E88" s="98"/>
      <c r="F88" s="98"/>
      <c r="G88" s="400"/>
      <c r="H88" s="400"/>
      <c r="I88" s="400"/>
      <c r="J88" s="98"/>
      <c r="K88" s="98"/>
      <c r="L88" s="98"/>
    </row>
    <row r="89" spans="1:12" ht="15.6" customHeight="1" x14ac:dyDescent="0.25">
      <c r="A89" s="98"/>
      <c r="B89" s="98"/>
      <c r="C89" s="98"/>
      <c r="D89" s="98"/>
      <c r="E89" s="98"/>
      <c r="F89" s="98"/>
      <c r="G89" s="400"/>
      <c r="H89" s="400"/>
      <c r="I89" s="400"/>
      <c r="J89" s="98"/>
      <c r="K89" s="98"/>
      <c r="L89" s="98"/>
    </row>
    <row r="90" spans="1:12" ht="15.6" customHeight="1" x14ac:dyDescent="0.25">
      <c r="A90" s="98"/>
      <c r="B90" s="98"/>
      <c r="C90" s="98"/>
      <c r="D90" s="98"/>
      <c r="E90" s="98"/>
      <c r="F90" s="98"/>
      <c r="G90" s="400"/>
      <c r="H90" s="400"/>
      <c r="I90" s="400"/>
      <c r="J90" s="98"/>
      <c r="K90" s="98"/>
      <c r="L90" s="98"/>
    </row>
    <row r="91" spans="1:12" ht="15.6" customHeight="1" x14ac:dyDescent="0.25">
      <c r="A91" s="98"/>
      <c r="B91" s="98"/>
      <c r="C91" s="98"/>
      <c r="D91" s="98"/>
      <c r="E91" s="98"/>
      <c r="F91" s="98"/>
      <c r="G91" s="400"/>
      <c r="H91" s="400"/>
      <c r="I91" s="400"/>
      <c r="J91" s="98"/>
      <c r="K91" s="98"/>
      <c r="L91" s="98"/>
    </row>
    <row r="92" spans="1:12" ht="15.6" customHeight="1" x14ac:dyDescent="0.25">
      <c r="A92" s="98"/>
      <c r="B92" s="98"/>
      <c r="C92" s="98"/>
      <c r="D92" s="98"/>
      <c r="E92" s="98"/>
      <c r="F92" s="98"/>
      <c r="G92" s="400"/>
      <c r="H92" s="400"/>
      <c r="I92" s="400"/>
      <c r="J92" s="98"/>
      <c r="K92" s="98"/>
      <c r="L92" s="98"/>
    </row>
    <row r="93" spans="1:12" ht="15.6" customHeight="1" x14ac:dyDescent="0.25">
      <c r="A93" s="98"/>
      <c r="B93" s="98"/>
      <c r="C93" s="98"/>
      <c r="D93" s="98"/>
      <c r="E93" s="98"/>
      <c r="F93" s="98"/>
      <c r="G93" s="400"/>
      <c r="H93" s="400"/>
      <c r="I93" s="400"/>
      <c r="J93" s="98"/>
      <c r="K93" s="98"/>
      <c r="L93" s="98"/>
    </row>
    <row r="94" spans="1:12" ht="15.6" customHeight="1" x14ac:dyDescent="0.25">
      <c r="A94" s="98"/>
      <c r="B94" s="98"/>
      <c r="C94" s="98"/>
      <c r="D94" s="98"/>
      <c r="E94" s="98"/>
      <c r="F94" s="98"/>
      <c r="G94" s="400"/>
      <c r="H94" s="400"/>
      <c r="I94" s="400"/>
      <c r="J94" s="98"/>
      <c r="K94" s="98"/>
      <c r="L94" s="98"/>
    </row>
    <row r="95" spans="1:12" ht="15.6" customHeight="1" x14ac:dyDescent="0.25">
      <c r="A95" s="98"/>
      <c r="B95" s="98"/>
      <c r="C95" s="98"/>
      <c r="D95" s="98"/>
      <c r="E95" s="98"/>
      <c r="F95" s="98"/>
      <c r="G95" s="400"/>
      <c r="H95" s="400"/>
      <c r="I95" s="400"/>
      <c r="J95" s="98"/>
      <c r="K95" s="98"/>
      <c r="L95" s="98"/>
    </row>
    <row r="96" spans="1:12" ht="15.6" customHeight="1" x14ac:dyDescent="0.25">
      <c r="A96" s="98"/>
      <c r="B96" s="98"/>
      <c r="C96" s="98"/>
      <c r="D96" s="98"/>
      <c r="E96" s="98"/>
      <c r="F96" s="98"/>
      <c r="G96" s="400"/>
      <c r="H96" s="400"/>
      <c r="I96" s="400"/>
      <c r="J96" s="98"/>
      <c r="K96" s="98"/>
      <c r="L96" s="98"/>
    </row>
    <row r="97" spans="1:12" ht="15.6" customHeight="1" x14ac:dyDescent="0.25">
      <c r="A97" s="98"/>
      <c r="B97" s="98"/>
      <c r="C97" s="98"/>
      <c r="D97" s="98"/>
      <c r="E97" s="98"/>
      <c r="F97" s="98"/>
      <c r="G97" s="400"/>
      <c r="H97" s="400"/>
      <c r="I97" s="400"/>
      <c r="J97" s="98"/>
      <c r="K97" s="98"/>
      <c r="L97" s="98"/>
    </row>
    <row r="98" spans="1:12" ht="15.6" customHeight="1" x14ac:dyDescent="0.25">
      <c r="A98" s="98"/>
      <c r="B98" s="98"/>
      <c r="C98" s="98"/>
      <c r="D98" s="98"/>
      <c r="E98" s="98"/>
      <c r="F98" s="98"/>
      <c r="G98" s="400"/>
      <c r="H98" s="400"/>
      <c r="I98" s="400"/>
      <c r="J98" s="98"/>
      <c r="K98" s="98"/>
      <c r="L98" s="98"/>
    </row>
    <row r="99" spans="1:12" ht="15.6" customHeight="1" x14ac:dyDescent="0.25">
      <c r="A99" s="98"/>
      <c r="B99" s="98"/>
      <c r="C99" s="98"/>
      <c r="D99" s="98"/>
      <c r="E99" s="98"/>
      <c r="F99" s="98"/>
      <c r="G99" s="400"/>
      <c r="H99" s="400"/>
      <c r="I99" s="400"/>
      <c r="J99" s="98"/>
      <c r="K99" s="98"/>
      <c r="L99" s="98"/>
    </row>
    <row r="100" spans="1:12" ht="15.6" customHeight="1" x14ac:dyDescent="0.25">
      <c r="A100" s="98"/>
      <c r="B100" s="98"/>
      <c r="C100" s="98"/>
      <c r="D100" s="98"/>
      <c r="E100" s="98"/>
      <c r="F100" s="98"/>
      <c r="G100" s="400"/>
      <c r="H100" s="400"/>
      <c r="I100" s="400"/>
      <c r="J100" s="98"/>
      <c r="K100" s="98"/>
      <c r="L100" s="98"/>
    </row>
    <row r="101" spans="1:12" ht="15.6" customHeight="1" x14ac:dyDescent="0.25">
      <c r="A101" s="98"/>
      <c r="B101" s="98"/>
      <c r="C101" s="98"/>
      <c r="D101" s="98"/>
      <c r="E101" s="98"/>
      <c r="F101" s="98"/>
      <c r="G101" s="400"/>
      <c r="H101" s="400"/>
      <c r="I101" s="400"/>
      <c r="J101" s="98"/>
      <c r="K101" s="98"/>
      <c r="L101" s="98"/>
    </row>
    <row r="102" spans="1:12" ht="18" x14ac:dyDescent="0.25">
      <c r="A102" s="98"/>
      <c r="B102" s="98"/>
      <c r="C102" s="98"/>
      <c r="D102" s="98"/>
      <c r="E102" s="98"/>
      <c r="F102" s="98"/>
      <c r="G102" s="387"/>
      <c r="H102" s="387"/>
      <c r="I102" s="387"/>
      <c r="J102" s="98"/>
      <c r="K102" s="98"/>
      <c r="L102" s="98"/>
    </row>
    <row r="103" spans="1:12" ht="18" x14ac:dyDescent="0.25">
      <c r="A103" s="98"/>
      <c r="B103" s="98"/>
      <c r="C103" s="98"/>
      <c r="D103" s="98"/>
      <c r="E103" s="98"/>
      <c r="F103" s="98"/>
      <c r="G103" s="387"/>
      <c r="H103" s="387"/>
      <c r="I103" s="387"/>
      <c r="J103" s="98"/>
      <c r="K103" s="98"/>
      <c r="L103" s="98"/>
    </row>
    <row r="104" spans="1:12" ht="18" x14ac:dyDescent="0.25">
      <c r="A104" s="98"/>
      <c r="B104" s="98"/>
      <c r="C104" s="98"/>
      <c r="D104" s="98"/>
      <c r="E104" s="98"/>
      <c r="F104" s="98"/>
      <c r="G104" s="387"/>
      <c r="H104" s="387"/>
      <c r="I104" s="387"/>
      <c r="J104" s="98"/>
      <c r="K104" s="98"/>
      <c r="L104" s="98"/>
    </row>
    <row r="105" spans="1:12" x14ac:dyDescent="0.25">
      <c r="A105" s="98"/>
      <c r="B105" s="98"/>
      <c r="C105" s="98"/>
      <c r="D105" s="98"/>
      <c r="E105" s="98"/>
      <c r="F105" s="98"/>
      <c r="G105" s="98"/>
      <c r="H105" s="98"/>
      <c r="I105" s="98"/>
      <c r="J105" s="98"/>
      <c r="K105" s="98"/>
      <c r="L105" s="98"/>
    </row>
    <row r="106" spans="1:12" x14ac:dyDescent="0.25">
      <c r="A106" s="98"/>
      <c r="B106" s="98"/>
      <c r="C106" s="98"/>
      <c r="D106" s="98"/>
      <c r="E106" s="98"/>
      <c r="F106" s="98"/>
      <c r="G106" s="98"/>
      <c r="H106" s="98"/>
      <c r="I106" s="98"/>
      <c r="J106" s="98"/>
      <c r="K106" s="98"/>
      <c r="L106" s="98"/>
    </row>
    <row r="107" spans="1:12" x14ac:dyDescent="0.25">
      <c r="A107" s="98"/>
      <c r="B107" s="98"/>
      <c r="C107" s="98"/>
      <c r="D107" s="98"/>
      <c r="E107" s="98"/>
      <c r="F107" s="98"/>
      <c r="G107" s="98"/>
      <c r="H107" s="98"/>
      <c r="I107" s="98"/>
      <c r="J107" s="98"/>
      <c r="K107" s="98"/>
      <c r="L107" s="98"/>
    </row>
    <row r="108" spans="1:12" x14ac:dyDescent="0.25">
      <c r="A108" s="98"/>
      <c r="B108" s="98"/>
      <c r="C108" s="98"/>
      <c r="D108" s="98"/>
      <c r="E108" s="98"/>
      <c r="F108" s="98"/>
      <c r="G108" s="98"/>
      <c r="H108" s="98"/>
      <c r="I108" s="98"/>
      <c r="J108" s="98"/>
      <c r="K108" s="98"/>
      <c r="L108" s="98"/>
    </row>
    <row r="109" spans="1:12" x14ac:dyDescent="0.25">
      <c r="A109" s="98"/>
      <c r="B109" s="98"/>
      <c r="C109" s="98"/>
      <c r="D109" s="98"/>
      <c r="E109" s="98"/>
      <c r="F109" s="98"/>
      <c r="G109" s="98"/>
      <c r="H109" s="98"/>
      <c r="I109" s="98"/>
      <c r="J109" s="98"/>
      <c r="K109" s="98"/>
      <c r="L109" s="98"/>
    </row>
    <row r="110" spans="1:12" x14ac:dyDescent="0.25">
      <c r="A110" s="98"/>
      <c r="B110" s="98"/>
      <c r="C110" s="98"/>
      <c r="D110" s="98"/>
      <c r="E110" s="98"/>
      <c r="F110" s="98"/>
      <c r="G110" s="98"/>
      <c r="H110" s="98"/>
      <c r="I110" s="98"/>
      <c r="J110" s="98"/>
      <c r="K110" s="98"/>
      <c r="L110" s="98"/>
    </row>
    <row r="111" spans="1:12" ht="15.75" customHeight="1" x14ac:dyDescent="0.25">
      <c r="A111" s="98"/>
      <c r="B111" s="1032" t="s">
        <v>939</v>
      </c>
      <c r="C111" s="1032"/>
      <c r="D111" s="1032"/>
      <c r="E111" s="1032"/>
      <c r="F111" s="1032"/>
      <c r="G111" s="1032"/>
      <c r="H111" s="1032"/>
      <c r="I111" s="1032"/>
      <c r="J111" s="98"/>
      <c r="K111" s="98"/>
      <c r="L111" s="98"/>
    </row>
  </sheetData>
  <sheetProtection algorithmName="SHA-512" hashValue="BRGEpguGzWOR9eTIvzPGKOOGpqamPNb8apA+LiEH4fZ38y5kbQZCs1BZ8HcrweahWnOM5luRymqwhlTOF5yJCw==" saltValue="sVoWHqZYmM3geyrvB504lg==" spinCount="100000" sheet="1" objects="1" scenarios="1"/>
  <mergeCells count="11">
    <mergeCell ref="B6:I6"/>
    <mergeCell ref="B111:I111"/>
    <mergeCell ref="C11:I11"/>
    <mergeCell ref="D12:E12"/>
    <mergeCell ref="F12:G12"/>
    <mergeCell ref="H12:I12"/>
    <mergeCell ref="B54:E54"/>
    <mergeCell ref="B26:E26"/>
    <mergeCell ref="B82:E82"/>
    <mergeCell ref="E9:I9"/>
    <mergeCell ref="G27:I63"/>
  </mergeCells>
  <conditionalFormatting sqref="D15:I23">
    <cfRule type="cellIs" dxfId="24" priority="1" operator="equal">
      <formula>0</formula>
    </cfRule>
    <cfRule type="cellIs" dxfId="23" priority="2" operator="between">
      <formula>0.4</formula>
      <formula>0.69</formula>
    </cfRule>
    <cfRule type="cellIs" dxfId="22" priority="3" operator="between">
      <formula>0.2</formula>
      <formula>0.39</formula>
    </cfRule>
    <cfRule type="cellIs" dxfId="21" priority="4" operator="between">
      <formula>0.01</formula>
      <formula>0.19</formula>
    </cfRule>
    <cfRule type="cellIs" dxfId="20" priority="5" operator="between">
      <formula>0.7</formula>
      <formula>1</formula>
    </cfRule>
  </conditionalFormatting>
  <pageMargins left="0.25" right="0.25" top="0.75" bottom="0.75" header="0.3" footer="0.3"/>
  <pageSetup paperSize="14" scale="6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2CA4EC-1A27-43FC-87E9-583110C1FF6F}">
          <x14:formula1>
            <xm:f>PGLOBAL!$A$10:$A$171</xm:f>
          </x14:formula1>
          <xm:sqref>E9:I9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4F09-3762-4FA1-AA0B-3CF374E0AC16}">
  <sheetPr>
    <tabColor rgb="FF00B050"/>
    <pageSetUpPr fitToPage="1"/>
  </sheetPr>
  <dimension ref="A1:K100"/>
  <sheetViews>
    <sheetView topLeftCell="A7" zoomScale="80" zoomScaleNormal="80" workbookViewId="0">
      <selection activeCell="E10" sqref="E10:J10"/>
    </sheetView>
  </sheetViews>
  <sheetFormatPr baseColWidth="10" defaultColWidth="12.5703125" defaultRowHeight="15.75" x14ac:dyDescent="0.25"/>
  <cols>
    <col min="1" max="1" width="1.7109375" style="99" customWidth="1"/>
    <col min="2" max="2" width="17.85546875" style="99" customWidth="1"/>
    <col min="3" max="10" width="32.7109375" style="99" customWidth="1"/>
    <col min="11" max="11" width="5.85546875" style="99" customWidth="1"/>
    <col min="12" max="16384" width="12.5703125" style="99"/>
  </cols>
  <sheetData>
    <row r="1" spans="1:11" x14ac:dyDescent="0.25">
      <c r="A1" s="98"/>
      <c r="B1" s="98"/>
      <c r="C1" s="98"/>
      <c r="D1" s="98"/>
      <c r="E1" s="98"/>
      <c r="F1" s="98"/>
      <c r="G1" s="98"/>
      <c r="H1" s="98"/>
      <c r="I1" s="98"/>
      <c r="J1" s="98"/>
      <c r="K1" s="98"/>
    </row>
    <row r="2" spans="1:11" x14ac:dyDescent="0.25">
      <c r="A2" s="98"/>
      <c r="B2" s="98"/>
      <c r="C2" s="98"/>
      <c r="D2" s="98"/>
      <c r="E2" s="98"/>
      <c r="F2" s="98"/>
      <c r="G2" s="98"/>
      <c r="H2" s="98"/>
      <c r="I2" s="98"/>
      <c r="J2" s="98"/>
      <c r="K2" s="98"/>
    </row>
    <row r="3" spans="1:11" x14ac:dyDescent="0.25">
      <c r="A3" s="98"/>
      <c r="B3" s="98"/>
      <c r="C3" s="98"/>
      <c r="D3" s="98"/>
      <c r="E3" s="98"/>
      <c r="F3" s="98"/>
      <c r="G3" s="98"/>
      <c r="H3" s="98"/>
      <c r="I3" s="98"/>
      <c r="J3" s="98"/>
      <c r="K3" s="98"/>
    </row>
    <row r="4" spans="1:11" x14ac:dyDescent="0.25">
      <c r="A4" s="98"/>
      <c r="B4" s="98"/>
      <c r="C4" s="98"/>
      <c r="D4" s="98"/>
      <c r="E4" s="98"/>
      <c r="F4" s="98"/>
      <c r="G4" s="98"/>
      <c r="H4" s="98"/>
      <c r="I4" s="98"/>
      <c r="J4" s="98"/>
      <c r="K4" s="98"/>
    </row>
    <row r="5" spans="1:11" ht="51" customHeight="1" x14ac:dyDescent="0.25">
      <c r="A5" s="98"/>
      <c r="B5" s="98"/>
      <c r="C5" s="98"/>
      <c r="D5" s="98"/>
      <c r="E5" s="98"/>
      <c r="F5" s="98"/>
      <c r="G5" s="98"/>
      <c r="H5" s="98"/>
      <c r="I5" s="98"/>
      <c r="J5" s="98"/>
      <c r="K5" s="98"/>
    </row>
    <row r="6" spans="1:11" ht="59.25" customHeight="1" x14ac:dyDescent="0.25">
      <c r="A6" s="98"/>
      <c r="B6" s="869" t="s">
        <v>864</v>
      </c>
      <c r="C6" s="869"/>
      <c r="D6" s="869"/>
      <c r="E6" s="869"/>
      <c r="F6" s="869"/>
      <c r="G6" s="869"/>
      <c r="H6" s="869"/>
      <c r="I6" s="869"/>
      <c r="J6" s="869"/>
      <c r="K6" s="98"/>
    </row>
    <row r="7" spans="1:11" x14ac:dyDescent="0.25">
      <c r="A7" s="98"/>
      <c r="B7" s="98"/>
      <c r="C7" s="98"/>
      <c r="D7" s="98"/>
      <c r="E7" s="98"/>
      <c r="F7" s="98"/>
      <c r="G7" s="98"/>
      <c r="H7" s="98"/>
      <c r="I7" s="98"/>
      <c r="J7" s="98"/>
      <c r="K7" s="98"/>
    </row>
    <row r="8" spans="1:11" x14ac:dyDescent="0.25">
      <c r="A8" s="98"/>
      <c r="B8" s="98"/>
      <c r="C8" s="98"/>
      <c r="D8" s="98"/>
      <c r="E8" s="98"/>
      <c r="F8" s="98"/>
      <c r="G8" s="98"/>
      <c r="H8" s="98"/>
      <c r="I8" s="109"/>
      <c r="J8" s="98"/>
      <c r="K8" s="98"/>
    </row>
    <row r="9" spans="1:11" x14ac:dyDescent="0.25">
      <c r="A9" s="98"/>
      <c r="B9" s="98"/>
      <c r="C9" s="98"/>
      <c r="D9" s="98"/>
      <c r="E9" s="98"/>
      <c r="F9" s="98"/>
      <c r="G9" s="98"/>
      <c r="H9" s="98"/>
      <c r="I9" s="98"/>
      <c r="J9" s="98"/>
      <c r="K9" s="98"/>
    </row>
    <row r="10" spans="1:11" ht="40.5" customHeight="1" x14ac:dyDescent="0.25">
      <c r="A10" s="98"/>
      <c r="B10" s="234" t="s">
        <v>859</v>
      </c>
      <c r="C10" s="234"/>
      <c r="D10" s="234"/>
      <c r="E10" s="959" t="s">
        <v>138</v>
      </c>
      <c r="F10" s="959"/>
      <c r="G10" s="959"/>
      <c r="H10" s="959"/>
      <c r="I10" s="959"/>
      <c r="J10" s="959"/>
      <c r="K10" s="98"/>
    </row>
    <row r="11" spans="1:11" ht="18.75" x14ac:dyDescent="0.3">
      <c r="A11" s="98"/>
      <c r="B11" s="102"/>
      <c r="C11" s="102"/>
      <c r="D11" s="102"/>
      <c r="E11" s="102"/>
      <c r="F11" s="98"/>
      <c r="G11" s="98"/>
      <c r="H11" s="98"/>
      <c r="I11" s="98"/>
      <c r="J11" s="98"/>
      <c r="K11" s="98"/>
    </row>
    <row r="12" spans="1:11" ht="57.6" customHeight="1" x14ac:dyDescent="0.25">
      <c r="A12" s="98"/>
      <c r="B12" s="1043" t="s">
        <v>1059</v>
      </c>
      <c r="C12" s="1044"/>
      <c r="D12" s="1044"/>
      <c r="E12" s="1044"/>
      <c r="F12" s="1044"/>
      <c r="G12" s="1044"/>
      <c r="H12" s="1044"/>
      <c r="I12" s="1044"/>
      <c r="J12" s="1045"/>
      <c r="K12" s="98"/>
    </row>
    <row r="13" spans="1:11" ht="44.25" customHeight="1" x14ac:dyDescent="0.25">
      <c r="A13" s="98"/>
      <c r="B13" s="441" t="s">
        <v>855</v>
      </c>
      <c r="C13" s="1046" t="s">
        <v>1062</v>
      </c>
      <c r="D13" s="1047"/>
      <c r="E13" s="1046" t="s">
        <v>1061</v>
      </c>
      <c r="F13" s="1048"/>
      <c r="G13" s="1048"/>
      <c r="H13" s="1047"/>
      <c r="I13" s="1046" t="s">
        <v>1060</v>
      </c>
      <c r="J13" s="1047"/>
      <c r="K13" s="98"/>
    </row>
    <row r="14" spans="1:11" ht="109.15" customHeight="1" x14ac:dyDescent="0.25">
      <c r="A14" s="98"/>
      <c r="B14" s="385" t="s">
        <v>868</v>
      </c>
      <c r="C14" s="408" t="s">
        <v>372</v>
      </c>
      <c r="D14" s="408" t="s">
        <v>373</v>
      </c>
      <c r="E14" s="408" t="s">
        <v>374</v>
      </c>
      <c r="F14" s="408" t="s">
        <v>375</v>
      </c>
      <c r="G14" s="408" t="s">
        <v>376</v>
      </c>
      <c r="H14" s="408" t="s">
        <v>377</v>
      </c>
      <c r="I14" s="408" t="s">
        <v>378</v>
      </c>
      <c r="J14" s="408" t="s">
        <v>379</v>
      </c>
      <c r="K14" s="98"/>
    </row>
    <row r="15" spans="1:11" ht="182.45" customHeight="1" x14ac:dyDescent="0.25">
      <c r="A15" s="98"/>
      <c r="B15" s="385" t="s">
        <v>982</v>
      </c>
      <c r="C15" s="409" t="s">
        <v>1053</v>
      </c>
      <c r="D15" s="409" t="s">
        <v>1038</v>
      </c>
      <c r="E15" s="409" t="s">
        <v>1039</v>
      </c>
      <c r="F15" s="409" t="s">
        <v>1040</v>
      </c>
      <c r="G15" s="409" t="s">
        <v>1041</v>
      </c>
      <c r="H15" s="409" t="s">
        <v>1042</v>
      </c>
      <c r="I15" s="409" t="s">
        <v>1054</v>
      </c>
      <c r="J15" s="409" t="s">
        <v>1055</v>
      </c>
      <c r="K15" s="98"/>
    </row>
    <row r="16" spans="1:11" ht="20.25" x14ac:dyDescent="0.25">
      <c r="A16" s="98"/>
      <c r="B16" s="104">
        <v>2016</v>
      </c>
      <c r="C16" s="105">
        <f>VLOOKUP($E$10,CN!$A$10:$FA$171,10,0)</f>
        <v>0.53</v>
      </c>
      <c r="D16" s="105">
        <f>VLOOKUP($E$10,CN!$A$10:$FA$171,11,0)</f>
        <v>0.41</v>
      </c>
      <c r="E16" s="105">
        <f>VLOOKUP($E$10,CN!$A$10:$FA$171,12,0)</f>
        <v>0.82</v>
      </c>
      <c r="F16" s="105">
        <f>VLOOKUP($E$10,CN!$A$10:$FA$171,13,0)</f>
        <v>0.32</v>
      </c>
      <c r="G16" s="105">
        <f>VLOOKUP($E$10,CN!$A$10:$FA$171,14,0)</f>
        <v>0.3</v>
      </c>
      <c r="H16" s="105">
        <f>VLOOKUP($E$10,CN!$A$10:$FA$171,15,0)</f>
        <v>0.67</v>
      </c>
      <c r="I16" s="105">
        <f>VLOOKUP($E$10,CN!$A$10:$FA$171,16,0)</f>
        <v>0.4</v>
      </c>
      <c r="J16" s="105">
        <f>VLOOKUP($E$10,CN!$A$10:$FA$171,17,0)</f>
        <v>0.48</v>
      </c>
      <c r="K16" s="98"/>
    </row>
    <row r="17" spans="1:11" ht="20.25" x14ac:dyDescent="0.25">
      <c r="A17" s="98"/>
      <c r="B17" s="104">
        <v>2017</v>
      </c>
      <c r="C17" s="105">
        <f>VLOOKUP($E$10,CN!$A$10:$FA$171,40,0)</f>
        <v>0.22</v>
      </c>
      <c r="D17" s="105">
        <f>VLOOKUP($E$10,CN!$A$10:$FA$171,41,0)</f>
        <v>0.44</v>
      </c>
      <c r="E17" s="105">
        <f>VLOOKUP($E$10,CN!$A$10:$FA$171,42,0)</f>
        <v>0.6</v>
      </c>
      <c r="F17" s="105">
        <f>VLOOKUP($E$10,CN!$A$10:$FA$171,43,0)</f>
        <v>0.39</v>
      </c>
      <c r="G17" s="105">
        <f>VLOOKUP($E$10,CN!$A$10:$FA$171,44,0)</f>
        <v>0.56999999999999995</v>
      </c>
      <c r="H17" s="105" t="s">
        <v>398</v>
      </c>
      <c r="I17" s="105">
        <f>VLOOKUP($E$10,CN!$A$10:$FA$171,45,0)</f>
        <v>0.56999999999999995</v>
      </c>
      <c r="J17" s="105">
        <f>VLOOKUP($E$10,CN!$A$10:$FA$171,46,0)</f>
        <v>0.46</v>
      </c>
      <c r="K17" s="98"/>
    </row>
    <row r="18" spans="1:11" ht="20.25" x14ac:dyDescent="0.25">
      <c r="A18" s="98"/>
      <c r="B18" s="104">
        <v>2018</v>
      </c>
      <c r="C18" s="105">
        <f>VLOOKUP($E$10,CN!$A$10:$FA$171,79,0)</f>
        <v>0.47</v>
      </c>
      <c r="D18" s="105">
        <f>VLOOKUP($E$10,CN!$A$10:$FA$171,94,0)</f>
        <v>0.37</v>
      </c>
      <c r="E18" s="105">
        <f>VLOOKUP($E$10,CN!$A$10:$FA$171,72,0)</f>
        <v>0.6</v>
      </c>
      <c r="F18" s="105">
        <f>VLOOKUP($E$10,CN!$A$10:$FA$171,90,0)</f>
        <v>0.34</v>
      </c>
      <c r="G18" s="105">
        <f>VLOOKUP($E$10,CN!$A$10:$FA$171,76,0)</f>
        <v>0.42</v>
      </c>
      <c r="H18" s="105">
        <f>VLOOKUP($E$10,CN!$A$10:$FA$171,91,0)</f>
        <v>0.49</v>
      </c>
      <c r="I18" s="105">
        <f>VLOOKUP($E$10,CN!$A$10:$FA$171,86,0)</f>
        <v>0.51</v>
      </c>
      <c r="J18" s="105">
        <f>VLOOKUP($E$10,CN!$A$10:$FA$171,77,0)</f>
        <v>0.46</v>
      </c>
      <c r="K18" s="109"/>
    </row>
    <row r="19" spans="1:11" ht="20.25" x14ac:dyDescent="0.25">
      <c r="A19" s="98"/>
      <c r="B19" s="104">
        <v>2019</v>
      </c>
      <c r="C19" s="105">
        <f>VLOOKUP($E$10,CN!$A$10:$FA$171,117,0)</f>
        <v>0.56999999999999995</v>
      </c>
      <c r="D19" s="105">
        <f>VLOOKUP($E$10,CN!$A$10:$FA$171,118,0)</f>
        <v>0.49</v>
      </c>
      <c r="E19" s="105">
        <f>VLOOKUP($E$10,CN!$A$10:$FA$171,109,0)</f>
        <v>0.5</v>
      </c>
      <c r="F19" s="105">
        <f>VLOOKUP($E$10,CN!$A$10:$FA$171,115,0)</f>
        <v>0.35</v>
      </c>
      <c r="G19" s="105">
        <f>VLOOKUP($E$10,CN!$A$10:$FA$171,104,0)</f>
        <v>0.35</v>
      </c>
      <c r="H19" s="105">
        <f>VLOOKUP($E$10,CN!$A$10:$FA$171,125,0)</f>
        <v>0.49</v>
      </c>
      <c r="I19" s="105">
        <f>VLOOKUP($E$10,CN!$A$10:$FA$171,105,0)</f>
        <v>0.56000000000000005</v>
      </c>
      <c r="J19" s="105">
        <f>VLOOKUP($E$10,CN!$A$10:$FA$171,112,0)</f>
        <v>0.42</v>
      </c>
      <c r="K19" s="98"/>
    </row>
    <row r="20" spans="1:11" ht="20.25" x14ac:dyDescent="0.25">
      <c r="A20" s="98"/>
      <c r="B20" s="104">
        <v>2020</v>
      </c>
      <c r="C20" s="105">
        <f>VLOOKUP($E$10,CN!$A$10:$FA$171,135,0)</f>
        <v>0.47</v>
      </c>
      <c r="D20" s="105">
        <f>VLOOKUP($E$10,CN!$A$10:$FA$171,154,0)</f>
        <v>0.68</v>
      </c>
      <c r="E20" s="105">
        <f>VLOOKUP($E$10,CN!$A$10:$FA$171,149,0)</f>
        <v>0.45</v>
      </c>
      <c r="F20" s="105">
        <f>VLOOKUP($E$10,CN!$A$10:$FA$171,146,0)</f>
        <v>0.36</v>
      </c>
      <c r="G20" s="105">
        <f>VLOOKUP($E$10,CN!$A$10:$FA$171,142,0)</f>
        <v>0.45</v>
      </c>
      <c r="H20" s="105" t="s">
        <v>398</v>
      </c>
      <c r="I20" s="105">
        <f>VLOOKUP($E$10,CN!$A$10:$FA$171,134,0)</f>
        <v>0.56000000000000005</v>
      </c>
      <c r="J20" s="105">
        <f>VLOOKUP($E$10,CN!$A$10:$FA$171,140,0)</f>
        <v>0.52</v>
      </c>
      <c r="K20" s="109"/>
    </row>
    <row r="21" spans="1:11" ht="20.25" x14ac:dyDescent="0.25">
      <c r="A21" s="98"/>
      <c r="B21" s="104">
        <v>2021</v>
      </c>
      <c r="C21" s="105">
        <f>VLOOKUP($E$10,CN!$A$10:$GI$171,172,0)</f>
        <v>0.47</v>
      </c>
      <c r="D21" s="105">
        <f>VLOOKUP($E$10,CN!$A$10:$GI$171,168,0)</f>
        <v>0.49</v>
      </c>
      <c r="E21" s="105">
        <f>VLOOKUP($E$10,CN!$A$10:$GI$171,188,0)</f>
        <v>0.52</v>
      </c>
      <c r="F21" s="105">
        <f>VLOOKUP($E$10,CN!$A$10:$GI$171,180,0)</f>
        <v>0.53</v>
      </c>
      <c r="G21" s="105">
        <f>VLOOKUP($E$10,CN!$A$10:$GI$171,185,0)</f>
        <v>0.43</v>
      </c>
      <c r="H21" s="105">
        <f>VLOOKUP($E$10,CN!$A$10:$GI$171,184,0)</f>
        <v>0.5</v>
      </c>
      <c r="I21" s="105">
        <f>VLOOKUP($E$10,CN!$A$10:$GI$171,189,0)</f>
        <v>0.52</v>
      </c>
      <c r="J21" s="105">
        <f>VLOOKUP($E$10,CN!$A$10:$GI$171,191,0)</f>
        <v>0.31</v>
      </c>
      <c r="K21" s="98"/>
    </row>
    <row r="22" spans="1:11" ht="20.25" x14ac:dyDescent="0.25">
      <c r="A22" s="98"/>
      <c r="B22" s="104">
        <v>2022</v>
      </c>
      <c r="C22" s="105">
        <f>VLOOKUP($E$10,CN!$A$10:$HQ$171,223,0)</f>
        <v>0.48</v>
      </c>
      <c r="D22" s="105">
        <f>VLOOKUP($E$10,CN!$A$10:$HQ$171,204,0)</f>
        <v>0.55000000000000004</v>
      </c>
      <c r="E22" s="105" t="str">
        <f>VLOOKUP($E$10,CN!$A$10:$HQ$171,224,0)</f>
        <v>N.D.</v>
      </c>
      <c r="F22" s="105">
        <f>VLOOKUP($E$10,CN!$A$10:$HQ$171,200,0)</f>
        <v>0.56000000000000005</v>
      </c>
      <c r="G22" s="105">
        <f>VLOOKUP($E$10,CN!$A$10:$HQ$171,201,0)</f>
        <v>0.57999999999999996</v>
      </c>
      <c r="H22" s="105">
        <f>VLOOKUP($E$10,CN!$A$10:$HQ$171,210,0)</f>
        <v>0.48</v>
      </c>
      <c r="I22" s="105">
        <f>VLOOKUP($E$10,CN!$A$10:$HQ$171,216,0)</f>
        <v>0.43</v>
      </c>
      <c r="J22" s="105">
        <f>VLOOKUP($E$10,CN!$A$10:$HQ$171,202,0)</f>
        <v>0.61</v>
      </c>
      <c r="K22" s="109"/>
    </row>
    <row r="23" spans="1:11" ht="20.25" x14ac:dyDescent="0.25">
      <c r="A23" s="98"/>
      <c r="B23" s="104">
        <v>2023</v>
      </c>
      <c r="C23" s="105">
        <f>VLOOKUP($E$10,CN!$A$10:$IY$171,259,0)</f>
        <v>0.55000000000000004</v>
      </c>
      <c r="D23" s="105">
        <f>VLOOKUP($E$10,CN!$A$10:$IY$171,235,0)</f>
        <v>0.54</v>
      </c>
      <c r="E23" s="105">
        <f>VLOOKUP($E$10,CN!$A$10:$IY$171,236,0)</f>
        <v>0.35</v>
      </c>
      <c r="F23" s="105">
        <f>VLOOKUP($E$10,CN!$A$10:$IY$171,237,0)</f>
        <v>0.55000000000000004</v>
      </c>
      <c r="G23" s="105">
        <f>VLOOKUP($E$10,CN!$A$10:$IY$171,240,0)</f>
        <v>0.45</v>
      </c>
      <c r="H23" s="105">
        <f>VLOOKUP($E$10,CN!$A$10:$IY$171,253,0)</f>
        <v>0.51</v>
      </c>
      <c r="I23" s="105">
        <f>VLOOKUP($E$10,CN!$A$10:$IY$171,250,0)</f>
        <v>0.51</v>
      </c>
      <c r="J23" s="105">
        <f>VLOOKUP($E$10,CN!$A$10:$IY$171,248,0)</f>
        <v>0.5</v>
      </c>
      <c r="K23" s="109"/>
    </row>
    <row r="24" spans="1:11" ht="20.25" x14ac:dyDescent="0.25">
      <c r="A24" s="98"/>
      <c r="B24" s="104">
        <v>2024</v>
      </c>
      <c r="C24" s="105">
        <f>VLOOKUP($E$10,CN!$A$10:$KG$171,268,0)</f>
        <v>0.51</v>
      </c>
      <c r="D24" s="105">
        <f>VLOOKUP($E$10,CN!$A$10:$KG$171,269,0)</f>
        <v>0.49</v>
      </c>
      <c r="E24" s="105">
        <f>VLOOKUP($E$10,CN!$A$10:$KG$171,270,0)</f>
        <v>0.53</v>
      </c>
      <c r="F24" s="105">
        <f>VLOOKUP($E$10,CN!$A$10:$KG$171,271,0)</f>
        <v>0.51</v>
      </c>
      <c r="G24" s="105">
        <f>VLOOKUP($E$10,CN!$A$10:$KG$171,272,0)</f>
        <v>0.54</v>
      </c>
      <c r="H24" s="105">
        <f>VLOOKUP($E$10,CN!$A$10:$KG$171,273,0)</f>
        <v>0.53</v>
      </c>
      <c r="I24" s="105">
        <f>VLOOKUP($E$10,CN!$A$10:$KG$171,274,0)</f>
        <v>0.47</v>
      </c>
      <c r="J24" s="105">
        <f>VLOOKUP($E$10,CN!$A$10:$KG$171,275,0)</f>
        <v>0.53</v>
      </c>
      <c r="K24" s="109"/>
    </row>
    <row r="25" spans="1:11" ht="18.75" x14ac:dyDescent="0.3">
      <c r="A25" s="98"/>
      <c r="B25" s="102"/>
      <c r="C25" s="102"/>
      <c r="D25" s="108"/>
      <c r="E25" s="108"/>
      <c r="F25" s="98"/>
      <c r="G25" s="98"/>
      <c r="H25" s="98"/>
      <c r="I25" s="98"/>
      <c r="J25" s="98"/>
      <c r="K25" s="98"/>
    </row>
    <row r="26" spans="1:11" ht="23.25" x14ac:dyDescent="0.35">
      <c r="A26" s="98"/>
      <c r="B26" s="1039" t="str">
        <f>C13</f>
        <v>Explicación de fenómenos 
(12% de las preguntas)</v>
      </c>
      <c r="C26" s="1039"/>
      <c r="D26" s="1039"/>
      <c r="E26" s="1039"/>
      <c r="F26" s="98"/>
      <c r="G26" s="1039" t="str">
        <f>I13</f>
        <v>Uso comprensivo del conocimiento científico 
(9% de las preguntas)</v>
      </c>
      <c r="H26" s="1039"/>
      <c r="I26" s="1039"/>
      <c r="J26" s="1039"/>
      <c r="K26" s="98"/>
    </row>
    <row r="27" spans="1:11" x14ac:dyDescent="0.25">
      <c r="A27" s="98"/>
      <c r="B27" s="98"/>
      <c r="C27" s="98"/>
      <c r="D27" s="98"/>
      <c r="E27" s="98"/>
      <c r="F27" s="98"/>
      <c r="G27" s="98"/>
      <c r="H27" s="98"/>
      <c r="I27" s="98"/>
      <c r="J27" s="98"/>
      <c r="K27" s="98"/>
    </row>
    <row r="28" spans="1:11" x14ac:dyDescent="0.25">
      <c r="A28" s="98"/>
      <c r="B28" s="98"/>
      <c r="C28" s="98"/>
      <c r="D28" s="98"/>
      <c r="E28" s="98"/>
      <c r="F28" s="98"/>
      <c r="G28" s="98"/>
      <c r="H28" s="98"/>
      <c r="I28" s="98"/>
      <c r="J28" s="98"/>
      <c r="K28" s="98"/>
    </row>
    <row r="29" spans="1:11" ht="15.75" customHeight="1" x14ac:dyDescent="0.25">
      <c r="A29" s="98"/>
      <c r="B29" s="98"/>
      <c r="C29" s="98"/>
      <c r="D29" s="98"/>
      <c r="E29" s="98"/>
      <c r="F29" s="98"/>
      <c r="G29" s="98"/>
      <c r="H29" s="98"/>
      <c r="I29" s="98"/>
      <c r="J29" s="98"/>
      <c r="K29" s="98"/>
    </row>
    <row r="30" spans="1:11" ht="26.25" customHeight="1" x14ac:dyDescent="0.25">
      <c r="A30" s="98"/>
      <c r="B30" s="98"/>
      <c r="C30" s="98"/>
      <c r="D30" s="98"/>
      <c r="E30" s="98"/>
      <c r="F30" s="98"/>
      <c r="G30" s="98"/>
      <c r="H30" s="98"/>
      <c r="I30" s="98"/>
      <c r="J30" s="98"/>
      <c r="K30" s="98"/>
    </row>
    <row r="31" spans="1:11" x14ac:dyDescent="0.25">
      <c r="A31" s="98"/>
      <c r="B31" s="98"/>
      <c r="C31" s="98"/>
      <c r="D31" s="98"/>
      <c r="E31" s="98"/>
      <c r="F31" s="98"/>
      <c r="G31" s="98"/>
      <c r="H31" s="98"/>
      <c r="I31" s="98"/>
      <c r="J31" s="98"/>
      <c r="K31" s="98"/>
    </row>
    <row r="32" spans="1:11" x14ac:dyDescent="0.25">
      <c r="A32" s="98"/>
      <c r="B32" s="98"/>
      <c r="C32" s="98"/>
      <c r="D32" s="98"/>
      <c r="E32" s="98"/>
      <c r="F32" s="98"/>
      <c r="G32" s="98"/>
      <c r="H32" s="98"/>
      <c r="I32" s="98"/>
      <c r="J32" s="98"/>
      <c r="K32" s="98"/>
    </row>
    <row r="33" spans="1:11" x14ac:dyDescent="0.25">
      <c r="A33" s="98"/>
      <c r="B33" s="98"/>
      <c r="C33" s="98"/>
      <c r="D33" s="98"/>
      <c r="E33" s="98"/>
      <c r="F33" s="98"/>
      <c r="G33" s="98"/>
      <c r="H33" s="98"/>
      <c r="I33" s="98"/>
      <c r="J33" s="98"/>
      <c r="K33" s="98"/>
    </row>
    <row r="34" spans="1:11" x14ac:dyDescent="0.25">
      <c r="A34" s="98"/>
      <c r="B34" s="98"/>
      <c r="C34" s="98"/>
      <c r="D34" s="98"/>
      <c r="E34" s="98"/>
      <c r="F34" s="98"/>
      <c r="G34" s="98"/>
      <c r="H34" s="98"/>
      <c r="I34" s="98"/>
      <c r="J34" s="98"/>
      <c r="K34" s="98"/>
    </row>
    <row r="35" spans="1:11" x14ac:dyDescent="0.25">
      <c r="A35" s="98"/>
      <c r="B35" s="98"/>
      <c r="C35" s="98"/>
      <c r="D35" s="98"/>
      <c r="E35" s="98"/>
      <c r="F35" s="98"/>
      <c r="G35" s="98"/>
      <c r="H35" s="98"/>
      <c r="I35" s="98"/>
      <c r="J35" s="98"/>
      <c r="K35" s="98"/>
    </row>
    <row r="36" spans="1:11" x14ac:dyDescent="0.25">
      <c r="A36" s="98"/>
      <c r="B36" s="98"/>
      <c r="C36" s="98"/>
      <c r="D36" s="98"/>
      <c r="E36" s="98"/>
      <c r="F36" s="98"/>
      <c r="G36" s="98"/>
      <c r="H36" s="98"/>
      <c r="I36" s="98"/>
      <c r="J36" s="98"/>
      <c r="K36" s="98"/>
    </row>
    <row r="37" spans="1:11" x14ac:dyDescent="0.25">
      <c r="A37" s="98"/>
      <c r="B37" s="98"/>
      <c r="C37" s="98"/>
      <c r="D37" s="98"/>
      <c r="E37" s="98"/>
      <c r="F37" s="98"/>
      <c r="G37" s="98"/>
      <c r="H37" s="98"/>
      <c r="I37" s="98"/>
      <c r="J37" s="98"/>
      <c r="K37" s="98"/>
    </row>
    <row r="38" spans="1:11" x14ac:dyDescent="0.25">
      <c r="A38" s="98"/>
      <c r="B38" s="98"/>
      <c r="C38" s="98"/>
      <c r="D38" s="98"/>
      <c r="E38" s="98"/>
      <c r="F38" s="98"/>
      <c r="G38" s="98"/>
      <c r="H38" s="98"/>
      <c r="I38" s="98"/>
      <c r="J38" s="98"/>
      <c r="K38" s="98"/>
    </row>
    <row r="39" spans="1:11" x14ac:dyDescent="0.25">
      <c r="A39" s="98"/>
      <c r="B39" s="98"/>
      <c r="C39" s="98"/>
      <c r="D39" s="98"/>
      <c r="E39" s="98"/>
      <c r="F39" s="98"/>
      <c r="G39" s="98"/>
      <c r="H39" s="98"/>
      <c r="I39" s="98"/>
      <c r="J39" s="98"/>
      <c r="K39" s="98"/>
    </row>
    <row r="40" spans="1:11" x14ac:dyDescent="0.25">
      <c r="A40" s="98"/>
      <c r="B40" s="98"/>
      <c r="C40" s="98"/>
      <c r="D40" s="98"/>
      <c r="E40" s="98"/>
      <c r="F40" s="98"/>
      <c r="G40" s="98"/>
      <c r="H40" s="98"/>
      <c r="I40" s="98"/>
      <c r="J40" s="98"/>
      <c r="K40" s="98"/>
    </row>
    <row r="41" spans="1:11" x14ac:dyDescent="0.25">
      <c r="A41" s="98"/>
      <c r="B41" s="98"/>
      <c r="C41" s="98"/>
      <c r="D41" s="98"/>
      <c r="E41" s="98"/>
      <c r="F41" s="98"/>
      <c r="G41" s="98"/>
      <c r="H41" s="98"/>
      <c r="I41" s="98"/>
      <c r="J41" s="98"/>
      <c r="K41" s="98"/>
    </row>
    <row r="42" spans="1:11" x14ac:dyDescent="0.25">
      <c r="A42" s="98"/>
      <c r="B42" s="98"/>
      <c r="C42" s="98"/>
      <c r="D42" s="98"/>
      <c r="E42" s="98"/>
      <c r="F42" s="98"/>
      <c r="G42" s="98"/>
      <c r="H42" s="98"/>
      <c r="I42" s="98"/>
      <c r="J42" s="98"/>
      <c r="K42" s="98"/>
    </row>
    <row r="43" spans="1:11" x14ac:dyDescent="0.25">
      <c r="A43" s="98"/>
      <c r="B43" s="98"/>
      <c r="C43" s="98"/>
      <c r="D43" s="98"/>
      <c r="E43" s="98"/>
      <c r="F43" s="98"/>
      <c r="G43" s="98"/>
      <c r="H43" s="98"/>
      <c r="I43" s="98"/>
      <c r="J43" s="98"/>
      <c r="K43" s="98"/>
    </row>
    <row r="44" spans="1:11" x14ac:dyDescent="0.25">
      <c r="A44" s="98"/>
      <c r="B44" s="98"/>
      <c r="C44" s="98"/>
      <c r="D44" s="98"/>
      <c r="E44" s="98"/>
      <c r="F44" s="98"/>
      <c r="G44" s="98"/>
      <c r="H44" s="98"/>
      <c r="I44" s="98"/>
      <c r="J44" s="98"/>
      <c r="K44" s="98"/>
    </row>
    <row r="45" spans="1:11" x14ac:dyDescent="0.25">
      <c r="A45" s="98"/>
      <c r="B45" s="98"/>
      <c r="C45" s="98"/>
      <c r="D45" s="98"/>
      <c r="E45" s="98"/>
      <c r="F45" s="98"/>
      <c r="G45" s="98"/>
      <c r="H45" s="98"/>
      <c r="I45" s="98"/>
      <c r="J45" s="98"/>
      <c r="K45" s="98"/>
    </row>
    <row r="46" spans="1:11" x14ac:dyDescent="0.25">
      <c r="A46" s="98"/>
      <c r="B46" s="98"/>
      <c r="C46" s="98"/>
      <c r="D46" s="98"/>
      <c r="E46" s="98"/>
      <c r="F46" s="98"/>
      <c r="G46" s="98"/>
      <c r="H46" s="98"/>
      <c r="I46" s="98"/>
      <c r="J46" s="98"/>
      <c r="K46" s="98"/>
    </row>
    <row r="47" spans="1:11" x14ac:dyDescent="0.25">
      <c r="A47" s="98"/>
      <c r="B47" s="98"/>
      <c r="C47" s="98"/>
      <c r="D47" s="98"/>
      <c r="E47" s="98"/>
      <c r="F47" s="98"/>
      <c r="G47" s="98"/>
      <c r="H47" s="98"/>
      <c r="I47" s="98"/>
      <c r="J47" s="98"/>
      <c r="K47" s="98"/>
    </row>
    <row r="48" spans="1:11" x14ac:dyDescent="0.25">
      <c r="A48" s="98"/>
      <c r="B48" s="98"/>
      <c r="C48" s="98"/>
      <c r="D48" s="98"/>
      <c r="E48" s="98"/>
      <c r="F48" s="98"/>
      <c r="G48" s="98"/>
      <c r="H48" s="98"/>
      <c r="I48" s="98"/>
      <c r="J48" s="98"/>
      <c r="K48" s="98"/>
    </row>
    <row r="49" spans="1:11" x14ac:dyDescent="0.25">
      <c r="A49" s="98"/>
      <c r="B49" s="98"/>
      <c r="C49" s="98"/>
      <c r="D49" s="98"/>
      <c r="E49" s="98"/>
      <c r="F49" s="98"/>
      <c r="G49" s="98"/>
      <c r="H49" s="98"/>
      <c r="I49" s="98"/>
      <c r="J49" s="98"/>
      <c r="K49" s="98"/>
    </row>
    <row r="50" spans="1:11" ht="18" customHeight="1" x14ac:dyDescent="0.25">
      <c r="A50" s="98"/>
      <c r="B50" s="98"/>
      <c r="C50" s="98"/>
      <c r="D50" s="98"/>
      <c r="E50" s="98"/>
      <c r="F50" s="98"/>
      <c r="G50" s="98"/>
      <c r="H50" s="98"/>
      <c r="I50" s="98"/>
      <c r="J50" s="98"/>
      <c r="K50" s="98"/>
    </row>
    <row r="51" spans="1:11" ht="23.25" x14ac:dyDescent="0.35">
      <c r="A51" s="98"/>
      <c r="B51" s="1039" t="str">
        <f>E13</f>
        <v>Indagar 
(9% de las preguntas)</v>
      </c>
      <c r="C51" s="1039"/>
      <c r="D51" s="1039"/>
      <c r="E51" s="1039"/>
      <c r="F51" s="98"/>
      <c r="G51" s="98"/>
      <c r="H51" s="98"/>
      <c r="I51" s="98"/>
      <c r="J51" s="98"/>
      <c r="K51" s="98"/>
    </row>
    <row r="52" spans="1:11" ht="18.75" x14ac:dyDescent="0.25">
      <c r="A52" s="98"/>
      <c r="B52" s="98"/>
      <c r="C52" s="98"/>
      <c r="D52" s="98"/>
      <c r="E52" s="98"/>
      <c r="F52" s="98"/>
      <c r="G52" s="401"/>
      <c r="H52" s="401"/>
      <c r="I52" s="401"/>
      <c r="J52" s="401"/>
      <c r="K52" s="109"/>
    </row>
    <row r="53" spans="1:11" ht="17.45" customHeight="1" x14ac:dyDescent="0.25">
      <c r="A53" s="98"/>
      <c r="B53" s="98"/>
      <c r="C53" s="98"/>
      <c r="D53" s="98"/>
      <c r="E53" s="98"/>
      <c r="F53" s="98"/>
      <c r="G53" s="1042" t="s">
        <v>986</v>
      </c>
      <c r="H53" s="1042"/>
      <c r="I53" s="1042"/>
      <c r="J53" s="1042"/>
      <c r="K53" s="98"/>
    </row>
    <row r="54" spans="1:11" ht="15.6" customHeight="1" x14ac:dyDescent="0.25">
      <c r="A54" s="98"/>
      <c r="B54" s="98"/>
      <c r="C54" s="98"/>
      <c r="D54" s="98"/>
      <c r="E54" s="98"/>
      <c r="F54" s="98"/>
      <c r="G54" s="1041" t="s">
        <v>996</v>
      </c>
      <c r="H54" s="1041"/>
      <c r="I54" s="1041"/>
      <c r="J54" s="1041"/>
      <c r="K54" s="402"/>
    </row>
    <row r="55" spans="1:11" ht="15.6" customHeight="1" x14ac:dyDescent="0.25">
      <c r="A55" s="98"/>
      <c r="B55" s="98"/>
      <c r="C55" s="98"/>
      <c r="D55" s="98"/>
      <c r="E55" s="98"/>
      <c r="F55" s="98"/>
      <c r="G55" s="1041"/>
      <c r="H55" s="1041"/>
      <c r="I55" s="1041"/>
      <c r="J55" s="1041"/>
      <c r="K55" s="402"/>
    </row>
    <row r="56" spans="1:11" ht="15.6" customHeight="1" x14ac:dyDescent="0.25">
      <c r="A56" s="98"/>
      <c r="B56" s="98"/>
      <c r="C56" s="98"/>
      <c r="D56" s="98"/>
      <c r="E56" s="98"/>
      <c r="F56" s="98"/>
      <c r="G56" s="1041"/>
      <c r="H56" s="1041"/>
      <c r="I56" s="1041"/>
      <c r="J56" s="1041"/>
      <c r="K56" s="402"/>
    </row>
    <row r="57" spans="1:11" ht="15.6" customHeight="1" x14ac:dyDescent="0.25">
      <c r="A57" s="98"/>
      <c r="B57" s="98"/>
      <c r="C57" s="98"/>
      <c r="D57" s="98"/>
      <c r="E57" s="98"/>
      <c r="F57" s="98"/>
      <c r="G57" s="1041"/>
      <c r="H57" s="1041"/>
      <c r="I57" s="1041"/>
      <c r="J57" s="1041"/>
      <c r="K57" s="402"/>
    </row>
    <row r="58" spans="1:11" ht="15.6" customHeight="1" x14ac:dyDescent="0.25">
      <c r="A58" s="98"/>
      <c r="B58" s="98"/>
      <c r="C58" s="98"/>
      <c r="D58" s="98"/>
      <c r="E58" s="98"/>
      <c r="F58" s="98"/>
      <c r="G58" s="1041"/>
      <c r="H58" s="1041"/>
      <c r="I58" s="1041"/>
      <c r="J58" s="1041"/>
      <c r="K58" s="402"/>
    </row>
    <row r="59" spans="1:11" ht="15.6" customHeight="1" x14ac:dyDescent="0.25">
      <c r="A59" s="98"/>
      <c r="B59" s="98"/>
      <c r="C59" s="98"/>
      <c r="D59" s="98"/>
      <c r="E59" s="98"/>
      <c r="F59" s="98"/>
      <c r="G59" s="1041"/>
      <c r="H59" s="1041"/>
      <c r="I59" s="1041"/>
      <c r="J59" s="1041"/>
      <c r="K59" s="402"/>
    </row>
    <row r="60" spans="1:11" ht="15.6" customHeight="1" x14ac:dyDescent="0.25">
      <c r="A60" s="98"/>
      <c r="B60" s="98"/>
      <c r="C60" s="98"/>
      <c r="D60" s="98"/>
      <c r="E60" s="98"/>
      <c r="F60" s="98"/>
      <c r="G60" s="1041"/>
      <c r="H60" s="1041"/>
      <c r="I60" s="1041"/>
      <c r="J60" s="1041"/>
      <c r="K60" s="402"/>
    </row>
    <row r="61" spans="1:11" ht="15.6" customHeight="1" x14ac:dyDescent="0.25">
      <c r="A61" s="98"/>
      <c r="B61" s="98"/>
      <c r="C61" s="98"/>
      <c r="D61" s="98"/>
      <c r="E61" s="98"/>
      <c r="F61" s="98"/>
      <c r="G61" s="1041"/>
      <c r="H61" s="1041"/>
      <c r="I61" s="1041"/>
      <c r="J61" s="1041"/>
      <c r="K61" s="402"/>
    </row>
    <row r="62" spans="1:11" ht="15.6" customHeight="1" x14ac:dyDescent="0.25">
      <c r="A62" s="98"/>
      <c r="B62" s="98"/>
      <c r="C62" s="98"/>
      <c r="D62" s="98"/>
      <c r="E62" s="98"/>
      <c r="F62" s="98"/>
      <c r="G62" s="1041"/>
      <c r="H62" s="1041"/>
      <c r="I62" s="1041"/>
      <c r="J62" s="1041"/>
      <c r="K62" s="402"/>
    </row>
    <row r="63" spans="1:11" ht="15.6" customHeight="1" x14ac:dyDescent="0.25">
      <c r="A63" s="98"/>
      <c r="B63" s="98"/>
      <c r="C63" s="98"/>
      <c r="D63" s="98"/>
      <c r="E63" s="98"/>
      <c r="F63" s="98"/>
      <c r="G63" s="1041"/>
      <c r="H63" s="1041"/>
      <c r="I63" s="1041"/>
      <c r="J63" s="1041"/>
      <c r="K63" s="402"/>
    </row>
    <row r="64" spans="1:11" ht="15.6" customHeight="1" x14ac:dyDescent="0.25">
      <c r="A64" s="98"/>
      <c r="B64" s="98"/>
      <c r="C64" s="98"/>
      <c r="D64" s="98"/>
      <c r="E64" s="98"/>
      <c r="F64" s="98"/>
      <c r="G64" s="1041"/>
      <c r="H64" s="1041"/>
      <c r="I64" s="1041"/>
      <c r="J64" s="1041"/>
      <c r="K64" s="402"/>
    </row>
    <row r="65" spans="1:11" ht="15.6" customHeight="1" x14ac:dyDescent="0.25">
      <c r="A65" s="98"/>
      <c r="B65" s="98"/>
      <c r="C65" s="98"/>
      <c r="D65" s="98"/>
      <c r="E65" s="98"/>
      <c r="F65" s="98"/>
      <c r="G65" s="1041"/>
      <c r="H65" s="1041"/>
      <c r="I65" s="1041"/>
      <c r="J65" s="1041"/>
      <c r="K65" s="402"/>
    </row>
    <row r="66" spans="1:11" ht="15.6" customHeight="1" x14ac:dyDescent="0.25">
      <c r="A66" s="98"/>
      <c r="B66" s="98"/>
      <c r="C66" s="98"/>
      <c r="D66" s="98"/>
      <c r="E66" s="98"/>
      <c r="F66" s="98"/>
      <c r="G66" s="1041"/>
      <c r="H66" s="1041"/>
      <c r="I66" s="1041"/>
      <c r="J66" s="1041"/>
      <c r="K66" s="402"/>
    </row>
    <row r="67" spans="1:11" ht="15.6" customHeight="1" x14ac:dyDescent="0.25">
      <c r="A67" s="98"/>
      <c r="B67" s="98"/>
      <c r="C67" s="98"/>
      <c r="D67" s="98"/>
      <c r="E67" s="98"/>
      <c r="F67" s="98"/>
      <c r="G67" s="1041"/>
      <c r="H67" s="1041"/>
      <c r="I67" s="1041"/>
      <c r="J67" s="1041"/>
      <c r="K67" s="402"/>
    </row>
    <row r="68" spans="1:11" ht="15.6" customHeight="1" x14ac:dyDescent="0.25">
      <c r="A68" s="98"/>
      <c r="B68" s="98"/>
      <c r="C68" s="98"/>
      <c r="D68" s="98"/>
      <c r="E68" s="98"/>
      <c r="F68" s="98"/>
      <c r="G68" s="1041"/>
      <c r="H68" s="1041"/>
      <c r="I68" s="1041"/>
      <c r="J68" s="1041"/>
      <c r="K68" s="402"/>
    </row>
    <row r="69" spans="1:11" ht="15.6" customHeight="1" x14ac:dyDescent="0.25">
      <c r="A69" s="98"/>
      <c r="B69" s="98"/>
      <c r="C69" s="98"/>
      <c r="D69" s="98"/>
      <c r="E69" s="98"/>
      <c r="F69" s="98"/>
      <c r="G69" s="1041"/>
      <c r="H69" s="1041"/>
      <c r="I69" s="1041"/>
      <c r="J69" s="1041"/>
      <c r="K69" s="402"/>
    </row>
    <row r="70" spans="1:11" ht="15.6" customHeight="1" x14ac:dyDescent="0.25">
      <c r="A70" s="98"/>
      <c r="B70" s="98"/>
      <c r="C70" s="98"/>
      <c r="D70" s="98"/>
      <c r="E70" s="98"/>
      <c r="F70" s="98"/>
      <c r="G70" s="1041"/>
      <c r="H70" s="1041"/>
      <c r="I70" s="1041"/>
      <c r="J70" s="1041"/>
      <c r="K70" s="402"/>
    </row>
    <row r="71" spans="1:11" ht="15.6" customHeight="1" x14ac:dyDescent="0.25">
      <c r="A71" s="98"/>
      <c r="B71" s="98"/>
      <c r="C71" s="98"/>
      <c r="D71" s="98"/>
      <c r="E71" s="98"/>
      <c r="F71" s="98"/>
      <c r="G71" s="1041"/>
      <c r="H71" s="1041"/>
      <c r="I71" s="1041"/>
      <c r="J71" s="1041"/>
      <c r="K71" s="402"/>
    </row>
    <row r="72" spans="1:11" ht="15.6" customHeight="1" x14ac:dyDescent="0.25">
      <c r="A72" s="98"/>
      <c r="B72" s="98"/>
      <c r="C72" s="98"/>
      <c r="D72" s="98"/>
      <c r="E72" s="98"/>
      <c r="F72" s="98"/>
      <c r="G72" s="1041"/>
      <c r="H72" s="1041"/>
      <c r="I72" s="1041"/>
      <c r="J72" s="1041"/>
      <c r="K72" s="402"/>
    </row>
    <row r="73" spans="1:11" ht="15.6" customHeight="1" x14ac:dyDescent="0.25">
      <c r="A73" s="98"/>
      <c r="B73" s="98"/>
      <c r="C73" s="98"/>
      <c r="D73" s="98"/>
      <c r="E73" s="98"/>
      <c r="F73" s="98"/>
      <c r="G73" s="1041"/>
      <c r="H73" s="1041"/>
      <c r="I73" s="1041"/>
      <c r="J73" s="1041"/>
      <c r="K73" s="402"/>
    </row>
    <row r="74" spans="1:11" ht="15.6" customHeight="1" x14ac:dyDescent="0.25">
      <c r="A74" s="98"/>
      <c r="B74" s="98"/>
      <c r="C74" s="98"/>
      <c r="D74" s="98"/>
      <c r="E74" s="98"/>
      <c r="F74" s="98"/>
      <c r="G74" s="1041"/>
      <c r="H74" s="1041"/>
      <c r="I74" s="1041"/>
      <c r="J74" s="1041"/>
      <c r="K74" s="402"/>
    </row>
    <row r="75" spans="1:11" ht="15.6" customHeight="1" x14ac:dyDescent="0.25">
      <c r="A75" s="98"/>
      <c r="B75" s="98"/>
      <c r="C75" s="98"/>
      <c r="D75" s="98"/>
      <c r="E75" s="98"/>
      <c r="F75" s="98"/>
      <c r="G75" s="1041"/>
      <c r="H75" s="1041"/>
      <c r="I75" s="1041"/>
      <c r="J75" s="1041"/>
      <c r="K75" s="402"/>
    </row>
    <row r="76" spans="1:11" ht="15.6" customHeight="1" x14ac:dyDescent="0.25">
      <c r="A76" s="98"/>
      <c r="B76" s="98"/>
      <c r="C76" s="98"/>
      <c r="D76" s="98"/>
      <c r="E76" s="98"/>
      <c r="F76" s="98"/>
      <c r="G76" s="1041"/>
      <c r="H76" s="1041"/>
      <c r="I76" s="1041"/>
      <c r="J76" s="1041"/>
      <c r="K76" s="402"/>
    </row>
    <row r="77" spans="1:11" ht="15.6" customHeight="1" x14ac:dyDescent="0.25">
      <c r="A77" s="98"/>
      <c r="B77" s="98"/>
      <c r="C77" s="98"/>
      <c r="D77" s="98"/>
      <c r="E77" s="98"/>
      <c r="F77" s="98"/>
      <c r="G77" s="1041"/>
      <c r="H77" s="1041"/>
      <c r="I77" s="1041"/>
      <c r="J77" s="1041"/>
      <c r="K77" s="402"/>
    </row>
    <row r="78" spans="1:11" ht="15.6" customHeight="1" x14ac:dyDescent="0.25">
      <c r="A78" s="98"/>
      <c r="B78" s="98"/>
      <c r="C78" s="98"/>
      <c r="D78" s="98"/>
      <c r="E78" s="98"/>
      <c r="F78" s="98"/>
      <c r="G78" s="1041"/>
      <c r="H78" s="1041"/>
      <c r="I78" s="1041"/>
      <c r="J78" s="1041"/>
      <c r="K78" s="402"/>
    </row>
    <row r="79" spans="1:11" ht="15.6" customHeight="1" x14ac:dyDescent="0.25">
      <c r="A79" s="98"/>
      <c r="B79" s="98"/>
      <c r="C79" s="98"/>
      <c r="D79" s="98"/>
      <c r="E79" s="98"/>
      <c r="F79" s="98"/>
      <c r="G79" s="1041"/>
      <c r="H79" s="1041"/>
      <c r="I79" s="1041"/>
      <c r="J79" s="1041"/>
      <c r="K79" s="402"/>
    </row>
    <row r="80" spans="1:11" ht="15.6" customHeight="1" x14ac:dyDescent="0.25">
      <c r="A80" s="98"/>
      <c r="B80" s="98"/>
      <c r="C80" s="98"/>
      <c r="D80" s="98"/>
      <c r="E80" s="98"/>
      <c r="F80" s="98"/>
      <c r="G80" s="1041"/>
      <c r="H80" s="1041"/>
      <c r="I80" s="1041"/>
      <c r="J80" s="1041"/>
      <c r="K80" s="402"/>
    </row>
    <row r="81" spans="1:11" ht="15.6" customHeight="1" x14ac:dyDescent="0.25">
      <c r="A81" s="98"/>
      <c r="B81" s="98"/>
      <c r="C81" s="98"/>
      <c r="D81" s="98"/>
      <c r="E81" s="98"/>
      <c r="F81" s="98"/>
      <c r="G81" s="1041"/>
      <c r="H81" s="1041"/>
      <c r="I81" s="1041"/>
      <c r="J81" s="1041"/>
      <c r="K81" s="402"/>
    </row>
    <row r="82" spans="1:11" ht="15.6" customHeight="1" x14ac:dyDescent="0.25">
      <c r="A82" s="98"/>
      <c r="B82" s="98"/>
      <c r="C82" s="98"/>
      <c r="D82" s="98"/>
      <c r="E82" s="98"/>
      <c r="F82" s="98"/>
      <c r="G82" s="1041"/>
      <c r="H82" s="1041"/>
      <c r="I82" s="1041"/>
      <c r="J82" s="1041"/>
      <c r="K82" s="402"/>
    </row>
    <row r="83" spans="1:11" ht="15.6" customHeight="1" x14ac:dyDescent="0.25">
      <c r="A83" s="98"/>
      <c r="B83" s="98"/>
      <c r="C83" s="98"/>
      <c r="D83" s="98"/>
      <c r="E83" s="98"/>
      <c r="F83" s="98"/>
      <c r="G83" s="1041"/>
      <c r="H83" s="1041"/>
      <c r="I83" s="1041"/>
      <c r="J83" s="1041"/>
      <c r="K83" s="402"/>
    </row>
    <row r="84" spans="1:11" ht="15.6" customHeight="1" x14ac:dyDescent="0.25">
      <c r="A84" s="98"/>
      <c r="B84" s="98"/>
      <c r="C84" s="98"/>
      <c r="D84" s="98"/>
      <c r="E84" s="98"/>
      <c r="F84" s="98"/>
      <c r="G84" s="1041"/>
      <c r="H84" s="1041"/>
      <c r="I84" s="1041"/>
      <c r="J84" s="1041"/>
      <c r="K84" s="402"/>
    </row>
    <row r="85" spans="1:11" ht="15.6" customHeight="1" x14ac:dyDescent="0.25">
      <c r="A85" s="98"/>
      <c r="B85" s="98"/>
      <c r="C85" s="98"/>
      <c r="D85" s="98"/>
      <c r="E85" s="98"/>
      <c r="F85" s="98"/>
      <c r="G85" s="1041"/>
      <c r="H85" s="1041"/>
      <c r="I85" s="1041"/>
      <c r="J85" s="1041"/>
      <c r="K85" s="402"/>
    </row>
    <row r="86" spans="1:11" ht="15.6" customHeight="1" x14ac:dyDescent="0.25">
      <c r="A86" s="98"/>
      <c r="B86" s="98"/>
      <c r="C86" s="98"/>
      <c r="D86" s="98"/>
      <c r="E86" s="98"/>
      <c r="F86" s="98"/>
      <c r="G86" s="1041"/>
      <c r="H86" s="1041"/>
      <c r="I86" s="1041"/>
      <c r="J86" s="1041"/>
      <c r="K86" s="402"/>
    </row>
    <row r="87" spans="1:11" ht="15.6" customHeight="1" x14ac:dyDescent="0.25">
      <c r="A87" s="98"/>
      <c r="B87" s="98"/>
      <c r="C87" s="98"/>
      <c r="D87" s="98"/>
      <c r="E87" s="98"/>
      <c r="F87" s="98"/>
      <c r="G87" s="1041"/>
      <c r="H87" s="1041"/>
      <c r="I87" s="1041"/>
      <c r="J87" s="1041"/>
      <c r="K87" s="402"/>
    </row>
    <row r="88" spans="1:11" ht="15.6" customHeight="1" x14ac:dyDescent="0.25">
      <c r="A88" s="98"/>
      <c r="B88" s="98"/>
      <c r="C88" s="98"/>
      <c r="D88" s="98"/>
      <c r="E88" s="98"/>
      <c r="F88" s="98"/>
      <c r="G88" s="401"/>
      <c r="H88" s="401"/>
      <c r="I88" s="401"/>
      <c r="J88" s="401"/>
      <c r="K88" s="402"/>
    </row>
    <row r="89" spans="1:11" ht="15.6" customHeight="1" x14ac:dyDescent="0.25">
      <c r="A89" s="98"/>
      <c r="B89" s="98"/>
      <c r="C89" s="98"/>
      <c r="D89" s="98"/>
      <c r="E89" s="98"/>
      <c r="F89" s="98"/>
      <c r="G89" s="401"/>
      <c r="H89" s="401"/>
      <c r="I89" s="401"/>
      <c r="J89" s="401"/>
      <c r="K89" s="402"/>
    </row>
    <row r="90" spans="1:11" ht="15.6" customHeight="1" x14ac:dyDescent="0.25">
      <c r="A90" s="98"/>
      <c r="B90" s="98"/>
      <c r="C90" s="98"/>
      <c r="D90" s="98"/>
      <c r="E90" s="98"/>
      <c r="F90" s="98"/>
      <c r="G90" s="401"/>
      <c r="H90" s="401"/>
      <c r="I90" s="401"/>
      <c r="J90" s="401"/>
      <c r="K90" s="402"/>
    </row>
    <row r="91" spans="1:11" ht="15.6" customHeight="1" x14ac:dyDescent="0.25">
      <c r="A91" s="98"/>
      <c r="B91" s="98"/>
      <c r="C91" s="98"/>
      <c r="D91" s="98"/>
      <c r="E91" s="98"/>
      <c r="F91" s="98"/>
      <c r="G91" s="401"/>
      <c r="H91" s="401"/>
      <c r="I91" s="401"/>
      <c r="J91" s="401"/>
      <c r="K91" s="402"/>
    </row>
    <row r="92" spans="1:11" ht="15.6" customHeight="1" x14ac:dyDescent="0.25">
      <c r="A92" s="98"/>
      <c r="B92" s="98"/>
      <c r="C92" s="98"/>
      <c r="D92" s="98"/>
      <c r="E92" s="98"/>
      <c r="F92" s="98"/>
      <c r="G92" s="401"/>
      <c r="H92" s="401"/>
      <c r="I92" s="401"/>
      <c r="J92" s="401"/>
      <c r="K92" s="402"/>
    </row>
    <row r="93" spans="1:11" ht="15.6" customHeight="1" x14ac:dyDescent="0.25">
      <c r="A93" s="98"/>
      <c r="B93" s="98"/>
      <c r="C93" s="98"/>
      <c r="D93" s="98"/>
      <c r="E93" s="98"/>
      <c r="F93" s="98"/>
      <c r="G93" s="401"/>
      <c r="H93" s="401"/>
      <c r="I93" s="401"/>
      <c r="J93" s="401"/>
      <c r="K93" s="402"/>
    </row>
    <row r="94" spans="1:11" ht="15.6" customHeight="1" x14ac:dyDescent="0.25">
      <c r="A94" s="98"/>
      <c r="B94" s="98"/>
      <c r="C94" s="98"/>
      <c r="D94" s="98"/>
      <c r="E94" s="98"/>
      <c r="F94" s="98"/>
      <c r="G94" s="401"/>
      <c r="H94" s="401"/>
      <c r="I94" s="401"/>
      <c r="J94" s="401"/>
      <c r="K94" s="402"/>
    </row>
    <row r="95" spans="1:11" ht="15.6" customHeight="1" x14ac:dyDescent="0.25">
      <c r="A95" s="98"/>
      <c r="B95" s="98"/>
      <c r="C95" s="98"/>
      <c r="D95" s="98"/>
      <c r="E95" s="98"/>
      <c r="F95" s="98"/>
      <c r="G95" s="401"/>
      <c r="H95" s="401"/>
      <c r="I95" s="401"/>
      <c r="J95" s="401"/>
      <c r="K95" s="402"/>
    </row>
    <row r="96" spans="1:11" ht="15.6" customHeight="1" x14ac:dyDescent="0.25">
      <c r="A96" s="98"/>
      <c r="B96" s="98"/>
      <c r="C96" s="98"/>
      <c r="D96" s="98"/>
      <c r="E96" s="98"/>
      <c r="F96" s="98"/>
      <c r="G96" s="401"/>
      <c r="H96" s="401"/>
      <c r="I96" s="401"/>
      <c r="J96" s="401"/>
      <c r="K96" s="402"/>
    </row>
    <row r="97" spans="1:11" ht="15.6" customHeight="1" x14ac:dyDescent="0.25">
      <c r="A97" s="98"/>
      <c r="B97" s="98"/>
      <c r="C97" s="98"/>
      <c r="D97" s="98"/>
      <c r="E97" s="98"/>
      <c r="F97" s="98"/>
      <c r="G97" s="402"/>
      <c r="H97" s="402"/>
      <c r="I97" s="402"/>
      <c r="J97" s="402"/>
      <c r="K97" s="402"/>
    </row>
    <row r="98" spans="1:11" x14ac:dyDescent="0.25">
      <c r="A98" s="98"/>
      <c r="B98" s="98"/>
      <c r="C98" s="98"/>
      <c r="D98" s="98"/>
      <c r="E98" s="98"/>
      <c r="F98" s="98"/>
      <c r="G98" s="98"/>
      <c r="H98" s="98"/>
      <c r="I98" s="98"/>
      <c r="J98" s="98"/>
      <c r="K98" s="98"/>
    </row>
    <row r="99" spans="1:11" x14ac:dyDescent="0.25">
      <c r="A99" s="98"/>
      <c r="B99" s="98"/>
      <c r="C99" s="98"/>
      <c r="D99" s="98"/>
      <c r="E99" s="98"/>
      <c r="F99" s="98"/>
      <c r="G99" s="98"/>
      <c r="H99" s="98"/>
      <c r="I99" s="98"/>
      <c r="J99" s="98"/>
      <c r="K99" s="98"/>
    </row>
    <row r="100" spans="1:11" ht="15.75" customHeight="1" x14ac:dyDescent="0.25">
      <c r="A100" s="98"/>
      <c r="B100" s="1032" t="s">
        <v>939</v>
      </c>
      <c r="C100" s="1032"/>
      <c r="D100" s="1032"/>
      <c r="E100" s="1032"/>
      <c r="F100" s="1032"/>
      <c r="G100" s="1032"/>
      <c r="H100" s="1032"/>
      <c r="I100" s="1032"/>
      <c r="J100" s="1032"/>
      <c r="K100" s="98"/>
    </row>
  </sheetData>
  <sheetProtection algorithmName="SHA-512" hashValue="VuWFepYpRpNjK5WF8vN5gZJ7BjBfaiZTM6sGq7pg8V+wMgAysPLutQcVCLnF0PyzIyZkIBUDp6npLpl4kc+/PQ==" saltValue="Os8PjgvkZgcI7jm4OFamgg==" spinCount="100000" sheet="1" objects="1" scenarios="1"/>
  <mergeCells count="12">
    <mergeCell ref="B6:J6"/>
    <mergeCell ref="E10:J10"/>
    <mergeCell ref="B12:J12"/>
    <mergeCell ref="C13:D13"/>
    <mergeCell ref="E13:H13"/>
    <mergeCell ref="I13:J13"/>
    <mergeCell ref="B26:E26"/>
    <mergeCell ref="G26:J26"/>
    <mergeCell ref="B51:E51"/>
    <mergeCell ref="B100:J100"/>
    <mergeCell ref="G54:J87"/>
    <mergeCell ref="G53:J53"/>
  </mergeCells>
  <conditionalFormatting sqref="C16:J24">
    <cfRule type="cellIs" dxfId="19" priority="1" operator="equal">
      <formula>0</formula>
    </cfRule>
    <cfRule type="cellIs" dxfId="18" priority="2" operator="between">
      <formula>0.4</formula>
      <formula>0.69</formula>
    </cfRule>
    <cfRule type="cellIs" dxfId="17" priority="3" operator="between">
      <formula>0.2</formula>
      <formula>0.39</formula>
    </cfRule>
    <cfRule type="cellIs" dxfId="16" priority="4" operator="between">
      <formula>0.01</formula>
      <formula>0.19</formula>
    </cfRule>
    <cfRule type="cellIs" dxfId="15" priority="5" operator="between">
      <formula>0.7</formula>
      <formula>1</formula>
    </cfRule>
  </conditionalFormatting>
  <pageMargins left="0.39370078740157483" right="0.39370078740157483" top="0.39370078740157483" bottom="0.39370078740157483" header="0.31496062992125984" footer="0.31496062992125984"/>
  <pageSetup paperSize="14"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4789A2-A1D3-4C75-A770-E1CDB55E9B29}">
          <x14:formula1>
            <xm:f>PGLOBAL!$A$10:$A$171</xm:f>
          </x14:formula1>
          <xm:sqref>E10:J10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B0CF-D7C3-4B49-B2F8-F23EFE4AB100}">
  <sheetPr codeName="Hoja15">
    <tabColor rgb="FF00B050"/>
    <pageSetUpPr fitToPage="1"/>
  </sheetPr>
  <dimension ref="A1:L99"/>
  <sheetViews>
    <sheetView topLeftCell="A6" zoomScale="70" zoomScaleNormal="70" workbookViewId="0">
      <selection activeCell="E9" sqref="E9:J9"/>
    </sheetView>
  </sheetViews>
  <sheetFormatPr baseColWidth="10" defaultColWidth="12.5703125" defaultRowHeight="15.75" x14ac:dyDescent="0.25"/>
  <cols>
    <col min="1" max="1" width="5.28515625" style="99" customWidth="1"/>
    <col min="2" max="2" width="16.42578125" style="99" customWidth="1"/>
    <col min="3" max="10" width="35.7109375" style="99" customWidth="1"/>
    <col min="11" max="11" width="5.85546875" style="99" customWidth="1"/>
    <col min="12" max="16384" width="12.5703125" style="99"/>
  </cols>
  <sheetData>
    <row r="1" spans="1:12" x14ac:dyDescent="0.25">
      <c r="A1" s="98"/>
      <c r="B1" s="98"/>
      <c r="C1" s="98"/>
      <c r="D1" s="98"/>
      <c r="E1" s="98"/>
      <c r="F1" s="98"/>
      <c r="G1" s="98"/>
      <c r="H1" s="98"/>
      <c r="I1" s="98"/>
      <c r="J1" s="98"/>
      <c r="K1" s="98"/>
    </row>
    <row r="2" spans="1:12" x14ac:dyDescent="0.25">
      <c r="A2" s="98"/>
      <c r="B2" s="98"/>
      <c r="C2" s="98"/>
      <c r="D2" s="98"/>
      <c r="E2" s="98"/>
      <c r="F2" s="98"/>
      <c r="G2" s="98"/>
      <c r="H2" s="98"/>
      <c r="I2" s="98"/>
      <c r="J2" s="98"/>
      <c r="K2" s="98"/>
    </row>
    <row r="3" spans="1:12" x14ac:dyDescent="0.25">
      <c r="A3" s="98"/>
      <c r="B3" s="98"/>
      <c r="C3" s="98"/>
      <c r="D3" s="98"/>
      <c r="E3" s="98"/>
      <c r="F3" s="98"/>
      <c r="G3" s="98"/>
      <c r="H3" s="98"/>
      <c r="I3" s="98"/>
      <c r="J3" s="98"/>
      <c r="K3" s="98"/>
    </row>
    <row r="4" spans="1:12" x14ac:dyDescent="0.25">
      <c r="A4" s="98"/>
      <c r="B4" s="98"/>
      <c r="C4" s="98"/>
      <c r="D4" s="98"/>
      <c r="E4" s="98"/>
      <c r="F4" s="98"/>
      <c r="G4" s="98"/>
      <c r="H4" s="98"/>
      <c r="I4" s="98"/>
      <c r="J4" s="98"/>
      <c r="K4" s="98"/>
    </row>
    <row r="5" spans="1:12" ht="58.9" customHeight="1" x14ac:dyDescent="0.25">
      <c r="A5" s="98"/>
      <c r="B5" s="98"/>
      <c r="C5" s="98"/>
      <c r="D5" s="98"/>
      <c r="E5" s="98"/>
      <c r="F5" s="98"/>
      <c r="G5" s="98"/>
      <c r="H5" s="98"/>
      <c r="I5" s="98"/>
      <c r="J5" s="98"/>
      <c r="K5" s="98"/>
    </row>
    <row r="6" spans="1:12" ht="62.25" customHeight="1" x14ac:dyDescent="0.25">
      <c r="A6" s="98"/>
      <c r="B6" s="869" t="s">
        <v>865</v>
      </c>
      <c r="C6" s="869"/>
      <c r="D6" s="869"/>
      <c r="E6" s="869"/>
      <c r="F6" s="869"/>
      <c r="G6" s="869"/>
      <c r="H6" s="869"/>
      <c r="I6" s="869"/>
      <c r="J6" s="869"/>
      <c r="K6" s="98"/>
    </row>
    <row r="7" spans="1:12" x14ac:dyDescent="0.25">
      <c r="A7" s="98"/>
      <c r="B7" s="98"/>
      <c r="C7" s="98"/>
      <c r="D7" s="98"/>
      <c r="E7" s="98"/>
      <c r="F7" s="98"/>
      <c r="G7" s="98"/>
      <c r="H7" s="98"/>
      <c r="I7" s="98"/>
      <c r="J7" s="98"/>
      <c r="K7" s="98"/>
    </row>
    <row r="8" spans="1:12" x14ac:dyDescent="0.25">
      <c r="A8" s="98"/>
      <c r="B8" s="98"/>
      <c r="C8" s="98"/>
      <c r="D8" s="98"/>
      <c r="E8" s="98"/>
      <c r="F8" s="98"/>
      <c r="G8" s="98"/>
      <c r="H8" s="98"/>
      <c r="I8" s="98"/>
      <c r="J8" s="98"/>
      <c r="K8" s="98"/>
    </row>
    <row r="9" spans="1:12" ht="30.75" customHeight="1" x14ac:dyDescent="0.3">
      <c r="A9" s="98"/>
      <c r="B9" s="236" t="s">
        <v>859</v>
      </c>
      <c r="C9" s="236"/>
      <c r="D9" s="236"/>
      <c r="E9" s="959" t="s">
        <v>99</v>
      </c>
      <c r="F9" s="959"/>
      <c r="G9" s="959"/>
      <c r="H9" s="959"/>
      <c r="I9" s="959"/>
      <c r="J9" s="959"/>
      <c r="K9" s="98"/>
    </row>
    <row r="10" spans="1:12" ht="18.75" x14ac:dyDescent="0.3">
      <c r="A10" s="98"/>
      <c r="B10" s="102"/>
      <c r="C10" s="102"/>
      <c r="D10" s="102"/>
      <c r="E10" s="102"/>
      <c r="F10" s="98"/>
      <c r="G10" s="98"/>
      <c r="H10" s="98"/>
      <c r="I10" s="98"/>
      <c r="J10" s="98"/>
      <c r="K10" s="98"/>
    </row>
    <row r="11" spans="1:12" ht="55.9" customHeight="1" x14ac:dyDescent="0.25">
      <c r="A11" s="98"/>
      <c r="B11" s="1043" t="s">
        <v>1063</v>
      </c>
      <c r="C11" s="1044"/>
      <c r="D11" s="1044"/>
      <c r="E11" s="1044"/>
      <c r="F11" s="1044"/>
      <c r="G11" s="1044"/>
      <c r="H11" s="1044"/>
      <c r="I11" s="1044"/>
      <c r="J11" s="1045"/>
      <c r="K11" s="98"/>
    </row>
    <row r="12" spans="1:12" ht="41.25" customHeight="1" x14ac:dyDescent="0.25">
      <c r="A12" s="98"/>
      <c r="B12" s="441" t="s">
        <v>855</v>
      </c>
      <c r="C12" s="1049" t="s">
        <v>1064</v>
      </c>
      <c r="D12" s="1049"/>
      <c r="E12" s="1049" t="s">
        <v>1065</v>
      </c>
      <c r="F12" s="1049"/>
      <c r="G12" s="1049"/>
      <c r="H12" s="1049"/>
      <c r="I12" s="1049" t="s">
        <v>1060</v>
      </c>
      <c r="J12" s="1049"/>
      <c r="K12" s="98"/>
    </row>
    <row r="13" spans="1:12" ht="143.1" customHeight="1" x14ac:dyDescent="0.35">
      <c r="A13" s="98"/>
      <c r="B13" s="410" t="s">
        <v>868</v>
      </c>
      <c r="C13" s="411" t="s">
        <v>397</v>
      </c>
      <c r="D13" s="411" t="s">
        <v>396</v>
      </c>
      <c r="E13" s="411" t="s">
        <v>390</v>
      </c>
      <c r="F13" s="411" t="s">
        <v>391</v>
      </c>
      <c r="G13" s="411" t="s">
        <v>387</v>
      </c>
      <c r="H13" s="411" t="s">
        <v>381</v>
      </c>
      <c r="I13" s="411" t="s">
        <v>388</v>
      </c>
      <c r="J13" s="411" t="s">
        <v>382</v>
      </c>
      <c r="K13" s="98"/>
      <c r="L13" s="114"/>
    </row>
    <row r="14" spans="1:12" ht="201" customHeight="1" x14ac:dyDescent="0.35">
      <c r="A14" s="98"/>
      <c r="B14" s="412"/>
      <c r="C14" s="413" t="s">
        <v>1049</v>
      </c>
      <c r="D14" s="414" t="s">
        <v>1050</v>
      </c>
      <c r="E14" s="413" t="s">
        <v>1039</v>
      </c>
      <c r="F14" s="413" t="s">
        <v>1040</v>
      </c>
      <c r="G14" s="413" t="s">
        <v>1041</v>
      </c>
      <c r="H14" s="413" t="s">
        <v>1042</v>
      </c>
      <c r="I14" s="413" t="s">
        <v>1051</v>
      </c>
      <c r="J14" s="413" t="s">
        <v>1052</v>
      </c>
      <c r="K14" s="98"/>
      <c r="L14" s="114"/>
    </row>
    <row r="15" spans="1:12" ht="20.25" x14ac:dyDescent="0.25">
      <c r="A15" s="98"/>
      <c r="B15" s="104">
        <v>2016</v>
      </c>
      <c r="C15" s="105">
        <f>VLOOKUP($E$9,CN!$A$10:$FA$172,18,0)</f>
        <v>0.5</v>
      </c>
      <c r="D15" s="105">
        <f>VLOOKUP($E$9,CN!$A$10:$FA$171,19,0)</f>
        <v>0.46</v>
      </c>
      <c r="E15" s="105">
        <f>VLOOKUP($E$9,CN!$A$10:$FA$171,20,0)</f>
        <v>0.33</v>
      </c>
      <c r="F15" s="105">
        <f>VLOOKUP($E$9,CN!$A$10:$FA$171,21,0)</f>
        <v>0.38</v>
      </c>
      <c r="G15" s="105">
        <f>VLOOKUP($E$9,CN!$A$10:$FA$171,22,0)</f>
        <v>0</v>
      </c>
      <c r="H15" s="105">
        <f>VLOOKUP($E$9,CN!$A$10:$FA$171,23,0)</f>
        <v>0.03</v>
      </c>
      <c r="I15" s="105">
        <f>VLOOKUP($E$9,CN!$A$10:$FA$171,24,0)</f>
        <v>0.49</v>
      </c>
      <c r="J15" s="105">
        <f>VLOOKUP($E$9,CN!$A$10:$FA$171,25,0)</f>
        <v>0.51</v>
      </c>
      <c r="K15" s="98"/>
    </row>
    <row r="16" spans="1:12" ht="20.25" x14ac:dyDescent="0.25">
      <c r="A16" s="98"/>
      <c r="B16" s="104">
        <v>2017</v>
      </c>
      <c r="C16" s="105">
        <f>VLOOKUP($E$9,CN!$A$10:$FA$171,47,0)</f>
        <v>0.38</v>
      </c>
      <c r="D16" s="105">
        <f>VLOOKUP($E$9,CN!$A$10:$FA$171,48,0)</f>
        <v>0.61</v>
      </c>
      <c r="E16" s="105">
        <f>VLOOKUP($E$9,CN!$A$10:$FA$171,49,0)</f>
        <v>0</v>
      </c>
      <c r="F16" s="105">
        <f>VLOOKUP($E$9,CN!$A$10:$FA$171,50,0)</f>
        <v>0.55000000000000004</v>
      </c>
      <c r="G16" s="105">
        <f>VLOOKUP($E$9,CN!$A$10:$FA$171,51,0)</f>
        <v>0.25</v>
      </c>
      <c r="H16" s="105">
        <f>VLOOKUP($E$9,CN!$A$10:$FA$171,52,0)</f>
        <v>0.19</v>
      </c>
      <c r="I16" s="105">
        <f>VLOOKUP($E$9,CN!$A$10:$FA$171,53,0)</f>
        <v>0.45</v>
      </c>
      <c r="J16" s="105">
        <f>VLOOKUP($E$9,CN!$A$10:$FA$171,54,0)</f>
        <v>0.64</v>
      </c>
      <c r="K16" s="98"/>
    </row>
    <row r="17" spans="1:11" ht="20.25" x14ac:dyDescent="0.25">
      <c r="A17" s="98"/>
      <c r="B17" s="104">
        <v>2018</v>
      </c>
      <c r="C17" s="105">
        <f>VLOOKUP($E$9,CN!$A$10:$FA$171,73,0)</f>
        <v>0.83</v>
      </c>
      <c r="D17" s="105">
        <f>VLOOKUP($E$9,CN!$A$10:$FA$171,95,0)</f>
        <v>0.51</v>
      </c>
      <c r="E17" s="105">
        <f>VLOOKUP($E$9,CN!$A$10:$FA$171,83,0)</f>
        <v>0.34</v>
      </c>
      <c r="F17" s="105">
        <f>VLOOKUP($E$9,CN!$A$10:$FA$171,80,0)</f>
        <v>0.27</v>
      </c>
      <c r="G17" s="105">
        <f>VLOOKUP($E$9,CN!$A$10:$FA$171,81,0)</f>
        <v>0.21</v>
      </c>
      <c r="H17" s="105">
        <f>VLOOKUP($E$9,CN!$A$10:$FA$171,84,0)</f>
        <v>0.53</v>
      </c>
      <c r="I17" s="105">
        <f>VLOOKUP($E$9,CN!$A$10:$FA$171,92,0)</f>
        <v>0.33</v>
      </c>
      <c r="J17" s="105">
        <f>VLOOKUP($E$9,CN!$A$10:$FA$171,93,0)</f>
        <v>0.41</v>
      </c>
      <c r="K17" s="109"/>
    </row>
    <row r="18" spans="1:11" ht="20.25" x14ac:dyDescent="0.25">
      <c r="A18" s="98"/>
      <c r="B18" s="104">
        <v>2019</v>
      </c>
      <c r="C18" s="105" t="s">
        <v>398</v>
      </c>
      <c r="D18" s="105">
        <f>VLOOKUP($E$9,CN!$A$10:$FA$171,121,0)</f>
        <v>0.56999999999999995</v>
      </c>
      <c r="E18" s="105">
        <f>VLOOKUP($E$9,CN!$A$10:$FA$171,119,0)</f>
        <v>0.48</v>
      </c>
      <c r="F18" s="105">
        <f>VLOOKUP($E$9,CN!$A$10:$FA$171,106,0)</f>
        <v>0.2</v>
      </c>
      <c r="G18" s="105">
        <f>VLOOKUP($E$9,CN!$A$10:$FA$171,113,0)</f>
        <v>0.32</v>
      </c>
      <c r="H18" s="105">
        <f>VLOOKUP($E$9,CN!$A$10:$FA$171,122,0)</f>
        <v>0.2</v>
      </c>
      <c r="I18" s="105">
        <f>VLOOKUP($E$9,CN!$A$10:$FA$171,114,0)</f>
        <v>0.36</v>
      </c>
      <c r="J18" s="105">
        <f>VLOOKUP($E$9,CN!$A$10:$FA$171,123,0)</f>
        <v>0.35</v>
      </c>
      <c r="K18" s="98"/>
    </row>
    <row r="19" spans="1:11" ht="20.25" x14ac:dyDescent="0.25">
      <c r="A19" s="98"/>
      <c r="B19" s="104">
        <v>2020</v>
      </c>
      <c r="C19" s="105" t="s">
        <v>398</v>
      </c>
      <c r="D19" s="105">
        <f>VLOOKUP($E$9,CN!$A$10:$FA$171,155,0)</f>
        <v>0.48</v>
      </c>
      <c r="E19" s="105">
        <f>VLOOKUP($E$9,CN!$A$10:$FA$172,147,0)</f>
        <v>0.12</v>
      </c>
      <c r="F19" s="105">
        <f>VLOOKUP($E$9,CN!$A$10:$FA$171,150,0)</f>
        <v>0.24</v>
      </c>
      <c r="G19" s="105">
        <f>VLOOKUP($E$9,CN!$A$10:$FA$171,143,0)</f>
        <v>0.73</v>
      </c>
      <c r="H19" s="105">
        <f>VLOOKUP($E$9,CN!$A$10:$FA$171,156,0)</f>
        <v>0.06</v>
      </c>
      <c r="I19" s="105">
        <f>VLOOKUP($E$9,CN!$A$10:$FA$171,144,0)</f>
        <v>0.38</v>
      </c>
      <c r="J19" s="105">
        <f>VLOOKUP($E$9,CN!$A$10:$FA$171,136,0)</f>
        <v>0.35</v>
      </c>
      <c r="K19" s="98"/>
    </row>
    <row r="20" spans="1:11" ht="20.25" x14ac:dyDescent="0.25">
      <c r="A20" s="98"/>
      <c r="B20" s="104">
        <v>2021</v>
      </c>
      <c r="C20" s="105">
        <f>VLOOKUP($E$9,CN!$A$10:$GI$171,190,0)</f>
        <v>0.65</v>
      </c>
      <c r="D20" s="105">
        <f>VLOOKUP($E$9,CN!$A$10:$GI$171,186,0)</f>
        <v>0.5</v>
      </c>
      <c r="E20" s="105">
        <f>VLOOKUP($E$9,CN!$A$10:$GI$171,169,0)</f>
        <v>0.37</v>
      </c>
      <c r="F20" s="105">
        <f>VLOOKUP($E$9,CN!$A$10:$GI$171,177,0)</f>
        <v>0.47</v>
      </c>
      <c r="G20" s="105">
        <f>VLOOKUP($E$9,CN!$A$10:$GI$171,181,0)</f>
        <v>0.33</v>
      </c>
      <c r="H20" s="105">
        <f>VLOOKUP($E$9,CN!$A$10:$GI$171,173,0)</f>
        <v>0.36</v>
      </c>
      <c r="I20" s="105">
        <f>VLOOKUP($E$9,CN!$A$10:$GI$171,174,0)</f>
        <v>0.62</v>
      </c>
      <c r="J20" s="105">
        <f>VLOOKUP($E$9,CN!$A$10:$GI$171,182,0)</f>
        <v>0.28999999999999998</v>
      </c>
      <c r="K20" s="98"/>
    </row>
    <row r="21" spans="1:11" ht="20.25" x14ac:dyDescent="0.25">
      <c r="A21" s="98"/>
      <c r="B21" s="439">
        <v>2022</v>
      </c>
      <c r="C21" s="440">
        <f>VLOOKUP($E$9,CN!$A$10:$HQ$171,211,0)</f>
        <v>0.44</v>
      </c>
      <c r="D21" s="440">
        <f>VLOOKUP($E$9,CN!$A$10:$HQ$171,212,0)</f>
        <v>0.48</v>
      </c>
      <c r="E21" s="440">
        <f>VLOOKUP($E$9,CN!$A$10:$HQ$171,205,0)</f>
        <v>0.33</v>
      </c>
      <c r="F21" s="440">
        <f>VLOOKUP($E$9,CN!$A$10:$HQ$171,209,0)</f>
        <v>0.67</v>
      </c>
      <c r="G21" s="440">
        <f>VLOOKUP($E$9,CN!$A$10:$HQ$171,203,0)</f>
        <v>0.23</v>
      </c>
      <c r="H21" s="440">
        <f>VLOOKUP($E$9,CN!$A$10:$HQ$171,214,0)</f>
        <v>0.32</v>
      </c>
      <c r="I21" s="440">
        <f>VLOOKUP($E$9,CN!$A$10:$HQ$171,213,0)</f>
        <v>0.39</v>
      </c>
      <c r="J21" s="440">
        <f>VLOOKUP($E$9,CN!$A$10:$HQ$171,221,0)</f>
        <v>0.56000000000000005</v>
      </c>
      <c r="K21" s="98"/>
    </row>
    <row r="22" spans="1:11" ht="20.25" x14ac:dyDescent="0.25">
      <c r="A22" s="98"/>
      <c r="B22" s="439">
        <v>2023</v>
      </c>
      <c r="C22" s="440">
        <f>VLOOKUP($E$9,CN!$A$10:$IY$171,249,0)</f>
        <v>0.45</v>
      </c>
      <c r="D22" s="440">
        <f>VLOOKUP($E$9,CN!$A$10:$IY$171,251,0)</f>
        <v>0.63</v>
      </c>
      <c r="E22" s="440">
        <f>VLOOKUP($E$9,CN!$A$10:$IY$171,243,0)</f>
        <v>0.27</v>
      </c>
      <c r="F22" s="440">
        <f>VLOOKUP($E$9,CN!$A$10:$IY$171,244,0)</f>
        <v>0.26</v>
      </c>
      <c r="G22" s="440">
        <f>VLOOKUP($E$9,CN!$A$10:$IY$171,246,0)</f>
        <v>0.27</v>
      </c>
      <c r="H22" s="440">
        <f>VLOOKUP($E$9,CN!$A$10:$IY$171,241,0)</f>
        <v>0.59</v>
      </c>
      <c r="I22" s="440">
        <f>VLOOKUP($E$9,CN!$A$10:$IY$171,252,0)</f>
        <v>0.42</v>
      </c>
      <c r="J22" s="440">
        <f>VLOOKUP($E$9,CN!$A$10:$IY$171,254,0)</f>
        <v>0.37</v>
      </c>
      <c r="K22" s="98"/>
    </row>
    <row r="23" spans="1:11" ht="20.25" x14ac:dyDescent="0.25">
      <c r="A23" s="98"/>
      <c r="B23" s="439">
        <v>2024</v>
      </c>
      <c r="C23" s="440">
        <f>VLOOKUP($E$9,CN!$A$10:$KG$171,276,0)</f>
        <v>0.54</v>
      </c>
      <c r="D23" s="440">
        <f>VLOOKUP($E$9,CN!$A$10:$KG$171,277,0)</f>
        <v>0.3</v>
      </c>
      <c r="E23" s="440">
        <f>VLOOKUP($E$9,CN!$A$10:$KG$171,278,0)</f>
        <v>0.6</v>
      </c>
      <c r="F23" s="440">
        <f>VLOOKUP($E$9,CN!$A$10:$KG$171,279,0)</f>
        <v>0.52</v>
      </c>
      <c r="G23" s="440">
        <f>VLOOKUP($E$9,CN!$A$10:$KG$171,280,0)</f>
        <v>0.35</v>
      </c>
      <c r="H23" s="440">
        <f>VLOOKUP($E$9,CN!$A$10:$KG$171,281,0)</f>
        <v>0.5</v>
      </c>
      <c r="I23" s="440">
        <f>VLOOKUP($E$9,CN!$A$10:$KG$171,282,0)</f>
        <v>0.47</v>
      </c>
      <c r="J23" s="440">
        <f>VLOOKUP($E$9,CN!$A$10:$KG$171,283,0)</f>
        <v>0.39</v>
      </c>
      <c r="K23" s="98"/>
    </row>
    <row r="24" spans="1:11" ht="21" x14ac:dyDescent="0.25">
      <c r="A24" s="98"/>
      <c r="B24" s="407"/>
      <c r="C24" s="98"/>
      <c r="D24" s="98"/>
      <c r="E24" s="98"/>
      <c r="F24" s="98"/>
      <c r="G24" s="98"/>
      <c r="H24" s="98"/>
      <c r="I24" s="98"/>
      <c r="J24" s="98"/>
      <c r="K24" s="98"/>
    </row>
    <row r="25" spans="1:11" ht="23.25" x14ac:dyDescent="0.35">
      <c r="A25" s="98"/>
      <c r="B25" s="1039" t="str">
        <f>C12</f>
        <v>Explicación de fenómenos 
(9% de las preguntas)</v>
      </c>
      <c r="C25" s="1039"/>
      <c r="D25" s="1039"/>
      <c r="E25" s="1039"/>
      <c r="F25" s="98"/>
      <c r="G25" s="1039" t="str">
        <f>I12</f>
        <v>Uso comprensivo del conocimiento científico 
(9% de las preguntas)</v>
      </c>
      <c r="H25" s="1039"/>
      <c r="I25" s="1039"/>
      <c r="J25" s="1039"/>
      <c r="K25" s="98"/>
    </row>
    <row r="26" spans="1:11" ht="21" x14ac:dyDescent="0.25">
      <c r="A26" s="98"/>
      <c r="B26" s="407"/>
      <c r="C26" s="98"/>
      <c r="D26" s="98"/>
      <c r="E26" s="98"/>
      <c r="F26" s="98"/>
      <c r="G26" s="98"/>
      <c r="H26" s="98"/>
      <c r="I26" s="98"/>
      <c r="J26" s="98"/>
      <c r="K26" s="98"/>
    </row>
    <row r="27" spans="1:11" ht="21" x14ac:dyDescent="0.25">
      <c r="A27" s="98"/>
      <c r="B27" s="407"/>
      <c r="C27" s="98"/>
      <c r="D27" s="98"/>
      <c r="E27" s="98"/>
      <c r="F27" s="98"/>
      <c r="G27" s="98"/>
      <c r="H27" s="98"/>
      <c r="I27" s="98"/>
      <c r="J27" s="98"/>
      <c r="K27" s="98"/>
    </row>
    <row r="28" spans="1:11" x14ac:dyDescent="0.25">
      <c r="A28" s="98"/>
      <c r="B28" s="98"/>
      <c r="C28" s="98"/>
      <c r="D28" s="98"/>
      <c r="E28" s="98"/>
      <c r="F28" s="98"/>
      <c r="G28" s="98"/>
      <c r="H28" s="98"/>
      <c r="I28" s="98"/>
      <c r="J28" s="98"/>
      <c r="K28" s="98"/>
    </row>
    <row r="29" spans="1:11" ht="18.75" x14ac:dyDescent="0.3">
      <c r="A29" s="98"/>
      <c r="B29" s="102"/>
      <c r="C29" s="102"/>
      <c r="D29" s="108"/>
      <c r="E29" s="108"/>
      <c r="F29" s="98"/>
      <c r="G29" s="98"/>
      <c r="H29" s="98"/>
      <c r="I29" s="98"/>
      <c r="J29" s="98"/>
      <c r="K29" s="98"/>
    </row>
    <row r="30" spans="1:11" x14ac:dyDescent="0.25">
      <c r="A30" s="98"/>
      <c r="B30" s="98"/>
      <c r="C30" s="98"/>
      <c r="D30" s="98"/>
      <c r="E30" s="98"/>
      <c r="F30" s="98"/>
      <c r="G30" s="98"/>
      <c r="H30" s="98"/>
      <c r="I30" s="98"/>
      <c r="J30" s="98"/>
      <c r="K30" s="98"/>
    </row>
    <row r="31" spans="1:11" x14ac:dyDescent="0.25">
      <c r="A31" s="98"/>
      <c r="B31" s="98"/>
      <c r="C31" s="98"/>
      <c r="D31" s="98"/>
      <c r="E31" s="98"/>
      <c r="F31" s="98"/>
      <c r="G31" s="98"/>
      <c r="H31" s="98"/>
      <c r="I31" s="98"/>
      <c r="J31" s="98"/>
      <c r="K31" s="98"/>
    </row>
    <row r="32" spans="1:11" x14ac:dyDescent="0.25">
      <c r="A32" s="98"/>
      <c r="B32" s="98"/>
      <c r="C32" s="98"/>
      <c r="D32" s="98"/>
      <c r="E32" s="98"/>
      <c r="F32" s="98"/>
      <c r="G32" s="98"/>
      <c r="H32" s="98"/>
      <c r="I32" s="98"/>
      <c r="J32" s="98"/>
      <c r="K32" s="98"/>
    </row>
    <row r="33" spans="1:11" ht="15.75" customHeight="1" x14ac:dyDescent="0.25">
      <c r="A33" s="98"/>
      <c r="B33" s="98"/>
      <c r="C33" s="98"/>
      <c r="D33" s="98"/>
      <c r="E33" s="98"/>
      <c r="F33" s="98"/>
      <c r="G33" s="98"/>
      <c r="H33" s="98"/>
      <c r="I33" s="98"/>
      <c r="J33" s="98"/>
      <c r="K33" s="98"/>
    </row>
    <row r="34" spans="1:11" ht="26.25" customHeight="1" x14ac:dyDescent="0.25">
      <c r="A34" s="98"/>
      <c r="B34" s="98"/>
      <c r="C34" s="98"/>
      <c r="D34" s="98"/>
      <c r="E34" s="98"/>
      <c r="F34" s="98"/>
      <c r="G34" s="98"/>
      <c r="H34" s="98"/>
      <c r="I34" s="98"/>
      <c r="J34" s="98"/>
      <c r="K34" s="98"/>
    </row>
    <row r="35" spans="1:11" x14ac:dyDescent="0.25">
      <c r="A35" s="98"/>
      <c r="B35" s="98"/>
      <c r="C35" s="98"/>
      <c r="D35" s="98"/>
      <c r="E35" s="98"/>
      <c r="F35" s="98"/>
      <c r="G35" s="98"/>
      <c r="H35" s="98"/>
      <c r="I35" s="98"/>
      <c r="J35" s="98"/>
      <c r="K35" s="98"/>
    </row>
    <row r="36" spans="1:11" x14ac:dyDescent="0.25">
      <c r="A36" s="98"/>
      <c r="B36" s="98"/>
      <c r="C36" s="98"/>
      <c r="D36" s="98"/>
      <c r="E36" s="98"/>
      <c r="F36" s="98"/>
      <c r="G36" s="98"/>
      <c r="H36" s="98"/>
      <c r="I36" s="98"/>
      <c r="J36" s="98"/>
      <c r="K36" s="98"/>
    </row>
    <row r="37" spans="1:11" x14ac:dyDescent="0.25">
      <c r="A37" s="98"/>
      <c r="B37" s="98"/>
      <c r="C37" s="98"/>
      <c r="D37" s="98"/>
      <c r="E37" s="98"/>
      <c r="F37" s="98"/>
      <c r="G37" s="98"/>
      <c r="H37" s="98"/>
      <c r="I37" s="98"/>
      <c r="J37" s="98"/>
      <c r="K37" s="98"/>
    </row>
    <row r="38" spans="1:11" x14ac:dyDescent="0.25">
      <c r="A38" s="98"/>
      <c r="B38" s="98"/>
      <c r="C38" s="98"/>
      <c r="D38" s="98"/>
      <c r="E38" s="98"/>
      <c r="F38" s="98"/>
      <c r="G38" s="98"/>
      <c r="H38" s="98"/>
      <c r="I38" s="98"/>
      <c r="J38" s="98"/>
      <c r="K38" s="98"/>
    </row>
    <row r="39" spans="1:11" x14ac:dyDescent="0.25">
      <c r="A39" s="98"/>
      <c r="B39" s="98"/>
      <c r="C39" s="98"/>
      <c r="D39" s="98"/>
      <c r="E39" s="98"/>
      <c r="F39" s="98"/>
      <c r="G39" s="98"/>
      <c r="H39" s="98"/>
      <c r="I39" s="98"/>
      <c r="J39" s="98"/>
      <c r="K39" s="98"/>
    </row>
    <row r="40" spans="1:11" x14ac:dyDescent="0.25">
      <c r="A40" s="98"/>
      <c r="B40" s="98"/>
      <c r="C40" s="98"/>
      <c r="D40" s="98"/>
      <c r="E40" s="98"/>
      <c r="F40" s="98"/>
      <c r="G40" s="98"/>
      <c r="H40" s="98"/>
      <c r="I40" s="98"/>
      <c r="J40" s="98"/>
      <c r="K40" s="98"/>
    </row>
    <row r="41" spans="1:11" x14ac:dyDescent="0.25">
      <c r="A41" s="98"/>
      <c r="B41" s="98"/>
      <c r="C41" s="98"/>
      <c r="D41" s="98"/>
      <c r="E41" s="98"/>
      <c r="F41" s="98"/>
      <c r="G41" s="98"/>
      <c r="H41" s="98"/>
      <c r="I41" s="98"/>
      <c r="J41" s="98"/>
      <c r="K41" s="98"/>
    </row>
    <row r="42" spans="1:11" x14ac:dyDescent="0.25">
      <c r="A42" s="98"/>
      <c r="B42" s="98"/>
      <c r="C42" s="98"/>
      <c r="D42" s="98"/>
      <c r="E42" s="98"/>
      <c r="F42" s="98"/>
      <c r="G42" s="98"/>
      <c r="H42" s="98"/>
      <c r="I42" s="98"/>
      <c r="J42" s="98"/>
      <c r="K42" s="98"/>
    </row>
    <row r="43" spans="1:11" x14ac:dyDescent="0.25">
      <c r="A43" s="98"/>
      <c r="B43" s="98"/>
      <c r="C43" s="98"/>
      <c r="D43" s="98"/>
      <c r="E43" s="98"/>
      <c r="F43" s="98"/>
      <c r="G43" s="98"/>
      <c r="H43" s="98"/>
      <c r="I43" s="98"/>
      <c r="J43" s="98"/>
      <c r="K43" s="98"/>
    </row>
    <row r="44" spans="1:11" x14ac:dyDescent="0.25">
      <c r="A44" s="98"/>
      <c r="B44" s="98"/>
      <c r="C44" s="98"/>
      <c r="D44" s="98"/>
      <c r="E44" s="98"/>
      <c r="F44" s="98"/>
      <c r="G44" s="98"/>
      <c r="H44" s="98"/>
      <c r="I44" s="98"/>
      <c r="J44" s="98"/>
      <c r="K44" s="98"/>
    </row>
    <row r="45" spans="1:11" x14ac:dyDescent="0.25">
      <c r="A45" s="98"/>
      <c r="B45" s="98"/>
      <c r="C45" s="98"/>
      <c r="D45" s="98"/>
      <c r="E45" s="98"/>
      <c r="F45" s="98"/>
      <c r="G45" s="98"/>
      <c r="H45" s="98"/>
      <c r="I45" s="98"/>
      <c r="J45" s="98"/>
      <c r="K45" s="98"/>
    </row>
    <row r="46" spans="1:11" x14ac:dyDescent="0.25">
      <c r="A46" s="98"/>
      <c r="B46" s="98"/>
      <c r="C46" s="98"/>
      <c r="D46" s="98"/>
      <c r="E46" s="98"/>
      <c r="F46" s="98"/>
      <c r="G46" s="98"/>
      <c r="H46" s="98"/>
      <c r="I46" s="98"/>
      <c r="J46" s="98"/>
      <c r="K46" s="98"/>
    </row>
    <row r="47" spans="1:11" ht="18" customHeight="1" x14ac:dyDescent="0.35">
      <c r="A47" s="98"/>
      <c r="B47" s="1039" t="str">
        <f>E12</f>
        <v>Indagar 
(12% de las preguntas)</v>
      </c>
      <c r="C47" s="1039"/>
      <c r="D47" s="1039"/>
      <c r="E47" s="1039"/>
      <c r="F47" s="98"/>
      <c r="G47" s="98"/>
      <c r="H47" s="98"/>
      <c r="I47" s="98"/>
      <c r="J47" s="98"/>
      <c r="K47" s="98"/>
    </row>
    <row r="48" spans="1:11" x14ac:dyDescent="0.25">
      <c r="A48" s="98"/>
      <c r="B48" s="98"/>
      <c r="C48" s="98"/>
      <c r="D48" s="98"/>
      <c r="E48" s="98"/>
      <c r="F48" s="98"/>
      <c r="G48" s="98"/>
      <c r="H48" s="98"/>
      <c r="I48" s="98"/>
      <c r="J48" s="98"/>
      <c r="K48" s="98"/>
    </row>
    <row r="49" spans="1:11" ht="18" x14ac:dyDescent="0.25">
      <c r="A49" s="98"/>
      <c r="B49" s="98"/>
      <c r="C49" s="98"/>
      <c r="D49" s="98"/>
      <c r="E49" s="98"/>
      <c r="F49" s="98"/>
      <c r="G49" s="416"/>
      <c r="H49" s="416"/>
      <c r="I49" s="416"/>
      <c r="J49" s="416"/>
      <c r="K49" s="98"/>
    </row>
    <row r="50" spans="1:11" ht="21.6" customHeight="1" x14ac:dyDescent="0.25">
      <c r="A50" s="98"/>
      <c r="B50" s="98"/>
      <c r="C50" s="98"/>
      <c r="D50" s="98"/>
      <c r="E50" s="98"/>
      <c r="F50" s="98"/>
      <c r="G50" s="416"/>
      <c r="H50" s="416"/>
      <c r="I50" s="416"/>
      <c r="J50" s="416"/>
      <c r="K50" s="98"/>
    </row>
    <row r="51" spans="1:11" ht="18" x14ac:dyDescent="0.25">
      <c r="A51" s="98"/>
      <c r="B51" s="98"/>
      <c r="C51" s="98"/>
      <c r="D51" s="98"/>
      <c r="E51" s="98"/>
      <c r="F51" s="98"/>
      <c r="G51" s="1050" t="s">
        <v>986</v>
      </c>
      <c r="H51" s="1050"/>
      <c r="I51" s="1050"/>
      <c r="J51" s="1050"/>
      <c r="K51" s="98"/>
    </row>
    <row r="52" spans="1:11" x14ac:dyDescent="0.25">
      <c r="A52" s="98"/>
      <c r="B52" s="98"/>
      <c r="C52" s="98"/>
      <c r="D52" s="98"/>
      <c r="E52" s="98"/>
      <c r="F52" s="98"/>
      <c r="G52" s="1041" t="s">
        <v>996</v>
      </c>
      <c r="H52" s="1041"/>
      <c r="I52" s="1041"/>
      <c r="J52" s="1041"/>
      <c r="K52" s="98"/>
    </row>
    <row r="53" spans="1:11" x14ac:dyDescent="0.25">
      <c r="A53" s="98"/>
      <c r="B53" s="98"/>
      <c r="C53" s="98"/>
      <c r="D53" s="98"/>
      <c r="E53" s="98"/>
      <c r="F53" s="98"/>
      <c r="G53" s="1041"/>
      <c r="H53" s="1041"/>
      <c r="I53" s="1041"/>
      <c r="J53" s="1041"/>
      <c r="K53" s="98"/>
    </row>
    <row r="54" spans="1:11" x14ac:dyDescent="0.25">
      <c r="A54" s="98"/>
      <c r="B54" s="98"/>
      <c r="C54" s="98"/>
      <c r="D54" s="98"/>
      <c r="E54" s="98"/>
      <c r="F54" s="98"/>
      <c r="G54" s="1041"/>
      <c r="H54" s="1041"/>
      <c r="I54" s="1041"/>
      <c r="J54" s="1041"/>
      <c r="K54" s="98"/>
    </row>
    <row r="55" spans="1:11" x14ac:dyDescent="0.25">
      <c r="A55" s="98"/>
      <c r="B55" s="98"/>
      <c r="C55" s="98"/>
      <c r="D55" s="98"/>
      <c r="E55" s="98"/>
      <c r="F55" s="98"/>
      <c r="G55" s="1041"/>
      <c r="H55" s="1041"/>
      <c r="I55" s="1041"/>
      <c r="J55" s="1041"/>
      <c r="K55" s="98"/>
    </row>
    <row r="56" spans="1:11" x14ac:dyDescent="0.25">
      <c r="A56" s="98"/>
      <c r="B56" s="98"/>
      <c r="C56" s="98"/>
      <c r="D56" s="98"/>
      <c r="E56" s="98"/>
      <c r="F56" s="98"/>
      <c r="G56" s="1041"/>
      <c r="H56" s="1041"/>
      <c r="I56" s="1041"/>
      <c r="J56" s="1041"/>
      <c r="K56" s="98"/>
    </row>
    <row r="57" spans="1:11" x14ac:dyDescent="0.25">
      <c r="A57" s="98"/>
      <c r="B57" s="98"/>
      <c r="C57" s="98"/>
      <c r="D57" s="98"/>
      <c r="E57" s="98"/>
      <c r="F57" s="98"/>
      <c r="G57" s="1041"/>
      <c r="H57" s="1041"/>
      <c r="I57" s="1041"/>
      <c r="J57" s="1041"/>
      <c r="K57" s="98"/>
    </row>
    <row r="58" spans="1:11" x14ac:dyDescent="0.25">
      <c r="A58" s="98"/>
      <c r="B58" s="98"/>
      <c r="C58" s="98"/>
      <c r="D58" s="98"/>
      <c r="E58" s="98"/>
      <c r="F58" s="98"/>
      <c r="G58" s="1041"/>
      <c r="H58" s="1041"/>
      <c r="I58" s="1041"/>
      <c r="J58" s="1041"/>
      <c r="K58" s="98"/>
    </row>
    <row r="59" spans="1:11" x14ac:dyDescent="0.25">
      <c r="A59" s="98"/>
      <c r="B59" s="98"/>
      <c r="C59" s="98"/>
      <c r="D59" s="98"/>
      <c r="E59" s="98"/>
      <c r="F59" s="98"/>
      <c r="G59" s="1041"/>
      <c r="H59" s="1041"/>
      <c r="I59" s="1041"/>
      <c r="J59" s="1041"/>
      <c r="K59" s="98"/>
    </row>
    <row r="60" spans="1:11" x14ac:dyDescent="0.25">
      <c r="A60" s="98"/>
      <c r="B60" s="98"/>
      <c r="C60" s="98"/>
      <c r="D60" s="98"/>
      <c r="E60" s="98"/>
      <c r="F60" s="98"/>
      <c r="G60" s="1041"/>
      <c r="H60" s="1041"/>
      <c r="I60" s="1041"/>
      <c r="J60" s="1041"/>
      <c r="K60" s="98"/>
    </row>
    <row r="61" spans="1:11" x14ac:dyDescent="0.25">
      <c r="A61" s="98"/>
      <c r="B61" s="98"/>
      <c r="C61" s="98"/>
      <c r="D61" s="98"/>
      <c r="E61" s="98"/>
      <c r="F61" s="98"/>
      <c r="G61" s="1041"/>
      <c r="H61" s="1041"/>
      <c r="I61" s="1041"/>
      <c r="J61" s="1041"/>
      <c r="K61" s="98"/>
    </row>
    <row r="62" spans="1:11" x14ac:dyDescent="0.25">
      <c r="A62" s="98"/>
      <c r="B62" s="98"/>
      <c r="C62" s="98"/>
      <c r="D62" s="98"/>
      <c r="E62" s="98"/>
      <c r="F62" s="98"/>
      <c r="G62" s="1041"/>
      <c r="H62" s="1041"/>
      <c r="I62" s="1041"/>
      <c r="J62" s="1041"/>
      <c r="K62" s="98"/>
    </row>
    <row r="63" spans="1:11" x14ac:dyDescent="0.25">
      <c r="A63" s="98"/>
      <c r="B63" s="98"/>
      <c r="C63" s="98"/>
      <c r="D63" s="98"/>
      <c r="E63" s="98"/>
      <c r="F63" s="98"/>
      <c r="G63" s="1041"/>
      <c r="H63" s="1041"/>
      <c r="I63" s="1041"/>
      <c r="J63" s="1041"/>
      <c r="K63" s="98"/>
    </row>
    <row r="64" spans="1:11" x14ac:dyDescent="0.25">
      <c r="A64" s="98"/>
      <c r="B64" s="98"/>
      <c r="C64" s="98"/>
      <c r="D64" s="98"/>
      <c r="E64" s="98"/>
      <c r="F64" s="98"/>
      <c r="G64" s="1041"/>
      <c r="H64" s="1041"/>
      <c r="I64" s="1041"/>
      <c r="J64" s="1041"/>
      <c r="K64" s="98"/>
    </row>
    <row r="65" spans="1:11" x14ac:dyDescent="0.25">
      <c r="A65" s="98"/>
      <c r="B65" s="98"/>
      <c r="C65" s="98"/>
      <c r="D65" s="98"/>
      <c r="E65" s="98"/>
      <c r="F65" s="98"/>
      <c r="G65" s="1041"/>
      <c r="H65" s="1041"/>
      <c r="I65" s="1041"/>
      <c r="J65" s="1041"/>
      <c r="K65" s="98"/>
    </row>
    <row r="66" spans="1:11" x14ac:dyDescent="0.25">
      <c r="A66" s="98"/>
      <c r="B66" s="98"/>
      <c r="C66" s="98"/>
      <c r="D66" s="98"/>
      <c r="E66" s="98"/>
      <c r="F66" s="98"/>
      <c r="G66" s="1041"/>
      <c r="H66" s="1041"/>
      <c r="I66" s="1041"/>
      <c r="J66" s="1041"/>
      <c r="K66" s="98"/>
    </row>
    <row r="67" spans="1:11" x14ac:dyDescent="0.25">
      <c r="A67" s="98"/>
      <c r="B67" s="98"/>
      <c r="C67" s="98"/>
      <c r="D67" s="98"/>
      <c r="E67" s="98"/>
      <c r="F67" s="98"/>
      <c r="G67" s="1041"/>
      <c r="H67" s="1041"/>
      <c r="I67" s="1041"/>
      <c r="J67" s="1041"/>
      <c r="K67" s="98"/>
    </row>
    <row r="68" spans="1:11" x14ac:dyDescent="0.25">
      <c r="A68" s="98"/>
      <c r="B68" s="98"/>
      <c r="C68" s="98"/>
      <c r="D68" s="98"/>
      <c r="E68" s="98"/>
      <c r="F68" s="98"/>
      <c r="G68" s="1041"/>
      <c r="H68" s="1041"/>
      <c r="I68" s="1041"/>
      <c r="J68" s="1041"/>
      <c r="K68" s="98"/>
    </row>
    <row r="69" spans="1:11" x14ac:dyDescent="0.25">
      <c r="A69" s="98"/>
      <c r="B69" s="98"/>
      <c r="C69" s="98"/>
      <c r="D69" s="98"/>
      <c r="E69" s="98"/>
      <c r="F69" s="98"/>
      <c r="G69" s="1041"/>
      <c r="H69" s="1041"/>
      <c r="I69" s="1041"/>
      <c r="J69" s="1041"/>
      <c r="K69" s="98"/>
    </row>
    <row r="70" spans="1:11" x14ac:dyDescent="0.25">
      <c r="A70" s="98"/>
      <c r="B70" s="98"/>
      <c r="C70" s="98"/>
      <c r="D70" s="98"/>
      <c r="E70" s="98"/>
      <c r="F70" s="98"/>
      <c r="G70" s="1041"/>
      <c r="H70" s="1041"/>
      <c r="I70" s="1041"/>
      <c r="J70" s="1041"/>
      <c r="K70" s="98"/>
    </row>
    <row r="71" spans="1:11" x14ac:dyDescent="0.25">
      <c r="A71" s="98"/>
      <c r="B71" s="98"/>
      <c r="C71" s="98"/>
      <c r="D71" s="98"/>
      <c r="E71" s="98"/>
      <c r="F71" s="98"/>
      <c r="G71" s="1041"/>
      <c r="H71" s="1041"/>
      <c r="I71" s="1041"/>
      <c r="J71" s="1041"/>
      <c r="K71" s="98"/>
    </row>
    <row r="72" spans="1:11" x14ac:dyDescent="0.25">
      <c r="A72" s="98"/>
      <c r="B72" s="98"/>
      <c r="C72" s="98"/>
      <c r="D72" s="98"/>
      <c r="E72" s="98"/>
      <c r="F72" s="98"/>
      <c r="G72" s="1041"/>
      <c r="H72" s="1041"/>
      <c r="I72" s="1041"/>
      <c r="J72" s="1041"/>
      <c r="K72" s="98"/>
    </row>
    <row r="73" spans="1:11" x14ac:dyDescent="0.25">
      <c r="A73" s="98"/>
      <c r="B73" s="98"/>
      <c r="C73" s="98"/>
      <c r="D73" s="98"/>
      <c r="E73" s="98"/>
      <c r="F73" s="98"/>
      <c r="G73" s="1041"/>
      <c r="H73" s="1041"/>
      <c r="I73" s="1041"/>
      <c r="J73" s="1041"/>
      <c r="K73" s="98"/>
    </row>
    <row r="74" spans="1:11" x14ac:dyDescent="0.25">
      <c r="A74" s="98"/>
      <c r="B74" s="98"/>
      <c r="C74" s="98"/>
      <c r="D74" s="98"/>
      <c r="E74" s="98"/>
      <c r="F74" s="98"/>
      <c r="G74" s="1041"/>
      <c r="H74" s="1041"/>
      <c r="I74" s="1041"/>
      <c r="J74" s="1041"/>
      <c r="K74" s="98"/>
    </row>
    <row r="75" spans="1:11" x14ac:dyDescent="0.25">
      <c r="A75" s="98"/>
      <c r="B75" s="98"/>
      <c r="C75" s="98"/>
      <c r="D75" s="98"/>
      <c r="E75" s="98"/>
      <c r="F75" s="98"/>
      <c r="G75" s="1041"/>
      <c r="H75" s="1041"/>
      <c r="I75" s="1041"/>
      <c r="J75" s="1041"/>
      <c r="K75" s="98"/>
    </row>
    <row r="76" spans="1:11" x14ac:dyDescent="0.25">
      <c r="A76" s="98"/>
      <c r="B76" s="98"/>
      <c r="C76" s="98"/>
      <c r="D76" s="98"/>
      <c r="E76" s="98"/>
      <c r="F76" s="98"/>
      <c r="G76" s="1041"/>
      <c r="H76" s="1041"/>
      <c r="I76" s="1041"/>
      <c r="J76" s="1041"/>
      <c r="K76" s="98"/>
    </row>
    <row r="77" spans="1:11" x14ac:dyDescent="0.25">
      <c r="A77" s="98"/>
      <c r="B77" s="98"/>
      <c r="C77" s="98"/>
      <c r="D77" s="98"/>
      <c r="E77" s="98"/>
      <c r="F77" s="98"/>
      <c r="G77" s="1041"/>
      <c r="H77" s="1041"/>
      <c r="I77" s="1041"/>
      <c r="J77" s="1041"/>
      <c r="K77" s="98"/>
    </row>
    <row r="78" spans="1:11" x14ac:dyDescent="0.25">
      <c r="A78" s="98"/>
      <c r="B78" s="98"/>
      <c r="C78" s="98"/>
      <c r="D78" s="98"/>
      <c r="E78" s="98"/>
      <c r="F78" s="98"/>
      <c r="G78" s="1041"/>
      <c r="H78" s="1041"/>
      <c r="I78" s="1041"/>
      <c r="J78" s="1041"/>
      <c r="K78" s="98"/>
    </row>
    <row r="79" spans="1:11" x14ac:dyDescent="0.25">
      <c r="A79" s="98"/>
      <c r="B79" s="98"/>
      <c r="C79" s="98"/>
      <c r="D79" s="98"/>
      <c r="E79" s="98"/>
      <c r="F79" s="98"/>
      <c r="G79" s="1041"/>
      <c r="H79" s="1041"/>
      <c r="I79" s="1041"/>
      <c r="J79" s="1041"/>
      <c r="K79" s="98"/>
    </row>
    <row r="80" spans="1:11" x14ac:dyDescent="0.25">
      <c r="A80" s="98"/>
      <c r="B80" s="98"/>
      <c r="C80" s="98"/>
      <c r="D80" s="98"/>
      <c r="E80" s="98"/>
      <c r="F80" s="98"/>
      <c r="G80" s="1041"/>
      <c r="H80" s="1041"/>
      <c r="I80" s="1041"/>
      <c r="J80" s="1041"/>
      <c r="K80" s="98"/>
    </row>
    <row r="81" spans="1:11" x14ac:dyDescent="0.25">
      <c r="A81" s="98"/>
      <c r="B81" s="98"/>
      <c r="C81" s="98"/>
      <c r="D81" s="98"/>
      <c r="E81" s="98"/>
      <c r="F81" s="98"/>
      <c r="G81" s="1041"/>
      <c r="H81" s="1041"/>
      <c r="I81" s="1041"/>
      <c r="J81" s="1041"/>
      <c r="K81" s="98"/>
    </row>
    <row r="82" spans="1:11" x14ac:dyDescent="0.25">
      <c r="A82" s="98"/>
      <c r="B82" s="98"/>
      <c r="C82" s="98"/>
      <c r="D82" s="98"/>
      <c r="E82" s="98"/>
      <c r="F82" s="98"/>
      <c r="G82" s="1041"/>
      <c r="H82" s="1041"/>
      <c r="I82" s="1041"/>
      <c r="J82" s="1041"/>
      <c r="K82" s="98"/>
    </row>
    <row r="83" spans="1:11" x14ac:dyDescent="0.25">
      <c r="A83" s="98"/>
      <c r="B83" s="98"/>
      <c r="C83" s="98"/>
      <c r="D83" s="98"/>
      <c r="E83" s="98"/>
      <c r="F83" s="98"/>
      <c r="G83" s="1041"/>
      <c r="H83" s="1041"/>
      <c r="I83" s="1041"/>
      <c r="J83" s="1041"/>
      <c r="K83" s="98"/>
    </row>
    <row r="84" spans="1:11" x14ac:dyDescent="0.25">
      <c r="A84" s="98"/>
      <c r="B84" s="98"/>
      <c r="C84" s="98"/>
      <c r="D84" s="98"/>
      <c r="E84" s="98"/>
      <c r="F84" s="98"/>
      <c r="G84" s="1041"/>
      <c r="H84" s="1041"/>
      <c r="I84" s="1041"/>
      <c r="J84" s="1041"/>
      <c r="K84" s="98"/>
    </row>
    <row r="85" spans="1:11" x14ac:dyDescent="0.25">
      <c r="A85" s="98"/>
      <c r="B85" s="98"/>
      <c r="C85" s="98"/>
      <c r="D85" s="98"/>
      <c r="E85" s="98"/>
      <c r="F85" s="98"/>
      <c r="G85" s="1041"/>
      <c r="H85" s="1041"/>
      <c r="I85" s="1041"/>
      <c r="J85" s="1041"/>
      <c r="K85" s="98"/>
    </row>
    <row r="86" spans="1:11" x14ac:dyDescent="0.25">
      <c r="A86" s="98"/>
      <c r="B86" s="98"/>
      <c r="C86" s="98"/>
      <c r="D86" s="98"/>
      <c r="E86" s="98"/>
      <c r="F86" s="98"/>
      <c r="G86" s="98"/>
      <c r="H86" s="98"/>
      <c r="I86" s="98"/>
      <c r="J86" s="98"/>
      <c r="K86" s="98"/>
    </row>
    <row r="87" spans="1:11" x14ac:dyDescent="0.25">
      <c r="A87" s="98"/>
      <c r="B87" s="98"/>
      <c r="C87" s="98"/>
      <c r="D87" s="98"/>
      <c r="E87" s="98"/>
      <c r="F87" s="98"/>
      <c r="G87" s="98"/>
      <c r="H87" s="98"/>
      <c r="I87" s="98"/>
      <c r="J87" s="98"/>
      <c r="K87" s="98"/>
    </row>
    <row r="88" spans="1:11" x14ac:dyDescent="0.25">
      <c r="A88" s="98"/>
      <c r="B88" s="98"/>
      <c r="C88" s="98"/>
      <c r="D88" s="98"/>
      <c r="E88" s="98"/>
      <c r="F88" s="98"/>
      <c r="G88" s="98"/>
      <c r="H88" s="98"/>
      <c r="I88" s="98"/>
      <c r="J88" s="98"/>
      <c r="K88" s="98"/>
    </row>
    <row r="89" spans="1:11" x14ac:dyDescent="0.25">
      <c r="A89" s="98"/>
      <c r="B89" s="98"/>
      <c r="C89" s="98"/>
      <c r="D89" s="98"/>
      <c r="E89" s="98"/>
      <c r="F89" s="98"/>
      <c r="G89" s="98"/>
      <c r="H89" s="98"/>
      <c r="I89" s="98"/>
      <c r="J89" s="98"/>
      <c r="K89" s="98"/>
    </row>
    <row r="90" spans="1:11" x14ac:dyDescent="0.25">
      <c r="A90" s="98"/>
      <c r="B90" s="98"/>
      <c r="C90" s="98"/>
      <c r="D90" s="98"/>
      <c r="E90" s="98"/>
      <c r="F90" s="98"/>
      <c r="G90" s="98"/>
      <c r="H90" s="98"/>
      <c r="I90" s="98"/>
      <c r="J90" s="98"/>
      <c r="K90" s="98"/>
    </row>
    <row r="91" spans="1:11" x14ac:dyDescent="0.25">
      <c r="A91" s="98"/>
      <c r="B91" s="98"/>
      <c r="C91" s="98"/>
      <c r="D91" s="98"/>
      <c r="E91" s="98"/>
      <c r="F91" s="98"/>
      <c r="G91" s="98"/>
      <c r="H91" s="98"/>
      <c r="I91" s="98"/>
      <c r="J91" s="98"/>
      <c r="K91" s="98"/>
    </row>
    <row r="92" spans="1:11" x14ac:dyDescent="0.25">
      <c r="A92" s="98"/>
      <c r="B92" s="98"/>
      <c r="C92" s="98"/>
      <c r="D92" s="98"/>
      <c r="E92" s="98"/>
      <c r="F92" s="98"/>
      <c r="G92" s="98"/>
      <c r="H92" s="98"/>
      <c r="I92" s="98"/>
      <c r="J92" s="98"/>
      <c r="K92" s="98"/>
    </row>
    <row r="93" spans="1:11" x14ac:dyDescent="0.25">
      <c r="A93" s="98"/>
      <c r="B93" s="98"/>
      <c r="C93" s="98"/>
      <c r="D93" s="98"/>
      <c r="E93" s="98"/>
      <c r="F93" s="98"/>
      <c r="G93" s="98"/>
      <c r="H93" s="98"/>
      <c r="I93" s="98"/>
      <c r="J93" s="98"/>
      <c r="K93" s="98"/>
    </row>
    <row r="94" spans="1:11" x14ac:dyDescent="0.25">
      <c r="A94" s="98"/>
      <c r="B94" s="98"/>
      <c r="C94" s="98"/>
      <c r="D94" s="98"/>
      <c r="E94" s="98"/>
      <c r="F94" s="98"/>
      <c r="G94" s="98"/>
      <c r="H94" s="98"/>
      <c r="I94" s="98"/>
      <c r="J94" s="98"/>
      <c r="K94" s="98"/>
    </row>
    <row r="95" spans="1:11" x14ac:dyDescent="0.25">
      <c r="A95" s="98"/>
      <c r="B95" s="98"/>
      <c r="C95" s="98"/>
      <c r="D95" s="98"/>
      <c r="E95" s="98"/>
      <c r="F95" s="98"/>
      <c r="G95" s="98"/>
      <c r="H95" s="98"/>
      <c r="I95" s="98"/>
      <c r="J95" s="98"/>
      <c r="K95" s="98"/>
    </row>
    <row r="96" spans="1:11" x14ac:dyDescent="0.25">
      <c r="A96" s="98"/>
      <c r="B96" s="98"/>
      <c r="C96" s="98"/>
      <c r="D96" s="98"/>
      <c r="E96" s="98"/>
      <c r="F96" s="98"/>
      <c r="G96" s="98"/>
      <c r="H96" s="98"/>
      <c r="I96" s="98"/>
      <c r="J96" s="98"/>
      <c r="K96" s="98"/>
    </row>
    <row r="97" spans="1:11" x14ac:dyDescent="0.25">
      <c r="A97" s="98"/>
      <c r="B97" s="98"/>
      <c r="C97" s="98"/>
      <c r="D97" s="98"/>
      <c r="E97" s="98"/>
      <c r="F97" s="98"/>
      <c r="G97" s="98"/>
      <c r="H97" s="98"/>
      <c r="I97" s="98"/>
      <c r="J97" s="98"/>
      <c r="K97" s="98"/>
    </row>
    <row r="98" spans="1:11" x14ac:dyDescent="0.25">
      <c r="A98" s="98"/>
      <c r="B98" s="98"/>
      <c r="C98" s="98"/>
      <c r="D98" s="98"/>
      <c r="E98" s="98"/>
      <c r="F98" s="98"/>
      <c r="G98" s="98"/>
      <c r="H98" s="98"/>
      <c r="I98" s="98"/>
      <c r="J98" s="98"/>
      <c r="K98" s="98"/>
    </row>
    <row r="99" spans="1:11" x14ac:dyDescent="0.25">
      <c r="A99" s="98"/>
      <c r="B99" s="1032" t="s">
        <v>939</v>
      </c>
      <c r="C99" s="1032"/>
      <c r="D99" s="1032"/>
      <c r="E99" s="1032"/>
      <c r="F99" s="1032"/>
      <c r="G99" s="1032"/>
      <c r="H99" s="1032"/>
      <c r="I99" s="1032"/>
      <c r="J99" s="1032"/>
      <c r="K99" s="98"/>
    </row>
  </sheetData>
  <sheetProtection algorithmName="SHA-512" hashValue="r70K2Hh8D7v1j4vE2bJZKX/EY3uPWoVWaGrcSt65psva/d0I3aduA2KHRAv+mwtX6/Y02ICsJC3d1gHifwmNwg==" saltValue="bONiTwDPnYEBY+wbg6W4Wg==" spinCount="100000" sheet="1" objects="1" scenarios="1"/>
  <mergeCells count="12">
    <mergeCell ref="B99:J99"/>
    <mergeCell ref="B11:J11"/>
    <mergeCell ref="B6:J6"/>
    <mergeCell ref="E9:J9"/>
    <mergeCell ref="C12:D12"/>
    <mergeCell ref="E12:H12"/>
    <mergeCell ref="I12:J12"/>
    <mergeCell ref="B25:E25"/>
    <mergeCell ref="G25:J25"/>
    <mergeCell ref="B47:E47"/>
    <mergeCell ref="G51:J51"/>
    <mergeCell ref="G52:J85"/>
  </mergeCells>
  <conditionalFormatting sqref="C15:J23">
    <cfRule type="cellIs" dxfId="14" priority="1" operator="equal">
      <formula>0</formula>
    </cfRule>
    <cfRule type="cellIs" dxfId="13" priority="2" operator="between">
      <formula>0.4</formula>
      <formula>0.69</formula>
    </cfRule>
    <cfRule type="cellIs" dxfId="12" priority="3" operator="between">
      <formula>0.2</formula>
      <formula>0.39</formula>
    </cfRule>
    <cfRule type="cellIs" dxfId="11" priority="4" operator="between">
      <formula>0.01</formula>
      <formula>0.19</formula>
    </cfRule>
    <cfRule type="cellIs" dxfId="10" priority="5" operator="between">
      <formula>0.7</formula>
      <formula>1</formula>
    </cfRule>
  </conditionalFormatting>
  <pageMargins left="0.39370078740157483" right="0.39370078740157483" top="0.39370078740157483" bottom="0.39370078740157483" header="0.31496062992125984" footer="0.31496062992125984"/>
  <pageSetup paperSize="14"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02C1D4-C99E-4094-A3E9-092B542732E5}">
          <x14:formula1>
            <xm:f>PGLOBAL!$A$10:$A$171</xm:f>
          </x14:formula1>
          <xm:sqref>E9:J9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D7BA-6CF0-4B07-A180-85D5BFA6C516}">
  <sheetPr codeName="Hoja16">
    <tabColor rgb="FF00B050"/>
    <pageSetUpPr fitToPage="1"/>
  </sheetPr>
  <dimension ref="A1:M91"/>
  <sheetViews>
    <sheetView zoomScale="70" zoomScaleNormal="70" workbookViewId="0">
      <selection activeCell="E10" sqref="E10:J10"/>
    </sheetView>
  </sheetViews>
  <sheetFormatPr baseColWidth="10" defaultColWidth="12.5703125" defaultRowHeight="15.75" x14ac:dyDescent="0.25"/>
  <cols>
    <col min="1" max="1" width="5.28515625" style="99" customWidth="1"/>
    <col min="2" max="2" width="16.42578125" style="99" customWidth="1"/>
    <col min="3" max="3" width="35.7109375" style="99" customWidth="1"/>
    <col min="4" max="4" width="40.7109375" style="99" customWidth="1"/>
    <col min="5" max="10" width="35.7109375" style="99" customWidth="1"/>
    <col min="11" max="11" width="5.85546875" style="99" customWidth="1"/>
    <col min="12" max="16384" width="12.5703125" style="99"/>
  </cols>
  <sheetData>
    <row r="1" spans="1:12" x14ac:dyDescent="0.25">
      <c r="A1" s="98"/>
      <c r="B1" s="98"/>
      <c r="C1" s="98"/>
      <c r="D1" s="98"/>
      <c r="E1" s="98"/>
      <c r="F1" s="98"/>
      <c r="G1" s="98"/>
      <c r="H1" s="98"/>
      <c r="I1" s="98"/>
      <c r="J1" s="98"/>
      <c r="K1" s="98"/>
    </row>
    <row r="2" spans="1:12" x14ac:dyDescent="0.25">
      <c r="A2" s="98"/>
      <c r="B2" s="98"/>
      <c r="C2" s="98"/>
      <c r="D2" s="98"/>
      <c r="E2" s="98"/>
      <c r="F2" s="98"/>
      <c r="G2" s="98"/>
      <c r="H2" s="98"/>
      <c r="I2" s="98"/>
      <c r="J2" s="98"/>
      <c r="K2" s="98"/>
    </row>
    <row r="3" spans="1:12" x14ac:dyDescent="0.25">
      <c r="A3" s="98"/>
      <c r="B3" s="98"/>
      <c r="C3" s="98"/>
      <c r="D3" s="98"/>
      <c r="E3" s="98"/>
      <c r="F3" s="98"/>
      <c r="G3" s="98"/>
      <c r="H3" s="98"/>
      <c r="I3" s="98"/>
      <c r="J3" s="98"/>
      <c r="K3" s="98"/>
    </row>
    <row r="4" spans="1:12" x14ac:dyDescent="0.25">
      <c r="A4" s="98"/>
      <c r="B4" s="98"/>
      <c r="C4" s="98"/>
      <c r="D4" s="98"/>
      <c r="E4" s="98"/>
      <c r="F4" s="98"/>
      <c r="G4" s="98"/>
      <c r="H4" s="98"/>
      <c r="I4" s="98"/>
      <c r="J4" s="98"/>
      <c r="K4" s="98"/>
    </row>
    <row r="5" spans="1:12" x14ac:dyDescent="0.25">
      <c r="A5" s="98"/>
      <c r="B5" s="98"/>
      <c r="C5" s="98"/>
      <c r="D5" s="98"/>
      <c r="E5" s="98"/>
      <c r="F5" s="98"/>
      <c r="G5" s="98"/>
      <c r="H5" s="98"/>
      <c r="I5" s="98"/>
      <c r="J5" s="98"/>
      <c r="K5" s="98"/>
    </row>
    <row r="6" spans="1:12" ht="48.6" customHeight="1" x14ac:dyDescent="0.25">
      <c r="A6" s="98"/>
      <c r="B6" s="98"/>
      <c r="C6" s="98"/>
      <c r="D6" s="98"/>
      <c r="E6" s="98"/>
      <c r="F6" s="98"/>
      <c r="G6" s="98"/>
      <c r="H6" s="98"/>
      <c r="I6" s="98"/>
      <c r="J6" s="98"/>
      <c r="K6" s="98"/>
    </row>
    <row r="7" spans="1:12" ht="64.5" customHeight="1" x14ac:dyDescent="0.25">
      <c r="A7" s="98"/>
      <c r="B7" s="869" t="s">
        <v>866</v>
      </c>
      <c r="C7" s="869"/>
      <c r="D7" s="869"/>
      <c r="E7" s="869"/>
      <c r="F7" s="869"/>
      <c r="G7" s="869"/>
      <c r="H7" s="869"/>
      <c r="I7" s="869"/>
      <c r="J7" s="869"/>
      <c r="K7" s="98"/>
    </row>
    <row r="8" spans="1:12" x14ac:dyDescent="0.25">
      <c r="A8" s="98"/>
      <c r="B8" s="98"/>
      <c r="C8" s="98"/>
      <c r="D8" s="98"/>
      <c r="E8" s="98"/>
      <c r="F8" s="98"/>
      <c r="G8" s="98"/>
      <c r="H8" s="98"/>
      <c r="I8" s="98"/>
      <c r="J8" s="98"/>
      <c r="K8" s="98"/>
    </row>
    <row r="9" spans="1:12" x14ac:dyDescent="0.25">
      <c r="A9" s="98"/>
      <c r="B9" s="98"/>
      <c r="C9" s="98"/>
      <c r="D9" s="98"/>
      <c r="E9" s="98"/>
      <c r="F9" s="98"/>
      <c r="G9" s="98"/>
      <c r="H9" s="98"/>
      <c r="I9" s="98"/>
      <c r="J9" s="98"/>
      <c r="K9" s="98"/>
    </row>
    <row r="10" spans="1:12" ht="20.25" x14ac:dyDescent="0.3">
      <c r="A10" s="98"/>
      <c r="B10" s="236" t="s">
        <v>859</v>
      </c>
      <c r="C10" s="236"/>
      <c r="D10" s="236"/>
      <c r="E10" s="959" t="s">
        <v>71</v>
      </c>
      <c r="F10" s="959"/>
      <c r="G10" s="959"/>
      <c r="H10" s="959"/>
      <c r="I10" s="959"/>
      <c r="J10" s="959"/>
      <c r="K10" s="98"/>
    </row>
    <row r="11" spans="1:12" ht="18.75" x14ac:dyDescent="0.3">
      <c r="A11" s="98"/>
      <c r="B11" s="102"/>
      <c r="C11" s="102"/>
      <c r="D11" s="102"/>
      <c r="E11" s="102"/>
      <c r="F11" s="98"/>
      <c r="G11" s="98"/>
      <c r="H11" s="98"/>
      <c r="I11" s="98"/>
      <c r="J11" s="98"/>
      <c r="K11" s="98"/>
    </row>
    <row r="12" spans="1:12" ht="60.6" customHeight="1" x14ac:dyDescent="0.25">
      <c r="A12" s="98"/>
      <c r="B12" s="1043" t="s">
        <v>1070</v>
      </c>
      <c r="C12" s="1044"/>
      <c r="D12" s="1044"/>
      <c r="E12" s="1044"/>
      <c r="F12" s="1044"/>
      <c r="G12" s="1044"/>
      <c r="H12" s="1044"/>
      <c r="I12" s="1044"/>
      <c r="J12" s="1045"/>
      <c r="K12" s="98"/>
    </row>
    <row r="13" spans="1:12" ht="33.75" customHeight="1" x14ac:dyDescent="0.25">
      <c r="A13" s="98"/>
      <c r="B13" s="441" t="s">
        <v>855</v>
      </c>
      <c r="C13" s="1046" t="s">
        <v>1064</v>
      </c>
      <c r="D13" s="1047"/>
      <c r="E13" s="1046" t="s">
        <v>1065</v>
      </c>
      <c r="F13" s="1048"/>
      <c r="G13" s="1048"/>
      <c r="H13" s="1047"/>
      <c r="I13" s="1046" t="s">
        <v>1060</v>
      </c>
      <c r="J13" s="1047"/>
      <c r="K13" s="98"/>
    </row>
    <row r="14" spans="1:12" ht="90.6" customHeight="1" x14ac:dyDescent="0.35">
      <c r="A14" s="98"/>
      <c r="B14" s="410" t="s">
        <v>868</v>
      </c>
      <c r="C14" s="417" t="s">
        <v>394</v>
      </c>
      <c r="D14" s="417" t="s">
        <v>383</v>
      </c>
      <c r="E14" s="417" t="s">
        <v>389</v>
      </c>
      <c r="F14" s="417" t="s">
        <v>385</v>
      </c>
      <c r="G14" s="417" t="s">
        <v>395</v>
      </c>
      <c r="H14" s="417" t="s">
        <v>392</v>
      </c>
      <c r="I14" s="417" t="s">
        <v>393</v>
      </c>
      <c r="J14" s="417" t="s">
        <v>386</v>
      </c>
      <c r="K14" s="98"/>
      <c r="L14" s="114"/>
    </row>
    <row r="15" spans="1:12" ht="225.6" customHeight="1" x14ac:dyDescent="0.35">
      <c r="A15" s="98"/>
      <c r="B15" s="412" t="s">
        <v>982</v>
      </c>
      <c r="C15" s="418" t="s">
        <v>1047</v>
      </c>
      <c r="D15" s="418" t="s">
        <v>1048</v>
      </c>
      <c r="E15" s="418" t="s">
        <v>1039</v>
      </c>
      <c r="F15" s="418" t="s">
        <v>1040</v>
      </c>
      <c r="G15" s="418" t="s">
        <v>1041</v>
      </c>
      <c r="H15" s="418" t="s">
        <v>1042</v>
      </c>
      <c r="I15" s="418" t="s">
        <v>1045</v>
      </c>
      <c r="J15" s="409" t="s">
        <v>1046</v>
      </c>
      <c r="K15" s="98"/>
      <c r="L15" s="114"/>
    </row>
    <row r="16" spans="1:12" ht="20.25" x14ac:dyDescent="0.25">
      <c r="A16" s="98"/>
      <c r="B16" s="104">
        <v>2016</v>
      </c>
      <c r="C16" s="105">
        <f>VLOOKUP($E$10,CN!$A$10:$FA$171,26,0)</f>
        <v>0</v>
      </c>
      <c r="D16" s="105">
        <f>VLOOKUP($E$10,CN!$A$10:$FA$171,27,0)</f>
        <v>0.05</v>
      </c>
      <c r="E16" s="105">
        <f>VLOOKUP($E$10,CN!$A$10:$FA$171,28,0)</f>
        <v>0.33</v>
      </c>
      <c r="F16" s="105" t="s">
        <v>398</v>
      </c>
      <c r="G16" s="105">
        <f>VLOOKUP($E$10,CN!$A$10:$FA$171,29,0)</f>
        <v>0.13</v>
      </c>
      <c r="H16" s="105">
        <f>VLOOKUP($E$10,CN!$A$10:$FA$171,30,0)</f>
        <v>0.42</v>
      </c>
      <c r="I16" s="105">
        <f>VLOOKUP($E$10,CN!$A$10:$FA$171,31,0)</f>
        <v>0.43</v>
      </c>
      <c r="J16" s="105">
        <f>VLOOKUP($E$10,CN!$A$10:$FA$171,32,0)</f>
        <v>0.56999999999999995</v>
      </c>
      <c r="K16" s="98"/>
    </row>
    <row r="17" spans="1:13" ht="20.25" x14ac:dyDescent="0.25">
      <c r="A17" s="98"/>
      <c r="B17" s="104">
        <v>2017</v>
      </c>
      <c r="C17" s="105">
        <f>VLOOKUP($E$10,CN!$A$10:$FA$171,55,0)</f>
        <v>0.65</v>
      </c>
      <c r="D17" s="105">
        <f>VLOOKUP($E$10,CN!$A$10:$FA$171,56,0)</f>
        <v>0.45</v>
      </c>
      <c r="E17" s="105">
        <f>VLOOKUP($E$10,CN!$A$10:$FA$171,57,0)</f>
        <v>0.65</v>
      </c>
      <c r="F17" s="105">
        <f>VLOOKUP($E$10,CN!$A$10:$FA$171,58,0)</f>
        <v>0.62</v>
      </c>
      <c r="G17" s="105">
        <f>VLOOKUP($E$10,CN!$A$10:$FA$171,59,0)</f>
        <v>0.48</v>
      </c>
      <c r="H17" s="105">
        <f>VLOOKUP($E$10,CN!$A$10:$FA$171,60,0)</f>
        <v>0.42</v>
      </c>
      <c r="I17" s="105">
        <f>VLOOKUP($E$10,CN!$A$10:$FA$171,61,0)</f>
        <v>0.38</v>
      </c>
      <c r="J17" s="105">
        <f>VLOOKUP($E$10,CN!$A$10:$FA$171,62,0)</f>
        <v>0.35</v>
      </c>
      <c r="K17" s="98"/>
    </row>
    <row r="18" spans="1:13" ht="20.25" x14ac:dyDescent="0.25">
      <c r="A18" s="98"/>
      <c r="B18" s="104">
        <v>2018</v>
      </c>
      <c r="C18" s="105">
        <f>VLOOKUP($E$10,CN!$A$10:$FA$171,96,0)</f>
        <v>0.61</v>
      </c>
      <c r="D18" s="105">
        <f>VLOOKUP($E$10,CN!$A$10:$FA$171,87,0)</f>
        <v>0.51</v>
      </c>
      <c r="E18" s="105">
        <f>VLOOKUP($E$10,CN!$A$10:$FA$171,74,0)</f>
        <v>0.26</v>
      </c>
      <c r="F18" s="105">
        <f>VLOOKUP($E$10,CN!$A$10:$FA$171,88,0)</f>
        <v>0.26</v>
      </c>
      <c r="G18" s="105">
        <f>VLOOKUP($E$10,CN!$A$10:$FA$171,85,0)</f>
        <v>0.61</v>
      </c>
      <c r="H18" s="105">
        <f>VLOOKUP($E$10,CN!$A$10:$FA$171,89,0)</f>
        <v>0.67</v>
      </c>
      <c r="I18" s="105">
        <f>VLOOKUP($E$10,CN!$A$10:$FA$171,71,0)</f>
        <v>0.33</v>
      </c>
      <c r="J18" s="105">
        <f>VLOOKUP($E$10,CN!$A$10:$FA$171,78,0)</f>
        <v>0.53</v>
      </c>
      <c r="K18" s="109"/>
    </row>
    <row r="19" spans="1:13" ht="20.25" x14ac:dyDescent="0.25">
      <c r="A19" s="98"/>
      <c r="B19" s="104">
        <v>2019</v>
      </c>
      <c r="C19" s="105">
        <f>VLOOKUP($E$10,CN!$A$10:$FA$171,110,0)</f>
        <v>0.48</v>
      </c>
      <c r="D19" s="105">
        <f>VLOOKUP($E$10,CN!$A$10:$FA$171,124,0)</f>
        <v>0.62</v>
      </c>
      <c r="E19" s="105">
        <f>VLOOKUP($E$10,CN!$A$10:$FA$171,116,0)</f>
        <v>0.39</v>
      </c>
      <c r="F19" s="105">
        <f>VLOOKUP($E$10,CN!$A$10:$FA$171,127,0)</f>
        <v>0.33</v>
      </c>
      <c r="G19" s="105">
        <f>VLOOKUP($E$10,CN!$A$10:$FA$171,111,0)</f>
        <v>0.47</v>
      </c>
      <c r="H19" s="105">
        <f>VLOOKUP($E$10,CN!$A$10:$FA$171,107,0)</f>
        <v>0.43</v>
      </c>
      <c r="I19" s="105">
        <f>VLOOKUP($E$10,CN!$A$10:$FA$171,108,0)</f>
        <v>0.61</v>
      </c>
      <c r="J19" s="105">
        <f>VLOOKUP($E$10,CN!$A$10:$FA$171,103,0)</f>
        <v>0.42</v>
      </c>
      <c r="K19" s="98"/>
      <c r="M19" s="115"/>
    </row>
    <row r="20" spans="1:13" ht="20.25" x14ac:dyDescent="0.25">
      <c r="A20" s="98"/>
      <c r="B20" s="104">
        <v>2020</v>
      </c>
      <c r="C20" s="105">
        <f>VLOOKUP($E$10,CN!$A$10:$FA$171,157,0)</f>
        <v>0.54</v>
      </c>
      <c r="D20" s="105">
        <f>VLOOKUP($E$10,CN!$A$10:$FA$171,151,0)</f>
        <v>0.54</v>
      </c>
      <c r="E20" s="105">
        <f>VLOOKUP($E$10,CN!$A$10:$FA$171,137,0)</f>
        <v>0.22</v>
      </c>
      <c r="F20" s="105">
        <f>VLOOKUP($E$10,CN!$A$10:$FA$171,152,0)</f>
        <v>0.42</v>
      </c>
      <c r="G20" s="105">
        <f>VLOOKUP($E$10,CN!$A$10:$FA$171,138,0)</f>
        <v>0.37</v>
      </c>
      <c r="H20" s="105">
        <f>VLOOKUP($E$10,CN!$A$10:$FA$171,148,0)</f>
        <v>0.53</v>
      </c>
      <c r="I20" s="105">
        <f>VLOOKUP($E$10,CN!$A$10:$FA$171,141,0)</f>
        <v>0.2</v>
      </c>
      <c r="J20" s="105">
        <f>VLOOKUP($E$10,CN!$A$10:$FA$171,145,0)</f>
        <v>0.52</v>
      </c>
      <c r="K20" s="98"/>
      <c r="M20" s="115"/>
    </row>
    <row r="21" spans="1:13" ht="20.25" x14ac:dyDescent="0.25">
      <c r="A21" s="98"/>
      <c r="B21" s="104">
        <v>2021</v>
      </c>
      <c r="C21" s="105">
        <f>VLOOKUP($E$10,CN!$A$10:$GI$171,187,0)</f>
        <v>0.52</v>
      </c>
      <c r="D21" s="105">
        <f>VLOOKUP($E$10,CN!$A$10:$GI$171,175,0)</f>
        <v>0.42</v>
      </c>
      <c r="E21" s="105">
        <f>VLOOKUP($E$10,CN!$A$10:$GI$171,170,0)</f>
        <v>0.25</v>
      </c>
      <c r="F21" s="105">
        <f>VLOOKUP($E$10,CN!$A$10:$GI$171,178,0)</f>
        <v>0.52</v>
      </c>
      <c r="G21" s="105">
        <f>VLOOKUP($E$10,CN!$A$10:$GI$171,166,0)</f>
        <v>0.36</v>
      </c>
      <c r="H21" s="105">
        <f>VLOOKUP($E$10,CN!$A$10:$GI$171,171,0)</f>
        <v>0.32</v>
      </c>
      <c r="I21" s="105">
        <f>VLOOKUP($E$10,CN!$A$10:$GI$171,183,0)</f>
        <v>0.48</v>
      </c>
      <c r="J21" s="105">
        <f>VLOOKUP($E$10,CN!$A$10:$GI$171,167,0)</f>
        <v>0.64</v>
      </c>
      <c r="K21" s="98"/>
      <c r="M21" s="115"/>
    </row>
    <row r="22" spans="1:13" ht="20.25" x14ac:dyDescent="0.25">
      <c r="A22" s="98"/>
      <c r="B22" s="104">
        <v>2022</v>
      </c>
      <c r="C22" s="105">
        <f>VLOOKUP($E$10,CN!$A$10:$HQ$171,219,0)</f>
        <v>0.44</v>
      </c>
      <c r="D22" s="105">
        <f>VLOOKUP($E$10,CN!$A$10:$HQ$171,218,0)</f>
        <v>0.55000000000000004</v>
      </c>
      <c r="E22" s="105" t="str">
        <f>VLOOKUP($E$10,CN!$A$10:$HQ$171,207,0)</f>
        <v>N.D.</v>
      </c>
      <c r="F22" s="105">
        <f>VLOOKUP($E$10,CN!$A$10:$HQ$171,225,0)</f>
        <v>0.33</v>
      </c>
      <c r="G22" s="105">
        <f>VLOOKUP($E$10,CN!$A$10:$HQ$171,208,0)</f>
        <v>0.25</v>
      </c>
      <c r="H22" s="105">
        <f>VLOOKUP($E$10,CN!$A$10:$HQ$171,206,0)</f>
        <v>0.45</v>
      </c>
      <c r="I22" s="105">
        <f>VLOOKUP($E$10,CN!$A$10:$HQ$171,217,0)</f>
        <v>0.44</v>
      </c>
      <c r="J22" s="105">
        <f>VLOOKUP($E$10,CN!$A$10:$HQ$171,215,0)</f>
        <v>0.62</v>
      </c>
      <c r="K22" s="98"/>
      <c r="M22" s="115"/>
    </row>
    <row r="23" spans="1:13" ht="20.25" x14ac:dyDescent="0.25">
      <c r="A23" s="98"/>
      <c r="B23" s="104">
        <v>2023</v>
      </c>
      <c r="C23" s="105">
        <f>VLOOKUP($E$10,CN!$A$10:$IY$171,245,0)</f>
        <v>0.59</v>
      </c>
      <c r="D23" s="105">
        <f>VLOOKUP($E$10,CN!$A$10:$IY$171,242,0)</f>
        <v>0.43</v>
      </c>
      <c r="E23" s="105" t="str">
        <f>VLOOKUP($E$10,CN!$A$10:$IY$171,255,0)</f>
        <v>N.D.</v>
      </c>
      <c r="F23" s="105">
        <f>VLOOKUP($E$10,CN!$A$10:$IY$171,257,0)</f>
        <v>0.37</v>
      </c>
      <c r="G23" s="105">
        <f>VLOOKUP($E$10,CN!$A$10:$IY$171,247,0)</f>
        <v>0.59</v>
      </c>
      <c r="H23" s="105">
        <f>VLOOKUP($E$10,CN!$A$10:$IY$171,258,0)</f>
        <v>0.53</v>
      </c>
      <c r="I23" s="105">
        <f>VLOOKUP($E$10,CN!$A$10:$IY$171,238,0)</f>
        <v>0.62</v>
      </c>
      <c r="J23" s="105">
        <f>VLOOKUP($E$10,CN!$A$10:$IY$171,256,0)</f>
        <v>0.55000000000000004</v>
      </c>
      <c r="K23" s="98"/>
    </row>
    <row r="24" spans="1:13" ht="20.25" x14ac:dyDescent="0.25">
      <c r="A24" s="98"/>
      <c r="B24" s="104">
        <v>2024</v>
      </c>
      <c r="C24" s="105">
        <f>VLOOKUP($E$10,CN!$A$10:$KG$171,284,0)</f>
        <v>0.4</v>
      </c>
      <c r="D24" s="105">
        <f>VLOOKUP($E$10,CN!$A$10:$KG$171,285,0)</f>
        <v>0.42</v>
      </c>
      <c r="E24" s="105">
        <f>VLOOKUP($E$10,CN!$A$10:$KG$171,286,0)</f>
        <v>0.39</v>
      </c>
      <c r="F24" s="105">
        <f>VLOOKUP($E$10,CN!$A$10:$KG$171,287,0)</f>
        <v>0.63</v>
      </c>
      <c r="G24" s="105">
        <f>VLOOKUP($E$10,CN!$A$10:$KG$171,288,0)</f>
        <v>0.37</v>
      </c>
      <c r="H24" s="105">
        <f>VLOOKUP($E$10,CN!$A$10:$KG$171,289,0)</f>
        <v>0.68</v>
      </c>
      <c r="I24" s="105">
        <f>VLOOKUP($E$10,CN!$A$10:$KG$171,290,0)</f>
        <v>0.26</v>
      </c>
      <c r="J24" s="105">
        <f>VLOOKUP($E$10,CN!$A$10:$KG$171,291,0)</f>
        <v>0.49</v>
      </c>
      <c r="K24" s="98"/>
    </row>
    <row r="25" spans="1:13" ht="18.75" x14ac:dyDescent="0.3">
      <c r="A25" s="98"/>
      <c r="B25" s="102"/>
      <c r="C25" s="102"/>
      <c r="D25" s="108"/>
      <c r="E25" s="108"/>
      <c r="F25" s="98"/>
      <c r="G25" s="98"/>
      <c r="H25" s="98"/>
      <c r="I25" s="98"/>
      <c r="J25" s="98"/>
      <c r="K25" s="98"/>
    </row>
    <row r="26" spans="1:13" ht="23.25" x14ac:dyDescent="0.35">
      <c r="A26" s="98"/>
      <c r="B26" s="1039" t="str">
        <f>C13</f>
        <v>Explicación de fenómenos 
(9% de las preguntas)</v>
      </c>
      <c r="C26" s="1039"/>
      <c r="D26" s="1039"/>
      <c r="E26" s="1039"/>
      <c r="F26" s="98"/>
      <c r="G26" s="1039" t="str">
        <f>I13</f>
        <v>Uso comprensivo del conocimiento científico 
(9% de las preguntas)</v>
      </c>
      <c r="H26" s="1039"/>
      <c r="I26" s="1039"/>
      <c r="J26" s="1039"/>
      <c r="K26" s="98"/>
    </row>
    <row r="27" spans="1:13" x14ac:dyDescent="0.25">
      <c r="A27" s="98"/>
      <c r="B27" s="98"/>
      <c r="C27" s="98"/>
      <c r="D27" s="98"/>
      <c r="E27" s="98"/>
      <c r="F27" s="98"/>
      <c r="G27" s="98"/>
      <c r="H27" s="98"/>
      <c r="I27" s="98"/>
      <c r="J27" s="98"/>
      <c r="K27" s="98"/>
    </row>
    <row r="28" spans="1:13" x14ac:dyDescent="0.25">
      <c r="A28" s="98"/>
      <c r="B28" s="98"/>
      <c r="C28" s="98"/>
      <c r="D28" s="98"/>
      <c r="E28" s="98"/>
      <c r="F28" s="98"/>
      <c r="G28" s="98"/>
      <c r="H28" s="98"/>
      <c r="I28" s="98"/>
      <c r="J28" s="98"/>
      <c r="K28" s="98"/>
    </row>
    <row r="29" spans="1:13" ht="15.75" customHeight="1" x14ac:dyDescent="0.25">
      <c r="A29" s="98"/>
      <c r="B29" s="98"/>
      <c r="C29" s="98"/>
      <c r="D29" s="98"/>
      <c r="E29" s="98"/>
      <c r="F29" s="98"/>
      <c r="G29" s="98"/>
      <c r="H29" s="98"/>
      <c r="I29" s="98"/>
      <c r="J29" s="98"/>
      <c r="K29" s="98"/>
    </row>
    <row r="30" spans="1:13" ht="26.25" customHeight="1" x14ac:dyDescent="0.25">
      <c r="A30" s="98"/>
      <c r="B30" s="98"/>
      <c r="C30" s="98"/>
      <c r="D30" s="98"/>
      <c r="E30" s="98"/>
      <c r="F30" s="98"/>
      <c r="G30" s="98"/>
      <c r="H30" s="98"/>
      <c r="I30" s="98"/>
      <c r="J30" s="98"/>
      <c r="K30" s="98"/>
    </row>
    <row r="31" spans="1:13" x14ac:dyDescent="0.25">
      <c r="A31" s="98"/>
      <c r="B31" s="98"/>
      <c r="C31" s="98"/>
      <c r="D31" s="98"/>
      <c r="E31" s="98"/>
      <c r="F31" s="98"/>
      <c r="G31" s="98"/>
      <c r="H31" s="98"/>
      <c r="I31" s="98"/>
      <c r="J31" s="98"/>
      <c r="K31" s="98"/>
    </row>
    <row r="32" spans="1:13" x14ac:dyDescent="0.25">
      <c r="A32" s="98"/>
      <c r="B32" s="98"/>
      <c r="C32" s="98"/>
      <c r="D32" s="98"/>
      <c r="E32" s="98"/>
      <c r="F32" s="98"/>
      <c r="G32" s="98"/>
      <c r="H32" s="98"/>
      <c r="I32" s="98"/>
      <c r="J32" s="98"/>
      <c r="K32" s="98"/>
    </row>
    <row r="33" spans="1:11" x14ac:dyDescent="0.25">
      <c r="A33" s="98"/>
      <c r="B33" s="98"/>
      <c r="C33" s="98"/>
      <c r="D33" s="98"/>
      <c r="E33" s="98"/>
      <c r="F33" s="98"/>
      <c r="G33" s="98"/>
      <c r="H33" s="98"/>
      <c r="I33" s="98"/>
      <c r="J33" s="98"/>
      <c r="K33" s="98"/>
    </row>
    <row r="34" spans="1:11" x14ac:dyDescent="0.25">
      <c r="A34" s="98"/>
      <c r="B34" s="98"/>
      <c r="C34" s="98"/>
      <c r="D34" s="98"/>
      <c r="E34" s="98"/>
      <c r="F34" s="98"/>
      <c r="G34" s="98"/>
      <c r="H34" s="98"/>
      <c r="I34" s="98"/>
      <c r="J34" s="98"/>
      <c r="K34" s="98"/>
    </row>
    <row r="35" spans="1:11" x14ac:dyDescent="0.25">
      <c r="A35" s="98"/>
      <c r="B35" s="98"/>
      <c r="C35" s="98"/>
      <c r="D35" s="98"/>
      <c r="E35" s="98"/>
      <c r="F35" s="98"/>
      <c r="G35" s="98"/>
      <c r="H35" s="98"/>
      <c r="I35" s="98"/>
      <c r="J35" s="98"/>
      <c r="K35" s="98"/>
    </row>
    <row r="36" spans="1:11" x14ac:dyDescent="0.25">
      <c r="A36" s="98"/>
      <c r="B36" s="98"/>
      <c r="C36" s="98"/>
      <c r="D36" s="98"/>
      <c r="E36" s="98"/>
      <c r="F36" s="98"/>
      <c r="G36" s="98"/>
      <c r="H36" s="98"/>
      <c r="I36" s="98"/>
      <c r="J36" s="98"/>
      <c r="K36" s="98"/>
    </row>
    <row r="37" spans="1:11" x14ac:dyDescent="0.25">
      <c r="A37" s="98"/>
      <c r="B37" s="98"/>
      <c r="C37" s="98"/>
      <c r="D37" s="98"/>
      <c r="E37" s="98"/>
      <c r="F37" s="98"/>
      <c r="G37" s="98"/>
      <c r="H37" s="98"/>
      <c r="I37" s="98"/>
      <c r="J37" s="98"/>
      <c r="K37" s="98"/>
    </row>
    <row r="38" spans="1:11" x14ac:dyDescent="0.25">
      <c r="A38" s="98"/>
      <c r="B38" s="98"/>
      <c r="C38" s="98"/>
      <c r="D38" s="98"/>
      <c r="E38" s="98"/>
      <c r="F38" s="98"/>
      <c r="G38" s="98"/>
      <c r="H38" s="98"/>
      <c r="I38" s="98"/>
      <c r="J38" s="98"/>
      <c r="K38" s="98"/>
    </row>
    <row r="39" spans="1:11" x14ac:dyDescent="0.25">
      <c r="A39" s="98"/>
      <c r="B39" s="98"/>
      <c r="C39" s="98"/>
      <c r="D39" s="98"/>
      <c r="E39" s="98"/>
      <c r="F39" s="98"/>
      <c r="G39" s="98"/>
      <c r="H39" s="98"/>
      <c r="I39" s="98"/>
      <c r="J39" s="98"/>
      <c r="K39" s="98"/>
    </row>
    <row r="40" spans="1:11" x14ac:dyDescent="0.25">
      <c r="A40" s="98"/>
      <c r="B40" s="98"/>
      <c r="C40" s="98"/>
      <c r="D40" s="98"/>
      <c r="E40" s="98"/>
      <c r="F40" s="98"/>
      <c r="G40" s="98"/>
      <c r="H40" s="98"/>
      <c r="I40" s="98"/>
      <c r="J40" s="98"/>
      <c r="K40" s="98"/>
    </row>
    <row r="41" spans="1:11" x14ac:dyDescent="0.25">
      <c r="A41" s="98"/>
      <c r="B41" s="98"/>
      <c r="C41" s="98"/>
      <c r="D41" s="98"/>
      <c r="E41" s="98"/>
      <c r="F41" s="98"/>
      <c r="G41" s="98"/>
      <c r="H41" s="98"/>
      <c r="I41" s="98"/>
      <c r="J41" s="98"/>
      <c r="K41" s="98"/>
    </row>
    <row r="42" spans="1:11" x14ac:dyDescent="0.25">
      <c r="A42" s="98"/>
      <c r="B42" s="98"/>
      <c r="C42" s="98"/>
      <c r="D42" s="98"/>
      <c r="E42" s="98"/>
      <c r="F42" s="98"/>
      <c r="G42" s="98"/>
      <c r="H42" s="98"/>
      <c r="I42" s="98"/>
      <c r="J42" s="98"/>
      <c r="K42" s="98"/>
    </row>
    <row r="43" spans="1:11" ht="18" customHeight="1" x14ac:dyDescent="0.25">
      <c r="A43" s="98"/>
      <c r="B43" s="98"/>
      <c r="C43" s="98"/>
      <c r="D43" s="98"/>
      <c r="E43" s="98"/>
      <c r="F43" s="98"/>
      <c r="G43" s="98"/>
      <c r="H43" s="98"/>
      <c r="I43" s="98"/>
      <c r="J43" s="98"/>
      <c r="K43" s="98"/>
    </row>
    <row r="44" spans="1:11" x14ac:dyDescent="0.25">
      <c r="A44" s="98"/>
      <c r="B44" s="98"/>
      <c r="C44" s="98"/>
      <c r="D44" s="98"/>
      <c r="E44" s="98"/>
      <c r="F44" s="98"/>
      <c r="G44" s="98"/>
      <c r="H44" s="98"/>
      <c r="I44" s="98"/>
      <c r="J44" s="98"/>
      <c r="K44" s="98"/>
    </row>
    <row r="45" spans="1:11" x14ac:dyDescent="0.25">
      <c r="A45" s="98"/>
      <c r="B45" s="98"/>
      <c r="C45" s="98"/>
      <c r="D45" s="98"/>
      <c r="E45" s="98"/>
      <c r="F45" s="98"/>
      <c r="G45" s="98"/>
      <c r="H45" s="98"/>
      <c r="I45" s="98"/>
      <c r="J45" s="98"/>
      <c r="K45" s="98"/>
    </row>
    <row r="46" spans="1:11" ht="23.25" x14ac:dyDescent="0.35">
      <c r="A46" s="98"/>
      <c r="B46" s="1039" t="str">
        <f>E13</f>
        <v>Indagar 
(12% de las preguntas)</v>
      </c>
      <c r="C46" s="1039"/>
      <c r="D46" s="1039"/>
      <c r="E46" s="1039"/>
      <c r="F46" s="98"/>
      <c r="G46" s="98"/>
      <c r="H46" s="98"/>
      <c r="I46" s="98"/>
      <c r="J46" s="98"/>
      <c r="K46" s="98"/>
    </row>
    <row r="47" spans="1:11" x14ac:dyDescent="0.25">
      <c r="A47" s="98"/>
      <c r="B47" s="98"/>
      <c r="C47" s="98"/>
      <c r="D47" s="98"/>
      <c r="E47" s="98"/>
      <c r="F47" s="98"/>
      <c r="G47" s="98"/>
      <c r="H47" s="98"/>
      <c r="I47" s="98"/>
      <c r="J47" s="98"/>
      <c r="K47" s="98"/>
    </row>
    <row r="48" spans="1:11" x14ac:dyDescent="0.25">
      <c r="A48" s="98"/>
      <c r="B48" s="98"/>
      <c r="C48" s="98"/>
      <c r="D48" s="98"/>
      <c r="E48" s="98"/>
      <c r="F48" s="98"/>
      <c r="G48" s="98"/>
      <c r="H48" s="98"/>
      <c r="I48" s="98"/>
      <c r="J48" s="98"/>
      <c r="K48" s="98"/>
    </row>
    <row r="49" spans="1:11" x14ac:dyDescent="0.25">
      <c r="A49" s="98"/>
      <c r="B49" s="98"/>
      <c r="C49" s="98"/>
      <c r="D49" s="98"/>
      <c r="E49" s="98"/>
      <c r="F49" s="98"/>
      <c r="G49" s="98"/>
      <c r="H49" s="98"/>
      <c r="I49" s="98"/>
      <c r="J49" s="98"/>
      <c r="K49" s="98"/>
    </row>
    <row r="50" spans="1:11" x14ac:dyDescent="0.25">
      <c r="A50" s="98"/>
      <c r="B50" s="98"/>
      <c r="C50" s="98"/>
      <c r="D50" s="98"/>
      <c r="E50" s="98"/>
      <c r="F50" s="98"/>
      <c r="G50" s="98"/>
      <c r="H50" s="98"/>
      <c r="I50" s="98"/>
      <c r="J50" s="98"/>
      <c r="K50" s="98"/>
    </row>
    <row r="51" spans="1:11" x14ac:dyDescent="0.25">
      <c r="A51" s="98"/>
      <c r="B51" s="98"/>
      <c r="C51" s="98"/>
      <c r="D51" s="98"/>
      <c r="E51" s="98"/>
      <c r="F51" s="98"/>
      <c r="G51" s="98"/>
      <c r="H51" s="98"/>
      <c r="I51" s="98"/>
      <c r="J51" s="98"/>
      <c r="K51" s="98"/>
    </row>
    <row r="52" spans="1:11" ht="26.45" customHeight="1" x14ac:dyDescent="0.25">
      <c r="A52" s="98"/>
      <c r="B52" s="98"/>
      <c r="C52" s="98"/>
      <c r="D52" s="98"/>
      <c r="E52" s="98"/>
      <c r="F52" s="98"/>
      <c r="G52" s="1050" t="s">
        <v>986</v>
      </c>
      <c r="H52" s="1050"/>
      <c r="I52" s="1050"/>
      <c r="J52" s="1050"/>
      <c r="K52" s="98"/>
    </row>
    <row r="53" spans="1:11" ht="15.6" customHeight="1" x14ac:dyDescent="0.25">
      <c r="A53" s="98"/>
      <c r="B53" s="98"/>
      <c r="C53" s="98"/>
      <c r="D53" s="98"/>
      <c r="E53" s="98"/>
      <c r="F53" s="98"/>
      <c r="G53" s="1041" t="s">
        <v>996</v>
      </c>
      <c r="H53" s="1041"/>
      <c r="I53" s="1041"/>
      <c r="J53" s="1041"/>
      <c r="K53" s="98"/>
    </row>
    <row r="54" spans="1:11" ht="15.6" customHeight="1" x14ac:dyDescent="0.25">
      <c r="A54" s="98"/>
      <c r="B54" s="98"/>
      <c r="C54" s="98"/>
      <c r="D54" s="98"/>
      <c r="E54" s="98"/>
      <c r="F54" s="98"/>
      <c r="G54" s="1041"/>
      <c r="H54" s="1041"/>
      <c r="I54" s="1041"/>
      <c r="J54" s="1041"/>
      <c r="K54" s="98"/>
    </row>
    <row r="55" spans="1:11" ht="15.6" customHeight="1" x14ac:dyDescent="0.25">
      <c r="A55" s="98"/>
      <c r="B55" s="98"/>
      <c r="C55" s="98"/>
      <c r="D55" s="98"/>
      <c r="E55" s="98"/>
      <c r="F55" s="98"/>
      <c r="G55" s="1041"/>
      <c r="H55" s="1041"/>
      <c r="I55" s="1041"/>
      <c r="J55" s="1041"/>
      <c r="K55" s="98"/>
    </row>
    <row r="56" spans="1:11" ht="15.6" customHeight="1" x14ac:dyDescent="0.25">
      <c r="A56" s="98"/>
      <c r="B56" s="98"/>
      <c r="C56" s="98"/>
      <c r="D56" s="98"/>
      <c r="E56" s="98"/>
      <c r="F56" s="98"/>
      <c r="G56" s="1041"/>
      <c r="H56" s="1041"/>
      <c r="I56" s="1041"/>
      <c r="J56" s="1041"/>
      <c r="K56" s="98"/>
    </row>
    <row r="57" spans="1:11" ht="15.6" customHeight="1" x14ac:dyDescent="0.25">
      <c r="A57" s="98"/>
      <c r="B57" s="98"/>
      <c r="C57" s="98"/>
      <c r="D57" s="98"/>
      <c r="E57" s="98"/>
      <c r="F57" s="98"/>
      <c r="G57" s="1041"/>
      <c r="H57" s="1041"/>
      <c r="I57" s="1041"/>
      <c r="J57" s="1041"/>
      <c r="K57" s="98"/>
    </row>
    <row r="58" spans="1:11" ht="15.6" customHeight="1" x14ac:dyDescent="0.25">
      <c r="A58" s="98"/>
      <c r="B58" s="98"/>
      <c r="C58" s="98"/>
      <c r="D58" s="98"/>
      <c r="E58" s="98"/>
      <c r="F58" s="98"/>
      <c r="G58" s="1041"/>
      <c r="H58" s="1041"/>
      <c r="I58" s="1041"/>
      <c r="J58" s="1041"/>
      <c r="K58" s="98"/>
    </row>
    <row r="59" spans="1:11" ht="15.6" customHeight="1" x14ac:dyDescent="0.25">
      <c r="A59" s="98"/>
      <c r="B59" s="98"/>
      <c r="C59" s="98"/>
      <c r="D59" s="98"/>
      <c r="E59" s="98"/>
      <c r="F59" s="98"/>
      <c r="G59" s="1041"/>
      <c r="H59" s="1041"/>
      <c r="I59" s="1041"/>
      <c r="J59" s="1041"/>
      <c r="K59" s="98"/>
    </row>
    <row r="60" spans="1:11" ht="15.6" customHeight="1" x14ac:dyDescent="0.25">
      <c r="A60" s="98"/>
      <c r="B60" s="98"/>
      <c r="C60" s="98"/>
      <c r="D60" s="98"/>
      <c r="E60" s="98"/>
      <c r="F60" s="98"/>
      <c r="G60" s="1041"/>
      <c r="H60" s="1041"/>
      <c r="I60" s="1041"/>
      <c r="J60" s="1041"/>
      <c r="K60" s="98"/>
    </row>
    <row r="61" spans="1:11" ht="15.6" customHeight="1" x14ac:dyDescent="0.25">
      <c r="A61" s="98"/>
      <c r="B61" s="98"/>
      <c r="C61" s="98"/>
      <c r="D61" s="98"/>
      <c r="E61" s="98"/>
      <c r="F61" s="98"/>
      <c r="G61" s="1041"/>
      <c r="H61" s="1041"/>
      <c r="I61" s="1041"/>
      <c r="J61" s="1041"/>
      <c r="K61" s="98"/>
    </row>
    <row r="62" spans="1:11" ht="15.6" customHeight="1" x14ac:dyDescent="0.25">
      <c r="A62" s="98"/>
      <c r="B62" s="98"/>
      <c r="C62" s="98"/>
      <c r="D62" s="98"/>
      <c r="E62" s="98"/>
      <c r="F62" s="98"/>
      <c r="G62" s="1041"/>
      <c r="H62" s="1041"/>
      <c r="I62" s="1041"/>
      <c r="J62" s="1041"/>
      <c r="K62" s="98"/>
    </row>
    <row r="63" spans="1:11" ht="15.6" customHeight="1" x14ac:dyDescent="0.25">
      <c r="A63" s="98"/>
      <c r="B63" s="98"/>
      <c r="C63" s="98"/>
      <c r="D63" s="98"/>
      <c r="E63" s="98"/>
      <c r="F63" s="98"/>
      <c r="G63" s="1041"/>
      <c r="H63" s="1041"/>
      <c r="I63" s="1041"/>
      <c r="J63" s="1041"/>
      <c r="K63" s="98"/>
    </row>
    <row r="64" spans="1:11" ht="15.6" customHeight="1" x14ac:dyDescent="0.25">
      <c r="A64" s="98"/>
      <c r="B64" s="98"/>
      <c r="C64" s="98"/>
      <c r="D64" s="98"/>
      <c r="E64" s="98"/>
      <c r="F64" s="98"/>
      <c r="G64" s="1041"/>
      <c r="H64" s="1041"/>
      <c r="I64" s="1041"/>
      <c r="J64" s="1041"/>
      <c r="K64" s="98"/>
    </row>
    <row r="65" spans="1:11" ht="15.6" customHeight="1" x14ac:dyDescent="0.25">
      <c r="A65" s="98"/>
      <c r="B65" s="98"/>
      <c r="C65" s="98"/>
      <c r="D65" s="98"/>
      <c r="E65" s="98"/>
      <c r="F65" s="98"/>
      <c r="G65" s="1041"/>
      <c r="H65" s="1041"/>
      <c r="I65" s="1041"/>
      <c r="J65" s="1041"/>
      <c r="K65" s="98"/>
    </row>
    <row r="66" spans="1:11" ht="15.6" customHeight="1" x14ac:dyDescent="0.25">
      <c r="A66" s="98"/>
      <c r="B66" s="98"/>
      <c r="C66" s="98"/>
      <c r="D66" s="98"/>
      <c r="E66" s="98"/>
      <c r="F66" s="98"/>
      <c r="G66" s="1041"/>
      <c r="H66" s="1041"/>
      <c r="I66" s="1041"/>
      <c r="J66" s="1041"/>
      <c r="K66" s="98"/>
    </row>
    <row r="67" spans="1:11" ht="15.6" customHeight="1" x14ac:dyDescent="0.25">
      <c r="A67" s="98"/>
      <c r="B67" s="98"/>
      <c r="C67" s="98"/>
      <c r="D67" s="98"/>
      <c r="E67" s="98"/>
      <c r="F67" s="98"/>
      <c r="G67" s="1041"/>
      <c r="H67" s="1041"/>
      <c r="I67" s="1041"/>
      <c r="J67" s="1041"/>
      <c r="K67" s="98"/>
    </row>
    <row r="68" spans="1:11" ht="15.6" customHeight="1" x14ac:dyDescent="0.25">
      <c r="A68" s="98"/>
      <c r="B68" s="98"/>
      <c r="C68" s="98"/>
      <c r="D68" s="98"/>
      <c r="E68" s="98"/>
      <c r="F68" s="98"/>
      <c r="G68" s="1041"/>
      <c r="H68" s="1041"/>
      <c r="I68" s="1041"/>
      <c r="J68" s="1041"/>
      <c r="K68" s="98"/>
    </row>
    <row r="69" spans="1:11" ht="15.6" customHeight="1" x14ac:dyDescent="0.25">
      <c r="A69" s="98"/>
      <c r="B69" s="98"/>
      <c r="C69" s="98"/>
      <c r="D69" s="98"/>
      <c r="E69" s="98"/>
      <c r="F69" s="98"/>
      <c r="G69" s="1041"/>
      <c r="H69" s="1041"/>
      <c r="I69" s="1041"/>
      <c r="J69" s="1041"/>
      <c r="K69" s="98"/>
    </row>
    <row r="70" spans="1:11" ht="15.6" customHeight="1" x14ac:dyDescent="0.25">
      <c r="A70" s="98"/>
      <c r="B70" s="98"/>
      <c r="C70" s="98"/>
      <c r="D70" s="98"/>
      <c r="E70" s="98"/>
      <c r="F70" s="98"/>
      <c r="G70" s="1041"/>
      <c r="H70" s="1041"/>
      <c r="I70" s="1041"/>
      <c r="J70" s="1041"/>
      <c r="K70" s="98"/>
    </row>
    <row r="71" spans="1:11" ht="15.6" customHeight="1" x14ac:dyDescent="0.25">
      <c r="A71" s="98"/>
      <c r="B71" s="98"/>
      <c r="C71" s="98"/>
      <c r="D71" s="98"/>
      <c r="E71" s="98"/>
      <c r="F71" s="98"/>
      <c r="G71" s="1041"/>
      <c r="H71" s="1041"/>
      <c r="I71" s="1041"/>
      <c r="J71" s="1041"/>
      <c r="K71" s="98"/>
    </row>
    <row r="72" spans="1:11" ht="15.6" customHeight="1" x14ac:dyDescent="0.25">
      <c r="A72" s="98"/>
      <c r="B72" s="98"/>
      <c r="C72" s="98"/>
      <c r="D72" s="98"/>
      <c r="E72" s="98"/>
      <c r="F72" s="98"/>
      <c r="G72" s="1041"/>
      <c r="H72" s="1041"/>
      <c r="I72" s="1041"/>
      <c r="J72" s="1041"/>
      <c r="K72" s="98"/>
    </row>
    <row r="73" spans="1:11" ht="15.6" customHeight="1" x14ac:dyDescent="0.25">
      <c r="A73" s="98"/>
      <c r="B73" s="98"/>
      <c r="C73" s="98"/>
      <c r="D73" s="98"/>
      <c r="E73" s="98"/>
      <c r="F73" s="98"/>
      <c r="G73" s="1041"/>
      <c r="H73" s="1041"/>
      <c r="I73" s="1041"/>
      <c r="J73" s="1041"/>
      <c r="K73" s="98"/>
    </row>
    <row r="74" spans="1:11" ht="15.6" customHeight="1" x14ac:dyDescent="0.25">
      <c r="A74" s="98"/>
      <c r="B74" s="98"/>
      <c r="C74" s="98"/>
      <c r="D74" s="98"/>
      <c r="E74" s="98"/>
      <c r="F74" s="98"/>
      <c r="G74" s="1041"/>
      <c r="H74" s="1041"/>
      <c r="I74" s="1041"/>
      <c r="J74" s="1041"/>
      <c r="K74" s="98"/>
    </row>
    <row r="75" spans="1:11" ht="15.6" customHeight="1" x14ac:dyDescent="0.25">
      <c r="A75" s="98"/>
      <c r="B75" s="98"/>
      <c r="C75" s="98"/>
      <c r="D75" s="98"/>
      <c r="E75" s="98"/>
      <c r="F75" s="98"/>
      <c r="G75" s="1041"/>
      <c r="H75" s="1041"/>
      <c r="I75" s="1041"/>
      <c r="J75" s="1041"/>
      <c r="K75" s="98"/>
    </row>
    <row r="76" spans="1:11" ht="15.6" customHeight="1" x14ac:dyDescent="0.25">
      <c r="A76" s="98"/>
      <c r="B76" s="98"/>
      <c r="C76" s="98"/>
      <c r="D76" s="98"/>
      <c r="E76" s="98"/>
      <c r="F76" s="98"/>
      <c r="G76" s="1041"/>
      <c r="H76" s="1041"/>
      <c r="I76" s="1041"/>
      <c r="J76" s="1041"/>
      <c r="K76" s="98"/>
    </row>
    <row r="77" spans="1:11" ht="15.6" customHeight="1" x14ac:dyDescent="0.25">
      <c r="A77" s="98"/>
      <c r="B77" s="98"/>
      <c r="C77" s="98"/>
      <c r="D77" s="98"/>
      <c r="E77" s="98"/>
      <c r="F77" s="98"/>
      <c r="G77" s="1041"/>
      <c r="H77" s="1041"/>
      <c r="I77" s="1041"/>
      <c r="J77" s="1041"/>
      <c r="K77" s="98"/>
    </row>
    <row r="78" spans="1:11" ht="15.6" customHeight="1" x14ac:dyDescent="0.25">
      <c r="A78" s="98"/>
      <c r="B78" s="98"/>
      <c r="C78" s="98"/>
      <c r="D78" s="98"/>
      <c r="E78" s="98"/>
      <c r="F78" s="98"/>
      <c r="G78" s="1041"/>
      <c r="H78" s="1041"/>
      <c r="I78" s="1041"/>
      <c r="J78" s="1041"/>
      <c r="K78" s="98"/>
    </row>
    <row r="79" spans="1:11" ht="15.6" customHeight="1" x14ac:dyDescent="0.25">
      <c r="A79" s="98"/>
      <c r="B79" s="98"/>
      <c r="C79" s="98"/>
      <c r="D79" s="98"/>
      <c r="E79" s="98"/>
      <c r="F79" s="98"/>
      <c r="G79" s="1041"/>
      <c r="H79" s="1041"/>
      <c r="I79" s="1041"/>
      <c r="J79" s="1041"/>
      <c r="K79" s="98"/>
    </row>
    <row r="80" spans="1:11" ht="15.6" customHeight="1" x14ac:dyDescent="0.25">
      <c r="A80" s="98"/>
      <c r="B80" s="98"/>
      <c r="C80" s="98"/>
      <c r="D80" s="98"/>
      <c r="E80" s="98"/>
      <c r="F80" s="98"/>
      <c r="G80" s="1041"/>
      <c r="H80" s="1041"/>
      <c r="I80" s="1041"/>
      <c r="J80" s="1041"/>
      <c r="K80" s="98"/>
    </row>
    <row r="81" spans="1:11" ht="15.6" customHeight="1" x14ac:dyDescent="0.25">
      <c r="A81" s="98"/>
      <c r="B81" s="98"/>
      <c r="C81" s="98"/>
      <c r="D81" s="98"/>
      <c r="E81" s="98"/>
      <c r="F81" s="98"/>
      <c r="G81" s="1041"/>
      <c r="H81" s="1041"/>
      <c r="I81" s="1041"/>
      <c r="J81" s="1041"/>
      <c r="K81" s="98"/>
    </row>
    <row r="82" spans="1:11" ht="15.6" customHeight="1" x14ac:dyDescent="0.25">
      <c r="A82" s="98"/>
      <c r="B82" s="98"/>
      <c r="C82" s="98"/>
      <c r="D82" s="98"/>
      <c r="E82" s="98"/>
      <c r="F82" s="98"/>
      <c r="G82" s="1041"/>
      <c r="H82" s="1041"/>
      <c r="I82" s="1041"/>
      <c r="J82" s="1041"/>
      <c r="K82" s="98"/>
    </row>
    <row r="83" spans="1:11" ht="15.6" customHeight="1" x14ac:dyDescent="0.25">
      <c r="A83" s="98"/>
      <c r="B83" s="98"/>
      <c r="C83" s="98"/>
      <c r="D83" s="98"/>
      <c r="E83" s="98"/>
      <c r="F83" s="98"/>
      <c r="G83" s="98"/>
      <c r="H83" s="98"/>
      <c r="I83" s="98"/>
      <c r="J83" s="98"/>
      <c r="K83" s="98"/>
    </row>
    <row r="84" spans="1:11" ht="15.6" customHeight="1" x14ac:dyDescent="0.25">
      <c r="A84" s="98"/>
      <c r="B84" s="98"/>
      <c r="C84" s="98"/>
      <c r="D84" s="98"/>
      <c r="E84" s="98"/>
      <c r="F84" s="98"/>
      <c r="G84" s="98"/>
      <c r="H84" s="98"/>
      <c r="I84" s="98"/>
      <c r="J84" s="98"/>
      <c r="K84" s="98"/>
    </row>
    <row r="85" spans="1:11" ht="15.6" customHeight="1" x14ac:dyDescent="0.25">
      <c r="A85" s="98"/>
      <c r="B85" s="98"/>
      <c r="C85" s="98"/>
      <c r="D85" s="98"/>
      <c r="E85" s="98"/>
      <c r="F85" s="98"/>
      <c r="G85" s="98"/>
      <c r="H85" s="98"/>
      <c r="I85" s="98"/>
      <c r="J85" s="98"/>
      <c r="K85" s="98"/>
    </row>
    <row r="86" spans="1:11" ht="15.6" customHeight="1" x14ac:dyDescent="0.25">
      <c r="A86" s="98"/>
      <c r="B86" s="98"/>
      <c r="C86" s="98"/>
      <c r="D86" s="98"/>
      <c r="E86" s="98"/>
      <c r="F86" s="98"/>
      <c r="G86" s="98"/>
      <c r="H86" s="98"/>
      <c r="I86" s="98"/>
      <c r="J86" s="98"/>
      <c r="K86" s="98"/>
    </row>
    <row r="87" spans="1:11" x14ac:dyDescent="0.25">
      <c r="A87" s="98"/>
      <c r="B87" s="98"/>
      <c r="C87" s="98"/>
      <c r="D87" s="98"/>
      <c r="E87" s="98"/>
      <c r="F87" s="98"/>
      <c r="G87" s="98"/>
      <c r="H87" s="98"/>
      <c r="I87" s="98"/>
      <c r="J87" s="98"/>
      <c r="K87" s="98"/>
    </row>
    <row r="88" spans="1:11" x14ac:dyDescent="0.25">
      <c r="A88" s="98"/>
      <c r="B88" s="98"/>
      <c r="C88" s="98"/>
      <c r="D88" s="98"/>
      <c r="E88" s="98"/>
      <c r="F88" s="98"/>
      <c r="G88" s="98"/>
      <c r="H88" s="98"/>
      <c r="I88" s="98"/>
      <c r="J88" s="98"/>
      <c r="K88" s="98"/>
    </row>
    <row r="89" spans="1:11" x14ac:dyDescent="0.25">
      <c r="A89" s="98"/>
      <c r="B89" s="98"/>
      <c r="C89" s="98"/>
      <c r="D89" s="98"/>
      <c r="E89" s="98"/>
      <c r="F89" s="98"/>
      <c r="G89" s="98"/>
      <c r="H89" s="98"/>
      <c r="I89" s="98"/>
      <c r="J89" s="98"/>
      <c r="K89" s="98"/>
    </row>
    <row r="90" spans="1:11" x14ac:dyDescent="0.25">
      <c r="A90" s="98"/>
      <c r="B90" s="98"/>
      <c r="C90" s="98"/>
      <c r="D90" s="98"/>
      <c r="E90" s="98"/>
      <c r="F90" s="98"/>
      <c r="G90" s="98"/>
      <c r="H90" s="98"/>
      <c r="I90" s="98"/>
      <c r="J90" s="98"/>
      <c r="K90" s="98"/>
    </row>
    <row r="91" spans="1:11" x14ac:dyDescent="0.25">
      <c r="A91" s="98"/>
      <c r="B91" s="1032" t="s">
        <v>939</v>
      </c>
      <c r="C91" s="1032"/>
      <c r="D91" s="1032"/>
      <c r="E91" s="1032"/>
      <c r="F91" s="1032"/>
      <c r="G91" s="1032"/>
      <c r="H91" s="1032"/>
      <c r="I91" s="1032"/>
      <c r="J91" s="1032"/>
      <c r="K91" s="98"/>
    </row>
  </sheetData>
  <sheetProtection algorithmName="SHA-512" hashValue="GPi7gH70868gJ+bMqaZzjNNXSgE1vfOZVPxM/TRComb8wQZfu0AzTeORRqcnIl+hJwxcKKGEKT5MM2JxqblRCg==" saltValue="hcysEr6EW4lnrQMZwwC/WQ==" spinCount="100000" sheet="1" objects="1" scenarios="1"/>
  <mergeCells count="12">
    <mergeCell ref="B91:J91"/>
    <mergeCell ref="B12:J12"/>
    <mergeCell ref="B7:J7"/>
    <mergeCell ref="E10:J10"/>
    <mergeCell ref="C13:D13"/>
    <mergeCell ref="E13:H13"/>
    <mergeCell ref="I13:J13"/>
    <mergeCell ref="B26:E26"/>
    <mergeCell ref="G26:J26"/>
    <mergeCell ref="B46:E46"/>
    <mergeCell ref="G52:J52"/>
    <mergeCell ref="G53:J82"/>
  </mergeCells>
  <conditionalFormatting sqref="C16:J24">
    <cfRule type="cellIs" dxfId="9" priority="1" operator="equal">
      <formula>0</formula>
    </cfRule>
    <cfRule type="cellIs" dxfId="8" priority="2" operator="between">
      <formula>0.4</formula>
      <formula>0.69</formula>
    </cfRule>
    <cfRule type="cellIs" dxfId="7" priority="3" operator="between">
      <formula>0.2</formula>
      <formula>0.39</formula>
    </cfRule>
    <cfRule type="cellIs" dxfId="6" priority="4" operator="between">
      <formula>0.01</formula>
      <formula>0.19</formula>
    </cfRule>
    <cfRule type="cellIs" dxfId="5" priority="5" operator="between">
      <formula>0.7</formula>
      <formula>1</formula>
    </cfRule>
  </conditionalFormatting>
  <pageMargins left="0.39370078740157483" right="0.39370078740157483" top="0.39370078740157483" bottom="0.39370078740157483" header="0.31496062992125984" footer="0.31496062992125984"/>
  <pageSetup paperSize="14"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4E059-76A7-47F7-94EC-C753D7C6C9C1}">
          <x14:formula1>
            <xm:f>PGLOBAL!$A$10:$A$171</xm:f>
          </x14:formula1>
          <xm:sqref>E10:J10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466CD-05FC-436E-AAD0-A9BF1B6060C0}">
  <sheetPr codeName="Hoja17">
    <tabColor rgb="FF00B050"/>
  </sheetPr>
  <dimension ref="A1:I79"/>
  <sheetViews>
    <sheetView topLeftCell="A10" zoomScale="90" zoomScaleNormal="90" workbookViewId="0">
      <selection activeCell="E15" sqref="E15"/>
    </sheetView>
  </sheetViews>
  <sheetFormatPr baseColWidth="10" defaultColWidth="12.5703125" defaultRowHeight="15.75" x14ac:dyDescent="0.25"/>
  <cols>
    <col min="1" max="1" width="6" style="99" customWidth="1"/>
    <col min="2" max="3" width="21.28515625" style="99" customWidth="1"/>
    <col min="4" max="5" width="50.85546875" style="99" customWidth="1"/>
    <col min="6" max="6" width="21.42578125" style="99" customWidth="1"/>
    <col min="7" max="7" width="5.85546875" style="99" customWidth="1"/>
    <col min="8" max="16384" width="12.5703125" style="99"/>
  </cols>
  <sheetData>
    <row r="1" spans="1:8" x14ac:dyDescent="0.25">
      <c r="A1" s="98"/>
      <c r="B1" s="98"/>
      <c r="C1" s="98"/>
      <c r="D1" s="98"/>
      <c r="E1" s="98"/>
      <c r="F1" s="98"/>
      <c r="G1" s="98"/>
    </row>
    <row r="2" spans="1:8" x14ac:dyDescent="0.25">
      <c r="A2" s="98"/>
      <c r="B2" s="98"/>
      <c r="C2" s="98"/>
      <c r="D2" s="98"/>
      <c r="E2" s="98"/>
      <c r="F2" s="98"/>
      <c r="G2" s="98"/>
    </row>
    <row r="3" spans="1:8" x14ac:dyDescent="0.25">
      <c r="A3" s="98"/>
      <c r="B3" s="98"/>
      <c r="C3" s="98"/>
      <c r="D3" s="98"/>
      <c r="E3" s="98"/>
      <c r="F3" s="98"/>
      <c r="G3" s="98"/>
    </row>
    <row r="4" spans="1:8" x14ac:dyDescent="0.25">
      <c r="A4" s="98"/>
      <c r="B4" s="98"/>
      <c r="C4" s="98"/>
      <c r="D4" s="98"/>
      <c r="E4" s="98"/>
      <c r="F4" s="98"/>
      <c r="G4" s="98"/>
    </row>
    <row r="5" spans="1:8" x14ac:dyDescent="0.25">
      <c r="A5" s="98"/>
      <c r="B5" s="98"/>
      <c r="C5" s="98"/>
      <c r="D5" s="98"/>
      <c r="E5" s="98"/>
      <c r="F5" s="98"/>
      <c r="G5" s="98"/>
    </row>
    <row r="6" spans="1:8" x14ac:dyDescent="0.25">
      <c r="A6" s="98"/>
      <c r="B6" s="98"/>
      <c r="C6" s="98"/>
      <c r="D6" s="98"/>
      <c r="E6" s="98"/>
      <c r="F6" s="98"/>
      <c r="G6" s="98"/>
    </row>
    <row r="7" spans="1:8" ht="31.9" customHeight="1" x14ac:dyDescent="0.25">
      <c r="A7" s="98"/>
      <c r="B7" s="98"/>
      <c r="C7" s="98"/>
      <c r="D7" s="98"/>
      <c r="E7" s="98"/>
      <c r="F7" s="98"/>
      <c r="G7" s="98"/>
    </row>
    <row r="8" spans="1:8" ht="65.25" customHeight="1" x14ac:dyDescent="0.25">
      <c r="A8" s="98"/>
      <c r="B8" s="869" t="s">
        <v>867</v>
      </c>
      <c r="C8" s="869"/>
      <c r="D8" s="869"/>
      <c r="E8" s="869"/>
      <c r="F8" s="869"/>
      <c r="G8" s="237"/>
      <c r="H8" s="238"/>
    </row>
    <row r="9" spans="1:8" x14ac:dyDescent="0.25">
      <c r="A9" s="98"/>
      <c r="B9" s="98"/>
      <c r="C9" s="98"/>
      <c r="D9" s="98"/>
      <c r="E9" s="98"/>
      <c r="F9" s="98"/>
      <c r="G9" s="98"/>
    </row>
    <row r="10" spans="1:8" x14ac:dyDescent="0.25">
      <c r="A10" s="98"/>
      <c r="B10" s="98"/>
      <c r="C10" s="98"/>
      <c r="D10" s="98"/>
      <c r="E10" s="98"/>
      <c r="F10" s="98"/>
      <c r="G10" s="98"/>
    </row>
    <row r="11" spans="1:8" ht="30" customHeight="1" x14ac:dyDescent="0.3">
      <c r="A11" s="98"/>
      <c r="B11" s="1055" t="s">
        <v>859</v>
      </c>
      <c r="C11" s="1055"/>
      <c r="D11" s="959" t="s">
        <v>23</v>
      </c>
      <c r="E11" s="959"/>
      <c r="F11" s="98"/>
      <c r="G11" s="98"/>
    </row>
    <row r="12" spans="1:8" ht="18.75" x14ac:dyDescent="0.3">
      <c r="A12" s="98"/>
      <c r="B12" s="102"/>
      <c r="C12" s="102"/>
      <c r="D12" s="98"/>
      <c r="E12" s="98"/>
      <c r="F12" s="98"/>
      <c r="G12" s="98"/>
    </row>
    <row r="13" spans="1:8" ht="58.5" customHeight="1" x14ac:dyDescent="0.25">
      <c r="A13" s="98"/>
      <c r="B13" s="98"/>
      <c r="C13" s="1054" t="s">
        <v>1068</v>
      </c>
      <c r="D13" s="1054"/>
      <c r="E13" s="1054"/>
      <c r="F13" s="98"/>
      <c r="G13" s="98"/>
    </row>
    <row r="14" spans="1:8" ht="64.150000000000006" customHeight="1" x14ac:dyDescent="0.25">
      <c r="A14" s="98"/>
      <c r="B14" s="98"/>
      <c r="C14" s="385" t="s">
        <v>855</v>
      </c>
      <c r="D14" s="419" t="s">
        <v>1066</v>
      </c>
      <c r="E14" s="395" t="s">
        <v>1067</v>
      </c>
      <c r="F14" s="98"/>
      <c r="G14" s="98"/>
    </row>
    <row r="15" spans="1:8" ht="93.95" customHeight="1" x14ac:dyDescent="0.35">
      <c r="A15" s="98"/>
      <c r="B15" s="98"/>
      <c r="C15" s="385" t="s">
        <v>868</v>
      </c>
      <c r="D15" s="420" t="s">
        <v>384</v>
      </c>
      <c r="E15" s="420" t="s">
        <v>380</v>
      </c>
      <c r="F15" s="98"/>
      <c r="G15" s="98"/>
      <c r="H15" s="114"/>
    </row>
    <row r="16" spans="1:8" ht="116.45" customHeight="1" x14ac:dyDescent="0.35">
      <c r="A16" s="98"/>
      <c r="B16" s="98"/>
      <c r="C16" s="421" t="s">
        <v>1044</v>
      </c>
      <c r="D16" s="418" t="s">
        <v>1069</v>
      </c>
      <c r="E16" s="422" t="s">
        <v>1043</v>
      </c>
      <c r="F16" s="98"/>
      <c r="G16" s="98"/>
      <c r="H16" s="114"/>
    </row>
    <row r="17" spans="1:9" ht="20.25" x14ac:dyDescent="0.25">
      <c r="A17" s="98"/>
      <c r="B17" s="98"/>
      <c r="C17" s="104">
        <v>2016</v>
      </c>
      <c r="D17" s="105" t="s">
        <v>398</v>
      </c>
      <c r="E17" s="415">
        <f>VLOOKUP($D$11,CN!$A$10:$FA$171,33,0)</f>
        <v>0.4</v>
      </c>
      <c r="F17" s="98"/>
      <c r="G17" s="98"/>
    </row>
    <row r="18" spans="1:9" ht="20.25" x14ac:dyDescent="0.25">
      <c r="A18" s="98"/>
      <c r="B18" s="98"/>
      <c r="C18" s="104">
        <v>2017</v>
      </c>
      <c r="D18" s="105">
        <f>VLOOKUP($D$11,CN!$A$10:$FA$171,64,0)</f>
        <v>0.44</v>
      </c>
      <c r="E18" s="105">
        <f>VLOOKUP($D$11,CN!$A$10:$FA$171,63,0)</f>
        <v>0.42</v>
      </c>
      <c r="F18" s="98"/>
      <c r="G18" s="98"/>
    </row>
    <row r="19" spans="1:9" ht="20.25" x14ac:dyDescent="0.25">
      <c r="A19" s="98"/>
      <c r="B19" s="98"/>
      <c r="C19" s="104">
        <v>2018</v>
      </c>
      <c r="D19" s="105">
        <f>VLOOKUP($D$11,CN!$A$10:$FA$171,75,0)</f>
        <v>0.63</v>
      </c>
      <c r="E19" s="105">
        <f>VLOOKUP($D$11,CN!$A$10:$FA$171,82,0)</f>
        <v>0.4</v>
      </c>
      <c r="F19" s="98"/>
      <c r="G19" s="98"/>
    </row>
    <row r="20" spans="1:9" ht="20.25" x14ac:dyDescent="0.25">
      <c r="A20" s="98"/>
      <c r="B20" s="98"/>
      <c r="C20" s="104">
        <v>2019</v>
      </c>
      <c r="D20" s="105">
        <f>VLOOKUP($D$11,CN!$A$10:$FA$171,126,0)</f>
        <v>0.56999999999999995</v>
      </c>
      <c r="E20" s="105">
        <f>VLOOKUP($D$11,CN!$A$10:$FA$171,120,0)</f>
        <v>0.47</v>
      </c>
      <c r="F20" s="98"/>
      <c r="G20" s="109"/>
    </row>
    <row r="21" spans="1:9" ht="21" customHeight="1" x14ac:dyDescent="0.25">
      <c r="A21" s="98"/>
      <c r="B21" s="98"/>
      <c r="C21" s="104">
        <v>2020</v>
      </c>
      <c r="D21" s="105">
        <f>VLOOKUP($D$11,CN!$A$10:$FA$171,139,0)</f>
        <v>0.51</v>
      </c>
      <c r="E21" s="105">
        <f>VLOOKUP($D$11,CN!$A$10:$FA$171,153,0)</f>
        <v>0.34</v>
      </c>
      <c r="F21" s="98"/>
      <c r="G21" s="98"/>
      <c r="I21" s="115"/>
    </row>
    <row r="22" spans="1:9" ht="21" customHeight="1" x14ac:dyDescent="0.25">
      <c r="A22" s="98"/>
      <c r="B22" s="98"/>
      <c r="C22" s="104">
        <v>2021</v>
      </c>
      <c r="D22" s="105">
        <f>VLOOKUP($D$11,CN!$A$10:$GI$171,176,0)</f>
        <v>0.5</v>
      </c>
      <c r="E22" s="105">
        <f>VLOOKUP($D$11,CN!$A$10:$GI$171,179,0)</f>
        <v>0.59</v>
      </c>
      <c r="F22" s="98"/>
      <c r="G22" s="98"/>
      <c r="I22" s="115"/>
    </row>
    <row r="23" spans="1:9" ht="21" customHeight="1" x14ac:dyDescent="0.25">
      <c r="A23" s="98"/>
      <c r="B23" s="98"/>
      <c r="C23" s="104">
        <v>2022</v>
      </c>
      <c r="D23" s="105">
        <f>VLOOKUP($D$11,CN!$A$10:$HQ$171,220,0)</f>
        <v>0.41</v>
      </c>
      <c r="E23" s="105">
        <f>VLOOKUP($D$11,CN!$A$10:$HQ$171,222,0)</f>
        <v>0.47</v>
      </c>
      <c r="F23" s="98"/>
      <c r="G23" s="98"/>
      <c r="I23" s="115"/>
    </row>
    <row r="24" spans="1:9" ht="21" customHeight="1" x14ac:dyDescent="0.25">
      <c r="A24" s="98"/>
      <c r="B24" s="98"/>
      <c r="C24" s="104">
        <v>2023</v>
      </c>
      <c r="D24" s="105">
        <f>VLOOKUP($D$11,CN!$A$10:$IY$171,234,0)</f>
        <v>0.39</v>
      </c>
      <c r="E24" s="105">
        <f>VLOOKUP($D$11,CN!$A$10:$IY$171,239,0)</f>
        <v>0.35</v>
      </c>
      <c r="F24" s="98"/>
      <c r="G24" s="98"/>
      <c r="I24" s="115"/>
    </row>
    <row r="25" spans="1:9" ht="21" customHeight="1" x14ac:dyDescent="0.25">
      <c r="A25" s="98"/>
      <c r="B25" s="98"/>
      <c r="C25" s="104">
        <v>2024</v>
      </c>
      <c r="D25" s="105">
        <f>VLOOKUP($D$11,CN!$A$10:$KG$171,292,0)</f>
        <v>0.45</v>
      </c>
      <c r="E25" s="105">
        <f>VLOOKUP($D$11,CN!$A$10:$KG$171,293,0)</f>
        <v>0.47</v>
      </c>
      <c r="F25" s="98"/>
      <c r="G25" s="98"/>
      <c r="I25" s="115"/>
    </row>
    <row r="26" spans="1:9" ht="21" customHeight="1" x14ac:dyDescent="0.25">
      <c r="A26" s="98"/>
      <c r="B26" s="98"/>
      <c r="C26" s="98"/>
      <c r="D26" s="98"/>
      <c r="E26" s="98"/>
      <c r="F26" s="98"/>
      <c r="G26" s="98"/>
      <c r="I26" s="115"/>
    </row>
    <row r="27" spans="1:9" ht="21" customHeight="1" x14ac:dyDescent="0.25">
      <c r="A27" s="98"/>
      <c r="B27" s="98"/>
      <c r="C27" s="1052" t="str">
        <f>D14</f>
        <v>Uso comprensivo del conocimiento científico 
(3% de las preguntas)</v>
      </c>
      <c r="D27" s="1052"/>
      <c r="E27" s="1052"/>
      <c r="F27" s="98"/>
      <c r="G27" s="98"/>
      <c r="I27" s="115"/>
    </row>
    <row r="28" spans="1:9" ht="21" customHeight="1" x14ac:dyDescent="0.25">
      <c r="A28" s="98"/>
      <c r="B28" s="98"/>
      <c r="C28" s="98"/>
      <c r="D28" s="98"/>
      <c r="E28" s="98"/>
      <c r="F28" s="98"/>
      <c r="G28" s="98"/>
      <c r="I28" s="115"/>
    </row>
    <row r="29" spans="1:9" ht="21" customHeight="1" x14ac:dyDescent="0.25">
      <c r="A29" s="98"/>
      <c r="B29" s="98"/>
      <c r="C29" s="98"/>
      <c r="D29" s="98"/>
      <c r="E29" s="98"/>
      <c r="F29" s="98"/>
      <c r="G29" s="98"/>
      <c r="I29" s="115"/>
    </row>
    <row r="30" spans="1:9" ht="21" customHeight="1" x14ac:dyDescent="0.25">
      <c r="A30" s="98"/>
      <c r="B30" s="98"/>
      <c r="C30" s="98"/>
      <c r="D30" s="98"/>
      <c r="E30" s="98"/>
      <c r="F30" s="98"/>
      <c r="G30" s="98"/>
      <c r="I30" s="115"/>
    </row>
    <row r="31" spans="1:9" ht="21" customHeight="1" x14ac:dyDescent="0.25">
      <c r="A31" s="98"/>
      <c r="B31" s="98"/>
      <c r="C31" s="98"/>
      <c r="D31" s="98"/>
      <c r="E31" s="98"/>
      <c r="F31" s="98"/>
      <c r="G31" s="98"/>
      <c r="I31" s="115"/>
    </row>
    <row r="32" spans="1:9" ht="21" customHeight="1" x14ac:dyDescent="0.25">
      <c r="A32" s="98"/>
      <c r="B32" s="98"/>
      <c r="C32" s="98"/>
      <c r="D32" s="98"/>
      <c r="E32" s="98"/>
      <c r="F32" s="98"/>
      <c r="G32" s="98"/>
      <c r="I32" s="115"/>
    </row>
    <row r="33" spans="1:9" ht="21" customHeight="1" x14ac:dyDescent="0.25">
      <c r="A33" s="98"/>
      <c r="B33" s="98"/>
      <c r="C33" s="98"/>
      <c r="D33" s="98"/>
      <c r="E33" s="98"/>
      <c r="F33" s="98"/>
      <c r="G33" s="98"/>
      <c r="I33" s="115"/>
    </row>
    <row r="34" spans="1:9" ht="21" customHeight="1" x14ac:dyDescent="0.25">
      <c r="A34" s="98"/>
      <c r="B34" s="98"/>
      <c r="C34" s="98"/>
      <c r="D34" s="98"/>
      <c r="E34" s="98"/>
      <c r="F34" s="98"/>
      <c r="G34" s="98"/>
      <c r="I34" s="115"/>
    </row>
    <row r="35" spans="1:9" ht="21" customHeight="1" x14ac:dyDescent="0.25">
      <c r="A35" s="98"/>
      <c r="B35" s="98"/>
      <c r="C35" s="98"/>
      <c r="D35" s="98"/>
      <c r="E35" s="98"/>
      <c r="F35" s="98"/>
      <c r="G35" s="98"/>
      <c r="I35" s="115"/>
    </row>
    <row r="36" spans="1:9" ht="21" customHeight="1" x14ac:dyDescent="0.25">
      <c r="A36" s="98"/>
      <c r="B36" s="98"/>
      <c r="C36" s="98"/>
      <c r="D36" s="98"/>
      <c r="E36" s="98"/>
      <c r="F36" s="98"/>
      <c r="G36" s="98"/>
      <c r="I36" s="115"/>
    </row>
    <row r="37" spans="1:9" ht="21" customHeight="1" x14ac:dyDescent="0.25">
      <c r="A37" s="98"/>
      <c r="B37" s="98"/>
      <c r="C37" s="98"/>
      <c r="D37" s="98"/>
      <c r="E37" s="98"/>
      <c r="F37" s="98"/>
      <c r="G37" s="98"/>
      <c r="I37" s="115"/>
    </row>
    <row r="38" spans="1:9" ht="21" customHeight="1" x14ac:dyDescent="0.25">
      <c r="A38" s="98"/>
      <c r="B38" s="98"/>
      <c r="C38" s="98"/>
      <c r="D38" s="98"/>
      <c r="E38" s="98"/>
      <c r="F38" s="98"/>
      <c r="G38" s="98"/>
      <c r="I38" s="115"/>
    </row>
    <row r="39" spans="1:9" ht="21" customHeight="1" x14ac:dyDescent="0.25">
      <c r="A39" s="98"/>
      <c r="B39" s="98"/>
      <c r="C39" s="98"/>
      <c r="D39" s="98"/>
      <c r="E39" s="98"/>
      <c r="F39" s="98"/>
      <c r="G39" s="98"/>
      <c r="I39" s="115"/>
    </row>
    <row r="40" spans="1:9" ht="21" customHeight="1" x14ac:dyDescent="0.25">
      <c r="A40" s="98"/>
      <c r="B40" s="98"/>
      <c r="C40" s="98"/>
      <c r="D40" s="98"/>
      <c r="E40" s="98"/>
      <c r="F40" s="98"/>
      <c r="G40" s="98"/>
      <c r="I40" s="115"/>
    </row>
    <row r="41" spans="1:9" ht="21" customHeight="1" x14ac:dyDescent="0.25">
      <c r="A41" s="98"/>
      <c r="B41" s="98"/>
      <c r="C41" s="98"/>
      <c r="D41" s="98"/>
      <c r="E41" s="98"/>
      <c r="F41" s="98"/>
      <c r="G41" s="98"/>
      <c r="I41" s="115"/>
    </row>
    <row r="42" spans="1:9" ht="21" customHeight="1" x14ac:dyDescent="0.25">
      <c r="A42" s="98"/>
      <c r="B42" s="98"/>
      <c r="C42" s="98"/>
      <c r="D42" s="98"/>
      <c r="E42" s="98"/>
      <c r="F42" s="98"/>
      <c r="G42" s="98"/>
      <c r="I42" s="115"/>
    </row>
    <row r="43" spans="1:9" ht="23.25" x14ac:dyDescent="0.35">
      <c r="A43" s="98"/>
      <c r="B43" s="98"/>
      <c r="C43" s="1039" t="str">
        <f>E14</f>
        <v>Explicación de fenómenos
(3% de las preguntas)</v>
      </c>
      <c r="D43" s="1039"/>
      <c r="E43" s="1039"/>
      <c r="F43" s="98"/>
      <c r="G43" s="98"/>
    </row>
    <row r="44" spans="1:9" ht="15.6" customHeight="1" x14ac:dyDescent="0.25">
      <c r="A44" s="98"/>
      <c r="B44" s="98"/>
      <c r="C44" s="98"/>
      <c r="D44" s="98"/>
      <c r="E44" s="98"/>
      <c r="F44" s="98"/>
      <c r="G44" s="98"/>
    </row>
    <row r="45" spans="1:9" ht="15.6" customHeight="1" x14ac:dyDescent="0.25">
      <c r="A45" s="98"/>
      <c r="B45" s="98"/>
      <c r="C45" s="98"/>
      <c r="D45" s="98"/>
      <c r="E45" s="98"/>
      <c r="F45" s="98"/>
      <c r="G45" s="98"/>
    </row>
    <row r="46" spans="1:9" ht="15.6" customHeight="1" x14ac:dyDescent="0.25">
      <c r="A46" s="98"/>
      <c r="B46" s="98"/>
      <c r="C46" s="98"/>
      <c r="D46" s="98"/>
      <c r="E46" s="98"/>
      <c r="F46" s="98"/>
      <c r="G46" s="98"/>
    </row>
    <row r="47" spans="1:9" ht="15.6" customHeight="1" x14ac:dyDescent="0.25">
      <c r="A47" s="98"/>
      <c r="B47" s="98"/>
      <c r="C47" s="98"/>
      <c r="D47" s="98"/>
      <c r="E47" s="98"/>
      <c r="F47" s="98"/>
      <c r="G47" s="98"/>
    </row>
    <row r="48" spans="1:9" ht="15.6" customHeight="1" x14ac:dyDescent="0.25">
      <c r="A48" s="98"/>
      <c r="B48" s="98"/>
      <c r="C48" s="98"/>
      <c r="D48" s="98"/>
      <c r="E48" s="98"/>
      <c r="F48" s="98"/>
      <c r="G48" s="98"/>
    </row>
    <row r="49" spans="1:7" ht="15.6" customHeight="1" x14ac:dyDescent="0.25">
      <c r="A49" s="98"/>
      <c r="B49" s="98"/>
      <c r="C49" s="98"/>
      <c r="D49" s="98"/>
      <c r="E49" s="98"/>
      <c r="F49" s="98"/>
      <c r="G49" s="98"/>
    </row>
    <row r="50" spans="1:7" ht="15.6" customHeight="1" x14ac:dyDescent="0.25">
      <c r="A50" s="98"/>
      <c r="B50" s="98"/>
      <c r="C50" s="98"/>
      <c r="D50" s="98"/>
      <c r="E50" s="98"/>
      <c r="F50" s="98"/>
      <c r="G50" s="98"/>
    </row>
    <row r="51" spans="1:7" ht="15.6" customHeight="1" x14ac:dyDescent="0.25">
      <c r="A51" s="98"/>
      <c r="B51" s="98"/>
      <c r="C51" s="98"/>
      <c r="D51" s="98"/>
      <c r="E51" s="98"/>
      <c r="F51" s="98"/>
      <c r="G51" s="98"/>
    </row>
    <row r="52" spans="1:7" ht="15.6" customHeight="1" x14ac:dyDescent="0.25">
      <c r="A52" s="98"/>
      <c r="B52" s="98"/>
      <c r="C52" s="98"/>
      <c r="D52" s="98"/>
      <c r="E52" s="98"/>
      <c r="F52" s="98"/>
      <c r="G52" s="98"/>
    </row>
    <row r="53" spans="1:7" ht="15.6" customHeight="1" x14ac:dyDescent="0.25">
      <c r="A53" s="98"/>
      <c r="B53" s="98"/>
      <c r="C53" s="98"/>
      <c r="D53" s="98"/>
      <c r="E53" s="98"/>
      <c r="F53" s="98"/>
      <c r="G53" s="98"/>
    </row>
    <row r="54" spans="1:7" ht="15.75" customHeight="1" x14ac:dyDescent="0.25">
      <c r="A54" s="98"/>
      <c r="B54" s="98"/>
      <c r="C54" s="98"/>
      <c r="D54" s="98"/>
      <c r="E54" s="98"/>
      <c r="F54" s="98"/>
      <c r="G54" s="98"/>
    </row>
    <row r="55" spans="1:7" ht="26.25" customHeight="1" x14ac:dyDescent="0.25">
      <c r="A55" s="98"/>
      <c r="B55" s="98"/>
      <c r="C55" s="98"/>
      <c r="D55" s="98"/>
      <c r="E55" s="98"/>
      <c r="F55" s="98"/>
      <c r="G55" s="98"/>
    </row>
    <row r="56" spans="1:7" ht="15.6" customHeight="1" x14ac:dyDescent="0.25">
      <c r="A56" s="98"/>
      <c r="B56" s="98"/>
      <c r="C56" s="98"/>
      <c r="D56" s="98"/>
      <c r="E56" s="98"/>
      <c r="F56" s="98"/>
      <c r="G56" s="98"/>
    </row>
    <row r="57" spans="1:7" ht="15.6" customHeight="1" x14ac:dyDescent="0.25">
      <c r="A57" s="98"/>
      <c r="B57" s="98"/>
      <c r="C57" s="98"/>
      <c r="D57" s="98"/>
      <c r="E57" s="98"/>
      <c r="F57" s="98"/>
      <c r="G57" s="98"/>
    </row>
    <row r="58" spans="1:7" ht="15.6" customHeight="1" x14ac:dyDescent="0.25">
      <c r="A58" s="98"/>
      <c r="B58" s="98"/>
      <c r="C58" s="98"/>
      <c r="D58" s="98"/>
      <c r="E58" s="98"/>
      <c r="F58" s="98"/>
      <c r="G58" s="98"/>
    </row>
    <row r="59" spans="1:7" ht="15.6" customHeight="1" x14ac:dyDescent="0.25">
      <c r="A59" s="98"/>
      <c r="B59" s="98"/>
      <c r="C59" s="98"/>
      <c r="D59" s="98"/>
      <c r="E59" s="98"/>
      <c r="F59" s="98"/>
      <c r="G59" s="98"/>
    </row>
    <row r="60" spans="1:7" ht="15.6" customHeight="1" x14ac:dyDescent="0.25">
      <c r="A60" s="98"/>
      <c r="B60" s="98"/>
      <c r="C60" s="98"/>
      <c r="D60" s="98"/>
      <c r="E60" s="98"/>
      <c r="F60" s="98"/>
      <c r="G60" s="98"/>
    </row>
    <row r="61" spans="1:7" ht="15.6" customHeight="1" x14ac:dyDescent="0.25">
      <c r="A61" s="98"/>
      <c r="B61" s="98"/>
      <c r="C61" s="98"/>
      <c r="D61" s="98"/>
      <c r="E61" s="98"/>
      <c r="F61" s="98"/>
      <c r="G61" s="98"/>
    </row>
    <row r="62" spans="1:7" ht="15.6" customHeight="1" x14ac:dyDescent="0.25">
      <c r="A62" s="98"/>
      <c r="B62" s="98"/>
      <c r="C62" s="98"/>
      <c r="D62" s="98"/>
      <c r="E62" s="98"/>
      <c r="F62" s="98"/>
      <c r="G62" s="98"/>
    </row>
    <row r="63" spans="1:7" x14ac:dyDescent="0.25">
      <c r="A63" s="98"/>
      <c r="B63" s="98"/>
      <c r="C63" s="98"/>
      <c r="D63" s="98"/>
      <c r="E63" s="98"/>
      <c r="F63" s="98"/>
      <c r="G63" s="98"/>
    </row>
    <row r="64" spans="1:7" x14ac:dyDescent="0.25">
      <c r="A64" s="98"/>
      <c r="B64" s="98"/>
      <c r="C64" s="98"/>
      <c r="D64" s="98"/>
      <c r="E64" s="98"/>
      <c r="F64" s="98"/>
      <c r="G64" s="98"/>
    </row>
    <row r="65" spans="1:7" ht="18" x14ac:dyDescent="0.25">
      <c r="A65" s="98"/>
      <c r="B65" s="1051" t="s">
        <v>986</v>
      </c>
      <c r="C65" s="1051"/>
      <c r="D65" s="1051"/>
      <c r="E65" s="1051"/>
      <c r="F65" s="1051"/>
      <c r="G65" s="98"/>
    </row>
    <row r="66" spans="1:7" ht="409.6" customHeight="1" x14ac:dyDescent="0.25">
      <c r="A66" s="98"/>
      <c r="B66" s="1053" t="s">
        <v>996</v>
      </c>
      <c r="C66" s="1053"/>
      <c r="D66" s="1053"/>
      <c r="E66" s="1053"/>
      <c r="F66" s="1053"/>
      <c r="G66" s="98"/>
    </row>
    <row r="67" spans="1:7" ht="15.6" customHeight="1" x14ac:dyDescent="0.25">
      <c r="A67" s="98"/>
      <c r="B67" s="1053"/>
      <c r="C67" s="1053"/>
      <c r="D67" s="1053"/>
      <c r="E67" s="1053"/>
      <c r="F67" s="1053"/>
      <c r="G67" s="98"/>
    </row>
    <row r="68" spans="1:7" ht="15.6" customHeight="1" x14ac:dyDescent="0.25">
      <c r="A68" s="98"/>
      <c r="B68" s="1053"/>
      <c r="C68" s="1053"/>
      <c r="D68" s="1053"/>
      <c r="E68" s="1053"/>
      <c r="F68" s="1053"/>
      <c r="G68" s="98"/>
    </row>
    <row r="69" spans="1:7" ht="15.6" customHeight="1" x14ac:dyDescent="0.25">
      <c r="A69" s="98"/>
      <c r="B69" s="1053"/>
      <c r="C69" s="1053"/>
      <c r="D69" s="1053"/>
      <c r="E69" s="1053"/>
      <c r="F69" s="1053"/>
      <c r="G69" s="98"/>
    </row>
    <row r="70" spans="1:7" ht="15.6" customHeight="1" x14ac:dyDescent="0.25">
      <c r="A70" s="98"/>
      <c r="B70" s="1053"/>
      <c r="C70" s="1053"/>
      <c r="D70" s="1053"/>
      <c r="E70" s="1053"/>
      <c r="F70" s="1053"/>
      <c r="G70" s="98"/>
    </row>
    <row r="71" spans="1:7" ht="15.6" customHeight="1" x14ac:dyDescent="0.25">
      <c r="A71" s="98"/>
      <c r="B71" s="1053"/>
      <c r="C71" s="1053"/>
      <c r="D71" s="1053"/>
      <c r="E71" s="1053"/>
      <c r="F71" s="1053"/>
      <c r="G71" s="98"/>
    </row>
    <row r="72" spans="1:7" x14ac:dyDescent="0.25">
      <c r="A72" s="98"/>
      <c r="B72" s="1053"/>
      <c r="C72" s="1053"/>
      <c r="D72" s="1053"/>
      <c r="E72" s="1053"/>
      <c r="F72" s="1053"/>
      <c r="G72" s="98"/>
    </row>
    <row r="73" spans="1:7" x14ac:dyDescent="0.25">
      <c r="A73" s="98"/>
      <c r="B73" s="98"/>
      <c r="C73" s="98"/>
      <c r="D73" s="98"/>
      <c r="E73" s="98"/>
      <c r="F73" s="98"/>
      <c r="G73" s="98"/>
    </row>
    <row r="74" spans="1:7" x14ac:dyDescent="0.25">
      <c r="A74" s="98"/>
      <c r="B74" s="98"/>
      <c r="C74" s="98"/>
      <c r="D74" s="98"/>
      <c r="E74" s="98"/>
      <c r="F74" s="98"/>
      <c r="G74" s="98"/>
    </row>
    <row r="75" spans="1:7" x14ac:dyDescent="0.25">
      <c r="A75" s="98"/>
      <c r="B75" s="98"/>
      <c r="C75" s="98"/>
      <c r="D75" s="98"/>
      <c r="E75" s="98"/>
      <c r="F75" s="98"/>
      <c r="G75" s="98"/>
    </row>
    <row r="76" spans="1:7" x14ac:dyDescent="0.25">
      <c r="A76" s="98"/>
      <c r="B76" s="98"/>
      <c r="C76" s="98"/>
      <c r="D76" s="98"/>
      <c r="E76" s="98"/>
      <c r="F76" s="98"/>
      <c r="G76" s="98"/>
    </row>
    <row r="77" spans="1:7" x14ac:dyDescent="0.25">
      <c r="A77" s="98"/>
      <c r="B77" s="98"/>
      <c r="C77" s="98"/>
      <c r="D77" s="98"/>
      <c r="E77" s="98"/>
      <c r="F77" s="98"/>
      <c r="G77" s="98"/>
    </row>
    <row r="78" spans="1:7" x14ac:dyDescent="0.25">
      <c r="A78" s="98"/>
      <c r="B78" s="98"/>
      <c r="C78" s="98"/>
      <c r="D78" s="98"/>
      <c r="E78" s="98"/>
      <c r="F78" s="98"/>
      <c r="G78" s="98"/>
    </row>
    <row r="79" spans="1:7" x14ac:dyDescent="0.25">
      <c r="A79" s="98"/>
      <c r="B79" s="235" t="s">
        <v>939</v>
      </c>
      <c r="C79" s="98"/>
      <c r="D79" s="98"/>
      <c r="E79" s="98"/>
      <c r="F79" s="98"/>
      <c r="G79" s="98"/>
    </row>
  </sheetData>
  <sheetProtection algorithmName="SHA-512" hashValue="XpAJUnJsKrqw41MClnNqg48A0dfyYn9hIFXYkzsnKEk8V61jaIfBxzCdjQ72Lwqq0PUYldibGIcP9DfLIJQepA==" saltValue="NetU0Df/BhBcIgNfJ3KYpg==" spinCount="100000" sheet="1" objects="1" scenarios="1"/>
  <mergeCells count="8">
    <mergeCell ref="B65:F65"/>
    <mergeCell ref="C27:E27"/>
    <mergeCell ref="C43:E43"/>
    <mergeCell ref="B66:F72"/>
    <mergeCell ref="B8:F8"/>
    <mergeCell ref="C13:E13"/>
    <mergeCell ref="B11:C11"/>
    <mergeCell ref="D11:E11"/>
  </mergeCells>
  <conditionalFormatting sqref="D17:E25">
    <cfRule type="cellIs" dxfId="4" priority="1" operator="equal">
      <formula>0</formula>
    </cfRule>
    <cfRule type="cellIs" dxfId="3" priority="2" operator="between">
      <formula>0.4</formula>
      <formula>0.69</formula>
    </cfRule>
    <cfRule type="cellIs" dxfId="2" priority="3" operator="between">
      <formula>0.2</formula>
      <formula>0.39</formula>
    </cfRule>
    <cfRule type="cellIs" dxfId="1" priority="4" operator="between">
      <formula>0.01</formula>
      <formula>0.19</formula>
    </cfRule>
    <cfRule type="cellIs" dxfId="0" priority="5" operator="between">
      <formula>0.7</formula>
      <formula>1</formula>
    </cfRule>
  </conditionalFormatting>
  <pageMargins left="0.39370078740157483" right="0.39370078740157483" top="0.39370078740157483" bottom="0.39370078740157483" header="0.31496062992125984" footer="0.31496062992125984"/>
  <pageSetup paperSize="14"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B3AE25-30EE-4D92-AF35-9B6BE8EC3235}">
          <x14:formula1>
            <xm:f>PGLOBAL!$A$10:$A$171</xm:f>
          </x14:formula1>
          <xm:sqref>D11:E11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1 GUÍA DE USO</vt:lpstr>
      <vt:lpstr>PGLOBAL</vt:lpstr>
      <vt:lpstr>Ficha técnica</vt:lpstr>
      <vt:lpstr>Clasificación</vt:lpstr>
      <vt:lpstr>2 PuntajeGlobal</vt:lpstr>
      <vt:lpstr>3 Promediosyniveles</vt:lpstr>
      <vt:lpstr>LC</vt:lpstr>
      <vt:lpstr>MATE</vt:lpstr>
      <vt:lpstr>SyC</vt:lpstr>
      <vt:lpstr>CN</vt:lpstr>
      <vt:lpstr>INGLES</vt:lpstr>
      <vt:lpstr>4 AprenLectura</vt:lpstr>
      <vt:lpstr>5 AprenMate</vt:lpstr>
      <vt:lpstr>6 AprenSyC</vt:lpstr>
      <vt:lpstr>7 AprenCNProVivos</vt:lpstr>
      <vt:lpstr>8 AprenCNProQuímicos</vt:lpstr>
      <vt:lpstr>9 AprenCNProFísicos</vt:lpstr>
      <vt:lpstr>10 AprenCNCTS</vt:lpstr>
      <vt:lpstr>'10 AprenCNCTS'!Área_de_impresión</vt:lpstr>
      <vt:lpstr>'3 Promediosyniveles'!Área_de_impresión</vt:lpstr>
      <vt:lpstr>'6 AprenSyC'!Área_de_impresión</vt:lpstr>
      <vt:lpstr>'7 AprenCNProVivos'!Área_de_impresión</vt:lpstr>
      <vt:lpstr>'8 AprenCNProQuímicos'!Área_de_impresión</vt:lpstr>
      <vt:lpstr>'9 AprenCNProFísicos'!Área_de_impresión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EVAL_ALUMNOS</dc:creator>
  <cp:lastModifiedBy>Jorge Enrique Restrepo Mantilla</cp:lastModifiedBy>
  <cp:lastPrinted>2025-03-19T20:07:55Z</cp:lastPrinted>
  <dcterms:created xsi:type="dcterms:W3CDTF">2019-12-17T16:58:00Z</dcterms:created>
  <dcterms:modified xsi:type="dcterms:W3CDTF">2025-04-01T13:19:40Z</dcterms:modified>
</cp:coreProperties>
</file>